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5432" documentId="11_A036919BCEDCCEE3E979BAFA8980FCDE016F55DE" xr6:coauthVersionLast="47" xr6:coauthVersionMax="47" xr10:uidLastSave="{4EABF115-5DF4-43B5-BEF4-9F0300E2478A}"/>
  <bookViews>
    <workbookView xWindow="240" yWindow="105" windowWidth="14805" windowHeight="8010" firstSheet="1" activeTab="1" xr2:uid="{00000000-000D-0000-FFFF-FFFF00000000}"/>
  </bookViews>
  <sheets>
    <sheet name="Main" sheetId="3" r:id="rId1"/>
    <sheet name="Forecast_1" sheetId="1" r:id="rId2"/>
    <sheet name="Forecast_2" sheetId="2" r:id="rId3"/>
    <sheet name="Forecast_3" sheetId="4" r:id="rId4"/>
    <sheet name="Forecast_4" sheetId="5" r:id="rId5"/>
    <sheet name="Forecast_5" sheetId="6" r:id="rId6"/>
    <sheet name="Forecast_6" sheetId="7" r:id="rId7"/>
    <sheet name="Forecast_7" sheetId="8" r:id="rId8"/>
    <sheet name="Forecast_8" sheetId="9" r:id="rId9"/>
    <sheet name="Forecast_9" sheetId="10" r:id="rId10"/>
    <sheet name="Forecast_10" sheetId="11" r:id="rId11"/>
    <sheet name="Forecast_11" sheetId="12" r:id="rId12"/>
    <sheet name="Forecast_12" sheetId="13" r:id="rId13"/>
    <sheet name="Forecast_13" sheetId="14" r:id="rId14"/>
    <sheet name="Forecast_14" sheetId="15" r:id="rId15"/>
    <sheet name="Forecast_15" sheetId="16" r:id="rId16"/>
    <sheet name="Forecast_16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C107" i="2"/>
  <c r="C107" i="4" s="1"/>
  <c r="C107" i="5" s="1"/>
  <c r="C107" i="6" s="1"/>
  <c r="C107" i="7" s="1"/>
  <c r="C107" i="8" s="1"/>
  <c r="C107" i="9" s="1"/>
  <c r="C107" i="10" s="1"/>
  <c r="C107" i="11" s="1"/>
  <c r="C107" i="12" s="1"/>
  <c r="C107" i="13" s="1"/>
  <c r="C107" i="14" s="1"/>
  <c r="C107" i="15" s="1"/>
  <c r="C107" i="16" s="1"/>
  <c r="C107" i="17" s="1"/>
  <c r="C106" i="2"/>
  <c r="C106" i="4" s="1"/>
  <c r="C106" i="5" s="1"/>
  <c r="C106" i="6" s="1"/>
  <c r="C106" i="7" s="1"/>
  <c r="C106" i="8" s="1"/>
  <c r="C106" i="9" s="1"/>
  <c r="C106" i="10" s="1"/>
  <c r="C106" i="11" s="1"/>
  <c r="C106" i="12" s="1"/>
  <c r="C106" i="13" s="1"/>
  <c r="C106" i="14" s="1"/>
  <c r="C106" i="15" s="1"/>
  <c r="C106" i="16" s="1"/>
  <c r="C106" i="17" s="1"/>
  <c r="C105" i="2"/>
  <c r="C105" i="4" s="1"/>
  <c r="C105" i="5" s="1"/>
  <c r="C105" i="6" s="1"/>
  <c r="C105" i="7" s="1"/>
  <c r="C105" i="8" s="1"/>
  <c r="C105" i="9" s="1"/>
  <c r="C105" i="10" s="1"/>
  <c r="C105" i="11" s="1"/>
  <c r="C105" i="12" s="1"/>
  <c r="C105" i="13" s="1"/>
  <c r="C105" i="14" s="1"/>
  <c r="C105" i="15" s="1"/>
  <c r="C105" i="16" s="1"/>
  <c r="C105" i="17" s="1"/>
  <c r="C104" i="2"/>
  <c r="C104" i="4" s="1"/>
  <c r="C104" i="5" s="1"/>
  <c r="C104" i="6" s="1"/>
  <c r="C104" i="7" s="1"/>
  <c r="C104" i="8" s="1"/>
  <c r="C104" i="9" s="1"/>
  <c r="C104" i="10" s="1"/>
  <c r="C104" i="11" s="1"/>
  <c r="C104" i="12" s="1"/>
  <c r="C104" i="13" s="1"/>
  <c r="C104" i="14" s="1"/>
  <c r="C104" i="15" s="1"/>
  <c r="C104" i="16" s="1"/>
  <c r="C104" i="17" s="1"/>
  <c r="C103" i="2"/>
  <c r="C103" i="4" s="1"/>
  <c r="C103" i="5" s="1"/>
  <c r="C103" i="6" s="1"/>
  <c r="C103" i="7" s="1"/>
  <c r="C103" i="8" s="1"/>
  <c r="C103" i="9" s="1"/>
  <c r="C103" i="10" s="1"/>
  <c r="C103" i="11" s="1"/>
  <c r="C103" i="12" s="1"/>
  <c r="C103" i="13" s="1"/>
  <c r="C103" i="14" s="1"/>
  <c r="C103" i="15" s="1"/>
  <c r="C103" i="16" s="1"/>
  <c r="C103" i="17" s="1"/>
  <c r="C102" i="2"/>
  <c r="C102" i="4" s="1"/>
  <c r="C102" i="5" s="1"/>
  <c r="C102" i="6" s="1"/>
  <c r="C102" i="7" s="1"/>
  <c r="C102" i="8" s="1"/>
  <c r="C102" i="9" s="1"/>
  <c r="C102" i="10" s="1"/>
  <c r="C102" i="11" s="1"/>
  <c r="C102" i="12" s="1"/>
  <c r="C102" i="13" s="1"/>
  <c r="C102" i="14" s="1"/>
  <c r="C102" i="15" s="1"/>
  <c r="C102" i="16" s="1"/>
  <c r="C102" i="17" s="1"/>
  <c r="C101" i="2"/>
  <c r="C101" i="4" s="1"/>
  <c r="C101" i="5" s="1"/>
  <c r="C101" i="6" s="1"/>
  <c r="C101" i="7" s="1"/>
  <c r="C101" i="8" s="1"/>
  <c r="C101" i="9" s="1"/>
  <c r="C101" i="10" s="1"/>
  <c r="C101" i="11" s="1"/>
  <c r="C101" i="12" s="1"/>
  <c r="C101" i="13" s="1"/>
  <c r="C101" i="14" s="1"/>
  <c r="C101" i="15" s="1"/>
  <c r="C101" i="16" s="1"/>
  <c r="C101" i="17" s="1"/>
  <c r="C100" i="4"/>
  <c r="C100" i="5" s="1"/>
  <c r="C100" i="6" s="1"/>
  <c r="C100" i="7" s="1"/>
  <c r="C100" i="8" s="1"/>
  <c r="C100" i="9" s="1"/>
  <c r="C100" i="10" s="1"/>
  <c r="C100" i="11" s="1"/>
  <c r="C100" i="12" s="1"/>
  <c r="C100" i="13" s="1"/>
  <c r="C100" i="14" s="1"/>
  <c r="C100" i="15" s="1"/>
  <c r="C100" i="16" s="1"/>
  <c r="C100" i="17" s="1"/>
  <c r="C99" i="2"/>
  <c r="C99" i="4" s="1"/>
  <c r="C99" i="5" s="1"/>
  <c r="C99" i="6" s="1"/>
  <c r="C99" i="7" s="1"/>
  <c r="C99" i="8" s="1"/>
  <c r="C99" i="9" s="1"/>
  <c r="C99" i="10" s="1"/>
  <c r="C99" i="11" s="1"/>
  <c r="C99" i="12" s="1"/>
  <c r="C99" i="13" s="1"/>
  <c r="C99" i="14" s="1"/>
  <c r="C99" i="15" s="1"/>
  <c r="C99" i="16" s="1"/>
  <c r="C99" i="17" s="1"/>
  <c r="C98" i="4"/>
  <c r="C98" i="5" s="1"/>
  <c r="C98" i="6" s="1"/>
  <c r="C98" i="7" s="1"/>
  <c r="C98" i="8" s="1"/>
  <c r="C98" i="9" s="1"/>
  <c r="C98" i="10" s="1"/>
  <c r="C98" i="11" s="1"/>
  <c r="C98" i="12" s="1"/>
  <c r="C98" i="13" s="1"/>
  <c r="C98" i="14" s="1"/>
  <c r="C98" i="15" s="1"/>
  <c r="C98" i="16" s="1"/>
  <c r="C98" i="17" s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A1" i="1"/>
  <c r="A1" i="2"/>
  <c r="A1" i="4"/>
  <c r="A1" i="5"/>
  <c r="A1" i="6"/>
  <c r="A1" i="7"/>
  <c r="A1" i="8"/>
  <c r="A1" i="9"/>
  <c r="A1" i="10"/>
  <c r="A1" i="11"/>
  <c r="A1" i="12"/>
  <c r="A1" i="13"/>
  <c r="A1" i="14"/>
  <c r="A1" i="15"/>
  <c r="A1" i="16"/>
  <c r="A1" i="17"/>
  <c r="A170" i="17"/>
  <c r="A168" i="17"/>
  <c r="A143" i="17"/>
  <c r="A141" i="17"/>
  <c r="A116" i="17"/>
  <c r="A114" i="17"/>
  <c r="A44" i="17"/>
  <c r="A32" i="17"/>
  <c r="A20" i="17"/>
  <c r="A8" i="17"/>
  <c r="C95" i="17"/>
  <c r="C85" i="17"/>
  <c r="C75" i="17"/>
  <c r="C66" i="17"/>
  <c r="C55" i="17"/>
  <c r="C96" i="17" s="1"/>
  <c r="F40" i="17"/>
  <c r="F28" i="17"/>
  <c r="F16" i="17"/>
  <c r="C2" i="17" a="1"/>
  <c r="C2" i="17" s="1"/>
  <c r="A56" i="3"/>
  <c r="A55" i="3"/>
  <c r="A54" i="3"/>
  <c r="A53" i="3"/>
  <c r="A52" i="3"/>
  <c r="A51" i="3"/>
  <c r="A170" i="16"/>
  <c r="A168" i="16"/>
  <c r="A143" i="16"/>
  <c r="A141" i="16"/>
  <c r="A116" i="16"/>
  <c r="A114" i="16"/>
  <c r="A44" i="16"/>
  <c r="A32" i="16"/>
  <c r="A20" i="16"/>
  <c r="A8" i="16"/>
  <c r="C95" i="16"/>
  <c r="C85" i="16"/>
  <c r="C75" i="16"/>
  <c r="C66" i="16"/>
  <c r="C55" i="16"/>
  <c r="C96" i="16" s="1"/>
  <c r="F40" i="16"/>
  <c r="F28" i="16"/>
  <c r="F16" i="16"/>
  <c r="C2" i="16" a="1"/>
  <c r="C2" i="16" s="1"/>
  <c r="A50" i="3"/>
  <c r="A49" i="3"/>
  <c r="A48" i="3"/>
  <c r="A170" i="15"/>
  <c r="A168" i="15"/>
  <c r="A143" i="15"/>
  <c r="A141" i="15"/>
  <c r="A116" i="15"/>
  <c r="A114" i="15"/>
  <c r="A44" i="15"/>
  <c r="A32" i="15"/>
  <c r="A20" i="15"/>
  <c r="A8" i="15"/>
  <c r="C95" i="15"/>
  <c r="C85" i="15"/>
  <c r="C75" i="15"/>
  <c r="C66" i="15"/>
  <c r="C55" i="15"/>
  <c r="C96" i="15" s="1"/>
  <c r="F40" i="15"/>
  <c r="F28" i="15"/>
  <c r="F16" i="15"/>
  <c r="C2" i="15" a="1"/>
  <c r="C2" i="15" s="1"/>
  <c r="A47" i="3"/>
  <c r="A46" i="3"/>
  <c r="A45" i="3"/>
  <c r="A170" i="14"/>
  <c r="A168" i="14"/>
  <c r="A143" i="14"/>
  <c r="A141" i="14"/>
  <c r="A116" i="14"/>
  <c r="A114" i="14"/>
  <c r="A44" i="14"/>
  <c r="A32" i="14"/>
  <c r="A20" i="14"/>
  <c r="A8" i="14"/>
  <c r="C95" i="14"/>
  <c r="C85" i="14"/>
  <c r="C75" i="14"/>
  <c r="C66" i="14"/>
  <c r="C55" i="14"/>
  <c r="C96" i="14" s="1"/>
  <c r="F40" i="14"/>
  <c r="F28" i="14"/>
  <c r="F16" i="14"/>
  <c r="C2" i="14" a="1"/>
  <c r="C2" i="14" s="1"/>
  <c r="A42" i="3"/>
  <c r="A44" i="3"/>
  <c r="A43" i="3"/>
  <c r="A170" i="13"/>
  <c r="A168" i="13"/>
  <c r="A143" i="13"/>
  <c r="A141" i="13"/>
  <c r="A116" i="13"/>
  <c r="A114" i="13"/>
  <c r="A44" i="13"/>
  <c r="A32" i="13"/>
  <c r="A20" i="13"/>
  <c r="A8" i="13"/>
  <c r="C95" i="13"/>
  <c r="C85" i="13"/>
  <c r="C75" i="13"/>
  <c r="C66" i="13"/>
  <c r="C55" i="13"/>
  <c r="C96" i="13" s="1"/>
  <c r="F40" i="13"/>
  <c r="F28" i="13"/>
  <c r="F16" i="13"/>
  <c r="C2" i="13" a="1"/>
  <c r="C2" i="13" s="1"/>
  <c r="A41" i="3"/>
  <c r="A40" i="3"/>
  <c r="A39" i="3"/>
  <c r="A170" i="12"/>
  <c r="A168" i="12"/>
  <c r="A143" i="12"/>
  <c r="A141" i="12"/>
  <c r="A116" i="12"/>
  <c r="A114" i="12"/>
  <c r="A44" i="12"/>
  <c r="A32" i="12"/>
  <c r="A20" i="12"/>
  <c r="A8" i="12"/>
  <c r="C95" i="12"/>
  <c r="C85" i="12"/>
  <c r="C75" i="12"/>
  <c r="C66" i="12"/>
  <c r="C55" i="12"/>
  <c r="C96" i="12" s="1"/>
  <c r="F40" i="12"/>
  <c r="F28" i="12"/>
  <c r="F16" i="12"/>
  <c r="C2" i="12" a="1"/>
  <c r="C2" i="12" s="1"/>
  <c r="A38" i="3"/>
  <c r="A37" i="3"/>
  <c r="A36" i="3"/>
  <c r="A170" i="11"/>
  <c r="A168" i="11"/>
  <c r="A143" i="11"/>
  <c r="A141" i="11"/>
  <c r="A116" i="11"/>
  <c r="A114" i="11"/>
  <c r="A44" i="11"/>
  <c r="A32" i="11"/>
  <c r="A20" i="11"/>
  <c r="A8" i="11"/>
  <c r="C95" i="11"/>
  <c r="C85" i="11"/>
  <c r="C75" i="11"/>
  <c r="C66" i="11"/>
  <c r="C55" i="11"/>
  <c r="C96" i="11" s="1"/>
  <c r="F40" i="11"/>
  <c r="F28" i="11"/>
  <c r="F16" i="11"/>
  <c r="C2" i="11" a="1"/>
  <c r="C2" i="11" s="1"/>
  <c r="A35" i="3"/>
  <c r="A34" i="3"/>
  <c r="A33" i="3"/>
  <c r="A170" i="10"/>
  <c r="A168" i="10"/>
  <c r="A143" i="10"/>
  <c r="A141" i="10"/>
  <c r="A116" i="10"/>
  <c r="A114" i="10"/>
  <c r="A44" i="10"/>
  <c r="A32" i="10"/>
  <c r="A20" i="10"/>
  <c r="A8" i="10"/>
  <c r="C95" i="10"/>
  <c r="C85" i="10"/>
  <c r="C75" i="10"/>
  <c r="C66" i="10"/>
  <c r="C55" i="10"/>
  <c r="C96" i="10" s="1"/>
  <c r="F40" i="10"/>
  <c r="F28" i="10"/>
  <c r="F16" i="10"/>
  <c r="C2" i="10" a="1"/>
  <c r="C2" i="10" s="1"/>
  <c r="A170" i="9"/>
  <c r="A168" i="9"/>
  <c r="A143" i="9"/>
  <c r="A141" i="9"/>
  <c r="A116" i="9"/>
  <c r="A114" i="9"/>
  <c r="A44" i="9"/>
  <c r="A32" i="9"/>
  <c r="A20" i="9"/>
  <c r="A8" i="9"/>
  <c r="C95" i="9"/>
  <c r="C85" i="9"/>
  <c r="C75" i="9"/>
  <c r="C66" i="9"/>
  <c r="C55" i="9"/>
  <c r="C96" i="9" s="1"/>
  <c r="F40" i="9"/>
  <c r="F28" i="9"/>
  <c r="F16" i="9"/>
  <c r="C2" i="9" a="1"/>
  <c r="C2" i="9" s="1"/>
  <c r="A32" i="3"/>
  <c r="A31" i="3"/>
  <c r="A30" i="3"/>
  <c r="A29" i="3"/>
  <c r="A28" i="3"/>
  <c r="A27" i="3"/>
  <c r="A170" i="8"/>
  <c r="A168" i="8"/>
  <c r="A143" i="8"/>
  <c r="A141" i="8"/>
  <c r="A116" i="8"/>
  <c r="A114" i="8"/>
  <c r="A44" i="8"/>
  <c r="A32" i="8"/>
  <c r="A20" i="8"/>
  <c r="A8" i="8"/>
  <c r="C95" i="8"/>
  <c r="C85" i="8"/>
  <c r="C75" i="8"/>
  <c r="C66" i="8"/>
  <c r="C55" i="8"/>
  <c r="C96" i="8" s="1"/>
  <c r="F40" i="8"/>
  <c r="F28" i="8"/>
  <c r="F16" i="8"/>
  <c r="C2" i="8" a="1"/>
  <c r="C2" i="8" s="1"/>
  <c r="A26" i="3"/>
  <c r="A25" i="3"/>
  <c r="A24" i="3"/>
  <c r="A170" i="7"/>
  <c r="A168" i="7"/>
  <c r="A143" i="7"/>
  <c r="A141" i="7"/>
  <c r="A116" i="7"/>
  <c r="A114" i="7"/>
  <c r="A44" i="7"/>
  <c r="A32" i="7"/>
  <c r="A20" i="7"/>
  <c r="A8" i="7"/>
  <c r="C95" i="7"/>
  <c r="C85" i="7"/>
  <c r="C75" i="7"/>
  <c r="C66" i="7"/>
  <c r="C55" i="7"/>
  <c r="C96" i="7" s="1"/>
  <c r="F40" i="7"/>
  <c r="F28" i="7"/>
  <c r="F16" i="7"/>
  <c r="C2" i="7" a="1"/>
  <c r="C2" i="7" s="1"/>
  <c r="A23" i="3"/>
  <c r="A22" i="3"/>
  <c r="A170" i="6"/>
  <c r="A143" i="6"/>
  <c r="A116" i="6"/>
  <c r="A168" i="6"/>
  <c r="A141" i="6"/>
  <c r="A114" i="6"/>
  <c r="A44" i="6"/>
  <c r="A32" i="6"/>
  <c r="A20" i="6"/>
  <c r="A8" i="6"/>
  <c r="A21" i="3"/>
  <c r="A20" i="3"/>
  <c r="A19" i="3"/>
  <c r="A18" i="3"/>
  <c r="C95" i="6"/>
  <c r="C85" i="6"/>
  <c r="C75" i="6"/>
  <c r="C66" i="6"/>
  <c r="C55" i="6"/>
  <c r="C96" i="6" s="1"/>
  <c r="F40" i="6"/>
  <c r="F28" i="6"/>
  <c r="F16" i="6"/>
  <c r="C2" i="6" a="1"/>
  <c r="C2" i="6" s="1"/>
  <c r="A170" i="5"/>
  <c r="A143" i="5"/>
  <c r="A116" i="5"/>
  <c r="A170" i="4"/>
  <c r="A143" i="4"/>
  <c r="A116" i="4"/>
  <c r="A116" i="2"/>
  <c r="A168" i="5"/>
  <c r="A141" i="5"/>
  <c r="A114" i="5"/>
  <c r="A44" i="5"/>
  <c r="A32" i="5"/>
  <c r="A20" i="5"/>
  <c r="A8" i="5"/>
  <c r="A168" i="4"/>
  <c r="A141" i="4"/>
  <c r="A114" i="4"/>
  <c r="A44" i="4"/>
  <c r="A32" i="4"/>
  <c r="A20" i="4"/>
  <c r="A8" i="4"/>
  <c r="C95" i="5"/>
  <c r="C85" i="5"/>
  <c r="C75" i="5"/>
  <c r="C66" i="5"/>
  <c r="C55" i="5"/>
  <c r="C96" i="5" s="1"/>
  <c r="F40" i="5"/>
  <c r="F28" i="5"/>
  <c r="F16" i="5"/>
  <c r="C2" i="5" a="1"/>
  <c r="C2" i="5" s="1"/>
  <c r="C2" i="4" a="1"/>
  <c r="C2" i="4"/>
  <c r="C95" i="4"/>
  <c r="C85" i="4"/>
  <c r="C75" i="4"/>
  <c r="C66" i="4"/>
  <c r="C55" i="4"/>
  <c r="C96" i="4" s="1"/>
  <c r="F40" i="4"/>
  <c r="F28" i="4"/>
  <c r="F16" i="4"/>
  <c r="A44" i="2"/>
  <c r="A170" i="2"/>
  <c r="A143" i="2"/>
  <c r="A168" i="2"/>
  <c r="A141" i="2"/>
  <c r="A114" i="2"/>
  <c r="A32" i="2"/>
  <c r="A20" i="2"/>
  <c r="A8" i="2"/>
  <c r="A58" i="1"/>
  <c r="A183" i="1"/>
  <c r="A156" i="1"/>
  <c r="A181" i="1"/>
  <c r="A154" i="1"/>
  <c r="A128" i="1"/>
  <c r="A46" i="1"/>
  <c r="A34" i="1"/>
  <c r="A22" i="1"/>
  <c r="A17" i="3"/>
  <c r="A16" i="3"/>
  <c r="A15" i="3"/>
  <c r="A14" i="3"/>
  <c r="A13" i="3"/>
  <c r="A12" i="3"/>
  <c r="A11" i="3"/>
  <c r="A10" i="3"/>
  <c r="A9" i="3"/>
  <c r="C122" i="1"/>
  <c r="C95" i="2"/>
  <c r="C85" i="2"/>
  <c r="C75" i="2"/>
  <c r="C66" i="2"/>
  <c r="C55" i="2"/>
  <c r="C96" i="2" s="1"/>
  <c r="F40" i="2"/>
  <c r="F28" i="2"/>
  <c r="F16" i="2"/>
  <c r="F54" i="1"/>
  <c r="F42" i="1"/>
  <c r="C109" i="1"/>
  <c r="C99" i="1"/>
  <c r="C89" i="1"/>
  <c r="C80" i="1"/>
  <c r="C69" i="1"/>
  <c r="F30" i="1"/>
  <c r="F16" i="1"/>
  <c r="C16" i="1"/>
  <c r="C2" i="2" s="1" a="1"/>
  <c r="C2" i="2" s="1"/>
  <c r="E189" i="17" l="1"/>
  <c r="E162" i="17"/>
  <c r="E135" i="17"/>
  <c r="E189" i="16"/>
  <c r="E162" i="16"/>
  <c r="E135" i="16"/>
  <c r="E189" i="15"/>
  <c r="E162" i="15"/>
  <c r="E135" i="15"/>
  <c r="E189" i="14"/>
  <c r="E162" i="14"/>
  <c r="E135" i="14"/>
  <c r="E189" i="13"/>
  <c r="E162" i="13"/>
  <c r="E135" i="13"/>
  <c r="E189" i="12"/>
  <c r="E162" i="12"/>
  <c r="E135" i="12"/>
  <c r="E189" i="11"/>
  <c r="E162" i="11"/>
  <c r="E135" i="11"/>
  <c r="E189" i="10"/>
  <c r="E162" i="10"/>
  <c r="E135" i="10"/>
  <c r="E189" i="9"/>
  <c r="E162" i="9"/>
  <c r="E135" i="9"/>
  <c r="E189" i="8"/>
  <c r="E162" i="8"/>
  <c r="E135" i="8"/>
  <c r="E189" i="7"/>
  <c r="E162" i="7"/>
  <c r="E135" i="7"/>
  <c r="E189" i="6"/>
  <c r="E162" i="6"/>
  <c r="E135" i="6"/>
  <c r="C108" i="2"/>
  <c r="E189" i="5"/>
  <c r="E162" i="5"/>
  <c r="E135" i="5"/>
  <c r="E189" i="4"/>
  <c r="E162" i="4"/>
  <c r="E135" i="4"/>
  <c r="C5" i="2"/>
  <c r="N4" i="1" s="1"/>
  <c r="E189" i="2"/>
  <c r="E162" i="2"/>
  <c r="E135" i="2"/>
  <c r="C109" i="2"/>
  <c r="C110" i="1"/>
  <c r="C108" i="17" l="1"/>
  <c r="C5" i="17"/>
  <c r="N18" i="1" s="1"/>
  <c r="C109" i="17"/>
  <c r="C108" i="15"/>
  <c r="C5" i="15"/>
  <c r="N16" i="1" s="1"/>
  <c r="C109" i="15"/>
  <c r="C108" i="13"/>
  <c r="C5" i="13"/>
  <c r="N14" i="1" s="1"/>
  <c r="C109" i="13"/>
  <c r="C108" i="11"/>
  <c r="C5" i="11"/>
  <c r="N12" i="1" s="1"/>
  <c r="C109" i="11"/>
  <c r="C108" i="9"/>
  <c r="C5" i="9"/>
  <c r="N10" i="1" s="1"/>
  <c r="C109" i="9"/>
  <c r="C108" i="7"/>
  <c r="C5" i="7"/>
  <c r="N8" i="1" s="1"/>
  <c r="C109" i="7"/>
  <c r="C108" i="16"/>
  <c r="C108" i="14"/>
  <c r="C108" i="12"/>
  <c r="C108" i="10"/>
  <c r="C108" i="8"/>
  <c r="C108" i="6"/>
  <c r="C108" i="5"/>
  <c r="C108" i="4"/>
  <c r="C123" i="1"/>
  <c r="E202" i="1"/>
  <c r="E175" i="1"/>
  <c r="E148" i="1"/>
  <c r="E149" i="1" s="1"/>
  <c r="C5" i="16" l="1"/>
  <c r="N17" i="1" s="1"/>
  <c r="C109" i="16"/>
  <c r="C5" i="14"/>
  <c r="N15" i="1" s="1"/>
  <c r="C109" i="14"/>
  <c r="C5" i="12"/>
  <c r="N13" i="1" s="1"/>
  <c r="C109" i="12"/>
  <c r="C5" i="10"/>
  <c r="N11" i="1" s="1"/>
  <c r="C109" i="10"/>
  <c r="C5" i="8"/>
  <c r="N9" i="1" s="1"/>
  <c r="C109" i="8"/>
  <c r="C5" i="6"/>
  <c r="N7" i="1" s="1"/>
  <c r="C109" i="6"/>
  <c r="C5" i="5"/>
  <c r="N6" i="1" s="1"/>
  <c r="C109" i="5"/>
  <c r="C5" i="4"/>
  <c r="N5" i="1" s="1"/>
  <c r="C109" i="4"/>
  <c r="E156" i="1" l="1"/>
  <c r="E176" i="1" s="1"/>
  <c r="J3" i="1"/>
  <c r="E183" i="1" l="1"/>
  <c r="E203" i="1" s="1"/>
  <c r="E116" i="2" s="1"/>
  <c r="E136" i="2" s="1"/>
  <c r="J6" i="1" s="1"/>
  <c r="J4" i="1"/>
  <c r="J5" i="1" l="1"/>
  <c r="E143" i="2" l="1"/>
  <c r="E163" i="2" s="1"/>
  <c r="J7" i="1" s="1"/>
  <c r="E170" i="2" l="1"/>
  <c r="E190" i="2" s="1"/>
  <c r="E116" i="4" l="1"/>
  <c r="J8" i="1"/>
  <c r="E136" i="4"/>
  <c r="J9" i="1" s="1"/>
  <c r="C3" i="2"/>
  <c r="C4" i="2" s="1"/>
  <c r="E143" i="4" l="1"/>
  <c r="E163" i="4" s="1"/>
  <c r="J10" i="1" s="1"/>
  <c r="E170" i="4" l="1"/>
  <c r="E190" i="4" s="1"/>
  <c r="J11" i="1" l="1"/>
  <c r="E116" i="5"/>
  <c r="E136" i="5"/>
  <c r="J12" i="1" s="1"/>
  <c r="C3" i="4"/>
  <c r="C4" i="4" s="1"/>
  <c r="E143" i="5" l="1"/>
  <c r="E163" i="5" s="1"/>
  <c r="J13" i="1" s="1"/>
  <c r="E170" i="5" l="1"/>
  <c r="E190" i="5" s="1"/>
  <c r="J14" i="1" l="1"/>
  <c r="E116" i="6"/>
  <c r="E136" i="6"/>
  <c r="J15" i="1" s="1"/>
  <c r="C3" i="5"/>
  <c r="C4" i="5" s="1"/>
  <c r="E143" i="6" l="1"/>
  <c r="E163" i="6" s="1"/>
  <c r="J16" i="1" s="1"/>
  <c r="E170" i="6" l="1"/>
  <c r="E190" i="6" s="1"/>
  <c r="J17" i="1" l="1"/>
  <c r="E116" i="7"/>
  <c r="C3" i="6"/>
  <c r="C4" i="6" s="1"/>
  <c r="E136" i="7"/>
  <c r="J18" i="1" s="1"/>
  <c r="E143" i="7" l="1"/>
  <c r="E163" i="7" s="1"/>
  <c r="J19" i="1" s="1"/>
  <c r="E170" i="7" l="1"/>
  <c r="E190" i="7" s="1"/>
  <c r="J20" i="1" l="1"/>
  <c r="E116" i="8"/>
  <c r="C3" i="7"/>
  <c r="C4" i="7" s="1"/>
  <c r="E136" i="8"/>
  <c r="J21" i="1" s="1"/>
  <c r="E143" i="8" l="1"/>
  <c r="E163" i="8" s="1"/>
  <c r="J22" i="1" s="1"/>
  <c r="E170" i="8" l="1"/>
  <c r="E190" i="8" s="1"/>
  <c r="J23" i="1" l="1"/>
  <c r="E116" i="9"/>
  <c r="C3" i="8"/>
  <c r="C4" i="8" s="1"/>
  <c r="E136" i="9"/>
  <c r="J24" i="1" s="1"/>
  <c r="E143" i="9" l="1"/>
  <c r="E163" i="9" s="1"/>
  <c r="J25" i="1" s="1"/>
  <c r="E170" i="9" l="1"/>
  <c r="E190" i="9" s="1"/>
  <c r="J26" i="1" l="1"/>
  <c r="E116" i="10"/>
  <c r="C3" i="9"/>
  <c r="C4" i="9" s="1"/>
  <c r="E136" i="10"/>
  <c r="J27" i="1" s="1"/>
  <c r="E143" i="10" l="1"/>
  <c r="E163" i="10" s="1"/>
  <c r="J28" i="1" s="1"/>
  <c r="E170" i="10" l="1"/>
  <c r="E190" i="10" s="1"/>
  <c r="J29" i="1" l="1"/>
  <c r="E116" i="11"/>
  <c r="C3" i="10"/>
  <c r="C4" i="10" s="1"/>
  <c r="E136" i="11"/>
  <c r="J30" i="1" s="1"/>
  <c r="E143" i="11" l="1"/>
  <c r="E163" i="11" s="1"/>
  <c r="J31" i="1" s="1"/>
  <c r="E170" i="11" l="1"/>
  <c r="E190" i="11" s="1"/>
  <c r="J32" i="1" l="1"/>
  <c r="E116" i="12"/>
  <c r="C3" i="11"/>
  <c r="C4" i="11" s="1"/>
  <c r="E136" i="12"/>
  <c r="J33" i="1" s="1"/>
  <c r="E143" i="12" l="1"/>
  <c r="E163" i="12" s="1"/>
  <c r="J34" i="1" s="1"/>
  <c r="E170" i="12" l="1"/>
  <c r="E190" i="12" s="1"/>
  <c r="J35" i="1" l="1"/>
  <c r="E116" i="13"/>
  <c r="C3" i="12"/>
  <c r="C4" i="12" s="1"/>
  <c r="E136" i="13"/>
  <c r="J36" i="1" s="1"/>
  <c r="E143" i="13" l="1"/>
  <c r="E163" i="13" s="1"/>
  <c r="J37" i="1" s="1"/>
  <c r="E170" i="13" l="1"/>
  <c r="E190" i="13" s="1"/>
  <c r="J38" i="1" l="1"/>
  <c r="E116" i="14"/>
  <c r="C3" i="13"/>
  <c r="C4" i="13" s="1"/>
  <c r="E136" i="14"/>
  <c r="J39" i="1" s="1"/>
  <c r="E143" i="14" l="1"/>
  <c r="E163" i="14" s="1"/>
  <c r="J40" i="1" s="1"/>
  <c r="E170" i="14" l="1"/>
  <c r="E190" i="14" s="1"/>
  <c r="J41" i="1" l="1"/>
  <c r="E116" i="15"/>
  <c r="C3" i="14"/>
  <c r="C4" i="14" s="1"/>
  <c r="E136" i="15"/>
  <c r="J42" i="1" s="1"/>
  <c r="E143" i="15" l="1"/>
  <c r="E163" i="15" s="1"/>
  <c r="J43" i="1" s="1"/>
  <c r="E170" i="15" l="1"/>
  <c r="E190" i="15" s="1"/>
  <c r="J44" i="1" l="1"/>
  <c r="E116" i="16"/>
  <c r="C3" i="15"/>
  <c r="C4" i="15" s="1"/>
  <c r="E136" i="16"/>
  <c r="J45" i="1" s="1"/>
  <c r="E143" i="16" l="1"/>
  <c r="E163" i="16" s="1"/>
  <c r="J46" i="1" s="1"/>
  <c r="E170" i="16" l="1"/>
  <c r="E190" i="16" s="1"/>
  <c r="J47" i="1" l="1"/>
  <c r="E116" i="17"/>
  <c r="C3" i="16"/>
  <c r="C4" i="16" s="1"/>
  <c r="E136" i="17"/>
  <c r="J48" i="1" s="1"/>
  <c r="E143" i="17" l="1"/>
  <c r="E163" i="17" s="1"/>
  <c r="J49" i="1" s="1"/>
  <c r="E170" i="17" l="1"/>
  <c r="E190" i="17" s="1"/>
  <c r="J50" i="1" s="1"/>
  <c r="C3" i="17" l="1"/>
  <c r="C4" i="17" s="1"/>
  <c r="B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<sst xmlns="http://schemas.openxmlformats.org/spreadsheetml/2006/main" count="3064" uniqueCount="118">
  <si>
    <t>Money In Terms Of</t>
  </si>
  <si>
    <t>Millions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</si>
  <si>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</si>
  <si>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</si>
  <si>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</si>
  <si>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</si>
  <si>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</si>
  <si>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</si>
  <si>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</si>
  <si>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</si>
  <si>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</si>
  <si>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</si>
  <si>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</si>
  <si>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</si>
  <si>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</si>
  <si>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</si>
  <si>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</si>
  <si>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</si>
  <si>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</si>
  <si>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</si>
  <si>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</si>
  <si>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</si>
  <si>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</si>
  <si>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</si>
  <si>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</si>
  <si>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</si>
  <si>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</si>
  <si>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</si>
  <si>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</si>
  <si>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</si>
  <si>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</si>
  <si>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</si>
  <si>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</si>
  <si>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</si>
  <si>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</si>
  <si>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</si>
  <si>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</si>
  <si>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</si>
  <si>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</si>
  <si>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</si>
  <si>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Other 1</t>
  </si>
  <si>
    <t>Other 2</t>
  </si>
  <si>
    <t>Other 3</t>
  </si>
  <si>
    <t>Other 4</t>
  </si>
  <si>
    <t>Other 5</t>
  </si>
  <si>
    <t>Total</t>
  </si>
  <si>
    <t>Name</t>
  </si>
  <si>
    <t>Description</t>
  </si>
  <si>
    <t>Amount</t>
  </si>
  <si>
    <t>17th January 2025</t>
  </si>
  <si>
    <t>- Sale Property Wan Chai ~ $100
- Sale Property Tsuen Wai ~ $50</t>
  </si>
  <si>
    <t>Properties Sale</t>
  </si>
  <si>
    <t>Total Revenue</t>
  </si>
  <si>
    <t>03th Feburary 2025</t>
  </si>
  <si>
    <t>Salary</t>
  </si>
  <si>
    <t>Salary / Income / Received Debts / Received Dividends</t>
  </si>
  <si>
    <t>31th March 2025</t>
  </si>
  <si>
    <t>Operating Expenses</t>
  </si>
  <si>
    <t>Broadband</t>
  </si>
  <si>
    <t>Mobile</t>
  </si>
  <si>
    <t>Telephone (Fixed Line)</t>
  </si>
  <si>
    <t>Total Expenses</t>
  </si>
  <si>
    <t>Bank  Installments/ Corporate Installments/ Government  Owned</t>
  </si>
  <si>
    <t>Citi Bank</t>
  </si>
  <si>
    <t xml:space="preserve">SC Bank </t>
  </si>
  <si>
    <t>Bank Of China</t>
  </si>
  <si>
    <t>HSBC</t>
  </si>
  <si>
    <t>Donation</t>
  </si>
  <si>
    <t>University</t>
  </si>
  <si>
    <t>The Polytechnic University Of Hong Kong</t>
  </si>
  <si>
    <t>Orbis</t>
  </si>
  <si>
    <t>Orbis Eye Flight</t>
  </si>
  <si>
    <t>Insurance (Properties/Fire)</t>
  </si>
  <si>
    <t>AIA</t>
  </si>
  <si>
    <t>Properties  Insurance</t>
  </si>
  <si>
    <t>ManuaLife</t>
  </si>
  <si>
    <t>China Life Insurance</t>
  </si>
  <si>
    <t>Properties/House/Comercial Expenses</t>
  </si>
  <si>
    <t>Comercial Building Rent</t>
  </si>
  <si>
    <t>Office Rent</t>
  </si>
  <si>
    <t>Store Rent</t>
  </si>
  <si>
    <t>Properties Taxes</t>
  </si>
  <si>
    <t>Properties including Owned And Rented</t>
  </si>
  <si>
    <t>Investment Taxes</t>
  </si>
  <si>
    <t>Stocks/Securities/Unit Trusts Taxes</t>
  </si>
  <si>
    <t>Grand Expenses Total</t>
  </si>
  <si>
    <t>Debts</t>
  </si>
  <si>
    <t>Other 6</t>
  </si>
  <si>
    <t>Other 7</t>
  </si>
  <si>
    <t>Other 8</t>
  </si>
  <si>
    <t>Other 9</t>
  </si>
  <si>
    <t>Other 10</t>
  </si>
  <si>
    <t>Total Debts</t>
  </si>
  <si>
    <t>Grand Total</t>
  </si>
  <si>
    <t>Principal</t>
  </si>
  <si>
    <t>Other Expenses</t>
  </si>
  <si>
    <t>1. Direct Payback</t>
  </si>
  <si>
    <t>- Other 1</t>
  </si>
  <si>
    <t>- Other 2</t>
  </si>
  <si>
    <t>- Other 3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</si>
  <si>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</si>
  <si>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</si>
  <si>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</si>
  <si>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</si>
  <si>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</si>
  <si>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</si>
  <si>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</si>
  <si>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2. Additional Expenses</t>
  </si>
  <si>
    <t>- Lost of Selling Properties Wan Chai $10
- Lost of Selling Properties Tusen Wan $30</t>
  </si>
  <si>
    <t>Fixed Expense</t>
  </si>
  <si>
    <r>
      <t>Total Debts / </t>
    </r>
    <r>
      <rPr>
        <b/>
        <sz val="11"/>
        <color rgb="FF4A86E8"/>
        <rFont val="Arial"/>
      </rPr>
      <t>Credits</t>
    </r>
  </si>
  <si>
    <t>- Lost of Selling Properties</t>
  </si>
  <si>
    <t>Overall</t>
  </si>
  <si>
    <t>Forecasts</t>
  </si>
  <si>
    <t>Net Debts:</t>
  </si>
  <si>
    <t>17th April 2025</t>
  </si>
  <si>
    <t>03th May 2025</t>
  </si>
  <si>
    <t>28th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</si>
</sst>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$&quot;#,##0.00_);[Red]\(&quot;$&quot;#,##0.00\)"/>
    <numFmt numFmtId="177" formatCode="[$$-409]#,##0.00;[Red]\-[$$-409]#,##0.00"/>
    <numFmt numFmtId="178" formatCode="[$-409]d\-mmm\-yyyy;@"/>
    <numFmt numFmtId="179" formatCode="&quot;$&quot;#,##0.00"/>
  </numFmts>
  <fonts count="22">
    <font>
      <sz val="12"/>
      <color theme="1"/>
      <name val="新細明體"/>
      <family val="2"/>
      <scheme val="minor"/>
    </font>
    <font>
      <b/>
      <sz val="14"/>
      <color rgb="FF000000"/>
      <name val="Calibri"/>
      <charset val="1"/>
    </font>
    <font>
      <b/>
      <sz val="14"/>
      <color rgb="FF000000"/>
      <name val="Arial"/>
    </font>
    <font>
      <b/>
      <sz val="11"/>
      <color rgb="FF000000"/>
      <name val="Calibri"/>
      <charset val="1"/>
    </font>
    <font>
      <b/>
      <sz val="11"/>
      <color rgb="FF000000"/>
      <name val="Arial"/>
    </font>
    <font>
      <b/>
      <sz val="11"/>
      <color rgb="FF4A86E8"/>
      <name val="Calibri"/>
      <charset val="1"/>
    </font>
    <font>
      <b/>
      <sz val="11"/>
      <color rgb="FF4A86E8"/>
      <name val="Arial"/>
    </font>
    <font>
      <b/>
      <sz val="11"/>
      <color rgb="FFFF0000"/>
      <name val="Calibri"/>
      <charset val="1"/>
    </font>
    <font>
      <b/>
      <sz val="11"/>
      <color rgb="FFFF0000"/>
      <name val="Arial"/>
    </font>
    <font>
      <sz val="12"/>
      <color rgb="FFFFFFFF"/>
      <name val="Calibri"/>
      <charset val="1"/>
    </font>
    <font>
      <sz val="11"/>
      <color rgb="FF000000"/>
      <name val="Calibri"/>
      <charset val="1"/>
    </font>
    <font>
      <sz val="12"/>
      <color theme="1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0"/>
      <name val="Arial"/>
    </font>
    <font>
      <b/>
      <sz val="12"/>
      <color rgb="FF000000"/>
      <name val="Arial"/>
    </font>
    <font>
      <sz val="11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b/>
      <sz val="18"/>
      <color theme="1"/>
      <name val="Arial"/>
    </font>
    <font>
      <b/>
      <sz val="11"/>
      <color theme="1"/>
      <name val="Arial"/>
    </font>
    <font>
      <sz val="11"/>
      <color rgb="FF242424"/>
      <name val="Aptos Narrow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rgb="FF4A86E8"/>
      </patternFill>
    </fill>
    <fill>
      <patternFill patternType="solid">
        <fgColor rgb="FF00B0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9" fontId="1" fillId="2" borderId="0" applyProtection="0">
      <alignment horizontal="center" vertical="center"/>
    </xf>
    <xf numFmtId="49" fontId="3" fillId="0" borderId="0" applyProtection="0">
      <alignment horizontal="center" vertical="center"/>
    </xf>
    <xf numFmtId="177" fontId="5" fillId="3" borderId="2">
      <alignment horizontal="center" vertical="center"/>
    </xf>
    <xf numFmtId="49" fontId="7" fillId="0" borderId="0" applyProtection="0">
      <alignment horizontal="right" vertical="center"/>
    </xf>
    <xf numFmtId="49" fontId="9" fillId="4" borderId="0" applyBorder="0" applyProtection="0">
      <alignment horizontal="center" vertical="center"/>
    </xf>
    <xf numFmtId="49" fontId="10" fillId="0" borderId="0" applyProtection="0">
      <alignment horizontal="left" vertical="center"/>
    </xf>
  </cellStyleXfs>
  <cellXfs count="178">
    <xf numFmtId="0" fontId="0" fillId="0" borderId="0" xfId="0"/>
    <xf numFmtId="49" fontId="4" fillId="3" borderId="1" xfId="2" applyFont="1" applyFill="1" applyBorder="1" applyAlignment="1" applyProtection="1">
      <alignment horizontal="center" vertical="center" wrapText="1"/>
    </xf>
    <xf numFmtId="49" fontId="4" fillId="0" borderId="3" xfId="2" applyFont="1" applyBorder="1" applyAlignment="1" applyProtection="1">
      <alignment horizontal="center" vertical="center" wrapText="1"/>
    </xf>
    <xf numFmtId="0" fontId="11" fillId="0" borderId="0" xfId="0" applyFont="1"/>
    <xf numFmtId="0" fontId="11" fillId="0" borderId="3" xfId="0" applyFont="1" applyBorder="1" applyAlignment="1"/>
    <xf numFmtId="177" fontId="6" fillId="3" borderId="9" xfId="3" applyNumberFormat="1" applyFont="1" applyBorder="1">
      <alignment horizontal="center" vertical="center"/>
    </xf>
    <xf numFmtId="177" fontId="6" fillId="3" borderId="9" xfId="3" applyFont="1" applyBorder="1">
      <alignment horizontal="center" vertical="center"/>
    </xf>
    <xf numFmtId="177" fontId="6" fillId="3" borderId="3" xfId="3" applyNumberFormat="1" applyFont="1" applyBorder="1">
      <alignment horizontal="center" vertical="center"/>
    </xf>
    <xf numFmtId="177" fontId="6" fillId="3" borderId="3" xfId="3" applyFont="1" applyBorder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wrapText="1"/>
    </xf>
    <xf numFmtId="0" fontId="14" fillId="5" borderId="1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4" fillId="5" borderId="14" xfId="0" applyFont="1" applyFill="1" applyBorder="1" applyAlignment="1">
      <alignment horizontal="center" vertical="center" wrapText="1"/>
    </xf>
    <xf numFmtId="178" fontId="13" fillId="0" borderId="14" xfId="0" applyNumberFormat="1" applyFont="1" applyBorder="1" applyAlignment="1">
      <alignment horizontal="center" vertical="center" wrapText="1"/>
    </xf>
    <xf numFmtId="178" fontId="13" fillId="0" borderId="11" xfId="0" applyNumberFormat="1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176" fontId="8" fillId="0" borderId="3" xfId="0" applyNumberFormat="1" applyFont="1" applyBorder="1" applyAlignment="1"/>
    <xf numFmtId="0" fontId="16" fillId="0" borderId="3" xfId="0" applyFont="1" applyBorder="1" applyAlignment="1"/>
    <xf numFmtId="0" fontId="8" fillId="0" borderId="3" xfId="0" applyFont="1" applyBorder="1" applyAlignment="1">
      <alignment wrapText="1"/>
    </xf>
    <xf numFmtId="0" fontId="16" fillId="0" borderId="3" xfId="0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176" fontId="8" fillId="0" borderId="3" xfId="0" applyNumberFormat="1" applyFont="1" applyBorder="1" applyAlignment="1">
      <alignment vertical="center"/>
    </xf>
    <xf numFmtId="0" fontId="17" fillId="9" borderId="3" xfId="0" applyFont="1" applyFill="1" applyBorder="1" applyAlignment="1">
      <alignment horizontal="center" vertical="center"/>
    </xf>
    <xf numFmtId="176" fontId="8" fillId="0" borderId="11" xfId="0" applyNumberFormat="1" applyFont="1" applyBorder="1" applyAlignment="1">
      <alignment vertical="center"/>
    </xf>
    <xf numFmtId="179" fontId="11" fillId="0" borderId="5" xfId="0" applyNumberFormat="1" applyFont="1" applyBorder="1" applyAlignment="1">
      <alignment vertical="center"/>
    </xf>
    <xf numFmtId="0" fontId="16" fillId="0" borderId="5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6" fillId="0" borderId="20" xfId="0" applyFont="1" applyBorder="1" applyAlignment="1">
      <alignment vertical="center"/>
    </xf>
    <xf numFmtId="0" fontId="4" fillId="0" borderId="3" xfId="0" applyFont="1" applyBorder="1"/>
    <xf numFmtId="0" fontId="11" fillId="0" borderId="0" xfId="0" applyFont="1" applyAlignment="1"/>
    <xf numFmtId="0" fontId="11" fillId="0" borderId="0" xfId="0" applyFont="1" applyAlignment="1">
      <alignment horizontal="center" vertical="center" wrapText="1"/>
    </xf>
    <xf numFmtId="49" fontId="4" fillId="3" borderId="23" xfId="2" applyFont="1" applyFill="1" applyBorder="1" applyAlignment="1" applyProtection="1">
      <alignment horizontal="center" vertical="center" wrapText="1"/>
    </xf>
    <xf numFmtId="0" fontId="17" fillId="9" borderId="11" xfId="0" applyFont="1" applyFill="1" applyBorder="1" applyAlignment="1">
      <alignment horizontal="center" vertical="center"/>
    </xf>
    <xf numFmtId="179" fontId="13" fillId="0" borderId="5" xfId="0" applyNumberFormat="1" applyFont="1" applyBorder="1" applyAlignment="1">
      <alignment vertical="center"/>
    </xf>
    <xf numFmtId="49" fontId="4" fillId="3" borderId="27" xfId="2" applyFont="1" applyFill="1" applyBorder="1" applyAlignment="1" applyProtection="1">
      <alignment horizontal="center" vertical="center" wrapText="1"/>
    </xf>
    <xf numFmtId="0" fontId="8" fillId="0" borderId="3" xfId="0" applyNumberFormat="1" applyFont="1" applyBorder="1" applyAlignment="1">
      <alignment vertical="center"/>
    </xf>
    <xf numFmtId="0" fontId="8" fillId="0" borderId="20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2" fillId="7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4" fillId="3" borderId="10" xfId="2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vertical="center" wrapText="1"/>
    </xf>
    <xf numFmtId="40" fontId="11" fillId="0" borderId="0" xfId="0" applyNumberFormat="1" applyFont="1" applyAlignment="1">
      <alignment vertical="center"/>
    </xf>
    <xf numFmtId="179" fontId="13" fillId="0" borderId="5" xfId="0" applyNumberFormat="1" applyFont="1" applyBorder="1" applyAlignment="1">
      <alignment vertical="center" wrapText="1"/>
    </xf>
    <xf numFmtId="40" fontId="11" fillId="0" borderId="0" xfId="0" applyNumberFormat="1" applyFont="1" applyAlignment="1">
      <alignment vertical="center" wrapText="1"/>
    </xf>
    <xf numFmtId="49" fontId="2" fillId="2" borderId="4" xfId="1" applyFont="1" applyBorder="1" applyAlignment="1" applyProtection="1">
      <alignment horizontal="center" vertical="center" wrapText="1"/>
    </xf>
    <xf numFmtId="49" fontId="2" fillId="2" borderId="11" xfId="1" applyFont="1" applyBorder="1" applyAlignment="1" applyProtection="1">
      <alignment horizontal="center" vertical="center" wrapText="1"/>
    </xf>
    <xf numFmtId="17" fontId="20" fillId="0" borderId="18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/>
    </xf>
    <xf numFmtId="176" fontId="20" fillId="0" borderId="3" xfId="0" applyNumberFormat="1" applyFont="1" applyBorder="1" applyAlignment="1">
      <alignment horizontal="center" vertical="center"/>
    </xf>
    <xf numFmtId="49" fontId="2" fillId="2" borderId="16" xfId="1" applyFont="1" applyBorder="1" applyAlignment="1" applyProtection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vertical="center"/>
    </xf>
    <xf numFmtId="17" fontId="13" fillId="0" borderId="20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76" fontId="20" fillId="0" borderId="11" xfId="0" applyNumberFormat="1" applyFont="1" applyBorder="1" applyAlignment="1">
      <alignment horizontal="center" vertical="center"/>
    </xf>
    <xf numFmtId="176" fontId="20" fillId="0" borderId="5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176" fontId="20" fillId="0" borderId="14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49" fontId="8" fillId="0" borderId="3" xfId="4" applyFont="1" applyBorder="1" applyAlignment="1" applyProtection="1">
      <alignment horizontal="right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49" fontId="12" fillId="4" borderId="3" xfId="5" applyFont="1" applyBorder="1" applyAlignment="1" applyProtection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49" fontId="4" fillId="3" borderId="3" xfId="2" applyFont="1" applyFill="1" applyBorder="1" applyAlignment="1" applyProtection="1">
      <alignment horizontal="center" vertical="center" wrapText="1"/>
    </xf>
    <xf numFmtId="177" fontId="6" fillId="3" borderId="27" xfId="3" applyNumberFormat="1" applyFont="1" applyBorder="1">
      <alignment horizontal="center" vertical="center"/>
    </xf>
    <xf numFmtId="49" fontId="4" fillId="3" borderId="24" xfId="2" applyFont="1" applyFill="1" applyBorder="1" applyAlignment="1" applyProtection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178" fontId="13" fillId="0" borderId="3" xfId="0" applyNumberFormat="1" applyFont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0" borderId="3" xfId="0" applyFont="1" applyBorder="1" applyAlignment="1"/>
    <xf numFmtId="0" fontId="17" fillId="9" borderId="4" xfId="0" applyFont="1" applyFill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0" fontId="17" fillId="9" borderId="16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49" fontId="16" fillId="0" borderId="4" xfId="0" applyNumberFormat="1" applyFont="1" applyBorder="1" applyAlignment="1">
      <alignment horizontal="left" vertical="center"/>
    </xf>
    <xf numFmtId="49" fontId="16" fillId="0" borderId="5" xfId="0" applyNumberFormat="1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49" fontId="8" fillId="0" borderId="4" xfId="4" applyFont="1" applyBorder="1" applyAlignment="1" applyProtection="1">
      <alignment horizontal="right" vertical="center" wrapText="1"/>
    </xf>
    <xf numFmtId="49" fontId="8" fillId="0" borderId="5" xfId="4" applyFont="1" applyBorder="1" applyAlignment="1" applyProtection="1">
      <alignment horizontal="right" vertical="center" wrapText="1"/>
    </xf>
    <xf numFmtId="177" fontId="6" fillId="3" borderId="6" xfId="3" applyFont="1" applyBorder="1" applyAlignment="1">
      <alignment horizontal="center" vertical="center"/>
    </xf>
    <xf numFmtId="177" fontId="6" fillId="3" borderId="7" xfId="3" applyFont="1" applyBorder="1" applyAlignment="1">
      <alignment horizontal="center" vertical="center"/>
    </xf>
    <xf numFmtId="49" fontId="12" fillId="4" borderId="3" xfId="5" applyFont="1" applyBorder="1" applyAlignment="1" applyProtection="1">
      <alignment horizontal="center" vertical="center" wrapText="1"/>
    </xf>
    <xf numFmtId="49" fontId="12" fillId="4" borderId="3" xfId="5" applyFont="1" applyBorder="1" applyAlignment="1" applyProtection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177" fontId="6" fillId="3" borderId="4" xfId="3" applyFont="1" applyBorder="1" applyAlignment="1">
      <alignment horizontal="center" vertical="center"/>
    </xf>
    <xf numFmtId="177" fontId="6" fillId="3" borderId="8" xfId="3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5" fillId="8" borderId="4" xfId="0" applyFont="1" applyFill="1" applyBorder="1" applyAlignment="1">
      <alignment wrapText="1"/>
    </xf>
    <xf numFmtId="0" fontId="15" fillId="8" borderId="15" xfId="0" applyFont="1" applyFill="1" applyBorder="1" applyAlignment="1">
      <alignment wrapText="1"/>
    </xf>
    <xf numFmtId="0" fontId="15" fillId="8" borderId="5" xfId="0" applyFont="1" applyFill="1" applyBorder="1" applyAlignment="1">
      <alignment wrapText="1"/>
    </xf>
    <xf numFmtId="177" fontId="14" fillId="6" borderId="12" xfId="3" applyFont="1" applyFill="1" applyBorder="1" applyAlignment="1">
      <alignment horizontal="center" vertical="center"/>
    </xf>
    <xf numFmtId="177" fontId="14" fillId="6" borderId="13" xfId="3" applyFont="1" applyFill="1" applyBorder="1" applyAlignment="1">
      <alignment horizontal="center" vertical="center"/>
    </xf>
    <xf numFmtId="49" fontId="2" fillId="2" borderId="25" xfId="1" applyFont="1" applyBorder="1" applyAlignment="1" applyProtection="1">
      <alignment horizontal="center" vertical="center" wrapText="1"/>
    </xf>
    <xf numFmtId="49" fontId="2" fillId="2" borderId="10" xfId="1" applyFont="1" applyBorder="1" applyAlignment="1" applyProtection="1">
      <alignment horizontal="center" vertical="center" wrapText="1"/>
    </xf>
    <xf numFmtId="49" fontId="2" fillId="2" borderId="20" xfId="1" applyFont="1" applyBorder="1" applyAlignment="1" applyProtection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49" fontId="4" fillId="3" borderId="16" xfId="2" applyFont="1" applyFill="1" applyBorder="1" applyAlignment="1" applyProtection="1">
      <alignment horizontal="center" vertical="center" wrapText="1"/>
    </xf>
    <xf numFmtId="49" fontId="4" fillId="3" borderId="21" xfId="2" applyFont="1" applyFill="1" applyBorder="1" applyAlignment="1" applyProtection="1">
      <alignment horizontal="center" vertical="center" wrapText="1"/>
    </xf>
    <xf numFmtId="49" fontId="4" fillId="3" borderId="18" xfId="2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>
      <alignment horizontal="center" wrapText="1"/>
    </xf>
    <xf numFmtId="0" fontId="2" fillId="7" borderId="1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16" fillId="0" borderId="4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8" fillId="0" borderId="3" xfId="0" applyFont="1" applyBorder="1" applyAlignment="1">
      <alignment horizontal="right"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/>
    </xf>
    <xf numFmtId="49" fontId="16" fillId="0" borderId="4" xfId="0" applyNumberFormat="1" applyFont="1" applyBorder="1" applyAlignment="1">
      <alignment horizontal="left" vertical="center" wrapText="1"/>
    </xf>
    <xf numFmtId="49" fontId="16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11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49" fontId="4" fillId="3" borderId="20" xfId="2" applyFont="1" applyFill="1" applyBorder="1" applyAlignment="1" applyProtection="1">
      <alignment horizontal="center" vertical="center" wrapText="1"/>
    </xf>
    <xf numFmtId="49" fontId="4" fillId="3" borderId="3" xfId="2" applyFont="1" applyFill="1" applyBorder="1" applyAlignment="1" applyProtection="1">
      <alignment horizontal="center" vertical="center" wrapText="1"/>
    </xf>
    <xf numFmtId="177" fontId="6" fillId="3" borderId="20" xfId="3" applyNumberFormat="1" applyFont="1" applyBorder="1" applyAlignment="1">
      <alignment horizontal="center" vertical="center"/>
    </xf>
    <xf numFmtId="177" fontId="6" fillId="3" borderId="3" xfId="3" applyFont="1" applyBorder="1" applyAlignment="1">
      <alignment horizontal="center" vertical="center"/>
    </xf>
    <xf numFmtId="177" fontId="6" fillId="3" borderId="11" xfId="3" applyFont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vertical="center" wrapText="1"/>
    </xf>
    <xf numFmtId="0" fontId="15" fillId="8" borderId="15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vertical="center" wrapText="1"/>
    </xf>
    <xf numFmtId="0" fontId="7" fillId="0" borderId="16" xfId="0" applyFont="1" applyBorder="1" applyAlignment="1">
      <alignment horizontal="right" vertical="center" wrapText="1"/>
    </xf>
    <xf numFmtId="0" fontId="7" fillId="0" borderId="26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/>
    </xf>
    <xf numFmtId="0" fontId="2" fillId="7" borderId="3" xfId="0" applyFont="1" applyFill="1" applyBorder="1" applyAlignment="1">
      <alignment horizontal="center" vertical="center"/>
    </xf>
  </cellXfs>
  <cellStyles count="7">
    <cellStyle name="Currency Value" xfId="3" xr:uid="{B5D1F3E0-F05F-4848-B984-3E96F31B33D9}"/>
    <cellStyle name="Item Label" xfId="2" xr:uid="{450D122A-8CCB-4DAE-9777-BE5D783E52D6}"/>
    <cellStyle name="Item Text" xfId="6" xr:uid="{30C45D48-83A0-4679-9718-D003D71F93B4}"/>
    <cellStyle name="Legend Sub Header" xfId="1" xr:uid="{D3A4CEDB-A787-40C8-849C-05D075AD4F44}"/>
    <cellStyle name="Revenue Header Font" xfId="5" xr:uid="{7D81E746-ACE1-4A30-98F1-0801F38840B8}"/>
    <cellStyle name="Total Label" xfId="4" xr:uid="{593DEE20-3898-4E84-8526-B94A0DC45249}"/>
    <cellStyle name="一般" xfId="0" builtinId="0"/>
  </cellStyles>
  <dxfs count="807"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6636-781E-4D5F-881B-C5C86E5DA765}">
  <dimension ref="A1:B134"/>
  <sheetViews>
    <sheetView topLeftCell="A2" workbookViewId="0">
      <selection activeCell="D16" sqref="D16"/>
    </sheetView>
  </sheetViews>
  <sheetFormatPr defaultRowHeight="14.25"/>
  <cols>
    <col min="1" max="1" width="43.25" style="62" customWidth="1"/>
    <col min="2" max="2" width="34.125" style="62" customWidth="1"/>
    <col min="3" max="16384" width="9" style="62"/>
  </cols>
  <sheetData>
    <row r="1" spans="1:2" ht="45" customHeight="1">
      <c r="A1" s="11" t="s">
        <v>0</v>
      </c>
      <c r="B1" s="79" t="s">
        <v>1</v>
      </c>
    </row>
    <row r="2" spans="1:2" ht="45" customHeight="1">
      <c r="A2" s="78" t="s">
        <v>2</v>
      </c>
      <c r="B2" s="12" t="b">
        <v>1</v>
      </c>
    </row>
    <row r="3" spans="1:2" ht="36" customHeight="1">
      <c r="A3" s="13" t="s">
        <v>3</v>
      </c>
      <c r="B3" s="14">
        <v>45758</v>
      </c>
    </row>
    <row r="4" spans="1:2" ht="45" customHeight="1">
      <c r="A4" s="11" t="s">
        <v>4</v>
      </c>
      <c r="B4" s="15" t="str">
        <f>IF(B2,TEXT(EDATE(B3,1)-1,"dd-mmm-yyyy"),B4)</f>
        <v>10-May-2025</v>
      </c>
    </row>
    <row r="5" spans="1:2" ht="45" customHeight="1">
      <c r="A5" s="91" t="s">
        <v>5</v>
      </c>
      <c r="B5" s="92">
        <v>45761</v>
      </c>
    </row>
    <row r="6" spans="1:2" ht="45" customHeight="1">
      <c r="A6" s="91"/>
      <c r="B6" s="92"/>
    </row>
    <row r="7" spans="1:2" ht="24.75" customHeight="1">
      <c r="A7" s="63"/>
      <c r="B7" s="64"/>
    </row>
    <row r="8" spans="1:2" ht="20.25" customHeight="1">
      <c r="A8" s="93" t="s">
        <v>6</v>
      </c>
      <c r="B8" s="93"/>
    </row>
    <row r="9" spans="1:2" ht="20.25" customHeight="1">
      <c r="A9" s="65" t="str">
        <f>TEXT(B3,"dd mmmm yyyy") &amp; " - " &amp; IF(B2,TEXT(EDATE(B3,1)-1,"dd mmmm yyyy"),TEXT(B3+B5-B3,"dd mmmm yyyy"))</f>
        <v>11 April 2025 - 10 May 2025</v>
      </c>
      <c r="B9" s="94" t="s">
        <v>7</v>
      </c>
    </row>
    <row r="10" spans="1:2" ht="20.25" customHeight="1">
      <c r="A10" s="80" t="str">
        <f>IF(B2,TEXT(EDATE(B3,1),"dd mmmm yyyy"),TEXT(B3+(B5-B3)+1,"dd mmmm yyyy")) &amp; " - " &amp; IF(B2,TEXT(EDATE(B3,2) - 1,"dd mmmm yyyy"),TEXT(B3+(B5-B3)*2+1,"dd mmmm yyyy"))</f>
        <v>11 May 2025 - 10 June 2025</v>
      </c>
      <c r="B10" s="94"/>
    </row>
    <row r="11" spans="1:2" ht="20.25" customHeight="1">
      <c r="A11" s="80" t="str">
        <f>IF(B2,TEXT(EDATE(B3,2),"dd mmmm yyyy"),TEXT(B3+((B5-B3)*2)+2,"dd mmmm yyyy")) &amp; " - " &amp; IF(B2,TEXT(EDATE(B3,3) - 1,"dd mmmm yyyy"),TEXT(B3+((B5-B3)*3+2),"dd mmmm yyyy"))</f>
        <v>11 June 2025 - 10 July 2025</v>
      </c>
      <c r="B11" s="95"/>
    </row>
    <row r="12" spans="1:2" ht="20.25" customHeight="1">
      <c r="A12" s="66" t="str">
        <f>IF(B2,TEXT(EDATE(B3,3),"dd mmmm yyyy"),TEXT(B3+((B5-B3)*3)+3,"dd mmmm yyyy")) &amp; " - " &amp; IF(B2,TEXT(EDATE(B3,4)-1,"dd mmmm yyyy"),TEXT(B3+(((B5-B3)*4)+3),"dd mmmm yyyy"))</f>
        <v>11 July 2025 - 10 August 2025</v>
      </c>
      <c r="B12" s="87" t="s">
        <v>8</v>
      </c>
    </row>
    <row r="13" spans="1:2" ht="20.25" customHeight="1">
      <c r="A13" s="66" t="str">
        <f>IF(B2,TEXT(EDATE(B3,4),"dd mmmm yyyy"),TEXT(B3+((B5-B3)*4)+4,"dd mmmm yyyy")) &amp; " - " &amp; IF(B2,TEXT(EDATE(B3,5)-1,"dd mmmm yyyy"),TEXT(B3+(((B5-B3)*5)+4),"dd mmmm yyyy"))</f>
        <v>11 August 2025 - 10 September 2025</v>
      </c>
      <c r="B13" s="88"/>
    </row>
    <row r="14" spans="1:2" ht="20.25" customHeight="1">
      <c r="A14" s="80" t="str">
        <f>IF(B2,TEXT(EDATE(B3,5),"dd mmmm yyyy"),TEXT(B3+((B5-B3)*5)+5,"dd mmmm yyyy")) &amp; " - " &amp; IF(B2,TEXT(EDATE(B3,6)-1,"dd mmmm yyyy"),TEXT(B3+(((B5-B3)*6)+5),"dd mmmm yyyy"))</f>
        <v>11 September 2025 - 10 October 2025</v>
      </c>
      <c r="B14" s="89"/>
    </row>
    <row r="15" spans="1:2" ht="20.25" customHeight="1">
      <c r="A15" s="80" t="str">
        <f>IF(B2,TEXT(EDATE(B3,6),"dd mmmm yyyy"),TEXT(B3+((B5-B3)*6)+6,"dd mmmm yyyy")) &amp; " - " &amp; IF(B2,TEXT(EDATE(B3,7)-1,"dd mmmm yyyy"),TEXT(B3+(((B5-B3)*7)+6),"dd mmmm yyyy"))</f>
        <v>11 October 2025 - 10 November 2025</v>
      </c>
      <c r="B15" s="87" t="s">
        <v>9</v>
      </c>
    </row>
    <row r="16" spans="1:2" ht="20.25" customHeight="1">
      <c r="A16" s="80" t="str">
        <f>IF(B2,TEXT(EDATE(B3,7),"dd mmmm yyyy"),TEXT(B3+((B5-B3)*7)+7,"dd mmmm yyyy")) &amp; " - " &amp; IF(B2,TEXT(EDATE(B3,8)-1,"dd mmmm yyyy"),TEXT(B3+(((B5-B3)*8)+7),"dd mmmm yyyy"))</f>
        <v>11 November 2025 - 10 December 2025</v>
      </c>
      <c r="B16" s="88"/>
    </row>
    <row r="17" spans="1:2" ht="20.25" customHeight="1">
      <c r="A17" s="80" t="str">
        <f>IF(B2,TEXT(EDATE(B3,8),"dd mmmm yyyy"),TEXT(B3+((B5-B3)*8)+8,"dd mmmm yyyy")) &amp; " - " &amp; IF(B2,TEXT(EDATE(B3,9)-1,"dd mmmm yyyy"),TEXT(B3+(((B5-B3)*9)+8),"dd mmmm yyyy"))</f>
        <v>11 December 2025 - 10 January 2026</v>
      </c>
      <c r="B17" s="89"/>
    </row>
    <row r="18" spans="1:2" ht="20.25" customHeight="1">
      <c r="A18" s="80" t="str">
        <f>IF(B2,TEXT(EDATE(B3,9),"dd mmmm yyyy"),TEXT(B3+((B5-B3)*9)+9,"dd mmmm yyyy")) &amp; " - " &amp; IF(B2,TEXT(EDATE(B3,10)-1,"dd mmmm yyyy"),TEXT(B3+(((B5-B3)*10)+9),"dd mmmm yyyy"))</f>
        <v>11 January 2026 - 10 February 2026</v>
      </c>
      <c r="B18" s="90" t="s">
        <v>10</v>
      </c>
    </row>
    <row r="19" spans="1:2" ht="20.25" customHeight="1">
      <c r="A19" s="80" t="str">
        <f>IF(B2,TEXT(EDATE(B3,10),"dd mmmm yyyy"),TEXT(B3+((B5-B3)*10)+10,"dd mmmm yyyy")) &amp; " - " &amp; IF(B2,TEXT(EDATE(B3,11)-1,"dd mmmm yyyy"),TEXT(B3+(((B5-B3)*11)+10),"dd mmmm yyyy"))</f>
        <v>11 February 2026 - 10 March 2026</v>
      </c>
      <c r="B19" s="88"/>
    </row>
    <row r="20" spans="1:2" ht="20.25" customHeight="1">
      <c r="A20" s="67" t="str">
        <f>IF(B2,TEXT(EDATE(B3,11),"dd mmmm yyyy"),TEXT(B3+((B5-B3)*11)+11,"dd mmmm yyyy")) &amp; " - " &amp; IF(B2,TEXT(EDATE(B3,12)-1,"dd mmmm yyyy"),TEXT(B3+(((B5-B3)*12)+11),"dd mmmm yyyy"))</f>
        <v>11 March 2026 - 10 April 2026</v>
      </c>
      <c r="B20" s="88"/>
    </row>
    <row r="21" spans="1:2" ht="20.25" customHeight="1">
      <c r="A21" s="68" t="str">
        <f>IF(B2,TEXT(EDATE(B3,12),"dd mmmm yyyy"),TEXT(B3+((B5-B3)*12)+12,"dd mmmm yyyy")) &amp; " - " &amp; IF(B2,TEXT(EDATE(B3,13)-1,"dd mmmm yyyy"),TEXT(B3+(((B5-B3)*13)+12),"dd mmmm yyyy"))</f>
        <v>11 April 2026 - 10 May 2026</v>
      </c>
      <c r="B21" s="86" t="s">
        <v>11</v>
      </c>
    </row>
    <row r="22" spans="1:2" ht="20.25" customHeight="1">
      <c r="A22" s="68" t="str">
        <f>IF(B2,TEXT(EDATE(B3,13),"dd mmmm yyyy"),TEXT(B3+((B5-B3)*13)+13,"dd mmmm yyyy")) &amp; " - " &amp; IF(B2,TEXT(EDATE(B3,14)-1,"dd mmmm yyyy"),TEXT(B3+(((B5-B3)*14)+13),"dd mmmm yyyy"))</f>
        <v>11 May 2026 - 10 June 2026</v>
      </c>
      <c r="B22" s="86"/>
    </row>
    <row r="23" spans="1:2" ht="20.25" customHeight="1">
      <c r="A23" s="67" t="str">
        <f>IF(B2,TEXT(EDATE(B3,14),"dd mmmm yyyy"),TEXT(B3+((B5-B3)*14)+14,"dd mmmm yyyy")) &amp; " - " &amp; IF(B2,TEXT(EDATE(B3,15)-1,"dd mmmm yyyy"),TEXT(B3+(((B5-B3)*15)+14),"dd mmmm yyyy"))</f>
        <v>11 June 2026 - 10 July 2026</v>
      </c>
      <c r="B23" s="87"/>
    </row>
    <row r="24" spans="1:2" ht="20.25" customHeight="1">
      <c r="A24" s="80" t="str">
        <f>IF(B2,TEXT(EDATE(B3,15),"dd mmmm yyyy"),TEXT(B3+((B5-B3)*15)+15,"dd mmmm yyyy")) &amp; " - " &amp; IF(B2,TEXT(EDATE(B3,16)-1,"dd mmmm yyyy"),TEXT(B3+(((B5-B3)*16)+15),"dd mmmm yyyy"))</f>
        <v>11 July 2026 - 10 August 2026</v>
      </c>
      <c r="B24" s="86" t="s">
        <v>12</v>
      </c>
    </row>
    <row r="25" spans="1:2" ht="20.25" customHeight="1">
      <c r="A25" s="80" t="str">
        <f>IF(B2,TEXT(EDATE(B3,16),"dd mmmm yyyy"),TEXT(B3+((B5-B3)*16)+16,"dd mmmm yyyy")) &amp; " - " &amp; IF(B2,TEXT(EDATE(B3,17)-1,"dd mmmm yyyy"),TEXT(B3+(((B5-B3)*17)+16),"dd mmmm yyyy"))</f>
        <v>11 August 2026 - 10 September 2026</v>
      </c>
      <c r="B25" s="86"/>
    </row>
    <row r="26" spans="1:2" ht="20.25" customHeight="1">
      <c r="A26" s="79" t="str">
        <f>IF(B2,TEXT(EDATE(B3,17),"dd mmmm yyyy"),TEXT(B3+((B5-B3)*17)+17,"dd mmmm yyyy")) &amp; " - " &amp; IF(B2,TEXT(EDATE(B3,18)-1,"dd mmmm yyyy"),TEXT(B3+(((B5-B3)*18)+17),"dd mmmm yyyy"))</f>
        <v>11 September 2026 - 10 October 2026</v>
      </c>
      <c r="B26" s="87"/>
    </row>
    <row r="27" spans="1:2" ht="20.25" customHeight="1">
      <c r="A27" s="80" t="str">
        <f>IF(B2,TEXT(EDATE(B3,18),"dd mmmm yyyy"),TEXT(B3+((B5-B3)*18)+18,"dd mmmm yyyy")) &amp; " - " &amp; IF(B2,TEXT(EDATE(B3,19)-1,"dd mmmm yyyy"),TEXT(B3+(((B5-B3)*19)+18),"dd mmmm yyyy"))</f>
        <v>11 October 2026 - 10 November 2026</v>
      </c>
      <c r="B27" s="86" t="s">
        <v>13</v>
      </c>
    </row>
    <row r="28" spans="1:2" ht="20.25" customHeight="1">
      <c r="A28" s="80" t="str">
        <f>IF(B2,TEXT(EDATE(B3,19),"dd mmmm yyyy"),TEXT(B3+((B5-B3)*19)+19,"dd mmmm yyyy")) &amp; " - " &amp; IF(B2,TEXT(EDATE(B3,20)-1,"dd mmmm yyyy"),TEXT(B3+(((B5-B3)*20)+19),"dd mmmm yyyy"))</f>
        <v>11 November 2026 - 10 December 2026</v>
      </c>
      <c r="B28" s="86"/>
    </row>
    <row r="29" spans="1:2" ht="20.25" customHeight="1">
      <c r="A29" s="79" t="str">
        <f>IF(B2,TEXT(EDATE(B3,20),"dd mmmm yyyy"),TEXT(B3+((B5-B3)*20)+20,"dd mmmm yyyy")) &amp; " - " &amp; IF(B2,TEXT(EDATE(B3,21)-1,"dd mmmm yyyy"),TEXT(B3+(((B5-B3)*21)+20),"dd mmmm yyyy"))</f>
        <v>11 December 2026 - 10 January 2027</v>
      </c>
      <c r="B29" s="87"/>
    </row>
    <row r="30" spans="1:2" ht="20.25" customHeight="1">
      <c r="A30" s="80" t="str">
        <f>IF(B2,TEXT(EDATE(B3,21),"dd mmmm yyyy"),TEXT(B3+((B5-B3)*21)+21,"dd mmmm yyyy")) &amp; " - " &amp; IF(B2,TEXT(EDATE(B3,22)-1,"dd mmmm yyyy"),TEXT(B3+(((B5-B3)*22)+21),"dd mmmm yyyy"))</f>
        <v>11 January 2027 - 10 February 2027</v>
      </c>
      <c r="B30" s="86" t="s">
        <v>14</v>
      </c>
    </row>
    <row r="31" spans="1:2" ht="20.25" customHeight="1">
      <c r="A31" s="80" t="str">
        <f>IF(B2,TEXT(EDATE(B3,22),"dd mmmm yyyy"),TEXT(B3+((B5-B3)*22)+22,"dd mmmm yyyy")) &amp; " - " &amp; IF(B2,TEXT(EDATE(B3,23)-1,"dd mmmm yyyy"),TEXT(B3+(((B5-B3)*23)+22),"dd mmmm yyyy"))</f>
        <v>11 February 2027 - 10 March 2027</v>
      </c>
      <c r="B31" s="86"/>
    </row>
    <row r="32" spans="1:2" ht="20.25" customHeight="1">
      <c r="A32" s="79" t="str">
        <f>IF(B2,TEXT(EDATE(B3,23),"dd mmmm yyyy"),TEXT(B3+((B5-B3)*23)+23,"dd mmmm yyyy")) &amp; " - " &amp; IF(B2,TEXT(EDATE(B3,24)-1,"dd mmmm yyyy"),TEXT(B3+(((B5-B3)*24)+23),"dd mmmm yyyy"))</f>
        <v>11 March 2027 - 10 April 2027</v>
      </c>
      <c r="B32" s="87"/>
    </row>
    <row r="33" spans="1:2" ht="20.25" customHeight="1">
      <c r="A33" s="80" t="str">
        <f>IF(B2,TEXT(EDATE(B3,24),"dd mmmm yyyy"),TEXT(B3+((B5-B3)*24)+24,"dd mmmm yyyy")) &amp; " - " &amp; IF(B2,TEXT(EDATE(B3,25)-1,"dd mmmm yyyy"),TEXT(B3+(((B5-B3)*25)+24),"dd mmmm yyyy"))</f>
        <v>11 April 2027 - 10 May 2027</v>
      </c>
      <c r="B33" s="86" t="s">
        <v>15</v>
      </c>
    </row>
    <row r="34" spans="1:2" ht="20.25" customHeight="1">
      <c r="A34" s="80" t="str">
        <f>IF(B2,TEXT(EDATE(B3,25),"dd mmmm yyyy"),TEXT(B3+((B5-B3)*25)+25,"dd mmmm yyyy")) &amp; " - " &amp; IF(B2,TEXT(EDATE(B3,26)-1,"dd mmmm yyyy"),TEXT(B3+(((B5-B3)*26)+25),"dd mmmm yyyy"))</f>
        <v>11 May 2027 - 10 June 2027</v>
      </c>
      <c r="B34" s="86"/>
    </row>
    <row r="35" spans="1:2" ht="20.25" customHeight="1">
      <c r="A35" s="79" t="str">
        <f>IF(B2,TEXT(EDATE(B3,26),"dd mmmm yyyy"),TEXT(B3+((B5-B3)*26)+26,"dd mmmm yyyy")) &amp; " - " &amp; IF(B2,TEXT(EDATE(B3,27)-1,"dd mmmm yyyy"),TEXT(B3+(((B5-B3)*27)+26),"dd mmmm yyyy"))</f>
        <v>11 June 2027 - 10 July 2027</v>
      </c>
      <c r="B35" s="87"/>
    </row>
    <row r="36" spans="1:2" ht="20.25" customHeight="1">
      <c r="A36" s="80" t="str">
        <f>IF(B2,TEXT(EDATE(B3,27),"dd mmmm yyyy"),TEXT(B3+((B5-B3)*27)+27,"dd mmmm yyyy")) &amp; " - " &amp; IF(B2,TEXT(EDATE(B3,28)-1,"dd mmmm yyyy"),TEXT(B3+(((B5-B3)*28)+27),"dd mmmm yyyy"))</f>
        <v>11 July 2027 - 10 August 2027</v>
      </c>
      <c r="B36" s="86" t="s">
        <v>16</v>
      </c>
    </row>
    <row r="37" spans="1:2" ht="20.25" customHeight="1">
      <c r="A37" s="80" t="str">
        <f>IF(B2,TEXT(EDATE(B3,28),"dd mmmm yyyy"),TEXT(B3+((B5-B3)*28)+28,"dd mmmm yyyy")) &amp; " - " &amp; IF(B2,TEXT(EDATE(B3,29)-1,"dd mmmm yyyy"),TEXT(B3+(((B5-B3)*29)+28),"dd mmmm yyyy"))</f>
        <v>11 August 2027 - 10 September 2027</v>
      </c>
      <c r="B37" s="86"/>
    </row>
    <row r="38" spans="1:2" ht="20.25" customHeight="1">
      <c r="A38" s="79" t="str">
        <f>IF(B2,TEXT(EDATE(B3,29),"dd mmmm yyyy"),TEXT(B3+((B5-B3)*29)+29,"dd mmmm yyyy")) &amp; " - " &amp; IF(B2,TEXT(EDATE(B3,30)-1,"dd mmmm yyyy"),TEXT(B3+(((B5-B3)*30)+29),"dd mmmm yyyy"))</f>
        <v>11 September 2027 - 10 October 2027</v>
      </c>
      <c r="B38" s="87"/>
    </row>
    <row r="39" spans="1:2" ht="20.25" customHeight="1">
      <c r="A39" s="80" t="str">
        <f>IF(B2,TEXT(EDATE(B3,30),"dd mmmm yyyy"),TEXT(B3+((B5-B3)*30)+30,"dd mmmm yyyy")) &amp; " - " &amp; IF(B2,TEXT(EDATE(B3,31)-1,"dd mmmm yyyy"),TEXT(B3+(((B5-B3)*31)+30),"dd mmmm yyyy"))</f>
        <v>11 October 2027 - 10 November 2027</v>
      </c>
      <c r="B39" s="86" t="s">
        <v>17</v>
      </c>
    </row>
    <row r="40" spans="1:2" ht="20.25" customHeight="1">
      <c r="A40" s="80" t="str">
        <f>IF(B2,TEXT(EDATE(B3,31),"dd mmmm yyyy"),TEXT(B3+((B5-B3)*31)+31,"dd mmmm yyyy")) &amp; " - " &amp; IF(B2,TEXT(EDATE(B3,32)-1,"dd mmmm yyyy"),TEXT(B3+(((B5-B3)*32)+31),"dd mmmm yyyy"))</f>
        <v>11 November 2027 - 10 December 2027</v>
      </c>
      <c r="B40" s="86"/>
    </row>
    <row r="41" spans="1:2" ht="20.25" customHeight="1">
      <c r="A41" s="79" t="str">
        <f>IF(B2,TEXT(EDATE(B3,32),"dd mmmm yyyy"),TEXT(B3+((B5-B3)*32)+32,"dd mmmm yyyy")) &amp; " - " &amp; IF(B2,TEXT(EDATE(B3,33)-1,"dd mmmm yyyy"),TEXT(B3+(((B5-B3)*33)+32),"dd mmmm yyyy"))</f>
        <v>11 December 2027 - 10 January 2028</v>
      </c>
      <c r="B41" s="87"/>
    </row>
    <row r="42" spans="1:2" ht="20.25" customHeight="1">
      <c r="A42" s="80" t="str">
        <f>IF(B2,TEXT(EDATE(B3,33),"dd mmmm yyyy"),TEXT(B3+((B5-B3)*33)+33,"dd mmmm yyyy")) &amp; " - " &amp; IF(B2,TEXT(EDATE(B3,34)-1,"dd mmmm yyyy"),TEXT(B3+(((B5-B3)*34)+33),"dd mmmm yyyy"))</f>
        <v>11 January 2028 - 10 February 2028</v>
      </c>
      <c r="B42" s="86" t="s">
        <v>18</v>
      </c>
    </row>
    <row r="43" spans="1:2" ht="20.25" customHeight="1">
      <c r="A43" s="80" t="str">
        <f>IF(B2,TEXT(EDATE(B3,34),"dd mmmm yyyy"),TEXT(B3+((B5-B3)*34)+34,"dd mmmm yyyy")) &amp; " - " &amp; IF(B2,TEXT(EDATE(B3,35)-1,"dd mmmm yyyy"),TEXT(B3+(((B5-B3)*35)+34),"dd mmmm yyyy"))</f>
        <v>11 February 2028 - 10 March 2028</v>
      </c>
      <c r="B43" s="86"/>
    </row>
    <row r="44" spans="1:2" ht="20.25" customHeight="1">
      <c r="A44" s="79" t="str">
        <f>IF(B2,TEXT(EDATE(B3,35),"dd mmmm yyyy"),TEXT(B3+((B5-B3)*35)+35,"dd mmmm yyyy")) &amp; " - " &amp; IF(B2,TEXT(EDATE(B3,36)-1,"dd mmmm yyyy"),TEXT(B3+(((B5-B3)*36)+35),"dd mmmm yyyy"))</f>
        <v>11 March 2028 - 10 April 2028</v>
      </c>
      <c r="B44" s="87"/>
    </row>
    <row r="45" spans="1:2" ht="20.25" customHeight="1">
      <c r="A45" s="80" t="str">
        <f>IF(B2,TEXT(EDATE(B3,36),"dd mmmm yyyy"),TEXT(B3+((B5-B3)*36)+36,"dd mmmm yyyy")) &amp; " - " &amp; IF(B2,TEXT(EDATE(B3,37)-1,"dd mmmm yyyy"),TEXT(B3+(((B5-B3)*37)+36),"dd mmmm yyyy"))</f>
        <v>11 April 2028 - 10 May 2028</v>
      </c>
      <c r="B45" s="86" t="s">
        <v>19</v>
      </c>
    </row>
    <row r="46" spans="1:2" ht="20.25" customHeight="1">
      <c r="A46" s="80" t="str">
        <f>IF(B2,TEXT(EDATE(B3,37),"dd mmmm yyyy"),TEXT(B3+((B5-B3)*37)+37,"dd mmmm yyyy")) &amp; " - " &amp; IF(B2,TEXT(EDATE(B3,38)-1,"dd mmmm yyyy"),TEXT(B3+(((B5-B3)*38)+37),"dd mmmm yyyy"))</f>
        <v>11 May 2028 - 10 June 2028</v>
      </c>
      <c r="B46" s="86"/>
    </row>
    <row r="47" spans="1:2" ht="20.25" customHeight="1">
      <c r="A47" s="79" t="str">
        <f>IF(B2,TEXT(EDATE(B3,38),"dd mmmm yyyy"),TEXT(B3+((B5-B3)*38)+38,"dd mmmm yyyy")) &amp; " - " &amp; IF(B2,TEXT(EDATE(B3,39)-1,"dd mmmm yyyy"),TEXT(B3+(((B5-B3)*39)+38),"dd mmmm yyyy"))</f>
        <v>11 June 2028 - 10 July 2028</v>
      </c>
      <c r="B47" s="87"/>
    </row>
    <row r="48" spans="1:2" ht="20.25" customHeight="1">
      <c r="A48" s="80" t="str">
        <f>IF(B2,TEXT(EDATE(B3,39),"dd mmmm yyyy"),TEXT(B3+((B5-B3)*39)+39,"dd mmmm yyyy")) &amp; " - " &amp; IF(B2,TEXT(EDATE(B3,40)-1,"dd mmmm yyyy"),TEXT(B3+(((B5-B3)*40)+39),"dd mmmm yyyy"))</f>
        <v>11 July 2028 - 10 August 2028</v>
      </c>
      <c r="B48" s="86" t="s">
        <v>20</v>
      </c>
    </row>
    <row r="49" spans="1:2" ht="20.25" customHeight="1">
      <c r="A49" s="80" t="str">
        <f>IF(B2,TEXT(EDATE(B3,40),"dd mmmm yyyy"),TEXT(B3+((B5-B3)*40)+40,"dd mmmm yyyy")) &amp; " - " &amp; IF(B2,TEXT(EDATE(B3,41)-1,"dd mmmm yyyy"),TEXT(B3+(((B5-B3)*41)+40),"dd mmmm yyyy"))</f>
        <v>11 August 2028 - 10 September 2028</v>
      </c>
      <c r="B49" s="86"/>
    </row>
    <row r="50" spans="1:2" ht="20.25" customHeight="1">
      <c r="A50" s="79" t="str">
        <f>IF(B2,TEXT(EDATE(B3,41),"dd mmmm yyyy"),TEXT(B3+((B5-B3)*41)+41,"dd mmmm yyyy")) &amp; " - " &amp; IF(B2,TEXT(EDATE(B3,42)-1,"dd mmmm yyyy"),TEXT(B3+(((B5-B3)*42)+41),"dd mmmm yyyy"))</f>
        <v>11 September 2028 - 10 October 2028</v>
      </c>
      <c r="B50" s="87"/>
    </row>
    <row r="51" spans="1:2" ht="20.25" customHeight="1">
      <c r="A51" s="80" t="str">
        <f>IF(B2,TEXT(EDATE(B3,42),"dd mmmm yyyy"),TEXT(B3+((B5-B3)*42)+42,"dd mmmm yyyy")) &amp; " - " &amp; IF(B2,TEXT(EDATE(B3,43)-1,"dd mmmm yyyy"),TEXT(B3+(((B5-B3)*43)+42),"dd mmmm yyyy"))</f>
        <v>11 October 2028 - 10 November 2028</v>
      </c>
      <c r="B51" s="86" t="s">
        <v>21</v>
      </c>
    </row>
    <row r="52" spans="1:2" ht="20.25" customHeight="1">
      <c r="A52" s="80" t="str">
        <f>IF(B2,TEXT(EDATE(B3,43),"dd mmmm yyyy"),TEXT(B3+((B5-B3)*43)+43,"dd mmmm yyyy")) &amp; " - " &amp; IF(B2,TEXT(EDATE(B3,44)-1,"dd mmmm yyyy"),TEXT(B3+(((B5-B3)*44)+43),"dd mmmm yyyy"))</f>
        <v>11 November 2028 - 10 December 2028</v>
      </c>
      <c r="B52" s="86"/>
    </row>
    <row r="53" spans="1:2" ht="20.25" customHeight="1">
      <c r="A53" s="79" t="str">
        <f>IF(B2,TEXT(EDATE(B3,44),"dd mmmm yyyy"),TEXT(B3+((B5-B3)*44)+44,"dd mmmm yyyy")) &amp; " - " &amp; IF(B2,TEXT(EDATE(B3,45)-1,"dd mmmm yyyy"),TEXT(B3+(((B5-B3)*45)+44),"dd mmmm yyyy"))</f>
        <v>11 December 2028 - 10 January 2029</v>
      </c>
      <c r="B53" s="87"/>
    </row>
    <row r="54" spans="1:2" ht="20.25" customHeight="1">
      <c r="A54" s="80" t="str">
        <f>IF(B2,TEXT(EDATE(B3,45),"dd mmmm yyyy"),TEXT(B3+((B5-B3)*45)+45,"dd mmmm yyyy")) &amp; " - " &amp; IF(B2,TEXT(EDATE(B3,46)-1,"dd mmmm yyyy"),TEXT(B3+(((B5-B3)*46)+45),"dd mmmm yyyy"))</f>
        <v>11 January 2029 - 10 February 2029</v>
      </c>
      <c r="B54" s="86" t="s">
        <v>22</v>
      </c>
    </row>
    <row r="55" spans="1:2" ht="20.25" customHeight="1">
      <c r="A55" s="80" t="str">
        <f>IF(B2,TEXT(EDATE(B3,46),"dd mmmm yyyy"),TEXT(B3+((B5-B3)*46)+46,"dd mmmm yyyy")) &amp; " - " &amp; IF(B2,TEXT(EDATE(B3,47)-1,"dd mmmm yyyy"),TEXT(B3+(((B5-B3)*47)+46),"dd mmmm yyyy"))</f>
        <v>11 February 2029 - 10 March 2029</v>
      </c>
      <c r="B55" s="86"/>
    </row>
    <row r="56" spans="1:2" ht="20.25" customHeight="1">
      <c r="A56" s="80" t="str">
        <f>IF(B2,TEXT(EDATE(B3,47),"dd mmmm yyyy"),TEXT(B3+((B5-B3)*47)+47,"dd mmmm yyyy")) &amp; " - " &amp; IF(B2,TEXT(EDATE(B3,48)-1,"dd mmmm yyyy"),TEXT(B3+(((B5-B3)*48)+47),"dd mmmm yyyy"))</f>
        <v>11 March 2029 - 10 April 2029</v>
      </c>
      <c r="B56" s="86"/>
    </row>
    <row r="57" spans="1:2" ht="20.25" customHeight="1"/>
    <row r="58" spans="1:2" ht="20.25" customHeight="1"/>
    <row r="59" spans="1:2" ht="20.25" customHeight="1"/>
    <row r="60" spans="1:2" ht="20.25" customHeight="1"/>
    <row r="61" spans="1:2" ht="20.25" customHeight="1"/>
    <row r="62" spans="1:2" ht="20.25" customHeight="1"/>
    <row r="63" spans="1:2" ht="20.25" customHeight="1"/>
    <row r="64" spans="1:2" ht="20.25" customHeight="1"/>
    <row r="65" s="62" customFormat="1" ht="20.25" customHeight="1"/>
    <row r="66" s="62" customFormat="1" ht="20.25" customHeight="1"/>
    <row r="67" s="62" customFormat="1" ht="20.25" customHeight="1"/>
    <row r="68" s="62" customFormat="1" ht="20.25" customHeight="1"/>
    <row r="69" s="62" customFormat="1" ht="20.25" customHeight="1"/>
    <row r="70" s="62" customFormat="1" ht="20.25" customHeight="1"/>
    <row r="71" s="62" customFormat="1" ht="20.25" customHeight="1"/>
    <row r="72" s="62" customFormat="1" ht="20.25" customHeight="1"/>
    <row r="73" s="62" customFormat="1" ht="20.25" customHeight="1"/>
    <row r="74" s="62" customFormat="1" ht="20.25" customHeight="1"/>
    <row r="75" s="62" customFormat="1" ht="20.25" customHeight="1"/>
    <row r="76" s="62" customFormat="1" ht="20.25" customHeight="1"/>
    <row r="77" s="62" customFormat="1" ht="20.25" customHeight="1"/>
    <row r="78" s="62" customFormat="1" ht="20.25" customHeight="1"/>
    <row r="79" s="62" customFormat="1" ht="20.25" customHeight="1"/>
    <row r="80" s="62" customFormat="1" ht="20.25" customHeight="1"/>
    <row r="81" s="62" customFormat="1" ht="20.25" customHeight="1"/>
    <row r="82" s="62" customFormat="1" ht="20.25" customHeight="1"/>
    <row r="83" s="62" customFormat="1" ht="20.25" customHeight="1"/>
    <row r="84" s="62" customFormat="1" ht="20.25" customHeight="1"/>
    <row r="85" s="62" customFormat="1" ht="20.25" customHeight="1"/>
    <row r="86" s="62" customFormat="1" ht="20.25" customHeight="1"/>
    <row r="87" s="62" customFormat="1" ht="20.25" customHeight="1"/>
    <row r="88" s="62" customFormat="1" ht="20.25" customHeight="1"/>
    <row r="89" s="62" customFormat="1" ht="20.25" customHeight="1"/>
    <row r="90" s="62" customFormat="1" ht="20.25" customHeight="1"/>
    <row r="91" s="62" customFormat="1" ht="20.25" customHeight="1"/>
    <row r="92" s="62" customFormat="1" ht="20.25" customHeight="1"/>
    <row r="93" s="62" customFormat="1" ht="20.25" customHeight="1"/>
    <row r="94" s="62" customFormat="1" ht="20.25" customHeight="1"/>
    <row r="95" s="62" customFormat="1" ht="20.25" customHeight="1"/>
    <row r="96" s="62" customFormat="1" ht="20.25" customHeight="1"/>
    <row r="97" s="62" customFormat="1" ht="20.25" customHeight="1"/>
    <row r="98" s="62" customFormat="1" ht="20.25" customHeight="1"/>
    <row r="99" s="62" customFormat="1" ht="20.25" customHeight="1"/>
    <row r="100" s="62" customFormat="1" ht="20.25" customHeight="1"/>
    <row r="101" s="62" customFormat="1" ht="20.25" customHeight="1"/>
    <row r="102" s="62" customFormat="1" ht="20.25" customHeight="1"/>
    <row r="103" s="62" customFormat="1" ht="20.25" customHeight="1"/>
    <row r="104" s="62" customFormat="1" ht="20.25" customHeight="1"/>
    <row r="105" s="62" customFormat="1" ht="20.25" customHeight="1"/>
    <row r="106" s="62" customFormat="1" ht="20.25" customHeight="1"/>
    <row r="107" s="62" customFormat="1" ht="20.25" customHeight="1"/>
    <row r="108" s="62" customFormat="1" ht="20.25" customHeight="1"/>
    <row r="109" s="62" customFormat="1" ht="20.25" customHeight="1"/>
    <row r="110" s="62" customFormat="1" ht="20.25" customHeight="1"/>
    <row r="111" s="62" customFormat="1" ht="20.25" customHeight="1"/>
    <row r="112" s="62" customFormat="1" ht="20.25" customHeight="1"/>
    <row r="113" s="62" customFormat="1" ht="20.25" customHeight="1"/>
    <row r="114" s="62" customFormat="1" ht="20.25" customHeight="1"/>
    <row r="115" s="62" customFormat="1" ht="20.25" customHeight="1"/>
    <row r="116" s="62" customFormat="1" ht="20.25" customHeight="1"/>
    <row r="117" s="62" customFormat="1" ht="20.25" customHeight="1"/>
    <row r="118" s="62" customFormat="1" ht="20.25" customHeight="1"/>
    <row r="119" s="62" customFormat="1" ht="20.25" customHeight="1"/>
    <row r="120" s="62" customFormat="1" ht="20.25" customHeight="1"/>
    <row r="121" s="62" customFormat="1" ht="20.25" customHeight="1"/>
    <row r="122" s="62" customFormat="1" ht="20.25" customHeight="1"/>
    <row r="123" s="62" customFormat="1" ht="20.25" customHeight="1"/>
    <row r="124" s="62" customFormat="1" ht="20.25" customHeight="1"/>
    <row r="125" s="62" customFormat="1" ht="20.25" customHeight="1"/>
    <row r="126" s="62" customFormat="1" ht="20.25" customHeight="1"/>
    <row r="127" s="62" customFormat="1" ht="20.25" customHeight="1"/>
    <row r="129" s="62" customFormat="1" ht="20.25" customHeight="1"/>
    <row r="130" s="62" customFormat="1" ht="20.25" customHeight="1"/>
    <row r="131" s="62" customFormat="1" ht="20.25" customHeight="1"/>
    <row r="132" s="62" customFormat="1" ht="20.25" customHeight="1"/>
    <row r="133" s="62" customFormat="1" ht="20.25" customHeight="1"/>
    <row r="134" s="62" customFormat="1" ht="20.25" customHeight="1"/>
  </sheetData>
  <sheetProtection sheet="1" objects="1" scenarios="1"/>
  <protectedRanges>
    <protectedRange sqref="B1:B6" name="Settings"/>
    <protectedRange sqref="B9:B56" name="NameOfWorkSheet"/>
  </protectedRanges>
  <mergeCells count="19">
    <mergeCell ref="A5:A6"/>
    <mergeCell ref="B5:B6"/>
    <mergeCell ref="A8:B8"/>
    <mergeCell ref="B9:B11"/>
    <mergeCell ref="B12:B14"/>
    <mergeCell ref="B45:B47"/>
    <mergeCell ref="B48:B50"/>
    <mergeCell ref="B51:B53"/>
    <mergeCell ref="B54:B56"/>
    <mergeCell ref="B15:B17"/>
    <mergeCell ref="B18:B20"/>
    <mergeCell ref="B36:B38"/>
    <mergeCell ref="B39:B41"/>
    <mergeCell ref="B42:B44"/>
    <mergeCell ref="B21:B23"/>
    <mergeCell ref="B24:B26"/>
    <mergeCell ref="B27:B29"/>
    <mergeCell ref="B30:B32"/>
    <mergeCell ref="B33:B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"/>
  <sheetViews>
    <sheetView tabSelected="1" workbookViewId="0">
      <selection activeCell="D3" sqref="D3:D16"/>
    </sheetView>
  </sheetViews>
  <sheetFormatPr defaultRowHeight="15"/>
  <cols>
    <col min="1" max="1" width="18.875" style="3" customWidth="1"/>
    <col min="2" max="2" width="25.625" style="3" customWidth="1"/>
    <col min="3" max="4" width="20.625" style="3" customWidth="1"/>
    <col min="5" max="5" width="25.625" style="3" customWidth="1"/>
    <col min="6" max="6" width="20.625" style="3" customWidth="1"/>
    <col min="7" max="7" width="9" style="3"/>
    <col min="8" max="8" width="23" style="3" customWidth="1"/>
    <col min="9" max="9" width="40.75" style="9" customWidth="1"/>
    <col min="10" max="10" width="28.625" style="3" customWidth="1"/>
    <col min="11" max="12" width="9" style="3"/>
    <col min="13" max="13" width="36.625" style="3" customWidth="1"/>
    <col min="14" max="14" width="21.125" style="3" customWidth="1"/>
    <col min="15" max="16384" width="9" style="3"/>
  </cols>
  <sheetData>
    <row r="1" spans="1:14" ht="36.75" customHeight="1">
      <c r="A1" s="155" t="str">
        <f>"Forecasts For the Year " &amp; TEXT(Main!B3,"mmmm yyyy") &amp; " to " &amp; IF(Main!B2,TEXT(EDATE(Main!B3,3)-1,"mmmm yyyy"),TEXT(Main!B3+((Main!B5-Main!B3)*3+2),"mmmm yyyy"))</f>
        <v>Forecasts For the Year April 2025 to July 2025</v>
      </c>
      <c r="B1" s="155"/>
      <c r="C1" s="155"/>
      <c r="D1" s="155"/>
      <c r="E1" s="155"/>
      <c r="F1" s="155"/>
      <c r="I1" s="156" t="s">
        <v>23</v>
      </c>
      <c r="J1" s="156"/>
      <c r="M1" s="156" t="s">
        <v>24</v>
      </c>
      <c r="N1" s="156"/>
    </row>
    <row r="2" spans="1:14" ht="36" customHeight="1">
      <c r="A2" s="134" t="s">
        <v>25</v>
      </c>
      <c r="B2" s="135"/>
      <c r="C2" s="135"/>
      <c r="D2" s="136" t="s">
        <v>26</v>
      </c>
      <c r="E2" s="136"/>
      <c r="F2" s="136"/>
      <c r="I2" s="53" t="s">
        <v>27</v>
      </c>
      <c r="J2" s="54" t="s">
        <v>28</v>
      </c>
      <c r="M2" s="60" t="s">
        <v>29</v>
      </c>
      <c r="N2" s="54" t="s">
        <v>30</v>
      </c>
    </row>
    <row r="3" spans="1:14" ht="35.25" customHeight="1">
      <c r="A3" s="137" t="s">
        <v>31</v>
      </c>
      <c r="B3" s="38" t="s">
        <v>32</v>
      </c>
      <c r="C3" s="5">
        <v>0</v>
      </c>
      <c r="D3" s="139" t="s">
        <v>31</v>
      </c>
      <c r="E3" s="83" t="s">
        <v>32</v>
      </c>
      <c r="F3" s="7">
        <v>0</v>
      </c>
      <c r="I3" s="55" t="str">
        <f>TEXT(Main!B3,"dd mmmm yyyy") &amp; " - " &amp; IF(Main!B2,TEXT(EDATE(Main!B3,1) - 1,"dd mmmm yyyy"),TEXT(Main!B3+(Main!B5-Main!B3)*1,"dd mmmm yyyy"))</f>
        <v>11 April 2025 - 10 May 2025</v>
      </c>
      <c r="J3" s="59">
        <f>E149</f>
        <v>0</v>
      </c>
      <c r="M3" s="61" t="str">
        <f>TEXT(Main!B3,"dd mmmm yyyy") &amp; " - " &amp; IF(Main!B2,TEXT(EDATE(Main!B3,3) - 1,"dd mmmm yyyy"),TEXT(Main!B3+((Main!B5-Main!B3)*3+2),"dd mmmm yyyy"))</f>
        <v>11 April 2025 - 10 July 2025</v>
      </c>
      <c r="N3" s="59">
        <f>-C122</f>
        <v>0</v>
      </c>
    </row>
    <row r="4" spans="1:14" ht="35.25" customHeight="1">
      <c r="A4" s="137"/>
      <c r="B4" s="38" t="s">
        <v>33</v>
      </c>
      <c r="C4" s="5">
        <v>0</v>
      </c>
      <c r="D4" s="140"/>
      <c r="E4" s="83" t="s">
        <v>33</v>
      </c>
      <c r="F4" s="7">
        <v>0</v>
      </c>
      <c r="I4" s="56" t="str">
        <f>IF(Main!B2,TEXT(EDATE(Main!B3,1),"dd mmmm yyyy"),TEXT(Main!B3+(Main!B5-Main!B3)+1,"dd mmmm yyyy")) &amp; " - " &amp; IF(Main!B2,TEXT(EDATE(Main!B3,2) - 1,"dd mmmm yyyy"),TEXT(Main!B3+(Main!B5-Main!B3)*2+1,"dd mmmm yyyy"))</f>
        <v>11 May 2025 - 10 June 2025</v>
      </c>
      <c r="J4" s="59">
        <f>E176</f>
        <v>0</v>
      </c>
      <c r="M4" s="61" t="str">
        <f>IF(Main!B2,TEXT(EDATE(Main!B3,3),"dd mmmm yyyy"),TEXT(Main!B3+((Main!B5-Main!B3)*3+3),"dd mmmm yyyy")) &amp; " - " &amp; IF(Main!B2,TEXT(EDATE(Main!B3,6) - 1,"dd mmmm yyyy"),TEXT(Main!B3+((Main!B5-Main!B3)*6+5),"dd mmmm yyyy"))</f>
        <v>11 July 2025 - 10 October 2025</v>
      </c>
      <c r="N4" s="59">
        <f>Forecast_2!C5</f>
        <v>0</v>
      </c>
    </row>
    <row r="5" spans="1:14" ht="35.25" customHeight="1">
      <c r="A5" s="137"/>
      <c r="B5" s="38" t="s">
        <v>34</v>
      </c>
      <c r="C5" s="5">
        <v>0</v>
      </c>
      <c r="D5" s="140"/>
      <c r="E5" s="83" t="s">
        <v>34</v>
      </c>
      <c r="F5" s="7">
        <v>0</v>
      </c>
      <c r="I5" s="56" t="str">
        <f>IF(Main!B2,TEXT(EDATE(Main!B3,2),"dd mmmm yyyy"),TEXT(Main!B3+((Main!B5-Main!B3)*2)+2,"dd mmmm yyyy")) &amp; " - " &amp; IF(Main!B2,TEXT(EDATE(Main!B3,3) - 1,"dd mmmm yyyy"),TEXT(Main!B3+((Main!B5-Main!B3)*3+2),"dd mmmm yyyy"))</f>
        <v>11 June 2025 - 10 July 2025</v>
      </c>
      <c r="J5" s="59">
        <f>E203</f>
        <v>0</v>
      </c>
      <c r="M5" s="61" t="str">
        <f>IF(Main!B2,TEXT(EDATE(Main!B3,6),"dd mmmm yyyy"),TEXT(Main!B3+((Main!B5-Main!B3)*6+6),"dd mmmm yyyy")) &amp; " - " &amp; IF(Main!B2,TEXT(EDATE(Main!B3,9) - 1,"dd mmmm yyyy"),TEXT(Main!B3+((Main!B5-Main!B3)*9+8),"dd mmmm yyyy"))</f>
        <v>11 October 2025 - 10 January 2026</v>
      </c>
      <c r="N5" s="59">
        <f>Forecast_3!C5</f>
        <v>0</v>
      </c>
    </row>
    <row r="6" spans="1:14" ht="35.25" customHeight="1">
      <c r="A6" s="137"/>
      <c r="B6" s="38" t="s">
        <v>35</v>
      </c>
      <c r="C6" s="5">
        <v>0</v>
      </c>
      <c r="D6" s="140"/>
      <c r="E6" s="83" t="s">
        <v>35</v>
      </c>
      <c r="F6" s="7">
        <v>0</v>
      </c>
      <c r="I6" s="57" t="str">
        <f>IF(Main!B2,TEXT(EDATE(Main!B3,3),"dd mmmm yyyy"),TEXT(Main!B3+((Main!B5-Main!B3)*3)+3,"dd mmmm yyyy")) &amp; " - "  &amp; IF(Main!B2,TEXT(EDATE(Main!B3,4) - 1,"dd mmmm yyyy"),TEXT(Main!B3+((Main!B5-Main!B3)*4+3),"dd mmmm yyyy"))</f>
        <v>11 July 2025 - 10 August 2025</v>
      </c>
      <c r="J6" s="59">
        <f>Forecast_2!E136</f>
        <v>0</v>
      </c>
      <c r="M6" s="61" t="str">
        <f>IF(Main!B2,TEXT(EDATE(Main!B3,9),"dd mmmm yyyy"),TEXT(Main!B3+((Main!B5-Main!B3)*9+9),"dd mmmm yyyy")) &amp; " - " &amp; IF(Main!B2,TEXT(EDATE(Main!B3,12) - 1,"dd mmmm yyyy"),TEXT(Main!B3+((Main!B5-Main!B3)*12+11),"dd mmmm yyyy"))</f>
        <v>11 January 2026 - 10 April 2026</v>
      </c>
      <c r="N6" s="59">
        <f>Forecast_4!C5</f>
        <v>0</v>
      </c>
    </row>
    <row r="7" spans="1:14" ht="35.25" customHeight="1">
      <c r="A7" s="137"/>
      <c r="B7" s="38" t="s">
        <v>36</v>
      </c>
      <c r="C7" s="6">
        <v>0</v>
      </c>
      <c r="D7" s="140"/>
      <c r="E7" s="83" t="s">
        <v>36</v>
      </c>
      <c r="F7" s="7">
        <v>0</v>
      </c>
      <c r="I7" s="57" t="str">
        <f>IF(Main!B2,TEXT(EDATE(Main!B3,4),"dd mmmm yyyy"),TEXT(Main!B3+((Main!B5-Main!B3)*4)+4,"dd mmmm yyyy")) &amp; " - "  &amp; IF(Main!B2,TEXT(EDATE(Main!B3,5) - 1,"dd mmmm yyyy"),TEXT(Main!B3+((Main!B5-Main!B3)*5+4),"dd mmmm yyyy"))</f>
        <v>11 August 2025 - 10 September 2025</v>
      </c>
      <c r="J7" s="59">
        <f>Forecast_2!E163</f>
        <v>0</v>
      </c>
      <c r="M7" s="61" t="str">
        <f>IF(Main!B2,TEXT(EDATE(Main!B3,12),"dd mmmm yyyy"),TEXT(Main!B3+((Main!B5-Main!B3)*12+12),"dd mmmm yyyy")) &amp; " - " &amp; IF(Main!B2,TEXT(EDATE(Main!B3,15) - 1,"dd mmmm yyyy"),TEXT(Main!B3+((Main!B5-Main!B3)*15+14),"dd mmmm yyyy"))</f>
        <v>11 April 2026 - 10 July 2026</v>
      </c>
      <c r="N7" s="59">
        <f>Forecast_5!C5</f>
        <v>0</v>
      </c>
    </row>
    <row r="8" spans="1:14" ht="45" customHeight="1">
      <c r="A8" s="137"/>
      <c r="B8" s="38" t="s">
        <v>37</v>
      </c>
      <c r="C8" s="5">
        <v>0</v>
      </c>
      <c r="D8" s="140"/>
      <c r="E8" s="83" t="s">
        <v>37</v>
      </c>
      <c r="F8" s="7">
        <v>0</v>
      </c>
      <c r="H8" s="10"/>
      <c r="I8" s="56" t="str">
        <f>IF(Main!B2,TEXT(EDATE(Main!B3,5),"dd mmmm yyyy"),TEXT(Main!B3+((Main!B5-Main!B3)*5)+5,"dd mmmm yyyy")) &amp; " - " &amp; IF(Main!B2,TEXT(EDATE(Main!B3,6) - 1,"dd mmmm yyyy"),TEXT(Main!B3+((Main!B5-Main!B3)*6+5),"dd mmmm yyyy"))</f>
        <v>11 September 2025 - 10 October 2025</v>
      </c>
      <c r="J8" s="59">
        <f>Forecast_2!E190</f>
        <v>0</v>
      </c>
      <c r="M8" s="71" t="str">
        <f>IF(Main!B2,TEXT(EDATE(Main!B3,15),"dd mmmm yyyy"),TEXT(Main!B3+((Main!B5-Main!B3)*15+15),"dd mmmm yyyy")) &amp; " - " &amp; IF(Main!B2,TEXT(EDATE(Main!B3,18) - 1,"dd mmmm yyyy"),TEXT(Main!B3+((Main!B5-Main!B3)*18+17),"dd mmmm yyyy"))</f>
        <v>11 July 2026 - 10 October 2026</v>
      </c>
      <c r="N8" s="59">
        <f>Forecast_6!C5</f>
        <v>0</v>
      </c>
    </row>
    <row r="9" spans="1:14" ht="39.75" customHeight="1">
      <c r="A9" s="137"/>
      <c r="B9" s="38" t="s">
        <v>38</v>
      </c>
      <c r="C9" s="5">
        <v>0</v>
      </c>
      <c r="D9" s="140"/>
      <c r="E9" s="83" t="s">
        <v>38</v>
      </c>
      <c r="F9" s="8">
        <v>0</v>
      </c>
      <c r="I9" s="56" t="str">
        <f>IF(Main!B2,TEXT(EDATE(Main!B3,6),"dd mmmm yyyy"),TEXT(Main!B3+((Main!B5-Main!B3)*6)+6,"dd mmmm yyyy")) &amp; " - "  &amp; IF(Main!B2,TEXT(EDATE(Main!B3,7) - 1,"dd mmmm yyyy"),TEXT(Main!B3+((Main!B5-Main!B3)*7+6),"dd mmmm yyyy"))</f>
        <v>11 October 2025 - 10 November 2025</v>
      </c>
      <c r="J9" s="59">
        <f>Forecast_3!E136</f>
        <v>0</v>
      </c>
      <c r="M9" s="61" t="str">
        <f>IF(Main!B2,TEXT(EDATE(Main!B3,18),"dd mmmm yyyy"),TEXT(Main!B3+((Main!B5-Main!B3)*18+18),"dd mmmm yyyy")) &amp; " - " &amp; IF(Main!B2,TEXT(EDATE(Main!B3,21) - 1,"dd mmmm yyyy"),TEXT(Main!B3+((Main!B5-Main!B3)*21+20),"dd mmmm yyyy"))</f>
        <v>11 October 2026 - 10 January 2027</v>
      </c>
      <c r="N9" s="70">
        <f>Forecast_7!C5</f>
        <v>0</v>
      </c>
    </row>
    <row r="10" spans="1:14" ht="35.25" customHeight="1">
      <c r="A10" s="137"/>
      <c r="B10" s="38" t="s">
        <v>39</v>
      </c>
      <c r="C10" s="5">
        <v>0</v>
      </c>
      <c r="D10" s="140"/>
      <c r="E10" s="83" t="s">
        <v>39</v>
      </c>
      <c r="F10" s="7">
        <v>0</v>
      </c>
      <c r="I10" s="56" t="str">
        <f>IF(Main!B2,TEXT(EDATE(Main!B3,7),"dd mmmm yyyy"),TEXT(Main!B3+((Main!B5-Main!B3)*7)+7,"dd mmmm yyyy"))  &amp; " - " &amp; IF(Main!B2,TEXT(EDATE(Main!B3,8) - 1,"dd mmmm yyyy"),TEXT(Main!B3+((Main!B5-Main!B3)*8+7),"dd mmmm yyyy"))</f>
        <v>11 November 2025 - 10 December 2025</v>
      </c>
      <c r="J10" s="59">
        <f>Forecast_3!E163</f>
        <v>0</v>
      </c>
      <c r="M10" s="72" t="str">
        <f>IF(Main!B2,TEXT(EDATE(Main!B3,21),"dd mmmm yyyy"),TEXT(Main!B3+((Main!B5-Main!B3)*21+21),"dd mmmm yyyy")) &amp; " - " &amp; IF(Main!B2,TEXT(EDATE(Main!B3,24) - 1,"dd mmmm yyyy"),TEXT(Main!B3+((Main!B5-Main!B3)*24+23),"dd mmmm yyyy"))</f>
        <v>11 January 2027 - 10 April 2027</v>
      </c>
      <c r="N10" s="59">
        <f>Forecast_8!C5</f>
        <v>0</v>
      </c>
    </row>
    <row r="11" spans="1:14" ht="35.25" customHeight="1">
      <c r="A11" s="137"/>
      <c r="B11" s="38" t="s">
        <v>40</v>
      </c>
      <c r="C11" s="5">
        <v>0</v>
      </c>
      <c r="D11" s="140"/>
      <c r="E11" s="83" t="s">
        <v>40</v>
      </c>
      <c r="F11" s="7">
        <v>0</v>
      </c>
      <c r="H11" s="10"/>
      <c r="I11" s="56" t="str">
        <f>IF(Main!B2,TEXT(EDATE(Main!B3,8),"dd mmmm yyyy"),TEXT(Main!B3+((Main!B5-Main!B3)*8)+8,"dd mmmm yyyy")) &amp; " - "  &amp; IF(Main!B2,TEXT(EDATE(Main!B3,9) - 1,"dd mmmm yyyy"),TEXT(Main!B3+((Main!B5-Main!B3)*9+8),"dd mmmm yyyy"))</f>
        <v>11 December 2025 - 10 January 2026</v>
      </c>
      <c r="J11" s="59">
        <f>Forecast_3!E190</f>
        <v>0</v>
      </c>
      <c r="M11" s="61" t="str">
        <f>IF(Main!B2,TEXT(EDATE(Main!B3,24),"dd mmmm yyyy"),TEXT(Main!B3+((Main!B5-Main!B3)*24+24),"dd mmmm yyyy")) &amp; " - " &amp; IF(Main!B2,TEXT(EDATE(Main!B3,27) - 1,"dd mmmm yyyy"),TEXT(Main!B3+((Main!B5-Main!B3)*27+26),"dd mmmm yyyy"))</f>
        <v>11 April 2027 - 10 July 2027</v>
      </c>
      <c r="N11" s="69">
        <f>Forecast_9!C5</f>
        <v>0</v>
      </c>
    </row>
    <row r="12" spans="1:14" ht="35.25" customHeight="1">
      <c r="A12" s="137"/>
      <c r="B12" s="38" t="s">
        <v>41</v>
      </c>
      <c r="C12" s="5">
        <v>0</v>
      </c>
      <c r="D12" s="140"/>
      <c r="E12" s="1" t="s">
        <v>41</v>
      </c>
      <c r="F12" s="7">
        <v>0</v>
      </c>
      <c r="I12" s="56" t="str">
        <f>IF(Main!B2,TEXT(EDATE(Main!B3,9),"dd mmmm yyyy"),TEXT(Main!B3+((Main!B5-Main!B3)*9)+9,"dd mmmm yyyy")) &amp; " - "  &amp; IF(Main!B2,TEXT(EDATE(Main!B3,10) - 1,"dd mmmm yyyy"),TEXT(Main!B3+((Main!B5-Main!B3)*10+9),"dd mmmm yyyy"))</f>
        <v>11 January 2026 - 10 February 2026</v>
      </c>
      <c r="J12" s="59">
        <f>Forecast_4!E136</f>
        <v>0</v>
      </c>
      <c r="M12" s="56" t="str">
        <f>IF(Main!B2,TEXT(EDATE(Main!B3,27),"dd mmmm yyyy"),TEXT(Main!B3+((Main!B5-Main!B3)*27+27),"dd mmmm yyyy")) &amp; " - " &amp; IF(Main!B2,TEXT(EDATE(Main!B3,30) - 1,"dd mmmm yyyy"),TEXT(Main!B3+((Main!B5-Main!B3)*30+29),"dd mmmm yyyy"))</f>
        <v>11 July 2027 - 10 October 2027</v>
      </c>
      <c r="N12" s="69">
        <f>Forecast_10!C5</f>
        <v>0</v>
      </c>
    </row>
    <row r="13" spans="1:14" ht="35.25" customHeight="1">
      <c r="A13" s="137"/>
      <c r="B13" s="38" t="s">
        <v>42</v>
      </c>
      <c r="C13" s="5">
        <v>0</v>
      </c>
      <c r="D13" s="140"/>
      <c r="E13" s="1" t="s">
        <v>42</v>
      </c>
      <c r="F13" s="7">
        <v>0</v>
      </c>
      <c r="I13" s="58" t="str">
        <f>IF(Main!B2,TEXT(EDATE(Main!B3,10),"dd mmmm yyyy"),TEXT(Main!B3+((Main!B5-Main!B3)*10)+10,"dd mmmm yyyy")) &amp; " - "   &amp; IF(Main!B2,TEXT(EDATE(Main!B3,11) - 1,"dd mmmm yyyy"),TEXT(Main!B3+((Main!B5-Main!B3)*11+10),"dd mmmm yyyy"))</f>
        <v>11 February 2026 - 10 March 2026</v>
      </c>
      <c r="J13" s="59">
        <f>Forecast_4!E163</f>
        <v>0</v>
      </c>
      <c r="M13" s="56" t="str">
        <f>IF(Main!B2,TEXT(EDATE(Main!B3,30),"dd mmmm yyyy"),TEXT(Main!B3+((Main!B5-Main!B3)*30+30),"dd mmmm yyyy")) &amp; " - " &amp; IF(Main!B2,TEXT(EDATE(Main!B3,33) - 1,"dd mmmm yyyy"),TEXT(Main!B3+((Main!B5-Main!B3)*33+32),"dd mmmm yyyy"))</f>
        <v>11 October 2027 - 10 January 2028</v>
      </c>
      <c r="N13" s="69">
        <f>Forecast_11!C5</f>
        <v>0</v>
      </c>
    </row>
    <row r="14" spans="1:14" ht="35.25" customHeight="1">
      <c r="A14" s="137"/>
      <c r="B14" s="38" t="s">
        <v>43</v>
      </c>
      <c r="C14" s="5">
        <v>0</v>
      </c>
      <c r="D14" s="140"/>
      <c r="E14" s="1" t="s">
        <v>43</v>
      </c>
      <c r="F14" s="7">
        <v>0</v>
      </c>
      <c r="I14" s="58" t="str">
        <f>IF(Main!B2,TEXT(EDATE(Main!B3,11),"dd mmmm yyyy"),TEXT(Main!B3+((Main!B5-Main!B3)*11)+11,"dd mmmm yyyy")) &amp; " - "  &amp; IF(Main!B2,TEXT(EDATE(Main!B3,12) - 1,"dd mmmm yyyy"),TEXT(Main!B3+((Main!B5-Main!B3)*12+11),"dd mmmm yyyy"))</f>
        <v>11 March 2026 - 10 April 2026</v>
      </c>
      <c r="J14" s="69">
        <f>Forecast_4!E190</f>
        <v>0</v>
      </c>
      <c r="M14" s="56" t="str">
        <f>IF(Main!B2,TEXT(EDATE(Main!B3,33),"dd mmmm yyyy"),TEXT(Main!B3+((Main!B5-Main!B3)*33+33),"dd mmmm yyyy")) &amp; " - " &amp; IF(Main!B2,TEXT(EDATE(Main!B3,36) - 1,"dd mmmm yyyy"),TEXT(Main!B3+((Main!B5-Main!B3)*36+35),"dd mmmm yyyy"))</f>
        <v>11 January 2028 - 10 April 2028</v>
      </c>
      <c r="N14" s="69">
        <f>Forecast_12!C5</f>
        <v>0</v>
      </c>
    </row>
    <row r="15" spans="1:14" ht="35.25" customHeight="1">
      <c r="A15" s="137"/>
      <c r="B15" s="85" t="s">
        <v>44</v>
      </c>
      <c r="C15" s="5">
        <v>0</v>
      </c>
      <c r="D15" s="140"/>
      <c r="E15" s="1" t="s">
        <v>44</v>
      </c>
      <c r="F15" s="7">
        <v>0</v>
      </c>
      <c r="I15" s="61" t="str">
        <f>IF(Main!B2,TEXT(EDATE(Main!B3,12),"dd mmmm yyyy"),TEXT(Main!B3+((Main!B5-Main!B3)*12)+12,"dd mmmm yyyy")) &amp; " - "  &amp; IF(Main!B2,TEXT(EDATE(Main!B3,13) - 1,"dd mmmm yyyy"),TEXT(Main!B3+((Main!B5-Main!B3)*13+12),"dd mmmm yyyy"))</f>
        <v>11 April 2026 - 10 May 2026</v>
      </c>
      <c r="J15" s="69">
        <f>Forecast_5!E136</f>
        <v>0</v>
      </c>
      <c r="M15" s="56" t="str">
        <f>IF(Main!B2,TEXT(EDATE(Main!B3,36),"dd mmmm yyyy"),TEXT(Main!B3+((Main!B5-Main!B3)*36+36),"dd mmmm yyyy")) &amp; " - " &amp; IF(Main!B2,TEXT(EDATE(Main!B3,39) - 1,"dd mmmm yyyy"),TEXT(Main!B3+((Main!B5-Main!B3)*39+38),"dd mmmm yyyy"))</f>
        <v>11 April 2028 - 10 July 2028</v>
      </c>
      <c r="N15" s="69">
        <f>Forecast_13!C5</f>
        <v>0</v>
      </c>
    </row>
    <row r="16" spans="1:14" ht="35.25" customHeight="1">
      <c r="A16" s="138"/>
      <c r="B16" s="77" t="s">
        <v>45</v>
      </c>
      <c r="C16" s="84">
        <f>SUM(C3:C15)</f>
        <v>0</v>
      </c>
      <c r="D16" s="141"/>
      <c r="E16" s="77" t="s">
        <v>45</v>
      </c>
      <c r="F16" s="7">
        <f>SUM(F3:F15)</f>
        <v>0</v>
      </c>
      <c r="I16" s="61" t="str">
        <f>IF(Main!B2,TEXT(EDATE(Main!B3,13),"dd mmmm yyyy"),TEXT(Main!B3+((Main!B5-Main!B3)*13)+13,"dd mmmm yyyy")) &amp; " - "  &amp; IF(Main!B2,TEXT(EDATE(Main!B3,14) - 1,"dd mmmm yyyy"),TEXT(Main!B3+((Main!B5-Main!B3)*14+13),"dd mmmm yyyy"))</f>
        <v>11 May 2026 - 10 June 2026</v>
      </c>
      <c r="J16" s="69">
        <f>Forecast_5!E163</f>
        <v>0</v>
      </c>
      <c r="M16" s="56" t="str">
        <f>IF(Main!B2,TEXT(EDATE(Main!B3,39),"dd mmmm yyyy"),TEXT(Main!B3+((Main!B5-Main!B3)*39+39),"dd mmmm yyyy")) &amp; " - " &amp; IF(Main!B2,TEXT(EDATE(Main!B3,42) - 1,"dd mmmm yyyy"),TEXT(Main!B3+((Main!B5-Main!B3)*42+41),"dd mmmm yyyy"))</f>
        <v>11 July 2028 - 10 October 2028</v>
      </c>
      <c r="N16" s="69">
        <f>Forecast_14!C5</f>
        <v>0</v>
      </c>
    </row>
    <row r="17" spans="1:14" ht="35.25" customHeight="1">
      <c r="I17" s="61" t="str">
        <f>IF(Main!B2,TEXT(EDATE(Main!B3,14),"dd mmmm yyyy"),TEXT(Main!B3+((Main!B5-Main!B3)*14)+14,"dd mmmm yyyy")) &amp; " - "  &amp; IF(Main!B2,TEXT(EDATE(Main!B3,15) - 1,"dd mmmm yyyy"),TEXT(Main!B3+((Main!B5-Main!B3)*15+14),"dd mmmm yyyy"))</f>
        <v>11 June 2026 - 10 July 2026</v>
      </c>
      <c r="J17" s="69">
        <f>Forecast_5!E190</f>
        <v>0</v>
      </c>
      <c r="M17" s="56" t="str">
        <f>IF(Main!B2,TEXT(EDATE(Main!B3,42),"dd mmmm yyyy"),TEXT(Main!B3+((Main!B5-Main!B3)*42+42),"dd mmmm yyyy")) &amp; " - " &amp; IF(Main!B2,TEXT(EDATE(Main!B3,45) - 1,"dd mmmm yyyy"),TEXT(Main!B3+((Main!B5-Main!B3)*45+44),"dd mmmm yyyy"))</f>
        <v>11 October 2028 - 10 January 2029</v>
      </c>
      <c r="N17" s="69">
        <f>Forecast_15!C5</f>
        <v>0</v>
      </c>
    </row>
    <row r="18" spans="1:14" ht="35.25" customHeight="1">
      <c r="I18" s="61" t="str">
        <f>IF(Main!B2,TEXT(EDATE(Main!B3,15),"dd mmmm yyyy"),TEXT(Main!B3+((Main!B5-Main!B3)*15)+15,"dd mmmm yyyy")) &amp; " - "  &amp; IF(Main!B2,TEXT(EDATE(Main!B3,16) - 1,"dd mmmm yyyy"),TEXT(Main!B3+((Main!B5-Main!B3)*16+15),"dd mmmm yyyy"))</f>
        <v>11 July 2026 - 10 August 2026</v>
      </c>
      <c r="J18" s="69">
        <f>Forecast_6!E136</f>
        <v>0</v>
      </c>
      <c r="M18" s="56" t="str">
        <f>IF(Main!B2,TEXT(EDATE(Main!B3,45),"dd mmmm yyyy"),TEXT(Main!B3+((Main!B5-Main!B3)*45+45),"dd mmmm yyyy")) &amp; " - " &amp; IF(Main!B2,TEXT(EDATE(Main!B3,48) - 1,"dd mmmm yyyy"),TEXT(Main!B3+((Main!B5-Main!B3)*48+47),"dd mmmm yyyy"))</f>
        <v>11 January 2029 - 10 April 2029</v>
      </c>
      <c r="N18" s="59">
        <f>Forecast_16!C5</f>
        <v>0</v>
      </c>
    </row>
    <row r="19" spans="1:14" ht="33" customHeight="1">
      <c r="I19" s="61" t="str">
        <f>IF(Main!B2,TEXT(EDATE(Main!B3,16),"dd mmmm yyyy"),TEXT(Main!B3+((Main!B5-Main!B3)*16)+16,"dd mmmm yyyy")) &amp; " - "  &amp; IF(Main!B2,TEXT(EDATE(Main!B3,17) - 1,"dd mmmm yyyy"),TEXT(Main!B3+((Main!B5-Main!B3)*17+16),"dd mmmm yyyy"))</f>
        <v>11 August 2026 - 10 September 2026</v>
      </c>
      <c r="J19" s="69">
        <f>Forecast_6!E163</f>
        <v>0</v>
      </c>
    </row>
    <row r="20" spans="1:14" ht="35.25" customHeight="1">
      <c r="I20" s="61" t="str">
        <f>IF(Main!B2,TEXT(EDATE(Main!B3,17),"dd mmmm yyyy"),TEXT(Main!B3+((Main!B5-Main!B3)*17)+17,"dd mmmm yyyy")) &amp; " - "  &amp; IF(Main!B2,TEXT(EDATE(Main!B3,18) - 1,"dd mmmm yyyy"),TEXT(Main!B3+((Main!B5-Main!B3)*18+17),"dd mmmm yyyy"))</f>
        <v>11 September 2026 - 10 October 2026</v>
      </c>
      <c r="J20" s="69">
        <f>Forecast_6!E190</f>
        <v>0</v>
      </c>
    </row>
    <row r="21" spans="1:14" ht="35.25" customHeight="1">
      <c r="I21" s="61" t="str">
        <f>IF(Main!B2,TEXT(EDATE(Main!B3,18),"dd mmmm yyyy"),TEXT(Main!B3+((Main!B5-Main!B3)*18)+18,"dd mmmm yyyy")) &amp; " - "  &amp; IF(Main!B2,TEXT(EDATE(Main!B3,19) - 1,"dd mmmm yyyy"),TEXT(Main!B3+((Main!B5-Main!B3)*19+18),"dd mmmm yyyy"))</f>
        <v>11 October 2026 - 10 November 2026</v>
      </c>
      <c r="J21" s="69">
        <f>Forecast_7!E136</f>
        <v>0</v>
      </c>
    </row>
    <row r="22" spans="1:14" ht="24.75" customHeight="1">
      <c r="A22" s="132" t="str">
        <f>TEXT(Main!B3,"dd mmmm yyyy") &amp; " - " &amp; IF(Main!B2,TEXT(EDATE(Main!B3,1)-1,"dd mmmm yyyy"),TEXT(Main!B3+Main!B5-Main!B3,"dd mmmm yyyy")) &amp; " / " &amp; " (Revenue / Deferred Debts Or Expenses)"</f>
        <v>11 April 2025 - 10 May 2025 /  (Revenue / Deferred Debts Or Expenses)</v>
      </c>
      <c r="B22" s="133"/>
      <c r="C22" s="133"/>
      <c r="D22" s="133"/>
      <c r="E22" s="133"/>
      <c r="F22" s="133"/>
      <c r="G22" s="133"/>
      <c r="I22" s="61" t="str">
        <f>IF(Main!B2,TEXT(EDATE(Main!B3,19),"dd mmmm yyyy"),TEXT(Main!B3+((Main!B5-Main!B3)*19)+19,"dd mmmm yyyy")) &amp; " - "  &amp; IF(Main!B2,TEXT(EDATE(Main!B3,20) - 1,"dd mmmm yyyy"),TEXT(Main!B3+((Main!B5-Main!B3)*20+19),"dd mmmm yyyy"))</f>
        <v>11 November 2026 - 10 December 2026</v>
      </c>
      <c r="J22" s="69">
        <f>Forecast_7!E163</f>
        <v>0</v>
      </c>
    </row>
    <row r="23" spans="1:14" ht="24.75" customHeight="1">
      <c r="A23" s="81" t="s">
        <v>27</v>
      </c>
      <c r="B23" s="120" t="s">
        <v>46</v>
      </c>
      <c r="C23" s="120"/>
      <c r="D23" s="121" t="s">
        <v>47</v>
      </c>
      <c r="E23" s="121"/>
      <c r="F23" s="121" t="s">
        <v>48</v>
      </c>
      <c r="G23" s="121"/>
      <c r="I23" s="61" t="str">
        <f>IF(Main!B2,TEXT(EDATE(Main!B3,20),"dd mmmm yyyy"),TEXT(Main!B3+((Main!B5-Main!B3)*20)+20,"dd mmmm yyyy")) &amp; " - "  &amp; IF(Main!B2,TEXT(EDATE(Main!B3,21) - 1,"dd mmmm yyyy"),TEXT(Main!B3+((Main!B5-Main!B3)*21+20),"dd mmmm yyyy"))</f>
        <v>11 December 2026 - 10 January 2027</v>
      </c>
      <c r="J23" s="69">
        <f>Forecast_7!E190</f>
        <v>0</v>
      </c>
    </row>
    <row r="24" spans="1:14" ht="52.5" customHeight="1">
      <c r="A24" s="2" t="s">
        <v>49</v>
      </c>
      <c r="B24" s="122" t="s">
        <v>50</v>
      </c>
      <c r="C24" s="122"/>
      <c r="D24" s="122" t="s">
        <v>51</v>
      </c>
      <c r="E24" s="122"/>
      <c r="F24" s="123">
        <v>0</v>
      </c>
      <c r="G24" s="124"/>
      <c r="I24" s="61" t="str">
        <f>IF(Main!B2,TEXT(EDATE(Main!B3,21),"dd mmmm yyyy"),TEXT(Main!B3+((Main!B5-Main!B3)*21)+21,"dd mmmm yyyy")) &amp; " - "  &amp; IF(Main!B2,TEXT(EDATE(Main!B3,22) - 1,"dd mmmm yyyy"),TEXT(Main!B3+((Main!B5-Main!B3)*22+21),"dd mmmm yyyy"))</f>
        <v>11 January 2027 - 10 February 2027</v>
      </c>
      <c r="J24" s="69">
        <f>Forecast_8!E136</f>
        <v>0</v>
      </c>
    </row>
    <row r="25" spans="1:14" ht="30" customHeight="1">
      <c r="A25" s="2"/>
      <c r="B25" s="125" t="s">
        <v>40</v>
      </c>
      <c r="C25" s="126"/>
      <c r="D25" s="127"/>
      <c r="E25" s="128"/>
      <c r="F25" s="123">
        <v>0</v>
      </c>
      <c r="G25" s="124"/>
      <c r="I25" s="61" t="str">
        <f>IF(Main!B2,TEXT(EDATE(Main!B3,22),"dd mmmm yyyy"),TEXT(Main!B3+((Main!B5-Main!B3)*22)+22,"dd mmmm yyyy")) &amp; " - "  &amp; IF(Main!B2,TEXT(EDATE(Main!B3,23) - 1,"dd mmmm yyyy"),TEXT(Main!B3+((Main!B5-Main!B3)*23+22),"dd mmmm yyyy"))</f>
        <v>11 February 2027 - 10 March 2027</v>
      </c>
      <c r="J25" s="69">
        <f>Forecast_8!E163</f>
        <v>0</v>
      </c>
    </row>
    <row r="26" spans="1:14" ht="30" customHeight="1">
      <c r="A26" s="2"/>
      <c r="B26" s="125" t="s">
        <v>41</v>
      </c>
      <c r="C26" s="126"/>
      <c r="D26" s="127"/>
      <c r="E26" s="128"/>
      <c r="F26" s="123">
        <v>0</v>
      </c>
      <c r="G26" s="124"/>
      <c r="I26" s="58" t="str">
        <f>IF(Main!B2,TEXT(EDATE(Main!B3,23),"dd mmmm yyyy"),TEXT(Main!B3+((Main!B5-Main!B3)*23)+23,"dd mmmm yyyy")) &amp; " - "  &amp; IF(Main!B2,TEXT(EDATE(Main!B3,24) - 1,"dd mmmm yyyy"),TEXT(Main!B3+((Main!B5-Main!B3)*24+23),"dd mmmm yyyy"))</f>
        <v>11 March 2027 - 10 April 2027</v>
      </c>
      <c r="J26" s="69">
        <f>Forecast_8!E190</f>
        <v>0</v>
      </c>
    </row>
    <row r="27" spans="1:14" ht="30" customHeight="1">
      <c r="A27" s="2"/>
      <c r="B27" s="125" t="s">
        <v>42</v>
      </c>
      <c r="C27" s="126"/>
      <c r="D27" s="127"/>
      <c r="E27" s="128"/>
      <c r="F27" s="123">
        <v>0</v>
      </c>
      <c r="G27" s="124"/>
      <c r="I27" s="61" t="str">
        <f>IF(Main!B2,TEXT(EDATE(Main!B3,24),"dd mmmm yyyy"),TEXT(Main!B3+((Main!B5-Main!B3)*24)+24,"dd mmmm yyyy")) &amp; " - "  &amp; IF(Main!B2,TEXT(EDATE(Main!B3,25) - 1,"dd mmmm yyyy"),TEXT(Main!B3+((Main!B5-Main!B3)*25+24),"dd mmmm yyyy"))</f>
        <v>11 April 2027 - 10 May 2027</v>
      </c>
      <c r="J27" s="69">
        <f>Forecast_9!E136</f>
        <v>0</v>
      </c>
    </row>
    <row r="28" spans="1:14" ht="30" customHeight="1">
      <c r="A28" s="2"/>
      <c r="B28" s="125" t="s">
        <v>43</v>
      </c>
      <c r="C28" s="126"/>
      <c r="D28" s="127"/>
      <c r="E28" s="128"/>
      <c r="F28" s="123">
        <v>0</v>
      </c>
      <c r="G28" s="124"/>
      <c r="I28" s="61" t="str">
        <f>IF(Main!B2,TEXT(EDATE(Main!B3,25),"dd mmmm yyyy"),TEXT(Main!B3+((Main!B5-Main!B3)*25)+25,"dd mmmm yyyy")) &amp; " - "  &amp; IF(Main!B2,TEXT(EDATE(Main!B3,26) - 1,"dd mmmm yyyy"),TEXT(Main!B3+((Main!B5-Main!B3)*26+25),"dd mmmm yyyy"))</f>
        <v>11 May 2027 - 10 June 2027</v>
      </c>
      <c r="J28" s="69">
        <f>Forecast_9!E163</f>
        <v>0</v>
      </c>
    </row>
    <row r="29" spans="1:14" ht="30" customHeight="1">
      <c r="A29" s="2"/>
      <c r="B29" s="125" t="s">
        <v>44</v>
      </c>
      <c r="C29" s="126"/>
      <c r="D29" s="127"/>
      <c r="E29" s="128"/>
      <c r="F29" s="123">
        <v>0</v>
      </c>
      <c r="G29" s="124"/>
      <c r="I29" s="56" t="str">
        <f>IF(Main!B2,TEXT(EDATE(Main!B3,26),"dd mmmm yyyy"),TEXT(Main!B3+((Main!B5-Main!B3)*26)+26,"dd mmmm yyyy")) &amp; " - "  &amp; IF(Main!B2,TEXT(EDATE(Main!B3,27) - 1,"dd mmmm yyyy"),TEXT(Main!B3+((Main!B5-Main!B3)*27+26),"dd mmmm yyyy"))</f>
        <v>11 June 2027 - 10 July 2027</v>
      </c>
      <c r="J29" s="59">
        <f>Forecast_9!E190</f>
        <v>0</v>
      </c>
    </row>
    <row r="30" spans="1:14" ht="30" customHeight="1">
      <c r="A30" s="4"/>
      <c r="B30" s="114"/>
      <c r="C30" s="115"/>
      <c r="D30" s="116" t="s">
        <v>52</v>
      </c>
      <c r="E30" s="117"/>
      <c r="F30" s="118">
        <f>SUM(F24:G29)</f>
        <v>0</v>
      </c>
      <c r="G30" s="119"/>
      <c r="I30" s="61" t="str">
        <f>IF(Main!B2,TEXT(EDATE(Main!B3,27),"dd mmmm yyyy"),TEXT(Main!B3+((Main!B5-Main!B3)*27)+27,"dd mmmm yyyy")) &amp; " - "  &amp; IF(Main!B2,TEXT(EDATE(Main!B3,28) - 1,"dd mmmm yyyy"),TEXT(Main!B3+((Main!B5-Main!B3)*28+27),"dd mmmm yyyy"))</f>
        <v>11 July 2027 - 10 August 2027</v>
      </c>
      <c r="J30" s="73">
        <f>Forecast_10!E136</f>
        <v>0</v>
      </c>
    </row>
    <row r="31" spans="1:14" ht="30" customHeight="1">
      <c r="I31" s="61" t="str">
        <f>IF(Main!B2,TEXT(EDATE(Main!B3,28),"dd mmmm yyyy"),TEXT(Main!B3+((Main!B5-Main!B3)*28)+28,"dd mmmm yyyy")) &amp; " - "  &amp; IF(Main!B2,TEXT(EDATE(Main!B3,29) - 1,"dd mmmm yyyy"),TEXT(Main!B3+((Main!B5-Main!B3)*29+28),"dd mmmm yyyy"))</f>
        <v>11 August 2027 - 10 September 2027</v>
      </c>
      <c r="J31" s="69">
        <f>Forecast_10!E163</f>
        <v>0</v>
      </c>
    </row>
    <row r="32" spans="1:14" ht="27.75" customHeight="1">
      <c r="I32" s="61" t="str">
        <f>IF(Main!B2,TEXT(EDATE(Main!B3,29),"dd mmmm yyyy"),TEXT(Main!B3+((Main!B5-Main!B3)*29)+29,"dd mmmm yyyy")) &amp; " - "  &amp; IF(Main!B2,TEXT(EDATE(Main!B3,30) - 1,"dd mmmm yyyy"),TEXT(Main!B3+((Main!B5-Main!B3)*30+29),"dd mmmm yyyy"))</f>
        <v>11 September 2027 - 10 October 2027</v>
      </c>
      <c r="J32" s="69">
        <f>Forecast_10!E190</f>
        <v>0</v>
      </c>
    </row>
    <row r="33" spans="1:10" ht="30" customHeight="1">
      <c r="I33" s="61" t="str">
        <f>IF(Main!B2,TEXT(EDATE(Main!B3,30),"dd mmmm yyyy"),TEXT(Main!B3+((Main!B5-Main!B3)*30)+30,"dd mmmm yyyy")) &amp; " - "  &amp; IF(Main!B2,TEXT(EDATE(Main!B3,31) - 1,"dd mmmm yyyy"),TEXT(Main!B3+((Main!B5-Main!B3)*31+30),"dd mmmm yyyy"))</f>
        <v>11 October 2027 - 10 November 2027</v>
      </c>
      <c r="J33" s="69">
        <f>Forecast_11!E136</f>
        <v>0</v>
      </c>
    </row>
    <row r="34" spans="1:10" ht="30" customHeight="1">
      <c r="A34" s="132" t="str">
        <f>IF(Main!B2,TEXT(EDATE(Main!B3,1),"dd mmmm yyyy"),TEXT(Main!B3+(Main!B5-Main!B3)+1,"dd mmmm yyyy")) &amp; " - " &amp; IF(Main!B2,TEXT(EDATE(Main!B3,2) - 1,"dd mmmm yyyy"),TEXT(Main!B3+(Main!B5-Main!B3)*2+1,"dd mmmm yyyy")) &amp; " (Revenue / Deferred Debts Or Expenses)"</f>
        <v>11 May 2025 - 10 June 2025 (Revenue / Deferred Debts Or Expenses)</v>
      </c>
      <c r="B34" s="133"/>
      <c r="C34" s="133"/>
      <c r="D34" s="133"/>
      <c r="E34" s="133"/>
      <c r="F34" s="133"/>
      <c r="G34" s="133"/>
      <c r="I34" s="61" t="str">
        <f>IF(Main!B2,TEXT(EDATE(Main!B3,31),"dd mmmm yyyy"),TEXT(Main!B3+((Main!B5-Main!B3)*31)+31,"dd mmmm yyyy")) &amp; " - "  &amp; IF(Main!B2,TEXT(EDATE(Main!B3,32) - 1,"dd mmmm yyyy"),TEXT(Main!B3+((Main!B5-Main!B3)*32+31),"dd mmmm yyyy"))</f>
        <v>11 November 2027 - 10 December 2027</v>
      </c>
      <c r="J34" s="69">
        <f>Forecast_11!E163</f>
        <v>0</v>
      </c>
    </row>
    <row r="35" spans="1:10" ht="24.75" customHeight="1">
      <c r="A35" s="81" t="s">
        <v>27</v>
      </c>
      <c r="B35" s="120" t="s">
        <v>46</v>
      </c>
      <c r="C35" s="120"/>
      <c r="D35" s="121" t="s">
        <v>47</v>
      </c>
      <c r="E35" s="121"/>
      <c r="F35" s="121" t="s">
        <v>48</v>
      </c>
      <c r="G35" s="121"/>
      <c r="I35" s="61" t="str">
        <f>IF(Main!B2,TEXT(EDATE(Main!B3,32),"dd mmmm yyyy"),TEXT(Main!B3+((Main!B5-Main!B3)*32)+32,"dd mmmm yyyy")) &amp; " - "  &amp; IF(Main!B2,TEXT(EDATE(Main!B3,33) - 1,"dd mmmm yyyy"),TEXT(Main!B3+((Main!B5-Main!B3)*33+32),"dd mmmm yyyy"))</f>
        <v>11 December 2027 - 10 January 2028</v>
      </c>
      <c r="J35" s="69">
        <f>Forecast_11!E190</f>
        <v>0</v>
      </c>
    </row>
    <row r="36" spans="1:10" ht="24.75" customHeight="1">
      <c r="A36" s="2" t="s">
        <v>53</v>
      </c>
      <c r="B36" s="122" t="s">
        <v>54</v>
      </c>
      <c r="C36" s="122"/>
      <c r="D36" s="122" t="s">
        <v>55</v>
      </c>
      <c r="E36" s="122"/>
      <c r="F36" s="123">
        <v>0</v>
      </c>
      <c r="G36" s="124"/>
      <c r="I36" s="61" t="str">
        <f>IF(Main!B2,TEXT(EDATE(Main!B3,33),"dd mmmm yyyy"),TEXT(Main!B3+((Main!B5-Main!B3)*33)+33,"dd mmmm yyyy")) &amp; " - "  &amp; IF(Main!B2,TEXT(EDATE(Main!B3,34) - 1,"dd mmmm yyyy"),TEXT(Main!B3+((Main!B5-Main!B3)*34+33),"dd mmmm yyyy"))</f>
        <v>11 January 2028 - 10 February 2028</v>
      </c>
      <c r="J36" s="69">
        <f>Forecast_12!E136</f>
        <v>0</v>
      </c>
    </row>
    <row r="37" spans="1:10" ht="24.75" customHeight="1">
      <c r="A37" s="2"/>
      <c r="B37" s="125" t="s">
        <v>40</v>
      </c>
      <c r="C37" s="126"/>
      <c r="D37" s="127"/>
      <c r="E37" s="128"/>
      <c r="F37" s="123">
        <v>0</v>
      </c>
      <c r="G37" s="124"/>
      <c r="I37" s="61" t="str">
        <f>IF(Main!B2,TEXT(EDATE(Main!B3,34),"dd mmmm yyyy"),TEXT(Main!B3+((Main!B5-Main!B3)*34)+34,"dd mmmm yyyy")) &amp; " - "  &amp; IF(Main!B2,TEXT(EDATE(Main!B3,35) - 1,"dd mmmm yyyy"),TEXT(Main!B3+((Main!B5-Main!B3)*35+34),"dd mmmm yyyy"))</f>
        <v>11 February 2028 - 10 March 2028</v>
      </c>
      <c r="J37" s="69">
        <f>Forecast_12!E163</f>
        <v>0</v>
      </c>
    </row>
    <row r="38" spans="1:10" ht="20.25" customHeight="1">
      <c r="A38" s="2"/>
      <c r="B38" s="125" t="s">
        <v>41</v>
      </c>
      <c r="C38" s="126"/>
      <c r="D38" s="127"/>
      <c r="E38" s="128"/>
      <c r="F38" s="123">
        <v>0</v>
      </c>
      <c r="G38" s="124"/>
      <c r="I38" s="61" t="str">
        <f>IF(Main!B2,TEXT(EDATE(Main!B3,35),"dd mmmm yyyy"),TEXT(Main!B3+((Main!B5-Main!B3)*35)+35,"dd mmmm yyyy")) &amp; " - "  &amp; IF(Main!B2,TEXT(EDATE(Main!B3,36) - 1,"dd mmmm yyyy"),TEXT(Main!B3+((Main!B5-Main!B3)*36+35),"dd mmmm yyyy"))</f>
        <v>11 March 2028 - 10 April 2028</v>
      </c>
      <c r="J38" s="69">
        <f>Forecast_12!E190</f>
        <v>0</v>
      </c>
    </row>
    <row r="39" spans="1:10" ht="24.75" customHeight="1">
      <c r="A39" s="2"/>
      <c r="B39" s="125" t="s">
        <v>42</v>
      </c>
      <c r="C39" s="126"/>
      <c r="D39" s="127"/>
      <c r="E39" s="128"/>
      <c r="F39" s="123">
        <v>0</v>
      </c>
      <c r="G39" s="124"/>
      <c r="I39" s="61" t="str">
        <f>IF(Main!B2,TEXT(EDATE(Main!B3,36),"dd mmmm yyyy"),TEXT(Main!B3+((Main!B5-Main!B3)*36)+36,"dd mmmm yyyy")) &amp; " - "  &amp; IF(Main!B2,TEXT(EDATE(Main!B3,37) - 1,"dd mmmm yyyy"),TEXT(Main!B3+((Main!B5-Main!B3)*37+36),"dd mmmm yyyy"))</f>
        <v>11 April 2028 - 10 May 2028</v>
      </c>
      <c r="J39" s="69">
        <f>Forecast_13!E136</f>
        <v>0</v>
      </c>
    </row>
    <row r="40" spans="1:10" ht="24.75" customHeight="1">
      <c r="A40" s="2"/>
      <c r="B40" s="125" t="s">
        <v>43</v>
      </c>
      <c r="C40" s="126"/>
      <c r="D40" s="127"/>
      <c r="E40" s="128"/>
      <c r="F40" s="123">
        <v>0</v>
      </c>
      <c r="G40" s="124"/>
      <c r="I40" s="61" t="str">
        <f>IF(Main!B2,TEXT(EDATE(Main!B3,37),"dd mmmm yyyy"),TEXT(Main!B3+((Main!B5-Main!B3)*37)+37,"dd mmmm yyyy")) &amp; " - "  &amp; IF(Main!B2,TEXT(EDATE(Main!B3,38) - 1,"dd mmmm yyyy"),TEXT(Main!B3+((Main!B5-Main!B3)*38+37),"dd mmmm yyyy"))</f>
        <v>11 May 2028 - 10 June 2028</v>
      </c>
      <c r="J40" s="69">
        <f>Forecast_13!E163</f>
        <v>0</v>
      </c>
    </row>
    <row r="41" spans="1:10" ht="24.75" customHeight="1">
      <c r="A41" s="2"/>
      <c r="B41" s="125" t="s">
        <v>44</v>
      </c>
      <c r="C41" s="126"/>
      <c r="D41" s="127"/>
      <c r="E41" s="128"/>
      <c r="F41" s="123">
        <v>0</v>
      </c>
      <c r="G41" s="124"/>
      <c r="I41" s="56" t="str">
        <f>IF(Main!B2,TEXT(EDATE(Main!B3,38),"dd mmmm yyyy"),TEXT(Main!B3+((Main!B5-Main!B3)*38)+38,"dd mmmm yyyy")) &amp; " - "  &amp; IF(Main!B2,TEXT(EDATE(Main!B3,39) - 1,"dd mmmm yyyy"),TEXT(Main!B3+((Main!B5-Main!B3)*39+38),"dd mmmm yyyy"))</f>
        <v>11 June 2028 - 10 July 2028</v>
      </c>
      <c r="J41" s="69">
        <f>Forecast_13!E190</f>
        <v>0</v>
      </c>
    </row>
    <row r="42" spans="1:10" ht="24.75" customHeight="1">
      <c r="A42" s="4"/>
      <c r="B42" s="114"/>
      <c r="C42" s="115"/>
      <c r="D42" s="116" t="s">
        <v>52</v>
      </c>
      <c r="E42" s="117"/>
      <c r="F42" s="118">
        <f>SUM(F36:G41)</f>
        <v>0</v>
      </c>
      <c r="G42" s="119"/>
      <c r="I42" s="56" t="str">
        <f>IF(Main!B2,TEXT(EDATE(Main!B3,39),"dd mmmm yyyy"),TEXT(Main!B3+((Main!B5-Main!B3)*39)+39,"dd mmmm yyyy")) &amp; " - "  &amp; IF(Main!B2,TEXT(EDATE(Main!B3,40) - 1,"dd mmmm yyyy"),TEXT(Main!B3+((Main!B5-Main!B3)*40+39),"dd mmmm yyyy"))</f>
        <v>11 July 2028 - 10 August 2028</v>
      </c>
      <c r="J42" s="69">
        <f>Forecast_14!E136</f>
        <v>0</v>
      </c>
    </row>
    <row r="43" spans="1:10" ht="24.75" customHeight="1">
      <c r="I43" s="56" t="str">
        <f>IF(Main!B2,TEXT(EDATE(Main!B3,40),"dd mmmm yyyy"),TEXT(Main!B3+((Main!B5-Main!B3)*40)+40,"dd mmmm yyyy")) &amp; " - "  &amp; IF(Main!B2,TEXT(EDATE(Main!B3,41) - 1,"dd mmmm yyyy"),TEXT(Main!B3+((Main!B5-Main!B3)*41+40),"dd mmmm yyyy"))</f>
        <v>11 August 2028 - 10 September 2028</v>
      </c>
      <c r="J43" s="69">
        <f>Forecast_14!E163</f>
        <v>0</v>
      </c>
    </row>
    <row r="44" spans="1:10" ht="24.75" customHeight="1">
      <c r="I44" s="56" t="str">
        <f>IF(Main!B2,TEXT(EDATE(Main!B3,41),"dd mmmm yyyy"),TEXT(Main!B3+((Main!B5-Main!B3)*41)+41,"dd mmmm yyyy")) &amp; " - "  &amp; IF(Main!B2,TEXT(EDATE(Main!B3,42) - 1,"dd mmmm yyyy"),TEXT(Main!B3+((Main!B5-Main!B3)*42+41),"dd mmmm yyyy"))</f>
        <v>11 September 2028 - 10 October 2028</v>
      </c>
      <c r="J44" s="69">
        <f>Forecast_14!E190</f>
        <v>0</v>
      </c>
    </row>
    <row r="45" spans="1:10" ht="24.75" customHeight="1">
      <c r="I45" s="56" t="str">
        <f>IF(Main!B2,TEXT(EDATE(Main!B3,42),"dd mmmm yyyy"),TEXT(Main!B3+((Main!B5-Main!B3)*42)+42,"dd mmmm yyyy")) &amp; " - "  &amp; IF(Main!B2,TEXT(EDATE(Main!B3,43) - 1,"dd mmmm yyyy"),TEXT(Main!B3+((Main!B5-Main!B3)*43+42),"dd mmmm yyyy"))</f>
        <v>11 October 2028 - 10 November 2028</v>
      </c>
      <c r="J45" s="69">
        <f>Forecast_15!E136</f>
        <v>0</v>
      </c>
    </row>
    <row r="46" spans="1:10" ht="24.75" customHeight="1">
      <c r="A46" s="132" t="str">
        <f>IF(Main!B2,TEXT(EDATE(Main!B3,2),"dd mmmm yyyy"),TEXT(Main!B3+((Main!B5-Main!B3)*2)+2,"dd mmmm yyyy")) &amp; " - " &amp; IF(Main!B2,TEXT(EDATE(Main!B3,3) - 1,"dd mmmm yyyy"),TEXT(Main!B3+((Main!B5-Main!B3)*3+2),"dd mmmm yyyy")) &amp; " (Revenue / Deferred Debts Or Expenses)"</f>
        <v>11 June 2025 - 10 July 2025 (Revenue / Deferred Debts Or Expenses)</v>
      </c>
      <c r="B46" s="133"/>
      <c r="C46" s="133"/>
      <c r="D46" s="133"/>
      <c r="E46" s="133"/>
      <c r="F46" s="133"/>
      <c r="G46" s="133"/>
      <c r="I46" s="56" t="str">
        <f>IF(Main!B2,TEXT(EDATE(Main!B3,43),"dd mmmm yyyy"),TEXT(Main!B3+((Main!B5-Main!B3)*43)+43,"dd mmmm yyyy")) &amp; " - "  &amp; IF(Main!B2,TEXT(EDATE(Main!B3,44) - 1,"dd mmmm yyyy"),TEXT(Main!B3+((Main!B5-Main!B3)*44+43),"dd mmmm yyyy"))</f>
        <v>11 November 2028 - 10 December 2028</v>
      </c>
      <c r="J46" s="69">
        <f>Forecast_15!E163</f>
        <v>0</v>
      </c>
    </row>
    <row r="47" spans="1:10" ht="24.75" customHeight="1">
      <c r="A47" s="81" t="s">
        <v>27</v>
      </c>
      <c r="B47" s="120" t="s">
        <v>46</v>
      </c>
      <c r="C47" s="120"/>
      <c r="D47" s="121" t="s">
        <v>47</v>
      </c>
      <c r="E47" s="121"/>
      <c r="F47" s="121" t="s">
        <v>48</v>
      </c>
      <c r="G47" s="121"/>
      <c r="I47" s="56" t="str">
        <f>IF(Main!B2,TEXT(EDATE(Main!B3,44),"dd mmmm yyyy"),TEXT(Main!B3+((Main!B5-Main!B3)*44)+44,"dd mmmm yyyy")) &amp; " - "  &amp; IF(Main!B2,TEXT(EDATE(Main!B3,45) - 1,"dd mmmm yyyy"),TEXT(Main!B3+((Main!B5-Main!B3)*45+44),"dd mmmm yyyy"))</f>
        <v>11 December 2028 - 10 January 2029</v>
      </c>
      <c r="J47" s="69">
        <f>Forecast_15!E190</f>
        <v>0</v>
      </c>
    </row>
    <row r="48" spans="1:10" ht="24.75" customHeight="1">
      <c r="A48" s="2" t="s">
        <v>56</v>
      </c>
      <c r="B48" s="122" t="s">
        <v>54</v>
      </c>
      <c r="C48" s="122"/>
      <c r="D48" s="122" t="s">
        <v>55</v>
      </c>
      <c r="E48" s="122"/>
      <c r="F48" s="123">
        <v>0</v>
      </c>
      <c r="G48" s="124"/>
      <c r="I48" s="56" t="str">
        <f>IF(Main!B2,TEXT(EDATE(Main!B3,45),"dd mmmm yyyy"),TEXT(Main!B3+((Main!B5-Main!B3)*45)+45,"dd mmmm yyyy")) &amp; " - "  &amp; IF(Main!B2,TEXT(EDATE(Main!B3,46) - 1,"dd mmmm yyyy"),TEXT(Main!B3+((Main!B5-Main!B3)*46+45),"dd mmmm yyyy"))</f>
        <v>11 January 2029 - 10 February 2029</v>
      </c>
      <c r="J48" s="69">
        <f>Forecast_16!E136</f>
        <v>0</v>
      </c>
    </row>
    <row r="49" spans="1:10" ht="24.75" customHeight="1">
      <c r="A49" s="2"/>
      <c r="B49" s="125" t="s">
        <v>40</v>
      </c>
      <c r="C49" s="126"/>
      <c r="D49" s="127"/>
      <c r="E49" s="128"/>
      <c r="F49" s="123">
        <v>0</v>
      </c>
      <c r="G49" s="124"/>
      <c r="I49" s="56" t="str">
        <f>IF(Main!B2,TEXT(EDATE(Main!B3,46),"dd mmmm yyyy"),TEXT(Main!B3+((Main!B5-Main!B3)*46)+46,"dd mmmm yyyy")) &amp; " - "  &amp; IF(Main!B2,TEXT(EDATE(Main!B3,47) - 1,"dd mmmm yyyy"),TEXT(Main!B3+((Main!B5-Main!B3)*47+46),"dd mmmm yyyy"))</f>
        <v>11 February 2029 - 10 March 2029</v>
      </c>
      <c r="J49" s="69">
        <f>Forecast_16!E163</f>
        <v>0</v>
      </c>
    </row>
    <row r="50" spans="1:10" ht="24.75" customHeight="1">
      <c r="A50" s="2"/>
      <c r="B50" s="125" t="s">
        <v>41</v>
      </c>
      <c r="C50" s="126"/>
      <c r="D50" s="127"/>
      <c r="E50" s="128"/>
      <c r="F50" s="123">
        <v>0</v>
      </c>
      <c r="G50" s="124"/>
      <c r="I50" s="56" t="str">
        <f>IF(Main!B2,TEXT(EDATE(Main!B3,47),"dd mmmm yyyy"),TEXT(Main!B3+((Main!B5-Main!B3)*47)+47,"dd mmmm yyyy")) &amp; " - "  &amp; IF(Main!B2,TEXT(EDATE(Main!B3,48) - 1,"dd mmmm yyyy"),TEXT(Main!B3+((Main!B5-Main!B3)*48+47),"dd mmmm yyyy"))</f>
        <v>11 March 2029 - 10 April 2029</v>
      </c>
      <c r="J50" s="59">
        <f>Forecast_16!E190</f>
        <v>0</v>
      </c>
    </row>
    <row r="51" spans="1:10" ht="24.75" customHeight="1">
      <c r="A51" s="2"/>
      <c r="B51" s="125" t="s">
        <v>42</v>
      </c>
      <c r="C51" s="126"/>
      <c r="D51" s="127"/>
      <c r="E51" s="128"/>
      <c r="F51" s="123">
        <v>0</v>
      </c>
      <c r="G51" s="124"/>
    </row>
    <row r="52" spans="1:10" ht="24.75" customHeight="1">
      <c r="A52" s="2"/>
      <c r="B52" s="125" t="s">
        <v>43</v>
      </c>
      <c r="C52" s="126"/>
      <c r="D52" s="127"/>
      <c r="E52" s="128"/>
      <c r="F52" s="123">
        <v>0</v>
      </c>
      <c r="G52" s="124"/>
    </row>
    <row r="53" spans="1:10" ht="24.75" customHeight="1">
      <c r="A53" s="2"/>
      <c r="B53" s="125" t="s">
        <v>44</v>
      </c>
      <c r="C53" s="126"/>
      <c r="D53" s="127"/>
      <c r="E53" s="128"/>
      <c r="F53" s="123">
        <v>0</v>
      </c>
      <c r="G53" s="124"/>
    </row>
    <row r="54" spans="1:10" ht="24.75" customHeight="1">
      <c r="A54" s="4"/>
      <c r="B54" s="114"/>
      <c r="C54" s="115"/>
      <c r="D54" s="116" t="s">
        <v>52</v>
      </c>
      <c r="E54" s="117"/>
      <c r="F54" s="118">
        <f>SUM(F48:G53)</f>
        <v>0</v>
      </c>
      <c r="G54" s="119"/>
    </row>
    <row r="55" spans="1:10" ht="24.75" customHeight="1"/>
    <row r="58" spans="1:10" ht="18">
      <c r="A58" s="142" t="str">
        <f>"Fixed Expense For the Year " &amp; TEXT(Main!B3,"mmmm yyyy") &amp; " - " &amp; IF(Main!B2,TEXT(EDATE(Main!B3,3) - 1,"mmmm yyyy"),TEXT(Main!B3+((Main!B5-Main!B3)*3+2),"mmmm yyyy"))</f>
        <v>Fixed Expense For the Year April 2025 - July 2025</v>
      </c>
      <c r="B58" s="143"/>
      <c r="C58" s="144"/>
    </row>
    <row r="59" spans="1:10" ht="18">
      <c r="A59" s="16" t="s">
        <v>46</v>
      </c>
      <c r="B59" s="16" t="s">
        <v>47</v>
      </c>
      <c r="C59" s="17" t="s">
        <v>48</v>
      </c>
    </row>
    <row r="60" spans="1:10" ht="15.75">
      <c r="A60" s="129" t="s">
        <v>57</v>
      </c>
      <c r="B60" s="130"/>
      <c r="C60" s="131"/>
    </row>
    <row r="61" spans="1:10" ht="15.75">
      <c r="A61" s="18" t="s">
        <v>58</v>
      </c>
      <c r="B61" s="19"/>
      <c r="C61" s="20">
        <v>0</v>
      </c>
    </row>
    <row r="62" spans="1:10" ht="15.75">
      <c r="A62" s="18" t="s">
        <v>59</v>
      </c>
      <c r="B62" s="19"/>
      <c r="C62" s="20">
        <v>0</v>
      </c>
    </row>
    <row r="63" spans="1:10" ht="21" customHeight="1">
      <c r="A63" s="33" t="s">
        <v>60</v>
      </c>
      <c r="B63" s="19"/>
      <c r="C63" s="20">
        <v>0</v>
      </c>
    </row>
    <row r="64" spans="1:10" ht="15.75">
      <c r="A64" s="18" t="s">
        <v>40</v>
      </c>
      <c r="B64" s="32"/>
      <c r="C64" s="20">
        <v>0</v>
      </c>
    </row>
    <row r="65" spans="1:3" ht="15.75">
      <c r="A65" s="35" t="s">
        <v>41</v>
      </c>
      <c r="B65" s="32"/>
      <c r="C65" s="20">
        <v>0</v>
      </c>
    </row>
    <row r="66" spans="1:3" ht="15.75">
      <c r="A66" s="35" t="s">
        <v>42</v>
      </c>
      <c r="B66" s="32"/>
      <c r="C66" s="20">
        <v>0</v>
      </c>
    </row>
    <row r="67" spans="1:3" ht="15.75">
      <c r="A67" s="35" t="s">
        <v>43</v>
      </c>
      <c r="B67" s="32"/>
      <c r="C67" s="20">
        <v>0</v>
      </c>
    </row>
    <row r="68" spans="1:3" ht="15.75">
      <c r="A68" s="35" t="s">
        <v>44</v>
      </c>
      <c r="B68" s="32"/>
      <c r="C68" s="20">
        <v>0</v>
      </c>
    </row>
    <row r="69" spans="1:3" ht="15.75">
      <c r="A69" s="34"/>
      <c r="B69" s="26" t="s">
        <v>61</v>
      </c>
      <c r="C69" s="20">
        <f>SUM(C61:C68)</f>
        <v>0</v>
      </c>
    </row>
    <row r="70" spans="1:3" ht="15.75">
      <c r="A70" s="129" t="s">
        <v>62</v>
      </c>
      <c r="B70" s="130"/>
      <c r="C70" s="131"/>
    </row>
    <row r="71" spans="1:3" ht="15.75">
      <c r="A71" s="18" t="s">
        <v>63</v>
      </c>
      <c r="B71" s="19"/>
      <c r="C71" s="20">
        <v>0</v>
      </c>
    </row>
    <row r="72" spans="1:3" ht="15.75">
      <c r="A72" s="18" t="s">
        <v>64</v>
      </c>
      <c r="B72" s="19"/>
      <c r="C72" s="20">
        <v>0</v>
      </c>
    </row>
    <row r="73" spans="1:3" ht="15.75">
      <c r="A73" s="18" t="s">
        <v>65</v>
      </c>
      <c r="B73" s="19"/>
      <c r="C73" s="20">
        <v>0</v>
      </c>
    </row>
    <row r="74" spans="1:3" ht="15.75">
      <c r="A74" s="18" t="s">
        <v>66</v>
      </c>
      <c r="B74" s="19"/>
      <c r="C74" s="20">
        <v>0</v>
      </c>
    </row>
    <row r="75" spans="1:3" ht="15.75">
      <c r="A75" s="18" t="s">
        <v>40</v>
      </c>
      <c r="B75" s="19"/>
      <c r="C75" s="20">
        <v>0</v>
      </c>
    </row>
    <row r="76" spans="1:3" ht="15.75">
      <c r="A76" s="18" t="s">
        <v>41</v>
      </c>
      <c r="B76" s="19"/>
      <c r="C76" s="20">
        <v>0</v>
      </c>
    </row>
    <row r="77" spans="1:3" ht="15.75">
      <c r="A77" s="18" t="s">
        <v>42</v>
      </c>
      <c r="B77" s="19"/>
      <c r="C77" s="20">
        <v>0</v>
      </c>
    </row>
    <row r="78" spans="1:3" ht="15.75">
      <c r="A78" s="18" t="s">
        <v>43</v>
      </c>
      <c r="B78" s="19"/>
      <c r="C78" s="20">
        <v>0</v>
      </c>
    </row>
    <row r="79" spans="1:3" ht="15.75">
      <c r="A79" s="18" t="s">
        <v>44</v>
      </c>
      <c r="B79" s="19"/>
      <c r="C79" s="20">
        <v>0</v>
      </c>
    </row>
    <row r="80" spans="1:3" ht="15.75">
      <c r="A80" s="21"/>
      <c r="B80" s="22" t="s">
        <v>61</v>
      </c>
      <c r="C80" s="20">
        <f>SUM(C71:C79)</f>
        <v>0</v>
      </c>
    </row>
    <row r="81" spans="1:3" ht="15.75">
      <c r="A81" s="129" t="s">
        <v>67</v>
      </c>
      <c r="B81" s="130"/>
      <c r="C81" s="131"/>
    </row>
    <row r="82" spans="1:3" ht="28.5">
      <c r="A82" s="18" t="s">
        <v>68</v>
      </c>
      <c r="B82" s="19" t="s">
        <v>69</v>
      </c>
      <c r="C82" s="28">
        <v>0</v>
      </c>
    </row>
    <row r="83" spans="1:3">
      <c r="A83" s="18" t="s">
        <v>70</v>
      </c>
      <c r="B83" s="19" t="s">
        <v>71</v>
      </c>
      <c r="C83" s="28">
        <v>0</v>
      </c>
    </row>
    <row r="84" spans="1:3">
      <c r="A84" s="18" t="s">
        <v>40</v>
      </c>
      <c r="B84" s="19"/>
      <c r="C84" s="28">
        <v>0</v>
      </c>
    </row>
    <row r="85" spans="1:3">
      <c r="A85" s="18" t="s">
        <v>41</v>
      </c>
      <c r="B85" s="19"/>
      <c r="C85" s="28">
        <v>0</v>
      </c>
    </row>
    <row r="86" spans="1:3">
      <c r="A86" s="18" t="s">
        <v>42</v>
      </c>
      <c r="B86" s="19"/>
      <c r="C86" s="28">
        <v>0</v>
      </c>
    </row>
    <row r="87" spans="1:3">
      <c r="A87" s="18" t="s">
        <v>43</v>
      </c>
      <c r="B87" s="19"/>
      <c r="C87" s="28">
        <v>0</v>
      </c>
    </row>
    <row r="88" spans="1:3">
      <c r="A88" s="18" t="s">
        <v>44</v>
      </c>
      <c r="B88" s="19"/>
      <c r="C88" s="28">
        <v>0</v>
      </c>
    </row>
    <row r="89" spans="1:3">
      <c r="A89" s="21"/>
      <c r="B89" s="22" t="s">
        <v>61</v>
      </c>
      <c r="C89" s="28">
        <f>SUM(C82:C88)</f>
        <v>0</v>
      </c>
    </row>
    <row r="90" spans="1:3" ht="15.75">
      <c r="A90" s="129" t="s">
        <v>72</v>
      </c>
      <c r="B90" s="130"/>
      <c r="C90" s="131"/>
    </row>
    <row r="91" spans="1:3" ht="15.75">
      <c r="A91" s="24" t="s">
        <v>73</v>
      </c>
      <c r="B91" s="25" t="s">
        <v>74</v>
      </c>
      <c r="C91" s="20">
        <v>0</v>
      </c>
    </row>
    <row r="92" spans="1:3" ht="15.75">
      <c r="A92" s="18" t="s">
        <v>75</v>
      </c>
      <c r="B92" s="19"/>
      <c r="C92" s="20">
        <v>0</v>
      </c>
    </row>
    <row r="93" spans="1:3" ht="20.25" customHeight="1">
      <c r="A93" s="18" t="s">
        <v>76</v>
      </c>
      <c r="B93" s="19"/>
      <c r="C93" s="20">
        <v>0</v>
      </c>
    </row>
    <row r="94" spans="1:3" ht="15.75" customHeight="1">
      <c r="A94" s="18" t="s">
        <v>40</v>
      </c>
      <c r="B94" s="19"/>
      <c r="C94" s="20">
        <v>0</v>
      </c>
    </row>
    <row r="95" spans="1:3" ht="15.75">
      <c r="A95" s="18" t="s">
        <v>41</v>
      </c>
      <c r="B95" s="19"/>
      <c r="C95" s="20">
        <v>0</v>
      </c>
    </row>
    <row r="96" spans="1:3" ht="15.75">
      <c r="A96" s="18" t="s">
        <v>42</v>
      </c>
      <c r="B96" s="19"/>
      <c r="C96" s="20">
        <v>0</v>
      </c>
    </row>
    <row r="97" spans="1:8" ht="15.75">
      <c r="A97" s="18" t="s">
        <v>43</v>
      </c>
      <c r="B97" s="19"/>
      <c r="C97" s="20">
        <v>0</v>
      </c>
    </row>
    <row r="98" spans="1:8" ht="15.75">
      <c r="A98" s="18" t="s">
        <v>44</v>
      </c>
      <c r="B98" s="19"/>
      <c r="C98" s="20">
        <v>0</v>
      </c>
    </row>
    <row r="99" spans="1:8">
      <c r="A99" s="23"/>
      <c r="B99" s="26" t="s">
        <v>61</v>
      </c>
      <c r="C99" s="28">
        <f>SUM(C91:C98)</f>
        <v>0</v>
      </c>
    </row>
    <row r="100" spans="1:8" ht="15.75">
      <c r="A100" s="129" t="s">
        <v>77</v>
      </c>
      <c r="B100" s="130"/>
      <c r="C100" s="131"/>
    </row>
    <row r="101" spans="1:8" ht="28.5">
      <c r="A101" s="18" t="s">
        <v>78</v>
      </c>
      <c r="B101" s="19"/>
      <c r="C101" s="20">
        <v>0</v>
      </c>
    </row>
    <row r="102" spans="1:8" ht="15.75">
      <c r="A102" s="27" t="s">
        <v>79</v>
      </c>
      <c r="B102" s="19"/>
      <c r="C102" s="20">
        <v>0</v>
      </c>
    </row>
    <row r="103" spans="1:8" ht="15.75">
      <c r="A103" s="18" t="s">
        <v>80</v>
      </c>
      <c r="B103" s="19"/>
      <c r="C103" s="20">
        <v>0</v>
      </c>
    </row>
    <row r="104" spans="1:8" ht="28.5">
      <c r="A104" s="18" t="s">
        <v>81</v>
      </c>
      <c r="B104" s="19" t="s">
        <v>82</v>
      </c>
      <c r="C104" s="20">
        <v>0</v>
      </c>
    </row>
    <row r="105" spans="1:8" ht="28.5">
      <c r="A105" s="18" t="s">
        <v>83</v>
      </c>
      <c r="B105" s="19" t="s">
        <v>84</v>
      </c>
      <c r="C105" s="20">
        <v>0</v>
      </c>
    </row>
    <row r="106" spans="1:8" ht="15.75">
      <c r="A106" s="18" t="s">
        <v>42</v>
      </c>
      <c r="B106" s="19"/>
      <c r="C106" s="20">
        <v>0</v>
      </c>
    </row>
    <row r="107" spans="1:8" ht="15.75">
      <c r="A107" s="18" t="s">
        <v>43</v>
      </c>
      <c r="B107" s="19"/>
      <c r="C107" s="20">
        <v>0</v>
      </c>
    </row>
    <row r="108" spans="1:8" ht="15.75">
      <c r="A108" s="18" t="s">
        <v>44</v>
      </c>
      <c r="B108" s="19"/>
      <c r="C108" s="20">
        <v>0</v>
      </c>
    </row>
    <row r="109" spans="1:8" ht="15.75">
      <c r="A109" s="27"/>
      <c r="B109" s="26" t="s">
        <v>61</v>
      </c>
      <c r="C109" s="20">
        <f>SUM(C101:C108)</f>
        <v>0</v>
      </c>
    </row>
    <row r="110" spans="1:8" ht="15.75">
      <c r="A110" s="23"/>
      <c r="B110" s="26" t="s">
        <v>85</v>
      </c>
      <c r="C110" s="20">
        <f>C69+C80+C89+C99+C109</f>
        <v>0</v>
      </c>
    </row>
    <row r="111" spans="1:8" ht="15.75">
      <c r="A111" s="129" t="s">
        <v>86</v>
      </c>
      <c r="B111" s="130"/>
      <c r="C111" s="131"/>
    </row>
    <row r="112" spans="1:8">
      <c r="A112" s="27" t="s">
        <v>40</v>
      </c>
      <c r="B112" s="19"/>
      <c r="C112" s="28">
        <v>0</v>
      </c>
      <c r="D112" s="44"/>
      <c r="E112" s="49"/>
      <c r="F112" s="44"/>
      <c r="G112" s="44"/>
      <c r="H112" s="44"/>
    </row>
    <row r="113" spans="1:8">
      <c r="A113" s="27" t="s">
        <v>41</v>
      </c>
      <c r="B113" s="19"/>
      <c r="C113" s="28">
        <v>0</v>
      </c>
      <c r="D113" s="44"/>
      <c r="E113" s="44"/>
      <c r="F113" s="44"/>
      <c r="G113" s="44"/>
      <c r="H113" s="44"/>
    </row>
    <row r="114" spans="1:8">
      <c r="A114" s="27" t="s">
        <v>42</v>
      </c>
      <c r="B114" s="19"/>
      <c r="C114" s="28">
        <v>0</v>
      </c>
      <c r="D114" s="44"/>
      <c r="E114" s="44"/>
      <c r="F114" s="44"/>
      <c r="G114" s="44"/>
      <c r="H114" s="44"/>
    </row>
    <row r="115" spans="1:8">
      <c r="A115" s="18" t="s">
        <v>43</v>
      </c>
      <c r="B115" s="19"/>
      <c r="C115" s="28">
        <v>0</v>
      </c>
      <c r="D115" s="44"/>
      <c r="E115" s="44"/>
      <c r="F115" s="44"/>
      <c r="G115" s="44"/>
      <c r="H115" s="44"/>
    </row>
    <row r="116" spans="1:8">
      <c r="A116" s="18" t="s">
        <v>44</v>
      </c>
      <c r="B116" s="19"/>
      <c r="C116" s="28">
        <v>0</v>
      </c>
      <c r="D116" s="44"/>
      <c r="E116" s="44"/>
      <c r="F116" s="44"/>
      <c r="G116" s="44"/>
      <c r="H116" s="44"/>
    </row>
    <row r="117" spans="1:8">
      <c r="A117" s="18" t="s">
        <v>87</v>
      </c>
      <c r="B117" s="19"/>
      <c r="C117" s="28">
        <v>0</v>
      </c>
      <c r="D117" s="44"/>
      <c r="E117" s="44"/>
      <c r="F117" s="44"/>
      <c r="G117" s="44"/>
      <c r="H117" s="44"/>
    </row>
    <row r="118" spans="1:8">
      <c r="A118" s="18" t="s">
        <v>88</v>
      </c>
      <c r="B118" s="19"/>
      <c r="C118" s="28">
        <v>0</v>
      </c>
      <c r="D118" s="44"/>
      <c r="E118" s="44"/>
      <c r="F118" s="44"/>
      <c r="G118" s="44"/>
      <c r="H118" s="44"/>
    </row>
    <row r="119" spans="1:8">
      <c r="A119" s="18" t="s">
        <v>89</v>
      </c>
      <c r="B119" s="19"/>
      <c r="C119" s="28">
        <v>0</v>
      </c>
      <c r="D119" s="44"/>
      <c r="E119" s="44"/>
      <c r="F119" s="44"/>
      <c r="G119" s="44"/>
      <c r="H119" s="44"/>
    </row>
    <row r="120" spans="1:8">
      <c r="A120" s="18" t="s">
        <v>90</v>
      </c>
      <c r="B120" s="19"/>
      <c r="C120" s="28">
        <v>0</v>
      </c>
      <c r="D120" s="44"/>
      <c r="E120" s="44"/>
      <c r="F120" s="44"/>
      <c r="G120" s="44"/>
      <c r="H120" s="44"/>
    </row>
    <row r="121" spans="1:8">
      <c r="A121" s="18" t="s">
        <v>91</v>
      </c>
      <c r="B121" s="19"/>
      <c r="C121" s="28">
        <v>0</v>
      </c>
      <c r="D121" s="44"/>
      <c r="E121" s="44"/>
      <c r="F121" s="44"/>
      <c r="G121" s="44"/>
      <c r="H121" s="44"/>
    </row>
    <row r="122" spans="1:8" ht="15.75">
      <c r="A122" s="21"/>
      <c r="B122" s="22" t="s">
        <v>92</v>
      </c>
      <c r="C122" s="20">
        <f>SUM(C112:C121)</f>
        <v>0</v>
      </c>
    </row>
    <row r="123" spans="1:8" ht="15.75">
      <c r="A123" s="21"/>
      <c r="B123" s="22" t="s">
        <v>93</v>
      </c>
      <c r="C123" s="20">
        <f>ABS(C110+ABS(C122))</f>
        <v>0</v>
      </c>
    </row>
    <row r="124" spans="1:8">
      <c r="E124" s="36"/>
    </row>
    <row r="125" spans="1:8">
      <c r="E125" s="36"/>
    </row>
    <row r="127" spans="1:8" ht="45" customHeight="1"/>
    <row r="128" spans="1:8" ht="45" customHeight="1">
      <c r="A128" s="99" t="str">
        <f>"Debts Or Credits For the Comming " &amp; TEXT(Main!B3,"mmmm dd yyyy") &amp; " to " &amp; IF(Main!B2,TEXT(EDATE(Main!B3,1)-1,"mmmm dd yyyy"),TEXT(Main!B3+Main!B5-Main!B3,"dd mmmm yyyy"))</f>
        <v>Debts Or Credits For the Comming April 11 2025 to May 10 2025</v>
      </c>
      <c r="B128" s="100"/>
      <c r="C128" s="100"/>
      <c r="D128" s="100"/>
      <c r="E128" s="101"/>
    </row>
    <row r="129" spans="1:8" ht="45" customHeight="1">
      <c r="A129" s="99" t="s">
        <v>94</v>
      </c>
      <c r="B129" s="101"/>
      <c r="C129" s="99" t="s">
        <v>47</v>
      </c>
      <c r="D129" s="101"/>
      <c r="E129" s="29" t="s">
        <v>48</v>
      </c>
    </row>
    <row r="130" spans="1:8" ht="24.75" customHeight="1">
      <c r="A130" s="106" t="s">
        <v>95</v>
      </c>
      <c r="B130" s="107"/>
      <c r="C130" s="157" t="s">
        <v>96</v>
      </c>
      <c r="D130" s="149"/>
      <c r="E130" s="42"/>
    </row>
    <row r="131" spans="1:8" ht="24.75" customHeight="1">
      <c r="A131" s="108"/>
      <c r="B131" s="109"/>
      <c r="C131" s="104" t="s">
        <v>97</v>
      </c>
      <c r="D131" s="105"/>
      <c r="E131" s="28">
        <v>0</v>
      </c>
      <c r="F131" s="44"/>
      <c r="G131" s="44"/>
      <c r="H131" s="44"/>
    </row>
    <row r="132" spans="1:8" ht="24.75" customHeight="1">
      <c r="A132" s="108"/>
      <c r="B132" s="109"/>
      <c r="C132" s="104" t="s">
        <v>98</v>
      </c>
      <c r="D132" s="105"/>
      <c r="E132" s="28">
        <v>0</v>
      </c>
      <c r="F132" s="44"/>
      <c r="G132" s="44"/>
      <c r="H132" s="44"/>
    </row>
    <row r="133" spans="1:8" ht="24.75" customHeight="1">
      <c r="A133" s="108"/>
      <c r="B133" s="109"/>
      <c r="C133" s="104" t="s">
        <v>99</v>
      </c>
      <c r="D133" s="105"/>
      <c r="E133" s="28">
        <v>0</v>
      </c>
      <c r="F133" s="44"/>
      <c r="G133" s="44"/>
      <c r="H133" s="44"/>
    </row>
    <row r="134" spans="1:8" ht="24.75" customHeight="1">
      <c r="A134" s="108"/>
      <c r="B134" s="109"/>
      <c r="C134" s="104" t="s">
        <v>100</v>
      </c>
      <c r="D134" s="105"/>
      <c r="E134" s="28">
        <v>0</v>
      </c>
      <c r="F134" s="44"/>
      <c r="G134" s="44"/>
      <c r="H134" s="44"/>
    </row>
    <row r="135" spans="1:8" ht="24.75" customHeight="1">
      <c r="A135" s="108"/>
      <c r="B135" s="109"/>
      <c r="C135" s="104" t="s">
        <v>101</v>
      </c>
      <c r="D135" s="105"/>
      <c r="E135" s="28">
        <v>0</v>
      </c>
      <c r="F135" s="44"/>
      <c r="G135" s="44"/>
      <c r="H135" s="44"/>
    </row>
    <row r="136" spans="1:8" ht="24.75" customHeight="1">
      <c r="A136" s="108"/>
      <c r="B136" s="109"/>
      <c r="C136" s="104" t="s">
        <v>102</v>
      </c>
      <c r="D136" s="105"/>
      <c r="E136" s="28">
        <v>0</v>
      </c>
      <c r="F136" s="44"/>
      <c r="G136" s="44"/>
      <c r="H136" s="44"/>
    </row>
    <row r="137" spans="1:8" ht="24.75" customHeight="1">
      <c r="A137" s="108"/>
      <c r="B137" s="109"/>
      <c r="C137" s="104" t="s">
        <v>103</v>
      </c>
      <c r="D137" s="105"/>
      <c r="E137" s="28">
        <v>0</v>
      </c>
      <c r="F137" s="44"/>
      <c r="G137" s="44"/>
      <c r="H137" s="44"/>
    </row>
    <row r="138" spans="1:8" ht="24.75" customHeight="1">
      <c r="A138" s="108"/>
      <c r="B138" s="109"/>
      <c r="C138" s="104" t="s">
        <v>104</v>
      </c>
      <c r="D138" s="105"/>
      <c r="E138" s="28">
        <v>0</v>
      </c>
      <c r="F138" s="44"/>
      <c r="G138" s="44"/>
      <c r="H138" s="44"/>
    </row>
    <row r="139" spans="1:8" ht="24.75" customHeight="1">
      <c r="A139" s="108"/>
      <c r="B139" s="109"/>
      <c r="C139" s="104" t="s">
        <v>105</v>
      </c>
      <c r="D139" s="105"/>
      <c r="E139" s="28">
        <v>0</v>
      </c>
      <c r="F139" s="44"/>
      <c r="G139" s="44"/>
      <c r="H139" s="44"/>
    </row>
    <row r="140" spans="1:8" ht="24.75" customHeight="1">
      <c r="A140" s="108"/>
      <c r="B140" s="109"/>
      <c r="C140" s="104" t="s">
        <v>106</v>
      </c>
      <c r="D140" s="105"/>
      <c r="E140" s="28">
        <v>0</v>
      </c>
      <c r="F140" s="44"/>
      <c r="G140" s="44"/>
      <c r="H140" s="44"/>
    </row>
    <row r="141" spans="1:8" ht="24.75" customHeight="1">
      <c r="A141" s="108"/>
      <c r="B141" s="109"/>
      <c r="C141" s="148" t="s">
        <v>107</v>
      </c>
      <c r="D141" s="149"/>
      <c r="E141" s="42"/>
    </row>
    <row r="142" spans="1:8" ht="45" customHeight="1">
      <c r="A142" s="108"/>
      <c r="B142" s="109"/>
      <c r="C142" s="150" t="s">
        <v>108</v>
      </c>
      <c r="D142" s="151"/>
      <c r="E142" s="30">
        <v>0</v>
      </c>
    </row>
    <row r="143" spans="1:8" ht="24.75" customHeight="1">
      <c r="A143" s="108"/>
      <c r="B143" s="109"/>
      <c r="C143" s="104" t="s">
        <v>97</v>
      </c>
      <c r="D143" s="105"/>
      <c r="E143" s="30">
        <v>0</v>
      </c>
    </row>
    <row r="144" spans="1:8" ht="24.75" customHeight="1">
      <c r="A144" s="108"/>
      <c r="B144" s="109"/>
      <c r="C144" s="104" t="s">
        <v>98</v>
      </c>
      <c r="D144" s="105"/>
      <c r="E144" s="30">
        <v>0</v>
      </c>
    </row>
    <row r="145" spans="1:8" ht="24" customHeight="1">
      <c r="A145" s="108"/>
      <c r="B145" s="109"/>
      <c r="C145" s="104" t="s">
        <v>99</v>
      </c>
      <c r="D145" s="105"/>
      <c r="E145" s="30">
        <v>0</v>
      </c>
    </row>
    <row r="146" spans="1:8" ht="24.75" customHeight="1">
      <c r="A146" s="108"/>
      <c r="B146" s="109"/>
      <c r="C146" s="104" t="s">
        <v>100</v>
      </c>
      <c r="D146" s="105"/>
      <c r="E146" s="30">
        <v>0</v>
      </c>
    </row>
    <row r="147" spans="1:8" ht="24.75" customHeight="1">
      <c r="A147" s="110"/>
      <c r="B147" s="111"/>
      <c r="C147" s="104" t="s">
        <v>101</v>
      </c>
      <c r="D147" s="105"/>
      <c r="E147" s="30">
        <v>0</v>
      </c>
    </row>
    <row r="148" spans="1:8" ht="24.75" customHeight="1">
      <c r="A148" s="96" t="s">
        <v>109</v>
      </c>
      <c r="B148" s="152"/>
      <c r="C148" s="153"/>
      <c r="D148" s="154"/>
      <c r="E148" s="30">
        <f>C110</f>
        <v>0</v>
      </c>
    </row>
    <row r="149" spans="1:8" ht="45" customHeight="1">
      <c r="A149" s="145"/>
      <c r="B149" s="146"/>
      <c r="C149" s="147" t="s">
        <v>110</v>
      </c>
      <c r="D149" s="147"/>
      <c r="E149" s="31">
        <f>F30-(SUM(E131:E140)+SUM(E142:E148))</f>
        <v>0</v>
      </c>
    </row>
    <row r="150" spans="1:8" ht="21.75" customHeight="1"/>
    <row r="154" spans="1:8" ht="24.75" customHeight="1">
      <c r="A154" s="99" t="str">
        <f>"Debts Or Credits For the Comming " &amp; IF(Main!B2,TEXT(EDATE(Main!B3,1),"mmmm dd yyyy"),TEXT(Main!B3+(Main!B5-Main!B3)+1,"mmmm dd yyyy")) &amp; " to " &amp; IF(Main!B2,TEXT(EDATE(Main!B3,2) - 1,"dd mmmm yyyy"),TEXT(Main!B3+(Main!B5-Main!B3)*2+1,"dd mmmm yyyy"))</f>
        <v>Debts Or Credits For the Comming May 11 2025 to 10 June 2025</v>
      </c>
      <c r="B154" s="100"/>
      <c r="C154" s="100"/>
      <c r="D154" s="100"/>
      <c r="E154" s="101"/>
    </row>
    <row r="155" spans="1:8" ht="24.75" customHeight="1">
      <c r="A155" s="99" t="s">
        <v>94</v>
      </c>
      <c r="B155" s="101"/>
      <c r="C155" s="102" t="s">
        <v>47</v>
      </c>
      <c r="D155" s="103"/>
      <c r="E155" s="39" t="s">
        <v>48</v>
      </c>
    </row>
    <row r="156" spans="1:8" ht="24.75" customHeight="1">
      <c r="A156" s="96" t="str">
        <f>"Balance Brought Forward From " &amp; IF(Main!B2,TEXT(EDATE(Main!B3,1)-1,"mmmm yyyy"),TEXT(Main!B3+Main!B5-Main!B3,"mmmm yyyy"))</f>
        <v>Balance Brought Forward From May 2025</v>
      </c>
      <c r="B156" s="97"/>
      <c r="C156" s="98"/>
      <c r="D156" s="98"/>
      <c r="E156" s="31">
        <f>E149</f>
        <v>0</v>
      </c>
    </row>
    <row r="157" spans="1:8" ht="24.75" customHeight="1">
      <c r="A157" s="106" t="s">
        <v>95</v>
      </c>
      <c r="B157" s="107"/>
      <c r="C157" s="112" t="s">
        <v>96</v>
      </c>
      <c r="D157" s="113"/>
      <c r="E157" s="43"/>
    </row>
    <row r="158" spans="1:8" ht="24.75" customHeight="1">
      <c r="A158" s="108"/>
      <c r="B158" s="109"/>
      <c r="C158" s="104" t="s">
        <v>97</v>
      </c>
      <c r="D158" s="105"/>
      <c r="E158" s="28">
        <v>0</v>
      </c>
      <c r="F158" s="44"/>
      <c r="G158" s="44"/>
      <c r="H158" s="44"/>
    </row>
    <row r="159" spans="1:8" ht="24.75" customHeight="1">
      <c r="A159" s="108"/>
      <c r="B159" s="109"/>
      <c r="C159" s="104" t="s">
        <v>98</v>
      </c>
      <c r="D159" s="105"/>
      <c r="E159" s="28">
        <v>0</v>
      </c>
      <c r="F159" s="44"/>
      <c r="G159" s="44"/>
      <c r="H159" s="44"/>
    </row>
    <row r="160" spans="1:8" ht="24.75" customHeight="1">
      <c r="A160" s="108"/>
      <c r="B160" s="109"/>
      <c r="C160" s="104" t="s">
        <v>99</v>
      </c>
      <c r="D160" s="105"/>
      <c r="E160" s="28">
        <v>0</v>
      </c>
      <c r="F160" s="44"/>
      <c r="G160" s="44"/>
      <c r="H160" s="44"/>
    </row>
    <row r="161" spans="1:8" ht="24.75" customHeight="1">
      <c r="A161" s="108"/>
      <c r="B161" s="109"/>
      <c r="C161" s="104" t="s">
        <v>100</v>
      </c>
      <c r="D161" s="105"/>
      <c r="E161" s="28">
        <v>0</v>
      </c>
      <c r="F161" s="44"/>
      <c r="G161" s="44"/>
      <c r="H161" s="44"/>
    </row>
    <row r="162" spans="1:8" ht="24.75" customHeight="1">
      <c r="A162" s="108"/>
      <c r="B162" s="109"/>
      <c r="C162" s="104" t="s">
        <v>101</v>
      </c>
      <c r="D162" s="105"/>
      <c r="E162" s="28">
        <v>0</v>
      </c>
      <c r="F162" s="44"/>
      <c r="G162" s="44"/>
      <c r="H162" s="44"/>
    </row>
    <row r="163" spans="1:8" ht="24.75" customHeight="1">
      <c r="A163" s="108"/>
      <c r="B163" s="109"/>
      <c r="C163" s="104" t="s">
        <v>102</v>
      </c>
      <c r="D163" s="105"/>
      <c r="E163" s="28">
        <v>0</v>
      </c>
      <c r="F163" s="44"/>
      <c r="G163" s="44"/>
      <c r="H163" s="44"/>
    </row>
    <row r="164" spans="1:8" ht="22.5" customHeight="1">
      <c r="A164" s="108"/>
      <c r="B164" s="109"/>
      <c r="C164" s="104" t="s">
        <v>103</v>
      </c>
      <c r="D164" s="105"/>
      <c r="E164" s="28">
        <v>0</v>
      </c>
      <c r="F164" s="44"/>
      <c r="G164" s="44"/>
      <c r="H164" s="44"/>
    </row>
    <row r="165" spans="1:8" ht="24.75" customHeight="1">
      <c r="A165" s="108"/>
      <c r="B165" s="109"/>
      <c r="C165" s="104" t="s">
        <v>104</v>
      </c>
      <c r="D165" s="105"/>
      <c r="E165" s="28">
        <v>0</v>
      </c>
      <c r="F165" s="44"/>
      <c r="G165" s="44"/>
      <c r="H165" s="44"/>
    </row>
    <row r="166" spans="1:8" ht="24.75" customHeight="1">
      <c r="A166" s="108"/>
      <c r="B166" s="109"/>
      <c r="C166" s="104" t="s">
        <v>105</v>
      </c>
      <c r="D166" s="105"/>
      <c r="E166" s="28">
        <v>0</v>
      </c>
      <c r="F166" s="44"/>
      <c r="G166" s="44"/>
      <c r="H166" s="44"/>
    </row>
    <row r="167" spans="1:8" ht="24.75" customHeight="1">
      <c r="A167" s="108"/>
      <c r="B167" s="109"/>
      <c r="C167" s="104" t="s">
        <v>106</v>
      </c>
      <c r="D167" s="105"/>
      <c r="E167" s="28">
        <v>0</v>
      </c>
      <c r="F167" s="44"/>
      <c r="G167" s="44"/>
      <c r="H167" s="44"/>
    </row>
    <row r="168" spans="1:8" ht="24.75" customHeight="1">
      <c r="A168" s="108"/>
      <c r="B168" s="109"/>
      <c r="C168" s="148" t="s">
        <v>107</v>
      </c>
      <c r="D168" s="149"/>
      <c r="E168" s="42"/>
    </row>
    <row r="169" spans="1:8" ht="24.75" customHeight="1">
      <c r="A169" s="108"/>
      <c r="B169" s="109"/>
      <c r="C169" s="150" t="s">
        <v>111</v>
      </c>
      <c r="D169" s="151"/>
      <c r="E169" s="30">
        <v>0</v>
      </c>
    </row>
    <row r="170" spans="1:8" ht="24.75" customHeight="1">
      <c r="A170" s="108"/>
      <c r="B170" s="109"/>
      <c r="C170" s="104" t="s">
        <v>97</v>
      </c>
      <c r="D170" s="105"/>
      <c r="E170" s="30">
        <v>0</v>
      </c>
    </row>
    <row r="171" spans="1:8" ht="24.75" customHeight="1">
      <c r="A171" s="108"/>
      <c r="B171" s="109"/>
      <c r="C171" s="104" t="s">
        <v>98</v>
      </c>
      <c r="D171" s="105"/>
      <c r="E171" s="30">
        <v>0</v>
      </c>
    </row>
    <row r="172" spans="1:8" ht="24.75" customHeight="1">
      <c r="A172" s="108"/>
      <c r="B172" s="109"/>
      <c r="C172" s="104" t="s">
        <v>99</v>
      </c>
      <c r="D172" s="105"/>
      <c r="E172" s="30">
        <v>0</v>
      </c>
    </row>
    <row r="173" spans="1:8" ht="24.75" customHeight="1">
      <c r="A173" s="108"/>
      <c r="B173" s="109"/>
      <c r="C173" s="104" t="s">
        <v>100</v>
      </c>
      <c r="D173" s="105"/>
      <c r="E173" s="30">
        <v>0</v>
      </c>
    </row>
    <row r="174" spans="1:8" ht="24.75" customHeight="1">
      <c r="A174" s="110"/>
      <c r="B174" s="111"/>
      <c r="C174" s="104" t="s">
        <v>101</v>
      </c>
      <c r="D174" s="105"/>
      <c r="E174" s="30">
        <v>0</v>
      </c>
    </row>
    <row r="175" spans="1:8" ht="24.75" customHeight="1">
      <c r="A175" s="96" t="s">
        <v>109</v>
      </c>
      <c r="B175" s="152"/>
      <c r="C175" s="153"/>
      <c r="D175" s="154"/>
      <c r="E175" s="30">
        <f>C110</f>
        <v>0</v>
      </c>
    </row>
    <row r="176" spans="1:8" ht="24.75" customHeight="1">
      <c r="A176" s="145"/>
      <c r="B176" s="146"/>
      <c r="C176" s="147" t="s">
        <v>110</v>
      </c>
      <c r="D176" s="147"/>
      <c r="E176" s="40">
        <f>(F42+E156)-(SUM(E159:E167)+SUM(E169:E175))</f>
        <v>0</v>
      </c>
    </row>
    <row r="180" spans="1:8" ht="24.75" customHeight="1"/>
    <row r="181" spans="1:8" ht="24.75" customHeight="1">
      <c r="A181" s="99" t="str">
        <f>"Debts Or Credits For the Comming " &amp; IF(Main!B2,TEXT(EDATE(Main!B3,2),"dd mmmm yyyy"),TEXT(Main!B3+((Main!B5-Main!B3)*2)+2,"dd mmmm yyyy")) &amp; " to " &amp; IF(Main!B2,TEXT(EDATE(Main!B3,3) - 1,"dd mmmm yyyy"),TEXT(Main!B3+((Main!B5-Main!B3)*3+2),"dd mmmm yyyy"))</f>
        <v>Debts Or Credits For the Comming 11 June 2025 to 10 July 2025</v>
      </c>
      <c r="B181" s="100"/>
      <c r="C181" s="100"/>
      <c r="D181" s="100"/>
      <c r="E181" s="101"/>
    </row>
    <row r="182" spans="1:8" ht="24.75" customHeight="1">
      <c r="A182" s="99" t="s">
        <v>94</v>
      </c>
      <c r="B182" s="101"/>
      <c r="C182" s="102" t="s">
        <v>47</v>
      </c>
      <c r="D182" s="103"/>
      <c r="E182" s="39" t="s">
        <v>48</v>
      </c>
    </row>
    <row r="183" spans="1:8" ht="24.75" customHeight="1">
      <c r="A183" s="96" t="str">
        <f>"Balance Brought Forward From " &amp;  IF(Main!B2,TEXT(EDATE(Main!B3,2) - 1,"mmmm yyyy"),TEXT(Main!B3+(Main!B5-Main!B3)*2+1,"mmmm yyyy"))</f>
        <v>Balance Brought Forward From June 2025</v>
      </c>
      <c r="B183" s="97"/>
      <c r="C183" s="98"/>
      <c r="D183" s="98"/>
      <c r="E183" s="40">
        <f>E176</f>
        <v>0</v>
      </c>
    </row>
    <row r="184" spans="1:8" ht="24.75" customHeight="1">
      <c r="A184" s="106" t="s">
        <v>95</v>
      </c>
      <c r="B184" s="107"/>
      <c r="C184" s="112" t="s">
        <v>96</v>
      </c>
      <c r="D184" s="113"/>
      <c r="E184" s="43"/>
    </row>
    <row r="185" spans="1:8" ht="24.75" customHeight="1">
      <c r="A185" s="108"/>
      <c r="B185" s="109"/>
      <c r="C185" s="104" t="s">
        <v>97</v>
      </c>
      <c r="D185" s="105"/>
      <c r="E185" s="28">
        <v>0</v>
      </c>
      <c r="F185" s="44"/>
      <c r="G185" s="44"/>
      <c r="H185" s="44"/>
    </row>
    <row r="186" spans="1:8" ht="24.75" customHeight="1">
      <c r="A186" s="108"/>
      <c r="B186" s="109"/>
      <c r="C186" s="104" t="s">
        <v>98</v>
      </c>
      <c r="D186" s="105"/>
      <c r="E186" s="28">
        <v>0</v>
      </c>
      <c r="F186" s="44"/>
      <c r="G186" s="44"/>
      <c r="H186" s="44"/>
    </row>
    <row r="187" spans="1:8" ht="24.75" customHeight="1">
      <c r="A187" s="108"/>
      <c r="B187" s="109"/>
      <c r="C187" s="104" t="s">
        <v>99</v>
      </c>
      <c r="D187" s="105"/>
      <c r="E187" s="28">
        <v>0</v>
      </c>
      <c r="F187" s="44"/>
      <c r="G187" s="44"/>
      <c r="H187" s="44"/>
    </row>
    <row r="188" spans="1:8" ht="24.75" customHeight="1">
      <c r="A188" s="108"/>
      <c r="B188" s="109"/>
      <c r="C188" s="104" t="s">
        <v>100</v>
      </c>
      <c r="D188" s="105"/>
      <c r="E188" s="28">
        <v>0</v>
      </c>
      <c r="F188" s="44"/>
      <c r="G188" s="44"/>
      <c r="H188" s="44"/>
    </row>
    <row r="189" spans="1:8" ht="24.75" customHeight="1">
      <c r="A189" s="108"/>
      <c r="B189" s="109"/>
      <c r="C189" s="104" t="s">
        <v>101</v>
      </c>
      <c r="D189" s="105"/>
      <c r="E189" s="28">
        <v>0</v>
      </c>
      <c r="F189" s="44"/>
      <c r="G189" s="44"/>
      <c r="H189" s="44"/>
    </row>
    <row r="190" spans="1:8" ht="24.75" customHeight="1">
      <c r="A190" s="108"/>
      <c r="B190" s="109"/>
      <c r="C190" s="104" t="s">
        <v>102</v>
      </c>
      <c r="D190" s="105"/>
      <c r="E190" s="28">
        <v>0</v>
      </c>
      <c r="F190" s="44"/>
      <c r="G190" s="44"/>
      <c r="H190" s="44"/>
    </row>
    <row r="191" spans="1:8" ht="24.75" customHeight="1">
      <c r="A191" s="108"/>
      <c r="B191" s="109"/>
      <c r="C191" s="104" t="s">
        <v>103</v>
      </c>
      <c r="D191" s="105"/>
      <c r="E191" s="28">
        <v>0</v>
      </c>
      <c r="F191" s="44"/>
      <c r="G191" s="44"/>
      <c r="H191" s="44"/>
    </row>
    <row r="192" spans="1:8" ht="24.75" customHeight="1">
      <c r="A192" s="108"/>
      <c r="B192" s="109"/>
      <c r="C192" s="104" t="s">
        <v>104</v>
      </c>
      <c r="D192" s="105"/>
      <c r="E192" s="28">
        <v>0</v>
      </c>
      <c r="F192" s="44"/>
      <c r="G192" s="44"/>
      <c r="H192" s="44"/>
    </row>
    <row r="193" spans="1:8" ht="24.75" customHeight="1">
      <c r="A193" s="108"/>
      <c r="B193" s="109"/>
      <c r="C193" s="104" t="s">
        <v>105</v>
      </c>
      <c r="D193" s="105"/>
      <c r="E193" s="28">
        <v>0</v>
      </c>
      <c r="F193" s="44"/>
      <c r="G193" s="44"/>
      <c r="H193" s="44"/>
    </row>
    <row r="194" spans="1:8" ht="24.75" customHeight="1">
      <c r="A194" s="108"/>
      <c r="B194" s="109"/>
      <c r="C194" s="104" t="s">
        <v>106</v>
      </c>
      <c r="D194" s="105"/>
      <c r="E194" s="28">
        <v>0</v>
      </c>
      <c r="F194" s="44"/>
      <c r="G194" s="44"/>
      <c r="H194" s="44"/>
    </row>
    <row r="195" spans="1:8" ht="24.75" customHeight="1">
      <c r="A195" s="108"/>
      <c r="B195" s="109"/>
      <c r="C195" s="148" t="s">
        <v>107</v>
      </c>
      <c r="D195" s="149"/>
      <c r="E195" s="42"/>
    </row>
    <row r="196" spans="1:8" ht="24.75" customHeight="1">
      <c r="A196" s="108"/>
      <c r="B196" s="109"/>
      <c r="C196" s="150" t="s">
        <v>111</v>
      </c>
      <c r="D196" s="151"/>
      <c r="E196" s="30">
        <v>0</v>
      </c>
    </row>
    <row r="197" spans="1:8" ht="24.75" customHeight="1">
      <c r="A197" s="108"/>
      <c r="B197" s="109"/>
      <c r="C197" s="104" t="s">
        <v>97</v>
      </c>
      <c r="D197" s="105"/>
      <c r="E197" s="30">
        <v>0</v>
      </c>
    </row>
    <row r="198" spans="1:8" ht="24.75" customHeight="1">
      <c r="A198" s="108"/>
      <c r="B198" s="109"/>
      <c r="C198" s="104" t="s">
        <v>98</v>
      </c>
      <c r="D198" s="105"/>
      <c r="E198" s="30">
        <v>0</v>
      </c>
    </row>
    <row r="199" spans="1:8" ht="24.75" customHeight="1">
      <c r="A199" s="108"/>
      <c r="B199" s="109"/>
      <c r="C199" s="104" t="s">
        <v>99</v>
      </c>
      <c r="D199" s="105"/>
      <c r="E199" s="30">
        <v>0</v>
      </c>
    </row>
    <row r="200" spans="1:8" ht="24.75" customHeight="1">
      <c r="A200" s="108"/>
      <c r="B200" s="109"/>
      <c r="C200" s="104" t="s">
        <v>100</v>
      </c>
      <c r="D200" s="105"/>
      <c r="E200" s="30">
        <v>0</v>
      </c>
    </row>
    <row r="201" spans="1:8" ht="24.75" customHeight="1">
      <c r="A201" s="110"/>
      <c r="B201" s="111"/>
      <c r="C201" s="104" t="s">
        <v>101</v>
      </c>
      <c r="D201" s="105"/>
      <c r="E201" s="30">
        <v>0</v>
      </c>
    </row>
    <row r="202" spans="1:8" ht="24.75" customHeight="1">
      <c r="A202" s="96" t="s">
        <v>109</v>
      </c>
      <c r="B202" s="152"/>
      <c r="C202" s="153"/>
      <c r="D202" s="154"/>
      <c r="E202" s="30">
        <f>C110</f>
        <v>0</v>
      </c>
    </row>
    <row r="203" spans="1:8" ht="24.75" customHeight="1">
      <c r="A203" s="145"/>
      <c r="B203" s="146"/>
      <c r="C203" s="147" t="s">
        <v>110</v>
      </c>
      <c r="D203" s="147"/>
      <c r="E203" s="40">
        <f>(F54+E183)-(SUM(E189:E194)+SUM(E196:E202))</f>
        <v>0</v>
      </c>
    </row>
    <row r="204" spans="1:8" ht="24.75" customHeight="1"/>
  </sheetData>
  <sheetProtection sheet="1" objects="1" scenarios="1" formatColumns="0" formatRows="0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" name="F2"/>
    <protectedRange sqref="A81:C89" name="F3"/>
    <protectedRange sqref="A90:C98" name="F4"/>
    <protectedRange sqref="A100:C108" name="F5"/>
    <protectedRange sqref="C130:E147" name="E1"/>
    <protectedRange sqref="C157:E174" name="E2"/>
    <protectedRange sqref="C184:E201" name="E3"/>
    <protectedRange sqref="E3:F15" name="A2"/>
  </protectedRanges>
  <mergeCells count="171">
    <mergeCell ref="A1:F1"/>
    <mergeCell ref="I1:J1"/>
    <mergeCell ref="M1:N1"/>
    <mergeCell ref="C171:D171"/>
    <mergeCell ref="C172:D172"/>
    <mergeCell ref="C173:D173"/>
    <mergeCell ref="C174:D174"/>
    <mergeCell ref="A183:B183"/>
    <mergeCell ref="C183:D183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A149:B149"/>
    <mergeCell ref="C149:D149"/>
    <mergeCell ref="A148:B148"/>
    <mergeCell ref="C148:D148"/>
    <mergeCell ref="C141:D141"/>
    <mergeCell ref="C142:D142"/>
    <mergeCell ref="C143:D143"/>
    <mergeCell ref="C184:D184"/>
    <mergeCell ref="C189:D189"/>
    <mergeCell ref="C190:D190"/>
    <mergeCell ref="C185:D185"/>
    <mergeCell ref="C186:D186"/>
    <mergeCell ref="C187:D187"/>
    <mergeCell ref="C188:D188"/>
    <mergeCell ref="A176:B176"/>
    <mergeCell ref="C165:D165"/>
    <mergeCell ref="C166:D166"/>
    <mergeCell ref="A175:B175"/>
    <mergeCell ref="C175:D175"/>
    <mergeCell ref="C167:D167"/>
    <mergeCell ref="C168:D168"/>
    <mergeCell ref="C169:D169"/>
    <mergeCell ref="C170:D170"/>
    <mergeCell ref="C176:D176"/>
    <mergeCell ref="C147:D147"/>
    <mergeCell ref="C146:D146"/>
    <mergeCell ref="C131:D131"/>
    <mergeCell ref="C134:D134"/>
    <mergeCell ref="C145:D145"/>
    <mergeCell ref="C135:D135"/>
    <mergeCell ref="C137:D137"/>
    <mergeCell ref="C132:D132"/>
    <mergeCell ref="A203:B203"/>
    <mergeCell ref="C203:D203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184:B201"/>
    <mergeCell ref="C191:D191"/>
    <mergeCell ref="C192:D192"/>
    <mergeCell ref="C193:D193"/>
    <mergeCell ref="C194:D194"/>
    <mergeCell ref="A2:C2"/>
    <mergeCell ref="D2:F2"/>
    <mergeCell ref="A3:A16"/>
    <mergeCell ref="D3:D16"/>
    <mergeCell ref="D30:E30"/>
    <mergeCell ref="A58:C58"/>
    <mergeCell ref="D35:E35"/>
    <mergeCell ref="F35:G35"/>
    <mergeCell ref="F30:G30"/>
    <mergeCell ref="B30:C30"/>
    <mergeCell ref="B53:C53"/>
    <mergeCell ref="D53:E53"/>
    <mergeCell ref="F53:G53"/>
    <mergeCell ref="B50:C50"/>
    <mergeCell ref="D50:E50"/>
    <mergeCell ref="F50:G50"/>
    <mergeCell ref="D29:E29"/>
    <mergeCell ref="B40:C40"/>
    <mergeCell ref="D40:E40"/>
    <mergeCell ref="B41:C41"/>
    <mergeCell ref="D41:E41"/>
    <mergeCell ref="F41:G41"/>
    <mergeCell ref="A22:G22"/>
    <mergeCell ref="B25:C25"/>
    <mergeCell ref="B26:C26"/>
    <mergeCell ref="B27:C27"/>
    <mergeCell ref="B28:C28"/>
    <mergeCell ref="B29:C29"/>
    <mergeCell ref="D25:E25"/>
    <mergeCell ref="D26:E26"/>
    <mergeCell ref="D27:E27"/>
    <mergeCell ref="D28:E28"/>
    <mergeCell ref="F25:G25"/>
    <mergeCell ref="F26:G26"/>
    <mergeCell ref="F27:G27"/>
    <mergeCell ref="F28:G28"/>
    <mergeCell ref="F29:G29"/>
    <mergeCell ref="B23:C23"/>
    <mergeCell ref="D23:E23"/>
    <mergeCell ref="F23:G23"/>
    <mergeCell ref="B24:C24"/>
    <mergeCell ref="D24:E24"/>
    <mergeCell ref="F24:G24"/>
    <mergeCell ref="A60:C60"/>
    <mergeCell ref="A70:C70"/>
    <mergeCell ref="A34:G34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F39:G39"/>
    <mergeCell ref="B42:C42"/>
    <mergeCell ref="D42:E42"/>
    <mergeCell ref="F42:G42"/>
    <mergeCell ref="A46:G46"/>
    <mergeCell ref="F40:G40"/>
    <mergeCell ref="B35:C35"/>
    <mergeCell ref="B39:C39"/>
    <mergeCell ref="D39:E39"/>
    <mergeCell ref="B49:C49"/>
    <mergeCell ref="D49:E49"/>
    <mergeCell ref="F49:G49"/>
    <mergeCell ref="B54:C54"/>
    <mergeCell ref="D54:E54"/>
    <mergeCell ref="F54:G54"/>
    <mergeCell ref="B47:C47"/>
    <mergeCell ref="D47:E47"/>
    <mergeCell ref="F47:G47"/>
    <mergeCell ref="B48:C48"/>
    <mergeCell ref="D48:E48"/>
    <mergeCell ref="F48:G48"/>
    <mergeCell ref="F52:G52"/>
    <mergeCell ref="F51:G51"/>
    <mergeCell ref="B52:C52"/>
    <mergeCell ref="D52:E52"/>
    <mergeCell ref="B51:C51"/>
    <mergeCell ref="D51:E51"/>
    <mergeCell ref="A156:B156"/>
    <mergeCell ref="C156:D156"/>
    <mergeCell ref="A181:E181"/>
    <mergeCell ref="A182:B182"/>
    <mergeCell ref="C182:D182"/>
    <mergeCell ref="C133:D133"/>
    <mergeCell ref="C136:D136"/>
    <mergeCell ref="C138:D138"/>
    <mergeCell ref="C158:D158"/>
    <mergeCell ref="C161:D161"/>
    <mergeCell ref="C162:D162"/>
    <mergeCell ref="C163:D163"/>
    <mergeCell ref="A130:B147"/>
    <mergeCell ref="A157:B174"/>
    <mergeCell ref="C140:D140"/>
    <mergeCell ref="C139:D139"/>
    <mergeCell ref="A154:E154"/>
    <mergeCell ref="A155:B155"/>
    <mergeCell ref="C155:D155"/>
    <mergeCell ref="C157:D157"/>
    <mergeCell ref="C159:D159"/>
    <mergeCell ref="C160:D160"/>
    <mergeCell ref="C164:D164"/>
    <mergeCell ref="C144:D144"/>
  </mergeCells>
  <conditionalFormatting sqref="C61:C69 C99 C92:C93 C109:C110">
    <cfRule type="cellIs" dxfId="806" priority="63" operator="equal">
      <formula>0</formula>
    </cfRule>
  </conditionalFormatting>
  <conditionalFormatting sqref="C61:C69 C99 C92:C93 C109:C110">
    <cfRule type="cellIs" dxfId="805" priority="62" operator="greaterThan">
      <formula>0</formula>
    </cfRule>
  </conditionalFormatting>
  <conditionalFormatting sqref="C71:C80">
    <cfRule type="cellIs" dxfId="804" priority="61" operator="equal">
      <formula>0</formula>
    </cfRule>
  </conditionalFormatting>
  <conditionalFormatting sqref="C71:C80">
    <cfRule type="cellIs" dxfId="803" priority="60" operator="greaterThan">
      <formula>0</formula>
    </cfRule>
  </conditionalFormatting>
  <conditionalFormatting sqref="C82:C83">
    <cfRule type="cellIs" dxfId="802" priority="59" operator="equal">
      <formula>0</formula>
    </cfRule>
  </conditionalFormatting>
  <conditionalFormatting sqref="C82:C83">
    <cfRule type="cellIs" dxfId="801" priority="58" operator="greaterThan">
      <formula>0</formula>
    </cfRule>
  </conditionalFormatting>
  <conditionalFormatting sqref="C89">
    <cfRule type="cellIs" dxfId="800" priority="57" operator="equal">
      <formula>0</formula>
    </cfRule>
  </conditionalFormatting>
  <conditionalFormatting sqref="C89">
    <cfRule type="cellIs" dxfId="799" priority="56" operator="greaterThan">
      <formula>0</formula>
    </cfRule>
  </conditionalFormatting>
  <conditionalFormatting sqref="C91">
    <cfRule type="cellIs" dxfId="798" priority="55" operator="equal">
      <formula>0</formula>
    </cfRule>
  </conditionalFormatting>
  <conditionalFormatting sqref="C91">
    <cfRule type="cellIs" dxfId="797" priority="54" operator="greaterThan">
      <formula>0</formula>
    </cfRule>
  </conditionalFormatting>
  <conditionalFormatting sqref="C101:C103">
    <cfRule type="cellIs" dxfId="796" priority="51" operator="equal">
      <formula>0</formula>
    </cfRule>
  </conditionalFormatting>
  <conditionalFormatting sqref="C101:C103">
    <cfRule type="cellIs" dxfId="795" priority="50" operator="greaterThan">
      <formula>0</formula>
    </cfRule>
  </conditionalFormatting>
  <conditionalFormatting sqref="E130 E141:E148">
    <cfRule type="cellIs" dxfId="794" priority="43" operator="equal">
      <formula>0</formula>
    </cfRule>
  </conditionalFormatting>
  <conditionalFormatting sqref="E130 E141:E148">
    <cfRule type="cellIs" dxfId="793" priority="42" operator="greaterThan">
      <formula>0</formula>
    </cfRule>
  </conditionalFormatting>
  <conditionalFormatting sqref="E149">
    <cfRule type="cellIs" dxfId="792" priority="41" operator="greaterThanOrEqual">
      <formula>0</formula>
    </cfRule>
  </conditionalFormatting>
  <conditionalFormatting sqref="E149">
    <cfRule type="cellIs" dxfId="791" priority="40" operator="lessThan">
      <formula>0</formula>
    </cfRule>
  </conditionalFormatting>
  <conditionalFormatting sqref="C84:C88">
    <cfRule type="cellIs" dxfId="790" priority="39" operator="equal">
      <formula>0</formula>
    </cfRule>
  </conditionalFormatting>
  <conditionalFormatting sqref="C84:C88">
    <cfRule type="cellIs" dxfId="789" priority="38" operator="greaterThan">
      <formula>0</formula>
    </cfRule>
  </conditionalFormatting>
  <conditionalFormatting sqref="C94:C98">
    <cfRule type="cellIs" dxfId="788" priority="37" operator="equal">
      <formula>0</formula>
    </cfRule>
  </conditionalFormatting>
  <conditionalFormatting sqref="C94:C98">
    <cfRule type="cellIs" dxfId="787" priority="36" operator="greaterThan">
      <formula>0</formula>
    </cfRule>
  </conditionalFormatting>
  <conditionalFormatting sqref="C106:C108">
    <cfRule type="cellIs" dxfId="786" priority="35" operator="equal">
      <formula>0</formula>
    </cfRule>
  </conditionalFormatting>
  <conditionalFormatting sqref="C106:C108">
    <cfRule type="cellIs" dxfId="785" priority="34" operator="greaterThan">
      <formula>0</formula>
    </cfRule>
  </conditionalFormatting>
  <conditionalFormatting sqref="C122:C123">
    <cfRule type="cellIs" dxfId="784" priority="31" operator="equal">
      <formula>0</formula>
    </cfRule>
  </conditionalFormatting>
  <conditionalFormatting sqref="C122:C123">
    <cfRule type="cellIs" dxfId="783" priority="30" operator="greaterThan">
      <formula>0</formula>
    </cfRule>
  </conditionalFormatting>
  <conditionalFormatting sqref="E157 E168:E175">
    <cfRule type="cellIs" dxfId="782" priority="26" operator="equal">
      <formula>0</formula>
    </cfRule>
  </conditionalFormatting>
  <conditionalFormatting sqref="E157 E168:E175">
    <cfRule type="cellIs" dxfId="781" priority="25" operator="greaterThan">
      <formula>0</formula>
    </cfRule>
  </conditionalFormatting>
  <conditionalFormatting sqref="E176">
    <cfRule type="cellIs" dxfId="780" priority="24" operator="greaterThanOrEqual">
      <formula>0</formula>
    </cfRule>
  </conditionalFormatting>
  <conditionalFormatting sqref="E176">
    <cfRule type="cellIs" dxfId="779" priority="23" operator="lessThan">
      <formula>0</formula>
    </cfRule>
  </conditionalFormatting>
  <conditionalFormatting sqref="E156">
    <cfRule type="cellIs" dxfId="778" priority="20" operator="greaterThanOrEqual">
      <formula>0</formula>
    </cfRule>
  </conditionalFormatting>
  <conditionalFormatting sqref="E156">
    <cfRule type="cellIs" dxfId="777" priority="19" operator="lessThan">
      <formula>0</formula>
    </cfRule>
  </conditionalFormatting>
  <conditionalFormatting sqref="E184 E195:E202">
    <cfRule type="cellIs" dxfId="776" priority="18" operator="equal">
      <formula>0</formula>
    </cfRule>
  </conditionalFormatting>
  <conditionalFormatting sqref="E184 E195:E202">
    <cfRule type="cellIs" dxfId="775" priority="17" operator="greaterThan">
      <formula>0</formula>
    </cfRule>
  </conditionalFormatting>
  <conditionalFormatting sqref="E203">
    <cfRule type="cellIs" dxfId="774" priority="16" operator="greaterThanOrEqual">
      <formula>0</formula>
    </cfRule>
  </conditionalFormatting>
  <conditionalFormatting sqref="E203">
    <cfRule type="cellIs" dxfId="773" priority="15" operator="lessThan">
      <formula>0</formula>
    </cfRule>
  </conditionalFormatting>
  <conditionalFormatting sqref="E183">
    <cfRule type="cellIs" dxfId="772" priority="14" operator="greaterThanOrEqual">
      <formula>0</formula>
    </cfRule>
  </conditionalFormatting>
  <conditionalFormatting sqref="E183">
    <cfRule type="cellIs" dxfId="771" priority="13" operator="lessThan">
      <formula>0</formula>
    </cfRule>
  </conditionalFormatting>
  <conditionalFormatting sqref="C112:C121">
    <cfRule type="cellIs" dxfId="770" priority="12" operator="equal">
      <formula>0</formula>
    </cfRule>
  </conditionalFormatting>
  <conditionalFormatting sqref="C112:C121">
    <cfRule type="cellIs" dxfId="769" priority="11" operator="greaterThan">
      <formula>0</formula>
    </cfRule>
  </conditionalFormatting>
  <conditionalFormatting sqref="E131:E140">
    <cfRule type="cellIs" dxfId="768" priority="10" operator="equal">
      <formula>0</formula>
    </cfRule>
  </conditionalFormatting>
  <conditionalFormatting sqref="E131:E140">
    <cfRule type="cellIs" dxfId="767" priority="9" operator="greaterThan">
      <formula>0</formula>
    </cfRule>
  </conditionalFormatting>
  <conditionalFormatting sqref="E158:E167">
    <cfRule type="cellIs" dxfId="766" priority="8" operator="equal">
      <formula>0</formula>
    </cfRule>
  </conditionalFormatting>
  <conditionalFormatting sqref="E158:E167">
    <cfRule type="cellIs" dxfId="765" priority="7" operator="greaterThan">
      <formula>0</formula>
    </cfRule>
  </conditionalFormatting>
  <conditionalFormatting sqref="E185:E194">
    <cfRule type="cellIs" dxfId="764" priority="6" operator="equal">
      <formula>0</formula>
    </cfRule>
  </conditionalFormatting>
  <conditionalFormatting sqref="E185:E194">
    <cfRule type="cellIs" dxfId="763" priority="5" operator="greaterThan">
      <formula>0</formula>
    </cfRule>
  </conditionalFormatting>
  <conditionalFormatting sqref="J3:J50">
    <cfRule type="cellIs" dxfId="762" priority="4" operator="greaterThanOrEqual">
      <formula>0</formula>
    </cfRule>
  </conditionalFormatting>
  <conditionalFormatting sqref="N3:N18">
    <cfRule type="cellIs" dxfId="761" priority="3" operator="greaterThanOrEqual">
      <formula>0</formula>
    </cfRule>
  </conditionalFormatting>
  <conditionalFormatting sqref="C104:C105">
    <cfRule type="cellIs" dxfId="760" priority="2" operator="equal">
      <formula>0</formula>
    </cfRule>
  </conditionalFormatting>
  <conditionalFormatting sqref="C104:C105">
    <cfRule type="cellIs" dxfId="759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9557-DA90-4DEA-A8D7-E55CAD17F120}">
  <dimension ref="A1:I193"/>
  <sheetViews>
    <sheetView workbookViewId="0">
      <selection activeCell="E44" sqref="E44"/>
    </sheetView>
  </sheetViews>
  <sheetFormatPr defaultRowHeight="15"/>
  <cols>
    <col min="1" max="1" width="25" style="47" customWidth="1"/>
    <col min="2" max="2" width="20.625" style="47" customWidth="1"/>
    <col min="3" max="3" width="24.875" style="47" customWidth="1"/>
    <col min="4" max="6" width="20.625" style="47" customWidth="1"/>
    <col min="7" max="7" width="9" style="47"/>
    <col min="8" max="9" width="20.625" style="47" customWidth="1"/>
    <col min="10" max="16384" width="9" style="47"/>
  </cols>
  <sheetData>
    <row r="1" spans="1:9" ht="28.5" customHeight="1">
      <c r="A1" s="177" t="str">
        <f>"Forecasts For the Year " &amp; IF(Main!B2,TEXT(EDATE(Main!B3,3),"mmmm yyyy"),TEXT(Main!B3+((Main!B5-Main!B3)*3+3),"mmmm yyyy")) &amp; " to " &amp; IF(Main!B2,TEXT(EDATE(Main!B3,6)-1,"mmmm yyyy"),TEXT(Main!B3+((Main!B5-Main!B3)*6+5),"mmmm yyyy"))</f>
        <v>Forecasts For the Year July 2025 to October 2025</v>
      </c>
      <c r="B1" s="177"/>
      <c r="C1" s="177"/>
      <c r="D1" s="177"/>
      <c r="E1" s="177"/>
      <c r="F1" s="177"/>
      <c r="G1" s="177"/>
    </row>
    <row r="2" spans="1:9" ht="28.5" customHeight="1">
      <c r="A2" s="159" t="s">
        <v>31</v>
      </c>
      <c r="B2" s="48" t="s">
        <v>112</v>
      </c>
      <c r="C2" s="161" cm="1">
        <f t="array" aca="1" ref="C2" ca="1">INDIRECT("'" &amp; Main!B9 &amp; "'!$C$15")</f>
        <v>0</v>
      </c>
      <c r="D2" s="161"/>
      <c r="E2" s="161"/>
      <c r="F2" s="161"/>
      <c r="G2" s="161"/>
    </row>
    <row r="3" spans="1:9" ht="42" customHeight="1">
      <c r="A3" s="160"/>
      <c r="B3" s="41" t="s">
        <v>113</v>
      </c>
      <c r="C3" s="162">
        <f>E190</f>
        <v>0</v>
      </c>
      <c r="D3" s="162"/>
      <c r="E3" s="162"/>
      <c r="F3" s="162"/>
      <c r="G3" s="162"/>
    </row>
    <row r="4" spans="1:9">
      <c r="A4" s="174" t="s">
        <v>45</v>
      </c>
      <c r="B4" s="175"/>
      <c r="C4" s="163">
        <f ca="1">SUM(C2:G3)</f>
        <v>0</v>
      </c>
      <c r="D4" s="163"/>
      <c r="E4" s="163"/>
      <c r="F4" s="163"/>
      <c r="G4" s="163"/>
      <c r="H4" s="44"/>
      <c r="I4" s="9"/>
    </row>
    <row r="5" spans="1:9">
      <c r="A5" s="176" t="s">
        <v>114</v>
      </c>
      <c r="B5" s="176"/>
      <c r="C5" s="164">
        <f>C108</f>
        <v>0</v>
      </c>
      <c r="D5" s="165"/>
      <c r="E5" s="165"/>
      <c r="F5" s="165"/>
      <c r="G5" s="165"/>
      <c r="H5" s="44"/>
      <c r="I5" s="9"/>
    </row>
    <row r="6" spans="1:9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32" t="str">
        <f>IF(Main!B2,TEXT(EDATE(Main!B3,3),"dd mmmm yyyy"),TEXT(Main!B3+((Main!B5-Main!B3)*3+3),"dd mmmm yyyy")) &amp; " - " &amp; IF(Main!B2,TEXT(EDATE(Main!B3,4)-1,"dd mmmm yyyy"),TEXT(Main!B3+((Main!B5-Main!B3)*4+3),"dd mmmm yyyy")) &amp; " / " &amp; " (Revenue / Deferred Debts Or Expenses)"</f>
        <v>11 July 2025 - 10 August 2025 /  (Revenue / Deferred Debts Or Expenses)</v>
      </c>
      <c r="B8" s="133"/>
      <c r="C8" s="133"/>
      <c r="D8" s="133"/>
      <c r="E8" s="133"/>
      <c r="F8" s="133"/>
      <c r="G8" s="133"/>
      <c r="H8" s="44"/>
      <c r="I8" s="37"/>
    </row>
    <row r="9" spans="1:9" ht="24.75" customHeight="1">
      <c r="A9" s="81" t="s">
        <v>27</v>
      </c>
      <c r="B9" s="120" t="s">
        <v>46</v>
      </c>
      <c r="C9" s="120"/>
      <c r="D9" s="121" t="s">
        <v>47</v>
      </c>
      <c r="E9" s="121"/>
      <c r="F9" s="121" t="s">
        <v>48</v>
      </c>
      <c r="G9" s="121"/>
      <c r="H9" s="44"/>
      <c r="I9" s="9"/>
    </row>
    <row r="10" spans="1:9" ht="24.75" customHeight="1">
      <c r="A10" s="2" t="s">
        <v>115</v>
      </c>
      <c r="B10" s="122" t="s">
        <v>50</v>
      </c>
      <c r="C10" s="122"/>
      <c r="D10" s="122" t="s">
        <v>51</v>
      </c>
      <c r="E10" s="122"/>
      <c r="F10" s="123">
        <v>0</v>
      </c>
      <c r="G10" s="124"/>
      <c r="H10" s="44"/>
      <c r="I10" s="9"/>
    </row>
    <row r="11" spans="1:9" ht="24.75" customHeight="1">
      <c r="A11" s="2"/>
      <c r="B11" s="125" t="s">
        <v>40</v>
      </c>
      <c r="C11" s="126"/>
      <c r="D11" s="127"/>
      <c r="E11" s="128"/>
      <c r="F11" s="123">
        <v>0</v>
      </c>
      <c r="G11" s="124"/>
      <c r="H11" s="44"/>
      <c r="I11" s="9"/>
    </row>
    <row r="12" spans="1:9" ht="24.75" customHeight="1">
      <c r="A12" s="2"/>
      <c r="B12" s="125" t="s">
        <v>41</v>
      </c>
      <c r="C12" s="126"/>
      <c r="D12" s="127"/>
      <c r="E12" s="128"/>
      <c r="F12" s="123">
        <v>0</v>
      </c>
      <c r="G12" s="124"/>
      <c r="H12" s="44"/>
      <c r="I12" s="9"/>
    </row>
    <row r="13" spans="1:9" ht="24.75" customHeight="1">
      <c r="A13" s="2"/>
      <c r="B13" s="125" t="s">
        <v>42</v>
      </c>
      <c r="C13" s="126"/>
      <c r="D13" s="127"/>
      <c r="E13" s="128"/>
      <c r="F13" s="123">
        <v>0</v>
      </c>
      <c r="G13" s="124"/>
      <c r="H13" s="44"/>
      <c r="I13" s="9"/>
    </row>
    <row r="14" spans="1:9" ht="24.75" customHeight="1">
      <c r="A14" s="2"/>
      <c r="B14" s="125" t="s">
        <v>43</v>
      </c>
      <c r="C14" s="126"/>
      <c r="D14" s="127"/>
      <c r="E14" s="128"/>
      <c r="F14" s="123">
        <v>0</v>
      </c>
      <c r="G14" s="124"/>
      <c r="H14" s="44"/>
      <c r="I14" s="9"/>
    </row>
    <row r="15" spans="1:9" ht="24.75" customHeight="1">
      <c r="A15" s="2"/>
      <c r="B15" s="125" t="s">
        <v>44</v>
      </c>
      <c r="C15" s="126"/>
      <c r="D15" s="127"/>
      <c r="E15" s="128"/>
      <c r="F15" s="123">
        <v>0</v>
      </c>
      <c r="G15" s="124"/>
      <c r="H15" s="44"/>
      <c r="I15" s="9"/>
    </row>
    <row r="16" spans="1:9" ht="24.75" customHeight="1">
      <c r="A16" s="45"/>
      <c r="B16" s="166"/>
      <c r="C16" s="167"/>
      <c r="D16" s="116" t="s">
        <v>52</v>
      </c>
      <c r="E16" s="117"/>
      <c r="F16" s="118">
        <f>SUM(F10:G15)</f>
        <v>0</v>
      </c>
      <c r="G16" s="119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32" t="str">
        <f>IF(Main!B2,TEXT(EDATE(Main!B3,4),"dd mmmm yyyy"),TEXT(Main!B3+((Main!B5-Main!B3)*4+4),"dd mmmm yyyy")) &amp; " - " &amp; IF(Main!B2,TEXT(EDATE(Main!B3,5)-1,"dd mmmm yyyy"),TEXT(Main!B3+((Main!B5-Main!B3)*5+4),"dd mmmm yyyy")) &amp; " / " &amp; " (Revenue / Deferred Debts Or Expenses)"</f>
        <v>11 August 2025 - 10 September 2025 /  (Revenue / Deferred Debts Or Expenses)</v>
      </c>
      <c r="B20" s="133"/>
      <c r="C20" s="133"/>
      <c r="D20" s="133"/>
      <c r="E20" s="133"/>
      <c r="F20" s="133"/>
      <c r="G20" s="133"/>
      <c r="H20" s="44"/>
      <c r="I20" s="9"/>
    </row>
    <row r="21" spans="1:9">
      <c r="A21" s="81" t="s">
        <v>27</v>
      </c>
      <c r="B21" s="120" t="s">
        <v>46</v>
      </c>
      <c r="C21" s="120"/>
      <c r="D21" s="121" t="s">
        <v>47</v>
      </c>
      <c r="E21" s="121"/>
      <c r="F21" s="121" t="s">
        <v>48</v>
      </c>
      <c r="G21" s="121"/>
      <c r="H21" s="44"/>
      <c r="I21" s="9"/>
    </row>
    <row r="22" spans="1:9" ht="24.75" customHeight="1">
      <c r="A22" s="2" t="s">
        <v>116</v>
      </c>
      <c r="B22" s="122" t="s">
        <v>54</v>
      </c>
      <c r="C22" s="122"/>
      <c r="D22" s="122" t="s">
        <v>55</v>
      </c>
      <c r="E22" s="122"/>
      <c r="F22" s="123">
        <v>0</v>
      </c>
      <c r="G22" s="124"/>
      <c r="H22" s="44"/>
      <c r="I22" s="9"/>
    </row>
    <row r="23" spans="1:9" ht="24.75" customHeight="1">
      <c r="A23" s="2"/>
      <c r="B23" s="125" t="s">
        <v>40</v>
      </c>
      <c r="C23" s="126"/>
      <c r="D23" s="127"/>
      <c r="E23" s="128"/>
      <c r="F23" s="123">
        <v>0</v>
      </c>
      <c r="G23" s="124"/>
      <c r="H23" s="44"/>
      <c r="I23" s="9"/>
    </row>
    <row r="24" spans="1:9" ht="24.75" customHeight="1">
      <c r="A24" s="2"/>
      <c r="B24" s="125" t="s">
        <v>41</v>
      </c>
      <c r="C24" s="126"/>
      <c r="D24" s="127"/>
      <c r="E24" s="128"/>
      <c r="F24" s="123">
        <v>0</v>
      </c>
      <c r="G24" s="124"/>
      <c r="H24" s="44"/>
      <c r="I24" s="9"/>
    </row>
    <row r="25" spans="1:9" ht="24.75" customHeight="1">
      <c r="A25" s="2"/>
      <c r="B25" s="125" t="s">
        <v>42</v>
      </c>
      <c r="C25" s="126"/>
      <c r="D25" s="127"/>
      <c r="E25" s="128"/>
      <c r="F25" s="123">
        <v>0</v>
      </c>
      <c r="G25" s="124"/>
      <c r="H25" s="44"/>
      <c r="I25" s="9"/>
    </row>
    <row r="26" spans="1:9" ht="24.75" customHeight="1">
      <c r="A26" s="2"/>
      <c r="B26" s="125" t="s">
        <v>43</v>
      </c>
      <c r="C26" s="126"/>
      <c r="D26" s="127"/>
      <c r="E26" s="128"/>
      <c r="F26" s="123">
        <v>0</v>
      </c>
      <c r="G26" s="124"/>
      <c r="H26" s="44"/>
      <c r="I26" s="9"/>
    </row>
    <row r="27" spans="1:9" ht="24.75" customHeight="1">
      <c r="A27" s="2"/>
      <c r="B27" s="125" t="s">
        <v>44</v>
      </c>
      <c r="C27" s="126"/>
      <c r="D27" s="127"/>
      <c r="E27" s="128"/>
      <c r="F27" s="123">
        <v>0</v>
      </c>
      <c r="G27" s="124"/>
      <c r="H27" s="44"/>
      <c r="I27" s="9"/>
    </row>
    <row r="28" spans="1:9" ht="24.75" customHeight="1">
      <c r="A28" s="45"/>
      <c r="B28" s="166"/>
      <c r="C28" s="167"/>
      <c r="D28" s="116" t="s">
        <v>52</v>
      </c>
      <c r="E28" s="117"/>
      <c r="F28" s="118">
        <f>SUM(F22:G27)</f>
        <v>0</v>
      </c>
      <c r="G28" s="119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32" t="str">
        <f>IF(Main!B2,TEXT(EDATE(Main!B3,5),"dd mmmm yyyy"),TEXT(Main!B3+((Main!B5-Main!B3)*5+5),"dd mmmm yyyy")) &amp; " - " &amp; IF(Main!B2,TEXT(EDATE(Main!B3,6)-1,"dd mmmm yyyy"),TEXT(Main!B3+((Main!B5-Main!B3)*6+5),"dd mmmm yyyy")) &amp; " / " &amp; " (Revenue / Deferred Debts Or Expenses)"</f>
        <v>11 September 2025 - 10 October 2025 /  (Revenue / Deferred Debts Or Expenses)</v>
      </c>
      <c r="B32" s="133"/>
      <c r="C32" s="133"/>
      <c r="D32" s="133"/>
      <c r="E32" s="133"/>
      <c r="F32" s="133"/>
      <c r="G32" s="133"/>
      <c r="H32" s="44"/>
      <c r="I32" s="9"/>
    </row>
    <row r="33" spans="1:9" ht="24.75" customHeight="1">
      <c r="A33" s="81" t="s">
        <v>27</v>
      </c>
      <c r="B33" s="120" t="s">
        <v>46</v>
      </c>
      <c r="C33" s="120"/>
      <c r="D33" s="121" t="s">
        <v>47</v>
      </c>
      <c r="E33" s="121"/>
      <c r="F33" s="121" t="s">
        <v>48</v>
      </c>
      <c r="G33" s="121"/>
      <c r="H33" s="44"/>
      <c r="I33" s="9"/>
    </row>
    <row r="34" spans="1:9" ht="24.75" customHeight="1">
      <c r="A34" s="2" t="s">
        <v>117</v>
      </c>
      <c r="B34" s="122" t="s">
        <v>54</v>
      </c>
      <c r="C34" s="122"/>
      <c r="D34" s="122" t="s">
        <v>55</v>
      </c>
      <c r="E34" s="122"/>
      <c r="F34" s="123">
        <v>0</v>
      </c>
      <c r="G34" s="124"/>
      <c r="H34" s="44"/>
      <c r="I34" s="9"/>
    </row>
    <row r="35" spans="1:9" ht="24.75" customHeight="1">
      <c r="A35" s="2"/>
      <c r="B35" s="125" t="s">
        <v>40</v>
      </c>
      <c r="C35" s="126"/>
      <c r="D35" s="127"/>
      <c r="E35" s="128"/>
      <c r="F35" s="123">
        <v>0</v>
      </c>
      <c r="G35" s="124"/>
      <c r="H35" s="44"/>
      <c r="I35" s="9"/>
    </row>
    <row r="36" spans="1:9" ht="24.75" customHeight="1">
      <c r="A36" s="2"/>
      <c r="B36" s="125" t="s">
        <v>41</v>
      </c>
      <c r="C36" s="126"/>
      <c r="D36" s="127"/>
      <c r="E36" s="128"/>
      <c r="F36" s="123">
        <v>0</v>
      </c>
      <c r="G36" s="124"/>
      <c r="H36" s="44"/>
      <c r="I36" s="37"/>
    </row>
    <row r="37" spans="1:9" ht="24.75" customHeight="1">
      <c r="A37" s="2"/>
      <c r="B37" s="125" t="s">
        <v>42</v>
      </c>
      <c r="C37" s="126"/>
      <c r="D37" s="127"/>
      <c r="E37" s="128"/>
      <c r="F37" s="123">
        <v>0</v>
      </c>
      <c r="G37" s="124"/>
      <c r="H37" s="44"/>
      <c r="I37" s="9"/>
    </row>
    <row r="38" spans="1:9" ht="24.75" customHeight="1">
      <c r="A38" s="2"/>
      <c r="B38" s="125" t="s">
        <v>43</v>
      </c>
      <c r="C38" s="126"/>
      <c r="D38" s="127"/>
      <c r="E38" s="128"/>
      <c r="F38" s="123">
        <v>0</v>
      </c>
      <c r="G38" s="124"/>
      <c r="H38" s="44"/>
      <c r="I38" s="9"/>
    </row>
    <row r="39" spans="1:9" ht="24.75" customHeight="1">
      <c r="A39" s="2"/>
      <c r="B39" s="125" t="s">
        <v>44</v>
      </c>
      <c r="C39" s="126"/>
      <c r="D39" s="127"/>
      <c r="E39" s="128"/>
      <c r="F39" s="123">
        <v>0</v>
      </c>
      <c r="G39" s="124"/>
      <c r="H39" s="44"/>
      <c r="I39" s="9"/>
    </row>
    <row r="40" spans="1:9" ht="24.75" customHeight="1">
      <c r="A40" s="45"/>
      <c r="B40" s="166"/>
      <c r="C40" s="167"/>
      <c r="D40" s="116" t="s">
        <v>52</v>
      </c>
      <c r="E40" s="117"/>
      <c r="F40" s="118">
        <f>SUM(F34:G39)</f>
        <v>0</v>
      </c>
      <c r="G40" s="119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>
      <c r="A42" s="44"/>
      <c r="B42" s="44"/>
      <c r="C42" s="44"/>
      <c r="D42" s="44"/>
      <c r="E42" s="44"/>
      <c r="F42" s="44"/>
      <c r="G42" s="44"/>
      <c r="H42" s="44"/>
      <c r="I42" s="9"/>
    </row>
    <row r="43" spans="1:9">
      <c r="A43" s="44"/>
      <c r="B43" s="44"/>
      <c r="C43" s="44"/>
      <c r="D43" s="44"/>
      <c r="E43" s="44"/>
      <c r="F43" s="44"/>
      <c r="G43" s="44"/>
      <c r="H43" s="44"/>
      <c r="I43" s="9"/>
    </row>
    <row r="44" spans="1:9" ht="18" customHeight="1">
      <c r="A44" s="168" t="str">
        <f>"Fixed Expense For the Year " &amp; IF(Main!B2,TEXT(EDATE(Main!B3,3),"mmmm yyyy"),TEXT(Main!B3+((Main!B5-Main!B3)*3+3),"mmmm yyyy")) &amp; " to " &amp; IF(Main!B2,TEXT(EDATE(Main!B3,6)-1,"mmmm yyyy"),TEXT(Main!B3+((Main!B5-Main!B3)*6+5),"mmmm yyyy"))</f>
        <v>Fixed Expense For the Year July 2025 to October 2025</v>
      </c>
      <c r="B44" s="169"/>
      <c r="C44" s="170"/>
      <c r="D44" s="44"/>
      <c r="E44" s="44"/>
      <c r="F44" s="44"/>
      <c r="G44" s="44"/>
      <c r="H44" s="44"/>
      <c r="I44" s="9"/>
    </row>
    <row r="45" spans="1:9" ht="18">
      <c r="A45" s="46" t="s">
        <v>46</v>
      </c>
      <c r="B45" s="46" t="s">
        <v>47</v>
      </c>
      <c r="C45" s="82" t="s">
        <v>48</v>
      </c>
      <c r="D45" s="44"/>
      <c r="E45" s="44"/>
      <c r="F45" s="44"/>
      <c r="G45" s="44"/>
      <c r="H45" s="44"/>
      <c r="I45" s="9"/>
    </row>
    <row r="46" spans="1:9" ht="15.75">
      <c r="A46" s="171" t="s">
        <v>57</v>
      </c>
      <c r="B46" s="172"/>
      <c r="C46" s="173"/>
      <c r="D46" s="44"/>
      <c r="E46" s="44"/>
      <c r="F46" s="44"/>
      <c r="G46" s="44"/>
      <c r="H46" s="44"/>
      <c r="I46" s="9"/>
    </row>
    <row r="47" spans="1:9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15.75">
      <c r="A56" s="171" t="s">
        <v>62</v>
      </c>
      <c r="B56" s="172"/>
      <c r="C56" s="173"/>
      <c r="D56" s="44"/>
      <c r="E56" s="44"/>
      <c r="F56" s="44"/>
      <c r="G56" s="44"/>
      <c r="H56" s="44"/>
      <c r="I56" s="9"/>
    </row>
    <row r="57" spans="1:9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15.75">
      <c r="A67" s="171" t="s">
        <v>67</v>
      </c>
      <c r="B67" s="172"/>
      <c r="C67" s="173"/>
      <c r="D67" s="44"/>
      <c r="E67" s="44"/>
      <c r="F67" s="44"/>
      <c r="G67" s="44"/>
      <c r="H67" s="44"/>
      <c r="I67" s="9"/>
    </row>
    <row r="68" spans="1:9" ht="42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15.75">
      <c r="A76" s="171" t="s">
        <v>72</v>
      </c>
      <c r="B76" s="172"/>
      <c r="C76" s="173"/>
      <c r="D76" s="44"/>
      <c r="E76" s="44"/>
      <c r="F76" s="44"/>
      <c r="G76" s="44"/>
      <c r="H76" s="44"/>
      <c r="I76" s="9"/>
    </row>
    <row r="77" spans="1:9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15.75">
      <c r="A86" s="171" t="s">
        <v>77</v>
      </c>
      <c r="B86" s="172"/>
      <c r="C86" s="173"/>
      <c r="D86" s="44"/>
      <c r="E86" s="44"/>
      <c r="F86" s="44"/>
      <c r="G86" s="44"/>
      <c r="H86" s="44"/>
      <c r="I86" s="9"/>
    </row>
    <row r="87" spans="1:9" ht="20.2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0.2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0.2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0.2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0.2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0.2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0.2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15.75">
      <c r="A97" s="171" t="s">
        <v>86</v>
      </c>
      <c r="B97" s="172"/>
      <c r="C97" s="173"/>
      <c r="D97" s="44"/>
      <c r="E97" s="44"/>
      <c r="F97" s="44"/>
      <c r="G97" s="44"/>
      <c r="H97" s="44"/>
      <c r="I97" s="9"/>
    </row>
    <row r="98" spans="1:9">
      <c r="A98" s="27" t="s">
        <v>40</v>
      </c>
      <c r="B98" s="19"/>
      <c r="C98" s="28">
        <v>0</v>
      </c>
      <c r="D98" s="44"/>
      <c r="E98" s="49"/>
      <c r="F98" s="44"/>
      <c r="G98" s="44"/>
      <c r="H98" s="44"/>
      <c r="I98" s="9"/>
    </row>
    <row r="99" spans="1:9">
      <c r="A99" s="27" t="s">
        <v>41</v>
      </c>
      <c r="B99" s="19"/>
      <c r="C99" s="28">
        <f>(((Forecast_1!E132+Forecast_1!E159+Forecast_1!E186))-SUM(E119+E146+E173))-Forecast_1!C113</f>
        <v>0</v>
      </c>
      <c r="D99" s="44"/>
      <c r="E99" s="44"/>
      <c r="F99" s="44"/>
      <c r="G99" s="44"/>
      <c r="H99" s="44"/>
      <c r="I99" s="9"/>
    </row>
    <row r="100" spans="1:9">
      <c r="A100" s="27" t="s">
        <v>42</v>
      </c>
      <c r="B100" s="19"/>
      <c r="C100" s="28">
        <v>0</v>
      </c>
      <c r="D100" s="44"/>
      <c r="E100" s="44"/>
      <c r="F100" s="44"/>
      <c r="G100" s="44"/>
      <c r="H100" s="44"/>
      <c r="I100" s="9"/>
    </row>
    <row r="101" spans="1:9" ht="21.75" customHeight="1">
      <c r="A101" s="18" t="s">
        <v>43</v>
      </c>
      <c r="B101" s="19"/>
      <c r="C101" s="28">
        <f>((((Forecast_1!E134+Forecast_1!E161+Forecast_1!E188)))-SUM(E121+E148+E175))-Forecast_1!C115</f>
        <v>0</v>
      </c>
      <c r="D101" s="44"/>
      <c r="E101" s="44"/>
      <c r="F101" s="44"/>
      <c r="G101" s="44"/>
      <c r="H101" s="44"/>
      <c r="I101" s="9"/>
    </row>
    <row r="102" spans="1:9" ht="21.75" customHeight="1">
      <c r="A102" s="18" t="s">
        <v>44</v>
      </c>
      <c r="B102" s="19"/>
      <c r="C102" s="28">
        <f>((((Forecast_1!E135+Forecast_1!E162+Forecast_1!E189)))+SUM(E122+E149+E176))-Forecast_1!C116</f>
        <v>0</v>
      </c>
      <c r="D102" s="44"/>
      <c r="E102" s="52"/>
      <c r="F102" s="44"/>
      <c r="G102" s="44"/>
      <c r="H102" s="44"/>
      <c r="I102" s="9"/>
    </row>
    <row r="103" spans="1:9">
      <c r="A103" s="18" t="s">
        <v>87</v>
      </c>
      <c r="B103" s="19"/>
      <c r="C103" s="28">
        <f>((((Forecast_1!E136+Forecast_1!E163+Forecast_1!E190)))-SUM(E123+E150+E177))-Forecast_1!C117</f>
        <v>0</v>
      </c>
      <c r="D103" s="44"/>
      <c r="E103" s="44"/>
      <c r="F103" s="44"/>
      <c r="G103" s="44"/>
      <c r="H103" s="44"/>
      <c r="I103" s="9"/>
    </row>
    <row r="104" spans="1:9">
      <c r="A104" s="18" t="s">
        <v>88</v>
      </c>
      <c r="B104" s="19"/>
      <c r="C104" s="28">
        <f>((((Forecast_1!E137+Forecast_1!E164+Forecast_1!E190)))-SUM(E124+E151+E178))-Forecast_1!C118</f>
        <v>0</v>
      </c>
      <c r="D104" s="44"/>
      <c r="E104" s="44"/>
      <c r="F104" s="44"/>
      <c r="G104" s="44"/>
      <c r="H104" s="44"/>
      <c r="I104" s="9"/>
    </row>
    <row r="105" spans="1:9">
      <c r="A105" s="18" t="s">
        <v>89</v>
      </c>
      <c r="B105" s="19"/>
      <c r="C105" s="28">
        <f>((((Forecast_1!E138+Forecast_1!E165+Forecast_1!E192)))-SUM(E125+E152+E179))-Forecast_1!C119</f>
        <v>0</v>
      </c>
      <c r="D105" s="44"/>
      <c r="E105" s="44"/>
      <c r="F105" s="44"/>
      <c r="G105" s="44"/>
      <c r="H105" s="44"/>
      <c r="I105" s="9"/>
    </row>
    <row r="106" spans="1:9">
      <c r="A106" s="18" t="s">
        <v>90</v>
      </c>
      <c r="B106" s="19"/>
      <c r="C106" s="28">
        <f>((((Forecast_1!E139+Forecast_1!E166+Forecast_1!E193)))-SUM(E126+E153+E180))-Forecast_1!C120</f>
        <v>0</v>
      </c>
      <c r="D106" s="44"/>
      <c r="E106" s="44"/>
      <c r="F106" s="44"/>
      <c r="G106" s="44"/>
      <c r="H106" s="44"/>
      <c r="I106" s="9"/>
    </row>
    <row r="107" spans="1:9">
      <c r="A107" s="18" t="s">
        <v>91</v>
      </c>
      <c r="B107" s="19"/>
      <c r="C107" s="28">
        <f>((((Forecast_1!E140+Forecast_1!E167+Forecast_1!E194)))-SUM(E127+E154+E181))-Forecast_1!C121</f>
        <v>0</v>
      </c>
      <c r="D107" s="44"/>
      <c r="E107" s="44"/>
      <c r="F107" s="44"/>
      <c r="G107" s="44"/>
      <c r="H107" s="44"/>
      <c r="I107" s="9"/>
    </row>
    <row r="108" spans="1:9">
      <c r="A108" s="23"/>
      <c r="B108" s="26" t="s">
        <v>92</v>
      </c>
      <c r="C108" s="28">
        <f>SUM(C98:C107)</f>
        <v>0</v>
      </c>
      <c r="D108" s="44"/>
      <c r="E108" s="44"/>
      <c r="F108" s="44"/>
      <c r="G108" s="44"/>
      <c r="H108" s="44"/>
      <c r="I108" s="9"/>
    </row>
    <row r="109" spans="1:9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99" t="str">
        <f>"Debts Or Credits For the Comming " &amp; IF(Main!B2,TEXT(EDATE(Main!B3,3),"mmmm dd yyyy"),TEXT(Main!B3+((Main!B5-Main!B3)*3+3),"mmmm dd yyyy")) &amp; " to " &amp; IF(Main!B2,TEXT(EDATE(Main!B3,4)-1,"mmmm dd yyyy"),TEXT(Main!B3+((Main!B5-Main!B3)*4+3),"mmmm dd yyyy"))</f>
        <v>Debts Or Credits For the Comming July 11 2025 to August 10 2025</v>
      </c>
      <c r="B114" s="100"/>
      <c r="C114" s="100"/>
      <c r="D114" s="100"/>
      <c r="E114" s="101"/>
      <c r="F114" s="44"/>
      <c r="G114" s="44"/>
      <c r="H114" s="44"/>
      <c r="I114" s="9"/>
    </row>
    <row r="115" spans="1:9" ht="24.75" customHeight="1">
      <c r="A115" s="99" t="s">
        <v>94</v>
      </c>
      <c r="B115" s="101"/>
      <c r="C115" s="99" t="s">
        <v>47</v>
      </c>
      <c r="D115" s="101"/>
      <c r="E115" s="29" t="s">
        <v>48</v>
      </c>
      <c r="F115" s="44"/>
      <c r="G115" s="44"/>
      <c r="H115" s="44"/>
      <c r="I115" s="9"/>
    </row>
    <row r="116" spans="1:9" ht="24.75" customHeight="1">
      <c r="A116" s="75" t="str">
        <f>"Balance Brought Forward From " &amp; IF(Main!B2,TEXT(EDATE(Main!B3,3)-1,"mmmm yyyy"),TEXT(Main!B3+((Main!B5-Main!B3)*3+3),"mmmm yyyy"))</f>
        <v>Balance Brought Forward From July 2025</v>
      </c>
      <c r="B116" s="76"/>
      <c r="C116" s="158"/>
      <c r="D116" s="158"/>
      <c r="E116" s="31">
        <f>Forecast_1!E203</f>
        <v>0</v>
      </c>
      <c r="F116" s="44"/>
      <c r="G116" s="44"/>
      <c r="H116" s="50"/>
      <c r="I116" s="9"/>
    </row>
    <row r="117" spans="1:9" ht="24.75" customHeight="1">
      <c r="A117" s="106" t="s">
        <v>95</v>
      </c>
      <c r="B117" s="107"/>
      <c r="C117" s="157" t="s">
        <v>96</v>
      </c>
      <c r="D117" s="149"/>
      <c r="E117" s="42"/>
      <c r="F117" s="44"/>
      <c r="G117" s="44"/>
      <c r="H117" s="44"/>
      <c r="I117" s="9"/>
    </row>
    <row r="118" spans="1:9" ht="29.25" customHeight="1">
      <c r="A118" s="108"/>
      <c r="B118" s="109"/>
      <c r="C118" s="104" t="s">
        <v>97</v>
      </c>
      <c r="D118" s="105"/>
      <c r="E118" s="28">
        <v>0</v>
      </c>
      <c r="F118" s="44"/>
      <c r="G118" s="44"/>
      <c r="H118" s="44"/>
      <c r="I118" s="9"/>
    </row>
    <row r="119" spans="1:9" ht="29.25" customHeight="1">
      <c r="A119" s="108"/>
      <c r="B119" s="109"/>
      <c r="C119" s="104" t="s">
        <v>98</v>
      </c>
      <c r="D119" s="105"/>
      <c r="E119" s="28">
        <v>0</v>
      </c>
      <c r="F119" s="44"/>
      <c r="G119" s="44"/>
      <c r="H119" s="44"/>
      <c r="I119" s="9"/>
    </row>
    <row r="120" spans="1:9" ht="29.25" customHeight="1">
      <c r="A120" s="108"/>
      <c r="B120" s="109"/>
      <c r="C120" s="104" t="s">
        <v>99</v>
      </c>
      <c r="D120" s="105"/>
      <c r="E120" s="28">
        <v>0</v>
      </c>
      <c r="F120" s="44"/>
      <c r="G120" s="44"/>
      <c r="H120" s="44"/>
      <c r="I120" s="9"/>
    </row>
    <row r="121" spans="1:9" ht="29.25" customHeight="1">
      <c r="A121" s="108"/>
      <c r="B121" s="109"/>
      <c r="C121" s="104" t="s">
        <v>100</v>
      </c>
      <c r="D121" s="105"/>
      <c r="E121" s="28">
        <v>0</v>
      </c>
      <c r="F121" s="44"/>
      <c r="G121" s="44"/>
      <c r="H121" s="44"/>
      <c r="I121" s="9"/>
    </row>
    <row r="122" spans="1:9" ht="24.75" customHeight="1">
      <c r="A122" s="108"/>
      <c r="B122" s="109"/>
      <c r="C122" s="104" t="s">
        <v>101</v>
      </c>
      <c r="D122" s="105"/>
      <c r="E122" s="28">
        <v>0</v>
      </c>
      <c r="F122" s="44"/>
      <c r="G122" s="44"/>
      <c r="H122" s="44"/>
      <c r="I122" s="9"/>
    </row>
    <row r="123" spans="1:9" ht="24.75" customHeight="1">
      <c r="A123" s="108"/>
      <c r="B123" s="109"/>
      <c r="C123" s="104" t="s">
        <v>102</v>
      </c>
      <c r="D123" s="105"/>
      <c r="E123" s="28">
        <v>0</v>
      </c>
      <c r="F123" s="44"/>
      <c r="G123" s="44"/>
      <c r="H123" s="44"/>
      <c r="I123" s="9"/>
    </row>
    <row r="124" spans="1:9" ht="24.75" customHeight="1">
      <c r="A124" s="108"/>
      <c r="B124" s="109"/>
      <c r="C124" s="104" t="s">
        <v>103</v>
      </c>
      <c r="D124" s="105"/>
      <c r="E124" s="28">
        <v>0</v>
      </c>
      <c r="F124" s="44"/>
      <c r="G124" s="44"/>
      <c r="H124" s="44"/>
      <c r="I124" s="9"/>
    </row>
    <row r="125" spans="1:9" ht="24.75" customHeight="1">
      <c r="A125" s="108"/>
      <c r="B125" s="109"/>
      <c r="C125" s="104" t="s">
        <v>104</v>
      </c>
      <c r="D125" s="105"/>
      <c r="E125" s="28">
        <v>0</v>
      </c>
      <c r="F125" s="44"/>
      <c r="G125" s="44"/>
      <c r="H125" s="44"/>
      <c r="I125" s="9"/>
    </row>
    <row r="126" spans="1:9" ht="24.75" customHeight="1">
      <c r="A126" s="108"/>
      <c r="B126" s="109"/>
      <c r="C126" s="104" t="s">
        <v>105</v>
      </c>
      <c r="D126" s="105"/>
      <c r="E126" s="28">
        <v>0</v>
      </c>
      <c r="F126" s="44"/>
      <c r="G126" s="44"/>
      <c r="H126" s="44"/>
      <c r="I126" s="9"/>
    </row>
    <row r="127" spans="1:9" ht="24.75" customHeight="1">
      <c r="A127" s="108"/>
      <c r="B127" s="109"/>
      <c r="C127" s="104" t="s">
        <v>106</v>
      </c>
      <c r="D127" s="105"/>
      <c r="E127" s="28">
        <v>0</v>
      </c>
      <c r="F127" s="44"/>
      <c r="G127" s="44"/>
      <c r="H127" s="44"/>
      <c r="I127" s="9"/>
    </row>
    <row r="128" spans="1:9" ht="24.75" customHeight="1">
      <c r="A128" s="108"/>
      <c r="B128" s="109"/>
      <c r="C128" s="148" t="s">
        <v>107</v>
      </c>
      <c r="D128" s="149"/>
      <c r="E128" s="42"/>
      <c r="F128" s="44"/>
      <c r="G128" s="44"/>
      <c r="H128" s="44"/>
      <c r="I128" s="9"/>
    </row>
    <row r="129" spans="1:9" ht="40.5" customHeight="1">
      <c r="A129" s="108"/>
      <c r="B129" s="109"/>
      <c r="C129" s="150" t="s">
        <v>108</v>
      </c>
      <c r="D129" s="151"/>
      <c r="E129" s="30">
        <v>0</v>
      </c>
      <c r="F129" s="44"/>
      <c r="G129" s="44"/>
      <c r="H129" s="44"/>
      <c r="I129" s="9"/>
    </row>
    <row r="130" spans="1:9" ht="24.75" customHeight="1">
      <c r="A130" s="108"/>
      <c r="B130" s="109"/>
      <c r="C130" s="104" t="s">
        <v>97</v>
      </c>
      <c r="D130" s="105"/>
      <c r="E130" s="30">
        <v>0</v>
      </c>
      <c r="F130" s="44"/>
      <c r="G130" s="44"/>
      <c r="H130" s="44"/>
      <c r="I130" s="9"/>
    </row>
    <row r="131" spans="1:9" ht="24.75" customHeight="1">
      <c r="A131" s="108"/>
      <c r="B131" s="109"/>
      <c r="C131" s="104" t="s">
        <v>98</v>
      </c>
      <c r="D131" s="105"/>
      <c r="E131" s="30">
        <v>0</v>
      </c>
      <c r="F131" s="44"/>
      <c r="G131" s="44"/>
      <c r="H131" s="44"/>
      <c r="I131" s="9"/>
    </row>
    <row r="132" spans="1:9" ht="24.75" customHeight="1">
      <c r="A132" s="108"/>
      <c r="B132" s="109"/>
      <c r="C132" s="104" t="s">
        <v>99</v>
      </c>
      <c r="D132" s="105"/>
      <c r="E132" s="30">
        <v>0</v>
      </c>
      <c r="F132" s="44"/>
      <c r="G132" s="44"/>
      <c r="H132" s="44"/>
      <c r="I132" s="9"/>
    </row>
    <row r="133" spans="1:9" ht="24.75" customHeight="1">
      <c r="A133" s="108"/>
      <c r="B133" s="109"/>
      <c r="C133" s="104" t="s">
        <v>100</v>
      </c>
      <c r="D133" s="105"/>
      <c r="E133" s="30">
        <v>0</v>
      </c>
      <c r="F133" s="44"/>
      <c r="G133" s="44"/>
      <c r="H133" s="44"/>
      <c r="I133" s="9"/>
    </row>
    <row r="134" spans="1:9" ht="24.75" customHeight="1">
      <c r="A134" s="110"/>
      <c r="B134" s="111"/>
      <c r="C134" s="104" t="s">
        <v>101</v>
      </c>
      <c r="D134" s="105"/>
      <c r="E134" s="30">
        <v>0</v>
      </c>
      <c r="F134" s="44"/>
      <c r="G134" s="44"/>
      <c r="H134" s="44"/>
      <c r="I134" s="9"/>
    </row>
    <row r="135" spans="1:9" ht="24.75" customHeight="1">
      <c r="A135" s="96" t="s">
        <v>109</v>
      </c>
      <c r="B135" s="152"/>
      <c r="C135" s="153"/>
      <c r="D135" s="154"/>
      <c r="E135" s="30">
        <f>C96</f>
        <v>0</v>
      </c>
      <c r="F135" s="44"/>
      <c r="G135" s="44"/>
      <c r="H135" s="44"/>
      <c r="I135" s="9"/>
    </row>
    <row r="136" spans="1:9" ht="24.75" customHeight="1">
      <c r="A136" s="145"/>
      <c r="B136" s="146"/>
      <c r="C136" s="147" t="s">
        <v>110</v>
      </c>
      <c r="D136" s="147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99" t="str">
        <f>"Debts Or Credits For the Comming " &amp; IF(Main!B2,TEXT(EDATE(Main!B3,4),"mmmm dd yyyy"),TEXT(Main!B3+((Main!B5-Main!B3)*4+4),"dd mmmm yyyy")) &amp; " to " &amp;  IF(Main!B2,TEXT(EDATE(Main!B3,5)-1,"mmmm dd yyyy"),TEXT(Main!B3+((Main!B5-Main!B3)*5+4),"mmmm dd yyyy"))</f>
        <v>Debts Or Credits For the Comming August 11 2025 to September 10 2025</v>
      </c>
      <c r="B141" s="100"/>
      <c r="C141" s="100"/>
      <c r="D141" s="100"/>
      <c r="E141" s="101"/>
      <c r="F141" s="44"/>
      <c r="G141" s="44"/>
      <c r="H141" s="44"/>
      <c r="I141" s="9"/>
    </row>
    <row r="142" spans="1:9" ht="24.75" customHeight="1">
      <c r="A142" s="99" t="s">
        <v>94</v>
      </c>
      <c r="B142" s="101"/>
      <c r="C142" s="102" t="s">
        <v>47</v>
      </c>
      <c r="D142" s="103"/>
      <c r="E142" s="39" t="s">
        <v>48</v>
      </c>
      <c r="F142" s="44"/>
      <c r="G142" s="44"/>
      <c r="H142" s="44"/>
      <c r="I142" s="9"/>
    </row>
    <row r="143" spans="1:9" ht="24.75" customHeight="1">
      <c r="A143" s="96" t="str">
        <f>"Balance Brought Forward From " &amp; IF(Main!B2,TEXT(EDATE(Main!B3,4)-1,"mmmm yyyy"),TEXT(Main!B3+((Main!B5-Main!B3)*4+3),"mmmm yyyy"))</f>
        <v>Balance Brought Forward From August 2025</v>
      </c>
      <c r="B143" s="97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06" t="s">
        <v>95</v>
      </c>
      <c r="B144" s="107"/>
      <c r="C144" s="112" t="s">
        <v>96</v>
      </c>
      <c r="D144" s="113"/>
      <c r="E144" s="43"/>
      <c r="F144" s="44"/>
      <c r="G144" s="44"/>
      <c r="H144" s="44"/>
      <c r="I144" s="9"/>
    </row>
    <row r="145" spans="1:9" ht="24.75" customHeight="1">
      <c r="A145" s="108"/>
      <c r="B145" s="109"/>
      <c r="C145" s="104" t="s">
        <v>97</v>
      </c>
      <c r="D145" s="105"/>
      <c r="E145" s="28">
        <v>0</v>
      </c>
      <c r="F145" s="44"/>
      <c r="G145" s="44"/>
      <c r="H145" s="44"/>
      <c r="I145" s="9"/>
    </row>
    <row r="146" spans="1:9" ht="24.75" customHeight="1">
      <c r="A146" s="108"/>
      <c r="B146" s="109"/>
      <c r="C146" s="104" t="s">
        <v>98</v>
      </c>
      <c r="D146" s="105"/>
      <c r="E146" s="28">
        <v>0</v>
      </c>
      <c r="F146" s="44"/>
      <c r="G146" s="44"/>
      <c r="H146" s="44"/>
      <c r="I146" s="9"/>
    </row>
    <row r="147" spans="1:9" ht="24.75" customHeight="1">
      <c r="A147" s="108"/>
      <c r="B147" s="109"/>
      <c r="C147" s="104" t="s">
        <v>99</v>
      </c>
      <c r="D147" s="105"/>
      <c r="E147" s="28">
        <v>0</v>
      </c>
      <c r="F147" s="44"/>
      <c r="G147" s="44"/>
      <c r="H147" s="44"/>
      <c r="I147" s="9"/>
    </row>
    <row r="148" spans="1:9" ht="24.75" customHeight="1">
      <c r="A148" s="108"/>
      <c r="B148" s="109"/>
      <c r="C148" s="104" t="s">
        <v>100</v>
      </c>
      <c r="D148" s="105"/>
      <c r="E148" s="28">
        <v>0</v>
      </c>
      <c r="F148" s="44"/>
      <c r="G148" s="44"/>
      <c r="H148" s="44"/>
      <c r="I148" s="9"/>
    </row>
    <row r="149" spans="1:9" ht="24.75" customHeight="1">
      <c r="A149" s="108"/>
      <c r="B149" s="109"/>
      <c r="C149" s="104" t="s">
        <v>101</v>
      </c>
      <c r="D149" s="105"/>
      <c r="E149" s="28">
        <v>0</v>
      </c>
      <c r="F149" s="44"/>
      <c r="G149" s="44"/>
      <c r="H149" s="44"/>
      <c r="I149" s="9"/>
    </row>
    <row r="150" spans="1:9" ht="24.75" customHeight="1">
      <c r="A150" s="108"/>
      <c r="B150" s="109"/>
      <c r="C150" s="104" t="s">
        <v>102</v>
      </c>
      <c r="D150" s="105"/>
      <c r="E150" s="28">
        <v>0</v>
      </c>
      <c r="F150" s="44"/>
      <c r="G150" s="44"/>
      <c r="H150" s="44"/>
      <c r="I150" s="9"/>
    </row>
    <row r="151" spans="1:9" ht="24.75" customHeight="1">
      <c r="A151" s="108"/>
      <c r="B151" s="109"/>
      <c r="C151" s="104" t="s">
        <v>103</v>
      </c>
      <c r="D151" s="105"/>
      <c r="E151" s="28">
        <v>0</v>
      </c>
      <c r="F151" s="44"/>
      <c r="G151" s="44"/>
      <c r="H151" s="44"/>
      <c r="I151" s="9"/>
    </row>
    <row r="152" spans="1:9" ht="24.75" customHeight="1">
      <c r="A152" s="108"/>
      <c r="B152" s="109"/>
      <c r="C152" s="104" t="s">
        <v>104</v>
      </c>
      <c r="D152" s="105"/>
      <c r="E152" s="28">
        <v>0</v>
      </c>
      <c r="F152" s="44"/>
      <c r="G152" s="44"/>
      <c r="H152" s="44"/>
      <c r="I152" s="9"/>
    </row>
    <row r="153" spans="1:9" ht="24.75" customHeight="1">
      <c r="A153" s="108"/>
      <c r="B153" s="109"/>
      <c r="C153" s="104" t="s">
        <v>105</v>
      </c>
      <c r="D153" s="105"/>
      <c r="E153" s="28">
        <v>0</v>
      </c>
      <c r="F153" s="44"/>
      <c r="G153" s="44"/>
      <c r="H153" s="44"/>
      <c r="I153" s="9"/>
    </row>
    <row r="154" spans="1:9" ht="24.75" customHeight="1">
      <c r="A154" s="108"/>
      <c r="B154" s="109"/>
      <c r="C154" s="104" t="s">
        <v>106</v>
      </c>
      <c r="D154" s="105"/>
      <c r="E154" s="28">
        <v>0</v>
      </c>
      <c r="F154" s="44"/>
      <c r="G154" s="44"/>
      <c r="H154" s="44"/>
      <c r="I154" s="9"/>
    </row>
    <row r="155" spans="1:9" ht="24.75" customHeight="1">
      <c r="A155" s="108"/>
      <c r="B155" s="109"/>
      <c r="C155" s="148" t="s">
        <v>107</v>
      </c>
      <c r="D155" s="149"/>
      <c r="E155" s="42"/>
      <c r="F155" s="44"/>
      <c r="G155" s="44"/>
      <c r="H155" s="44"/>
      <c r="I155" s="9"/>
    </row>
    <row r="156" spans="1:9" ht="24.75" customHeight="1">
      <c r="A156" s="108"/>
      <c r="B156" s="109"/>
      <c r="C156" s="150" t="s">
        <v>111</v>
      </c>
      <c r="D156" s="151"/>
      <c r="E156" s="30">
        <v>0</v>
      </c>
      <c r="F156" s="44"/>
      <c r="G156" s="44"/>
      <c r="H156" s="44"/>
      <c r="I156" s="9"/>
    </row>
    <row r="157" spans="1:9" ht="24.75" customHeight="1">
      <c r="A157" s="108"/>
      <c r="B157" s="109"/>
      <c r="C157" s="104" t="s">
        <v>97</v>
      </c>
      <c r="D157" s="105"/>
      <c r="E157" s="30">
        <v>0</v>
      </c>
      <c r="F157" s="44"/>
      <c r="G157" s="44"/>
      <c r="H157" s="44"/>
      <c r="I157" s="9"/>
    </row>
    <row r="158" spans="1:9" ht="24.75" customHeight="1">
      <c r="A158" s="108"/>
      <c r="B158" s="109"/>
      <c r="C158" s="104" t="s">
        <v>98</v>
      </c>
      <c r="D158" s="105"/>
      <c r="E158" s="30">
        <v>0</v>
      </c>
      <c r="F158" s="44"/>
      <c r="G158" s="44"/>
      <c r="H158" s="44"/>
      <c r="I158" s="9"/>
    </row>
    <row r="159" spans="1:9" ht="24.75" customHeight="1">
      <c r="A159" s="108"/>
      <c r="B159" s="109"/>
      <c r="C159" s="104" t="s">
        <v>99</v>
      </c>
      <c r="D159" s="105"/>
      <c r="E159" s="30">
        <v>0</v>
      </c>
      <c r="F159" s="44"/>
      <c r="G159" s="44"/>
      <c r="H159" s="44"/>
      <c r="I159" s="9"/>
    </row>
    <row r="160" spans="1:9" ht="24.75" customHeight="1">
      <c r="A160" s="108"/>
      <c r="B160" s="109"/>
      <c r="C160" s="104" t="s">
        <v>100</v>
      </c>
      <c r="D160" s="105"/>
      <c r="E160" s="30">
        <v>0</v>
      </c>
      <c r="F160" s="44"/>
      <c r="G160" s="44"/>
      <c r="H160" s="44"/>
      <c r="I160" s="9"/>
    </row>
    <row r="161" spans="1:9" ht="24.75" customHeight="1">
      <c r="A161" s="110"/>
      <c r="B161" s="111"/>
      <c r="C161" s="104" t="s">
        <v>101</v>
      </c>
      <c r="D161" s="105"/>
      <c r="E161" s="30">
        <v>0</v>
      </c>
      <c r="F161" s="44"/>
      <c r="G161" s="44"/>
      <c r="H161" s="44"/>
      <c r="I161" s="9"/>
    </row>
    <row r="162" spans="1:9" ht="24.75" customHeight="1">
      <c r="A162" s="96" t="s">
        <v>109</v>
      </c>
      <c r="B162" s="152"/>
      <c r="C162" s="153"/>
      <c r="D162" s="154"/>
      <c r="E162" s="30">
        <f>C96</f>
        <v>0</v>
      </c>
      <c r="F162" s="44"/>
      <c r="G162" s="44"/>
      <c r="H162" s="44"/>
      <c r="I162" s="9"/>
    </row>
    <row r="163" spans="1:9" ht="24.75" customHeight="1">
      <c r="A163" s="145"/>
      <c r="B163" s="146"/>
      <c r="C163" s="147" t="s">
        <v>110</v>
      </c>
      <c r="D163" s="147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99" t="str">
        <f>"Debts Or Credits For the Comming " &amp; IF(Main!B2,TEXT(EDATE(Main!B3,5),"mmmm dd yyyy"),TEXT(Main!B3+((Main!B5-Main!B3)*5+5),"mmmm dd yyyy")) &amp; " to " &amp; IF(Main!B2,TEXT(EDATE(Main!B3,6)-1,"mmmm dd yyyy"),TEXT(Main!B3+((Main!B5-Main!B3)*6+5),"mmmm dd yyyy"))</f>
        <v>Debts Or Credits For the Comming September 11 2025 to October 10 2025</v>
      </c>
      <c r="B168" s="100"/>
      <c r="C168" s="100"/>
      <c r="D168" s="100"/>
      <c r="E168" s="101"/>
      <c r="F168" s="44"/>
      <c r="G168" s="44"/>
      <c r="H168" s="44"/>
      <c r="I168" s="9"/>
    </row>
    <row r="169" spans="1:9" ht="24.75" customHeight="1">
      <c r="A169" s="99" t="s">
        <v>94</v>
      </c>
      <c r="B169" s="101"/>
      <c r="C169" s="102" t="s">
        <v>47</v>
      </c>
      <c r="D169" s="103"/>
      <c r="E169" s="39" t="s">
        <v>48</v>
      </c>
      <c r="F169" s="44"/>
      <c r="G169" s="44"/>
      <c r="H169" s="44"/>
      <c r="I169" s="9"/>
    </row>
    <row r="170" spans="1:9" ht="24.75" customHeight="1">
      <c r="A170" s="96" t="str">
        <f>"Balance Brought Forward From " &amp;  IF(Main!B2,TEXT(EDATE(Main!B3,5)-1,"mmmm yyyy"),TEXT(Main!B3+((Main!B5-Main!B3)*5+4),"mmmm yyyy"))</f>
        <v>Balance Brought Forward From September 2025</v>
      </c>
      <c r="B170" s="97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06" t="s">
        <v>95</v>
      </c>
      <c r="B171" s="107"/>
      <c r="C171" s="112" t="s">
        <v>96</v>
      </c>
      <c r="D171" s="113"/>
      <c r="E171" s="43"/>
      <c r="F171" s="44"/>
      <c r="G171" s="44"/>
      <c r="H171" s="44"/>
      <c r="I171" s="9"/>
    </row>
    <row r="172" spans="1:9" ht="24.75" customHeight="1">
      <c r="A172" s="108"/>
      <c r="B172" s="109"/>
      <c r="C172" s="104" t="s">
        <v>97</v>
      </c>
      <c r="D172" s="105"/>
      <c r="E172" s="28">
        <v>0</v>
      </c>
      <c r="F172" s="44"/>
      <c r="G172" s="44"/>
      <c r="H172" s="44"/>
      <c r="I172" s="9"/>
    </row>
    <row r="173" spans="1:9" ht="24.75" customHeight="1">
      <c r="A173" s="108"/>
      <c r="B173" s="109"/>
      <c r="C173" s="104" t="s">
        <v>98</v>
      </c>
      <c r="D173" s="105"/>
      <c r="E173" s="28">
        <v>0</v>
      </c>
      <c r="F173" s="44"/>
      <c r="G173" s="44"/>
      <c r="H173" s="44"/>
      <c r="I173" s="9"/>
    </row>
    <row r="174" spans="1:9" ht="24.75" customHeight="1">
      <c r="A174" s="108"/>
      <c r="B174" s="109"/>
      <c r="C174" s="104" t="s">
        <v>99</v>
      </c>
      <c r="D174" s="105"/>
      <c r="E174" s="28">
        <v>0</v>
      </c>
      <c r="F174" s="44"/>
      <c r="G174" s="44"/>
      <c r="H174" s="44"/>
      <c r="I174" s="9"/>
    </row>
    <row r="175" spans="1:9" ht="24.75" customHeight="1">
      <c r="A175" s="108"/>
      <c r="B175" s="109"/>
      <c r="C175" s="104" t="s">
        <v>100</v>
      </c>
      <c r="D175" s="105"/>
      <c r="E175" s="28">
        <v>0</v>
      </c>
      <c r="F175" s="44"/>
      <c r="G175" s="44"/>
      <c r="H175" s="44"/>
      <c r="I175" s="9"/>
    </row>
    <row r="176" spans="1:9" ht="24.75" customHeight="1">
      <c r="A176" s="108"/>
      <c r="B176" s="109"/>
      <c r="C176" s="104" t="s">
        <v>101</v>
      </c>
      <c r="D176" s="105"/>
      <c r="E176" s="28">
        <v>0</v>
      </c>
      <c r="F176" s="44"/>
      <c r="G176" s="44"/>
      <c r="H176" s="44"/>
      <c r="I176" s="9"/>
    </row>
    <row r="177" spans="1:9" ht="24.75" customHeight="1">
      <c r="A177" s="108"/>
      <c r="B177" s="109"/>
      <c r="C177" s="104" t="s">
        <v>102</v>
      </c>
      <c r="D177" s="105"/>
      <c r="E177" s="28">
        <v>0</v>
      </c>
      <c r="F177" s="44"/>
      <c r="G177" s="44"/>
      <c r="H177" s="44"/>
      <c r="I177" s="9"/>
    </row>
    <row r="178" spans="1:9" ht="24.75" customHeight="1">
      <c r="A178" s="108"/>
      <c r="B178" s="109"/>
      <c r="C178" s="104" t="s">
        <v>103</v>
      </c>
      <c r="D178" s="105"/>
      <c r="E178" s="28">
        <v>0</v>
      </c>
      <c r="F178" s="44"/>
      <c r="G178" s="44"/>
      <c r="H178" s="44"/>
      <c r="I178" s="9"/>
    </row>
    <row r="179" spans="1:9" ht="24.75" customHeight="1">
      <c r="A179" s="108"/>
      <c r="B179" s="109"/>
      <c r="C179" s="104" t="s">
        <v>104</v>
      </c>
      <c r="D179" s="105"/>
      <c r="E179" s="28">
        <v>0</v>
      </c>
      <c r="F179" s="44"/>
      <c r="G179" s="44"/>
      <c r="H179" s="44"/>
      <c r="I179" s="9"/>
    </row>
    <row r="180" spans="1:9" ht="24.75" customHeight="1">
      <c r="A180" s="108"/>
      <c r="B180" s="109"/>
      <c r="C180" s="104" t="s">
        <v>105</v>
      </c>
      <c r="D180" s="105"/>
      <c r="E180" s="28">
        <v>0</v>
      </c>
      <c r="F180" s="44"/>
      <c r="G180" s="44"/>
      <c r="H180" s="44"/>
      <c r="I180" s="9"/>
    </row>
    <row r="181" spans="1:9" ht="24.75" customHeight="1">
      <c r="A181" s="108"/>
      <c r="B181" s="109"/>
      <c r="C181" s="104" t="s">
        <v>106</v>
      </c>
      <c r="D181" s="105"/>
      <c r="E181" s="28">
        <v>0</v>
      </c>
      <c r="F181" s="44"/>
      <c r="G181" s="44"/>
      <c r="H181" s="44"/>
      <c r="I181" s="9"/>
    </row>
    <row r="182" spans="1:9" ht="24.75" customHeight="1">
      <c r="A182" s="108"/>
      <c r="B182" s="109"/>
      <c r="C182" s="148" t="s">
        <v>107</v>
      </c>
      <c r="D182" s="149"/>
      <c r="E182" s="42"/>
      <c r="F182" s="44"/>
      <c r="G182" s="44"/>
      <c r="H182" s="44"/>
      <c r="I182" s="9"/>
    </row>
    <row r="183" spans="1:9" ht="24.75" customHeight="1">
      <c r="A183" s="108"/>
      <c r="B183" s="109"/>
      <c r="C183" s="150" t="s">
        <v>111</v>
      </c>
      <c r="D183" s="151"/>
      <c r="E183" s="30">
        <v>0</v>
      </c>
      <c r="F183" s="44"/>
      <c r="G183" s="44"/>
      <c r="H183" s="44"/>
      <c r="I183" s="9"/>
    </row>
    <row r="184" spans="1:9" ht="24.75" customHeight="1">
      <c r="A184" s="108"/>
      <c r="B184" s="109"/>
      <c r="C184" s="104" t="s">
        <v>97</v>
      </c>
      <c r="D184" s="105"/>
      <c r="E184" s="30">
        <v>0</v>
      </c>
      <c r="F184" s="44"/>
      <c r="G184" s="44"/>
      <c r="H184" s="44"/>
      <c r="I184" s="9"/>
    </row>
    <row r="185" spans="1:9" ht="24.75" customHeight="1">
      <c r="A185" s="108"/>
      <c r="B185" s="109"/>
      <c r="C185" s="104" t="s">
        <v>98</v>
      </c>
      <c r="D185" s="105"/>
      <c r="E185" s="30">
        <v>0</v>
      </c>
      <c r="F185" s="44"/>
      <c r="G185" s="44"/>
      <c r="H185" s="44"/>
      <c r="I185" s="9"/>
    </row>
    <row r="186" spans="1:9" ht="24.75" customHeight="1">
      <c r="A186" s="108"/>
      <c r="B186" s="109"/>
      <c r="C186" s="104" t="s">
        <v>99</v>
      </c>
      <c r="D186" s="105"/>
      <c r="E186" s="30">
        <v>0</v>
      </c>
      <c r="F186" s="44"/>
      <c r="G186" s="44"/>
      <c r="H186" s="44"/>
      <c r="I186" s="9"/>
    </row>
    <row r="187" spans="1:9" ht="24.75" customHeight="1">
      <c r="A187" s="108"/>
      <c r="B187" s="109"/>
      <c r="C187" s="104" t="s">
        <v>100</v>
      </c>
      <c r="D187" s="105"/>
      <c r="E187" s="30">
        <v>0</v>
      </c>
      <c r="F187" s="44"/>
      <c r="G187" s="44"/>
      <c r="H187" s="44"/>
      <c r="I187" s="9"/>
    </row>
    <row r="188" spans="1:9" ht="24.75" customHeight="1">
      <c r="A188" s="110"/>
      <c r="B188" s="111"/>
      <c r="C188" s="104" t="s">
        <v>101</v>
      </c>
      <c r="D188" s="105"/>
      <c r="E188" s="30">
        <v>0</v>
      </c>
      <c r="F188" s="44"/>
      <c r="G188" s="44"/>
      <c r="H188" s="44"/>
      <c r="I188" s="9"/>
    </row>
    <row r="189" spans="1:9" ht="24.75" customHeight="1">
      <c r="A189" s="96" t="s">
        <v>109</v>
      </c>
      <c r="B189" s="152"/>
      <c r="C189" s="153"/>
      <c r="D189" s="154"/>
      <c r="E189" s="30">
        <f>C96</f>
        <v>0</v>
      </c>
      <c r="F189" s="44"/>
      <c r="G189" s="44"/>
      <c r="H189" s="44"/>
      <c r="I189" s="9"/>
    </row>
    <row r="190" spans="1:9" ht="24.75" customHeight="1">
      <c r="A190" s="145"/>
      <c r="B190" s="146"/>
      <c r="C190" s="147" t="s">
        <v>110</v>
      </c>
      <c r="D190" s="147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3" s="47" customFormat="1" ht="24.75" customHeight="1"/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3">
    <mergeCell ref="C116:D116"/>
    <mergeCell ref="A190:B190"/>
    <mergeCell ref="C190:D190"/>
    <mergeCell ref="A4:B4"/>
    <mergeCell ref="A5:B5"/>
    <mergeCell ref="A1:G1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4:D174"/>
    <mergeCell ref="C176:D176"/>
    <mergeCell ref="C177:D177"/>
    <mergeCell ref="C179:D179"/>
    <mergeCell ref="C180:D180"/>
    <mergeCell ref="C181:D181"/>
    <mergeCell ref="C182:D182"/>
    <mergeCell ref="C183:D183"/>
    <mergeCell ref="A163:B163"/>
    <mergeCell ref="C163:D163"/>
    <mergeCell ref="C133:D133"/>
    <mergeCell ref="C134:D134"/>
    <mergeCell ref="A135:B135"/>
    <mergeCell ref="C135:D135"/>
    <mergeCell ref="C117:D117"/>
    <mergeCell ref="C118:D118"/>
    <mergeCell ref="C122:D122"/>
    <mergeCell ref="C123:D123"/>
    <mergeCell ref="C124:D124"/>
    <mergeCell ref="C126:D126"/>
    <mergeCell ref="C127:D127"/>
    <mergeCell ref="C128:D128"/>
    <mergeCell ref="C129:D129"/>
    <mergeCell ref="A117:B134"/>
    <mergeCell ref="C144:D144"/>
    <mergeCell ref="C145:D145"/>
    <mergeCell ref="C149:D149"/>
    <mergeCell ref="C150:D150"/>
    <mergeCell ref="C151:D151"/>
    <mergeCell ref="C154:D154"/>
    <mergeCell ref="C155:D155"/>
    <mergeCell ref="C156:D156"/>
    <mergeCell ref="C152:D152"/>
    <mergeCell ref="C153:D153"/>
    <mergeCell ref="C169:D169"/>
    <mergeCell ref="A170:B170"/>
    <mergeCell ref="C170:D170"/>
    <mergeCell ref="C157:D157"/>
    <mergeCell ref="C158:D158"/>
    <mergeCell ref="C159:D159"/>
    <mergeCell ref="C160:D160"/>
    <mergeCell ref="C161:D161"/>
    <mergeCell ref="A162:B162"/>
    <mergeCell ref="C162:D162"/>
    <mergeCell ref="A168:E168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6:C16"/>
    <mergeCell ref="D16:E16"/>
    <mergeCell ref="A8:G8"/>
    <mergeCell ref="B9:C9"/>
    <mergeCell ref="D9:E9"/>
    <mergeCell ref="F9:G9"/>
    <mergeCell ref="A2:A3"/>
    <mergeCell ref="C2:G2"/>
    <mergeCell ref="C3:G3"/>
    <mergeCell ref="C4:G4"/>
    <mergeCell ref="C5:G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C172:D172"/>
    <mergeCell ref="C173:D173"/>
    <mergeCell ref="C175:D175"/>
    <mergeCell ref="C178:D178"/>
    <mergeCell ref="A171:B188"/>
    <mergeCell ref="A144:B161"/>
    <mergeCell ref="C119:D119"/>
    <mergeCell ref="C120:D120"/>
    <mergeCell ref="C121:D121"/>
    <mergeCell ref="C125:D125"/>
    <mergeCell ref="C146:D146"/>
    <mergeCell ref="C147:D147"/>
    <mergeCell ref="C148:D148"/>
    <mergeCell ref="A136:B136"/>
    <mergeCell ref="C136:D136"/>
    <mergeCell ref="A141:E141"/>
    <mergeCell ref="A142:B142"/>
    <mergeCell ref="C142:D142"/>
    <mergeCell ref="A143:B143"/>
    <mergeCell ref="C143:D143"/>
    <mergeCell ref="C130:D130"/>
    <mergeCell ref="C131:D131"/>
    <mergeCell ref="C132:D132"/>
    <mergeCell ref="A169:B169"/>
  </mergeCells>
  <conditionalFormatting sqref="C47:C55 C85 C78:C79 C95:C96">
    <cfRule type="cellIs" dxfId="758" priority="53" operator="equal">
      <formula>0</formula>
    </cfRule>
  </conditionalFormatting>
  <conditionalFormatting sqref="C47:C55 C85 C78:C79 C95:C96 E144 E155:E162">
    <cfRule type="cellIs" dxfId="757" priority="52" operator="greaterThan">
      <formula>0</formula>
    </cfRule>
  </conditionalFormatting>
  <conditionalFormatting sqref="C57:C66">
    <cfRule type="cellIs" dxfId="756" priority="51" operator="equal">
      <formula>0</formula>
    </cfRule>
  </conditionalFormatting>
  <conditionalFormatting sqref="C57:C66">
    <cfRule type="cellIs" dxfId="755" priority="50" operator="greaterThan">
      <formula>0</formula>
    </cfRule>
  </conditionalFormatting>
  <conditionalFormatting sqref="C68:C69">
    <cfRule type="cellIs" dxfId="754" priority="49" operator="equal">
      <formula>0</formula>
    </cfRule>
  </conditionalFormatting>
  <conditionalFormatting sqref="C68:C69">
    <cfRule type="cellIs" dxfId="753" priority="48" operator="greaterThan">
      <formula>0</formula>
    </cfRule>
  </conditionalFormatting>
  <conditionalFormatting sqref="C75">
    <cfRule type="cellIs" dxfId="752" priority="47" operator="equal">
      <formula>0</formula>
    </cfRule>
  </conditionalFormatting>
  <conditionalFormatting sqref="C75">
    <cfRule type="cellIs" dxfId="751" priority="46" operator="greaterThan">
      <formula>0</formula>
    </cfRule>
  </conditionalFormatting>
  <conditionalFormatting sqref="C77">
    <cfRule type="cellIs" dxfId="750" priority="45" operator="equal">
      <formula>0</formula>
    </cfRule>
  </conditionalFormatting>
  <conditionalFormatting sqref="C77">
    <cfRule type="cellIs" dxfId="749" priority="44" operator="greaterThan">
      <formula>0</formula>
    </cfRule>
  </conditionalFormatting>
  <conditionalFormatting sqref="C87:C89">
    <cfRule type="cellIs" dxfId="748" priority="43" operator="equal">
      <formula>0</formula>
    </cfRule>
  </conditionalFormatting>
  <conditionalFormatting sqref="C87:C89">
    <cfRule type="cellIs" dxfId="747" priority="42" operator="greaterThan">
      <formula>0</formula>
    </cfRule>
  </conditionalFormatting>
  <conditionalFormatting sqref="E117 E128:E135">
    <cfRule type="cellIs" dxfId="746" priority="41" operator="equal">
      <formula>0</formula>
    </cfRule>
  </conditionalFormatting>
  <conditionalFormatting sqref="E117 E128:E135">
    <cfRule type="cellIs" dxfId="745" priority="40" operator="greaterThan">
      <formula>0</formula>
    </cfRule>
  </conditionalFormatting>
  <conditionalFormatting sqref="E136">
    <cfRule type="cellIs" dxfId="744" priority="39" operator="greaterThanOrEqual">
      <formula>0</formula>
    </cfRule>
  </conditionalFormatting>
  <conditionalFormatting sqref="E136">
    <cfRule type="cellIs" dxfId="743" priority="38" operator="lessThan">
      <formula>0</formula>
    </cfRule>
  </conditionalFormatting>
  <conditionalFormatting sqref="C70:C74">
    <cfRule type="cellIs" dxfId="742" priority="37" operator="equal">
      <formula>0</formula>
    </cfRule>
  </conditionalFormatting>
  <conditionalFormatting sqref="C70:C74">
    <cfRule type="cellIs" dxfId="741" priority="36" operator="greaterThan">
      <formula>0</formula>
    </cfRule>
  </conditionalFormatting>
  <conditionalFormatting sqref="C80:C84">
    <cfRule type="cellIs" dxfId="740" priority="35" operator="equal">
      <formula>0</formula>
    </cfRule>
  </conditionalFormatting>
  <conditionalFormatting sqref="C80:C84">
    <cfRule type="cellIs" dxfId="739" priority="34" operator="greaterThan">
      <formula>0</formula>
    </cfRule>
  </conditionalFormatting>
  <conditionalFormatting sqref="C92:C94">
    <cfRule type="cellIs" dxfId="738" priority="33" operator="equal">
      <formula>0</formula>
    </cfRule>
  </conditionalFormatting>
  <conditionalFormatting sqref="C92:C94">
    <cfRule type="cellIs" dxfId="737" priority="32" operator="greaterThan">
      <formula>0</formula>
    </cfRule>
  </conditionalFormatting>
  <conditionalFormatting sqref="C108:C109">
    <cfRule type="cellIs" dxfId="736" priority="31" operator="equal">
      <formula>0</formula>
    </cfRule>
  </conditionalFormatting>
  <conditionalFormatting sqref="C108:C109">
    <cfRule type="cellIs" dxfId="735" priority="30" operator="greaterThan">
      <formula>0</formula>
    </cfRule>
  </conditionalFormatting>
  <conditionalFormatting sqref="E144 E155:E162">
    <cfRule type="cellIs" dxfId="734" priority="27" operator="equal">
      <formula>0</formula>
    </cfRule>
  </conditionalFormatting>
  <conditionalFormatting sqref="E163">
    <cfRule type="cellIs" dxfId="733" priority="25" operator="greaterThanOrEqual">
      <formula>0</formula>
    </cfRule>
  </conditionalFormatting>
  <conditionalFormatting sqref="E163">
    <cfRule type="cellIs" dxfId="732" priority="24" operator="lessThan">
      <formula>0</formula>
    </cfRule>
  </conditionalFormatting>
  <conditionalFormatting sqref="E143">
    <cfRule type="cellIs" dxfId="731" priority="23" operator="greaterThanOrEqual">
      <formula>0</formula>
    </cfRule>
  </conditionalFormatting>
  <conditionalFormatting sqref="E143">
    <cfRule type="cellIs" dxfId="730" priority="22" operator="lessThan">
      <formula>0</formula>
    </cfRule>
  </conditionalFormatting>
  <conditionalFormatting sqref="E171 E182:E189">
    <cfRule type="cellIs" dxfId="729" priority="21" operator="equal">
      <formula>0</formula>
    </cfRule>
  </conditionalFormatting>
  <conditionalFormatting sqref="E171 E182:E189">
    <cfRule type="cellIs" dxfId="728" priority="20" operator="greaterThan">
      <formula>0</formula>
    </cfRule>
  </conditionalFormatting>
  <conditionalFormatting sqref="E190">
    <cfRule type="cellIs" dxfId="727" priority="19" operator="greaterThanOrEqual">
      <formula>0</formula>
    </cfRule>
  </conditionalFormatting>
  <conditionalFormatting sqref="E190">
    <cfRule type="cellIs" dxfId="726" priority="18" operator="lessThan">
      <formula>0</formula>
    </cfRule>
  </conditionalFormatting>
  <conditionalFormatting sqref="E170">
    <cfRule type="cellIs" dxfId="725" priority="17" operator="greaterThanOrEqual">
      <formula>0</formula>
    </cfRule>
  </conditionalFormatting>
  <conditionalFormatting sqref="E170">
    <cfRule type="cellIs" dxfId="724" priority="16" operator="lessThan">
      <formula>0</formula>
    </cfRule>
  </conditionalFormatting>
  <conditionalFormatting sqref="C5">
    <cfRule type="cellIs" dxfId="723" priority="15" operator="equal">
      <formula>0</formula>
    </cfRule>
  </conditionalFormatting>
  <conditionalFormatting sqref="C5">
    <cfRule type="cellIs" dxfId="722" priority="14" operator="greaterThan">
      <formula>0</formula>
    </cfRule>
  </conditionalFormatting>
  <conditionalFormatting sqref="C98:C107">
    <cfRule type="cellIs" dxfId="721" priority="13" operator="lessThan">
      <formula>0</formula>
    </cfRule>
  </conditionalFormatting>
  <conditionalFormatting sqref="C98:C107">
    <cfRule type="cellIs" dxfId="720" priority="12" operator="greaterThanOrEqual">
      <formula>0</formula>
    </cfRule>
  </conditionalFormatting>
  <conditionalFormatting sqref="E118:E127">
    <cfRule type="cellIs" dxfId="719" priority="11" operator="equal">
      <formula>0</formula>
    </cfRule>
  </conditionalFormatting>
  <conditionalFormatting sqref="E118:E127">
    <cfRule type="cellIs" dxfId="718" priority="10" operator="greaterThan">
      <formula>0</formula>
    </cfRule>
  </conditionalFormatting>
  <conditionalFormatting sqref="E145:E154">
    <cfRule type="cellIs" dxfId="717" priority="9" operator="equal">
      <formula>0</formula>
    </cfRule>
  </conditionalFormatting>
  <conditionalFormatting sqref="E145:E154">
    <cfRule type="cellIs" dxfId="716" priority="8" operator="greaterThan">
      <formula>0</formula>
    </cfRule>
  </conditionalFormatting>
  <conditionalFormatting sqref="E172:E181">
    <cfRule type="cellIs" dxfId="715" priority="7" operator="equal">
      <formula>0</formula>
    </cfRule>
  </conditionalFormatting>
  <conditionalFormatting sqref="E172:E181">
    <cfRule type="cellIs" dxfId="714" priority="6" operator="greaterThan">
      <formula>0</formula>
    </cfRule>
  </conditionalFormatting>
  <conditionalFormatting sqref="E116">
    <cfRule type="cellIs" dxfId="713" priority="5" operator="greaterThanOrEqual">
      <formula>0</formula>
    </cfRule>
  </conditionalFormatting>
  <conditionalFormatting sqref="E116">
    <cfRule type="cellIs" dxfId="712" priority="4" operator="lessThan">
      <formula>0</formula>
    </cfRule>
  </conditionalFormatting>
  <conditionalFormatting sqref="C90:C91">
    <cfRule type="cellIs" dxfId="711" priority="2" operator="equal">
      <formula>0</formula>
    </cfRule>
  </conditionalFormatting>
  <conditionalFormatting sqref="C90:C91">
    <cfRule type="cellIs" dxfId="710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D17C-96EB-4FD2-8587-7E7A0672619C}">
  <dimension ref="A1:I192"/>
  <sheetViews>
    <sheetView topLeftCell="A13" workbookViewId="0">
      <selection activeCell="E41" sqref="E41"/>
    </sheetView>
  </sheetViews>
  <sheetFormatPr defaultRowHeight="15"/>
  <cols>
    <col min="1" max="2" width="20.625" style="47" customWidth="1"/>
    <col min="3" max="3" width="24.125" style="47" customWidth="1"/>
    <col min="4" max="7" width="20.625" style="47" customWidth="1"/>
    <col min="8" max="8" width="15.625" style="47" customWidth="1"/>
    <col min="9" max="16384" width="9" style="47"/>
  </cols>
  <sheetData>
    <row r="1" spans="1:9" ht="30" customHeight="1">
      <c r="A1" s="177" t="str">
        <f>"Forecasts For the Year " &amp; IF(Main!B2,TEXT(EDATE(Main!B3,6),"mmmm yyyy"),TEXT(Main!B3+((Main!B5-Main!B3)*6+6),"mmmm yyyy")) &amp; " to " &amp; IF(Main!B2,TEXT(EDATE(Main!B3,9)-1,"mmmm yyyy"),TEXT(Main!B3+((Main!B5-Main!B3)*9+8),"mmmm yyyy"))</f>
        <v>Forecasts For the Year October 2025 to January 2026</v>
      </c>
      <c r="B1" s="177"/>
      <c r="C1" s="177"/>
      <c r="D1" s="177"/>
      <c r="E1" s="177"/>
      <c r="F1" s="177"/>
      <c r="G1" s="177"/>
    </row>
    <row r="2" spans="1:9" ht="30" customHeight="1">
      <c r="A2" s="159" t="s">
        <v>31</v>
      </c>
      <c r="B2" s="48" t="s">
        <v>112</v>
      </c>
      <c r="C2" s="161" cm="1">
        <f t="array" aca="1" ref="C2" ca="1">INDIRECT("'" &amp; Main!B9 &amp; "'!$C$15")</f>
        <v>0</v>
      </c>
      <c r="D2" s="161"/>
      <c r="E2" s="161"/>
      <c r="F2" s="161"/>
      <c r="G2" s="161"/>
    </row>
    <row r="3" spans="1:9" ht="30" customHeight="1">
      <c r="A3" s="160"/>
      <c r="B3" s="41" t="s">
        <v>113</v>
      </c>
      <c r="C3" s="162">
        <f>E190</f>
        <v>0</v>
      </c>
      <c r="D3" s="162"/>
      <c r="E3" s="162"/>
      <c r="F3" s="162"/>
      <c r="G3" s="162"/>
    </row>
    <row r="4" spans="1:9" ht="30" customHeight="1">
      <c r="A4" s="174" t="s">
        <v>45</v>
      </c>
      <c r="B4" s="175"/>
      <c r="C4" s="163">
        <f ca="1">SUM(C2:G3)</f>
        <v>0</v>
      </c>
      <c r="D4" s="163"/>
      <c r="E4" s="163"/>
      <c r="F4" s="163"/>
      <c r="G4" s="163"/>
      <c r="H4" s="44"/>
      <c r="I4" s="9"/>
    </row>
    <row r="5" spans="1:9" ht="30" customHeight="1">
      <c r="A5" s="176" t="s">
        <v>114</v>
      </c>
      <c r="B5" s="176"/>
      <c r="C5" s="164">
        <f>C108</f>
        <v>0</v>
      </c>
      <c r="D5" s="165"/>
      <c r="E5" s="165"/>
      <c r="F5" s="165"/>
      <c r="G5" s="165"/>
      <c r="H5" s="44"/>
      <c r="I5" s="9"/>
    </row>
    <row r="6" spans="1:9" ht="30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30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30" customHeight="1">
      <c r="A8" s="132" t="str">
        <f>IF(Main!B2,TEXT(EDATE(Main!B3,6),"dd mmmm yyyy"),TEXT(Main!B3+((Main!B5-Main!B3)*6+6),"dd mmmm yyyy")) &amp; " - " &amp; IF(Main!B2,TEXT(EDATE(Main!B3,7)-1,"dd mmmm yyyy"),TEXT(Main!B3+((Main!B5-Main!B3)*7+6),"dd mmmm yyyy")) &amp; " / " &amp; " (Revenue / Deferred Debts Or Expenses)"</f>
        <v>11 October 2025 - 10 November 2025 /  (Revenue / Deferred Debts Or Expenses)</v>
      </c>
      <c r="B8" s="133"/>
      <c r="C8" s="133"/>
      <c r="D8" s="133"/>
      <c r="E8" s="133"/>
      <c r="F8" s="133"/>
      <c r="G8" s="133"/>
      <c r="H8" s="44"/>
      <c r="I8" s="37"/>
    </row>
    <row r="9" spans="1:9" ht="30" customHeight="1">
      <c r="A9" s="81" t="s">
        <v>27</v>
      </c>
      <c r="B9" s="120" t="s">
        <v>46</v>
      </c>
      <c r="C9" s="120"/>
      <c r="D9" s="121" t="s">
        <v>47</v>
      </c>
      <c r="E9" s="121"/>
      <c r="F9" s="121" t="s">
        <v>48</v>
      </c>
      <c r="G9" s="121"/>
      <c r="H9" s="44"/>
      <c r="I9" s="9"/>
    </row>
    <row r="10" spans="1:9" ht="30" customHeight="1">
      <c r="A10" s="2" t="s">
        <v>115</v>
      </c>
      <c r="B10" s="122" t="s">
        <v>50</v>
      </c>
      <c r="C10" s="122"/>
      <c r="D10" s="122" t="s">
        <v>51</v>
      </c>
      <c r="E10" s="122"/>
      <c r="F10" s="123">
        <v>0</v>
      </c>
      <c r="G10" s="124"/>
      <c r="H10" s="44"/>
      <c r="I10" s="9"/>
    </row>
    <row r="11" spans="1:9" ht="30" customHeight="1">
      <c r="A11" s="2"/>
      <c r="B11" s="125" t="s">
        <v>40</v>
      </c>
      <c r="C11" s="126"/>
      <c r="D11" s="127"/>
      <c r="E11" s="128"/>
      <c r="F11" s="123">
        <v>0</v>
      </c>
      <c r="G11" s="124"/>
      <c r="H11" s="44"/>
      <c r="I11" s="9"/>
    </row>
    <row r="12" spans="1:9" ht="30" customHeight="1">
      <c r="A12" s="2"/>
      <c r="B12" s="125" t="s">
        <v>41</v>
      </c>
      <c r="C12" s="126"/>
      <c r="D12" s="127"/>
      <c r="E12" s="128"/>
      <c r="F12" s="123">
        <v>0</v>
      </c>
      <c r="G12" s="124"/>
      <c r="H12" s="44"/>
      <c r="I12" s="9"/>
    </row>
    <row r="13" spans="1:9" ht="30" customHeight="1">
      <c r="A13" s="2"/>
      <c r="B13" s="125" t="s">
        <v>42</v>
      </c>
      <c r="C13" s="126"/>
      <c r="D13" s="127"/>
      <c r="E13" s="128"/>
      <c r="F13" s="123">
        <v>0</v>
      </c>
      <c r="G13" s="124"/>
      <c r="H13" s="44"/>
      <c r="I13" s="9"/>
    </row>
    <row r="14" spans="1:9" ht="30" customHeight="1">
      <c r="A14" s="2"/>
      <c r="B14" s="125" t="s">
        <v>43</v>
      </c>
      <c r="C14" s="126"/>
      <c r="D14" s="127"/>
      <c r="E14" s="128"/>
      <c r="F14" s="123">
        <v>0</v>
      </c>
      <c r="G14" s="124"/>
      <c r="H14" s="44"/>
      <c r="I14" s="9"/>
    </row>
    <row r="15" spans="1:9" ht="30" customHeight="1">
      <c r="A15" s="2"/>
      <c r="B15" s="125" t="s">
        <v>44</v>
      </c>
      <c r="C15" s="126"/>
      <c r="D15" s="127"/>
      <c r="E15" s="128"/>
      <c r="F15" s="123">
        <v>0</v>
      </c>
      <c r="G15" s="124"/>
      <c r="H15" s="44"/>
      <c r="I15" s="9"/>
    </row>
    <row r="16" spans="1:9" ht="30" customHeight="1">
      <c r="A16" s="45"/>
      <c r="B16" s="166"/>
      <c r="C16" s="167"/>
      <c r="D16" s="116" t="s">
        <v>52</v>
      </c>
      <c r="E16" s="117"/>
      <c r="F16" s="118">
        <f>SUM(F10:G15)</f>
        <v>0</v>
      </c>
      <c r="G16" s="119"/>
      <c r="H16" s="44"/>
      <c r="I16" s="9"/>
    </row>
    <row r="17" spans="1:9" ht="30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30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30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30" customHeight="1">
      <c r="A20" s="132" t="str">
        <f>IF(Main!B2,TEXT(EDATE(Main!B3,7),"dd mmmm yyyy"),TEXT(Main!B3+((Main!B5-Main!B3)*7+7),"dd mmmm yyyy")) &amp; " - " &amp; IF(Main!B2,TEXT(EDATE(Main!B3,8)-1,"dd mmmm yyyy"),TEXT(Main!B3+((Main!B5-Main!B3)*8+7),"dd mmmm yyyy")) &amp; " / " &amp; " (Revenue / Deferred Debts Or Expenses)"</f>
        <v>11 November 2025 - 10 December 2025 /  (Revenue / Deferred Debts Or Expenses)</v>
      </c>
      <c r="B20" s="133"/>
      <c r="C20" s="133"/>
      <c r="D20" s="133"/>
      <c r="E20" s="133"/>
      <c r="F20" s="133"/>
      <c r="G20" s="133"/>
      <c r="H20" s="44"/>
      <c r="I20" s="9"/>
    </row>
    <row r="21" spans="1:9" ht="30" customHeight="1">
      <c r="A21" s="81" t="s">
        <v>27</v>
      </c>
      <c r="B21" s="120" t="s">
        <v>46</v>
      </c>
      <c r="C21" s="120"/>
      <c r="D21" s="121" t="s">
        <v>47</v>
      </c>
      <c r="E21" s="121"/>
      <c r="F21" s="121" t="s">
        <v>48</v>
      </c>
      <c r="G21" s="121"/>
      <c r="H21" s="44"/>
      <c r="I21" s="9"/>
    </row>
    <row r="22" spans="1:9" ht="30" customHeight="1">
      <c r="A22" s="2" t="s">
        <v>116</v>
      </c>
      <c r="B22" s="122" t="s">
        <v>54</v>
      </c>
      <c r="C22" s="122"/>
      <c r="D22" s="122" t="s">
        <v>55</v>
      </c>
      <c r="E22" s="122"/>
      <c r="F22" s="123">
        <v>0</v>
      </c>
      <c r="G22" s="124"/>
      <c r="H22" s="44"/>
      <c r="I22" s="9"/>
    </row>
    <row r="23" spans="1:9" ht="30" customHeight="1">
      <c r="A23" s="2"/>
      <c r="B23" s="125" t="s">
        <v>40</v>
      </c>
      <c r="C23" s="126"/>
      <c r="D23" s="127"/>
      <c r="E23" s="128"/>
      <c r="F23" s="123">
        <v>0</v>
      </c>
      <c r="G23" s="124"/>
      <c r="H23" s="44"/>
      <c r="I23" s="9"/>
    </row>
    <row r="24" spans="1:9" ht="30" customHeight="1">
      <c r="A24" s="2"/>
      <c r="B24" s="125" t="s">
        <v>41</v>
      </c>
      <c r="C24" s="126"/>
      <c r="D24" s="127"/>
      <c r="E24" s="128"/>
      <c r="F24" s="123">
        <v>0</v>
      </c>
      <c r="G24" s="124"/>
      <c r="H24" s="44"/>
      <c r="I24" s="9"/>
    </row>
    <row r="25" spans="1:9" ht="30" customHeight="1">
      <c r="A25" s="2"/>
      <c r="B25" s="125" t="s">
        <v>42</v>
      </c>
      <c r="C25" s="126"/>
      <c r="D25" s="127"/>
      <c r="E25" s="128"/>
      <c r="F25" s="123">
        <v>0</v>
      </c>
      <c r="G25" s="124"/>
      <c r="H25" s="44"/>
      <c r="I25" s="9"/>
    </row>
    <row r="26" spans="1:9" ht="30" customHeight="1">
      <c r="A26" s="2"/>
      <c r="B26" s="125" t="s">
        <v>43</v>
      </c>
      <c r="C26" s="126"/>
      <c r="D26" s="127"/>
      <c r="E26" s="128"/>
      <c r="F26" s="123">
        <v>0</v>
      </c>
      <c r="G26" s="124"/>
      <c r="H26" s="44"/>
      <c r="I26" s="9"/>
    </row>
    <row r="27" spans="1:9" ht="30" customHeight="1">
      <c r="A27" s="2"/>
      <c r="B27" s="125" t="s">
        <v>44</v>
      </c>
      <c r="C27" s="126"/>
      <c r="D27" s="127"/>
      <c r="E27" s="128"/>
      <c r="F27" s="123">
        <v>0</v>
      </c>
      <c r="G27" s="124"/>
      <c r="H27" s="44"/>
      <c r="I27" s="9"/>
    </row>
    <row r="28" spans="1:9" ht="30" customHeight="1">
      <c r="A28" s="45"/>
      <c r="B28" s="166"/>
      <c r="C28" s="167"/>
      <c r="D28" s="116" t="s">
        <v>52</v>
      </c>
      <c r="E28" s="117"/>
      <c r="F28" s="118">
        <f>SUM(F22:G27)</f>
        <v>0</v>
      </c>
      <c r="G28" s="119"/>
      <c r="H28" s="44"/>
      <c r="I28" s="9"/>
    </row>
    <row r="29" spans="1:9" ht="30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30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30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30" customHeight="1">
      <c r="A32" s="132" t="str">
        <f>IF(Main!B2,TEXT(EDATE(Main!B3,8),"dd mmmm yyyy"),TEXT(Main!B3+((Main!B5-Main!B3)*8+8),"dd mmmm yyyy")) &amp; " - " &amp; IF(Main!B2,TEXT(EDATE(Main!B3,9)-1,"dd mmmm yyyy"),TEXT(Main!B3+((Main!B5-Main!B3)*9+8),"dd mmmm yyyy")) &amp; " / " &amp; " (Revenue / Deferred Debts Or Expenses)"</f>
        <v>11 December 2025 - 10 January 2026 /  (Revenue / Deferred Debts Or Expenses)</v>
      </c>
      <c r="B32" s="133"/>
      <c r="C32" s="133"/>
      <c r="D32" s="133"/>
      <c r="E32" s="133"/>
      <c r="F32" s="133"/>
      <c r="G32" s="133"/>
      <c r="H32" s="44"/>
      <c r="I32" s="9"/>
    </row>
    <row r="33" spans="1:9" ht="30" customHeight="1">
      <c r="A33" s="81" t="s">
        <v>27</v>
      </c>
      <c r="B33" s="120" t="s">
        <v>46</v>
      </c>
      <c r="C33" s="120"/>
      <c r="D33" s="121" t="s">
        <v>47</v>
      </c>
      <c r="E33" s="121"/>
      <c r="F33" s="121" t="s">
        <v>48</v>
      </c>
      <c r="G33" s="121"/>
      <c r="H33" s="44"/>
      <c r="I33" s="9"/>
    </row>
    <row r="34" spans="1:9" ht="30" customHeight="1">
      <c r="A34" s="2" t="s">
        <v>117</v>
      </c>
      <c r="B34" s="122" t="s">
        <v>54</v>
      </c>
      <c r="C34" s="122"/>
      <c r="D34" s="122" t="s">
        <v>55</v>
      </c>
      <c r="E34" s="122"/>
      <c r="F34" s="123">
        <v>0</v>
      </c>
      <c r="G34" s="124"/>
      <c r="H34" s="44"/>
      <c r="I34" s="9"/>
    </row>
    <row r="35" spans="1:9" ht="30" customHeight="1">
      <c r="A35" s="2"/>
      <c r="B35" s="125" t="s">
        <v>40</v>
      </c>
      <c r="C35" s="126"/>
      <c r="D35" s="127"/>
      <c r="E35" s="128"/>
      <c r="F35" s="123">
        <v>0</v>
      </c>
      <c r="G35" s="124"/>
      <c r="H35" s="44"/>
      <c r="I35" s="9"/>
    </row>
    <row r="36" spans="1:9" ht="30" customHeight="1">
      <c r="A36" s="2"/>
      <c r="B36" s="125" t="s">
        <v>41</v>
      </c>
      <c r="C36" s="126"/>
      <c r="D36" s="127"/>
      <c r="E36" s="128"/>
      <c r="F36" s="123">
        <v>0</v>
      </c>
      <c r="G36" s="124"/>
      <c r="H36" s="44"/>
      <c r="I36" s="37"/>
    </row>
    <row r="37" spans="1:9" ht="30" customHeight="1">
      <c r="A37" s="2"/>
      <c r="B37" s="125" t="s">
        <v>42</v>
      </c>
      <c r="C37" s="126"/>
      <c r="D37" s="127"/>
      <c r="E37" s="128"/>
      <c r="F37" s="123">
        <v>0</v>
      </c>
      <c r="G37" s="124"/>
      <c r="H37" s="44"/>
      <c r="I37" s="9"/>
    </row>
    <row r="38" spans="1:9" ht="30" customHeight="1">
      <c r="A38" s="2"/>
      <c r="B38" s="125" t="s">
        <v>43</v>
      </c>
      <c r="C38" s="126"/>
      <c r="D38" s="127"/>
      <c r="E38" s="128"/>
      <c r="F38" s="123">
        <v>0</v>
      </c>
      <c r="G38" s="124"/>
      <c r="H38" s="44"/>
      <c r="I38" s="9"/>
    </row>
    <row r="39" spans="1:9" ht="30" customHeight="1">
      <c r="A39" s="2"/>
      <c r="B39" s="125" t="s">
        <v>44</v>
      </c>
      <c r="C39" s="126"/>
      <c r="D39" s="127"/>
      <c r="E39" s="128"/>
      <c r="F39" s="123">
        <v>0</v>
      </c>
      <c r="G39" s="124"/>
      <c r="H39" s="44"/>
      <c r="I39" s="9"/>
    </row>
    <row r="40" spans="1:9" ht="30" customHeight="1">
      <c r="A40" s="45"/>
      <c r="B40" s="166"/>
      <c r="C40" s="167"/>
      <c r="D40" s="116" t="s">
        <v>52</v>
      </c>
      <c r="E40" s="117"/>
      <c r="F40" s="118">
        <f>SUM(F34:G39)</f>
        <v>0</v>
      </c>
      <c r="G40" s="119"/>
      <c r="H40" s="44"/>
      <c r="I40" s="9"/>
    </row>
    <row r="41" spans="1:9" ht="30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30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30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30" customHeight="1">
      <c r="A44" s="168" t="str">
        <f>"Fixed Expense For the Year " &amp; IF(Main!B2,TEXT(EDATE(Main!B3,6),"mmmm yyyy"),TEXT(Main!B3+((Main!B5-Main!B3)*6+6),"mmmm yyyy")) &amp; " to " &amp; IF(Main!B2,TEXT(EDATE(Main!B3,9)-1,"mmmm yyyy"),TEXT(Main!B3+((Main!B5-Main!B3)*9+8),"mmmm yyyy"))</f>
        <v>Fixed Expense For the Year October 2025 to January 2026</v>
      </c>
      <c r="B44" s="169"/>
      <c r="C44" s="170"/>
      <c r="D44" s="44"/>
      <c r="E44" s="44"/>
      <c r="F44" s="44"/>
      <c r="G44" s="44"/>
      <c r="H44" s="44"/>
      <c r="I44" s="9"/>
    </row>
    <row r="45" spans="1:9" ht="30" customHeight="1">
      <c r="A45" s="46" t="s">
        <v>46</v>
      </c>
      <c r="B45" s="46" t="s">
        <v>47</v>
      </c>
      <c r="C45" s="82" t="s">
        <v>48</v>
      </c>
      <c r="D45" s="44"/>
      <c r="E45" s="44"/>
      <c r="F45" s="44"/>
      <c r="G45" s="44"/>
      <c r="H45" s="44"/>
      <c r="I45" s="9"/>
    </row>
    <row r="46" spans="1:9" ht="30" customHeight="1">
      <c r="A46" s="171" t="s">
        <v>57</v>
      </c>
      <c r="B46" s="172"/>
      <c r="C46" s="173"/>
      <c r="D46" s="44"/>
      <c r="E46" s="44"/>
      <c r="F46" s="44"/>
      <c r="G46" s="44"/>
      <c r="H46" s="44"/>
      <c r="I46" s="9"/>
    </row>
    <row r="47" spans="1:9" ht="30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30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30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30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30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30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30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30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30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30" customHeight="1">
      <c r="A56" s="171" t="s">
        <v>62</v>
      </c>
      <c r="B56" s="172"/>
      <c r="C56" s="173"/>
      <c r="D56" s="44"/>
      <c r="E56" s="44"/>
      <c r="F56" s="44"/>
      <c r="G56" s="44"/>
      <c r="H56" s="44"/>
      <c r="I56" s="9"/>
    </row>
    <row r="57" spans="1:9" ht="30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30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30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30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30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30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30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30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30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30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30" customHeight="1">
      <c r="A67" s="171" t="s">
        <v>67</v>
      </c>
      <c r="B67" s="172"/>
      <c r="C67" s="173"/>
      <c r="D67" s="44"/>
      <c r="E67" s="44"/>
      <c r="F67" s="44"/>
      <c r="G67" s="44"/>
      <c r="H67" s="44"/>
      <c r="I67" s="9"/>
    </row>
    <row r="68" spans="1:9" ht="50.2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30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30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30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30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30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30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30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30" customHeight="1">
      <c r="A76" s="171" t="s">
        <v>72</v>
      </c>
      <c r="B76" s="172"/>
      <c r="C76" s="173"/>
      <c r="D76" s="44"/>
      <c r="E76" s="44"/>
      <c r="F76" s="44"/>
      <c r="G76" s="44"/>
      <c r="H76" s="44"/>
      <c r="I76" s="9"/>
    </row>
    <row r="77" spans="1:9" ht="30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30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30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30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30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30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30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30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30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30" customHeight="1">
      <c r="A86" s="171" t="s">
        <v>77</v>
      </c>
      <c r="B86" s="172"/>
      <c r="C86" s="173"/>
      <c r="D86" s="44"/>
      <c r="E86" s="44"/>
      <c r="F86" s="44"/>
      <c r="G86" s="44"/>
      <c r="H86" s="44"/>
      <c r="I86" s="9"/>
    </row>
    <row r="87" spans="1:9" ht="30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30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30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30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30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30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30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30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30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30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30" customHeight="1">
      <c r="A97" s="171" t="s">
        <v>86</v>
      </c>
      <c r="B97" s="172"/>
      <c r="C97" s="173"/>
      <c r="D97" s="44"/>
      <c r="E97" s="44"/>
      <c r="F97" s="44"/>
      <c r="G97" s="44"/>
      <c r="H97" s="44"/>
      <c r="I97" s="9"/>
    </row>
    <row r="98" spans="1:9" ht="30" customHeight="1">
      <c r="A98" s="27" t="s">
        <v>40</v>
      </c>
      <c r="B98" s="19"/>
      <c r="C98" s="28">
        <f>(Forecast_2!C98)+SUM(E118+E145+E172)</f>
        <v>0</v>
      </c>
      <c r="D98" s="44"/>
      <c r="E98" s="49"/>
      <c r="F98" s="44"/>
      <c r="G98" s="44"/>
      <c r="H98" s="44"/>
      <c r="I98" s="9"/>
    </row>
    <row r="99" spans="1:9" ht="30" customHeight="1">
      <c r="A99" s="27" t="s">
        <v>41</v>
      </c>
      <c r="B99" s="19"/>
      <c r="C99" s="28">
        <f>(Forecast_2!C99)+SUM(E119+E146+E173)</f>
        <v>0</v>
      </c>
      <c r="D99" s="44"/>
      <c r="E99" s="44"/>
      <c r="F99" s="44"/>
      <c r="G99" s="44"/>
      <c r="H99" s="44"/>
      <c r="I99" s="9"/>
    </row>
    <row r="100" spans="1:9" ht="30" customHeight="1">
      <c r="A100" s="27" t="s">
        <v>42</v>
      </c>
      <c r="B100" s="19"/>
      <c r="C100" s="74">
        <f>(Forecast_2!C100)+SUM(E120+E147+E174)</f>
        <v>0</v>
      </c>
      <c r="D100" s="44"/>
      <c r="E100" s="44"/>
      <c r="F100" s="44"/>
      <c r="G100" s="44"/>
      <c r="H100" s="44"/>
      <c r="I100" s="9"/>
    </row>
    <row r="101" spans="1:9" ht="30" customHeight="1">
      <c r="A101" s="18" t="s">
        <v>43</v>
      </c>
      <c r="B101" s="19"/>
      <c r="C101" s="28">
        <f>(Forecast_2!C101)+SUM(E121+E148+E175)</f>
        <v>0</v>
      </c>
      <c r="D101" s="44"/>
      <c r="E101" s="44"/>
      <c r="F101" s="44"/>
      <c r="G101" s="44"/>
      <c r="H101" s="44"/>
      <c r="I101" s="9"/>
    </row>
    <row r="102" spans="1:9" ht="30" customHeight="1">
      <c r="A102" s="18" t="s">
        <v>44</v>
      </c>
      <c r="B102" s="19"/>
      <c r="C102" s="28">
        <f>(Forecast_2!C102)+SUM(E122+E149+E176)</f>
        <v>0</v>
      </c>
      <c r="D102" s="44"/>
      <c r="E102" s="44"/>
      <c r="F102" s="44"/>
      <c r="G102" s="44"/>
      <c r="H102" s="44"/>
      <c r="I102" s="9"/>
    </row>
    <row r="103" spans="1:9" ht="30" customHeight="1">
      <c r="A103" s="18" t="s">
        <v>87</v>
      </c>
      <c r="B103" s="19"/>
      <c r="C103" s="28">
        <f>(Forecast_2!C103)+SUM(E123+E150+E177)</f>
        <v>0</v>
      </c>
      <c r="D103" s="44"/>
      <c r="E103" s="44"/>
      <c r="F103" s="44"/>
      <c r="G103" s="44"/>
      <c r="H103" s="44"/>
      <c r="I103" s="9"/>
    </row>
    <row r="104" spans="1:9" ht="30" customHeight="1">
      <c r="A104" s="18" t="s">
        <v>88</v>
      </c>
      <c r="B104" s="19"/>
      <c r="C104" s="28">
        <f>(Forecast_2!C104)+SUM(E124+E151+E178)</f>
        <v>0</v>
      </c>
      <c r="D104" s="44"/>
      <c r="E104" s="44"/>
      <c r="F104" s="44"/>
      <c r="G104" s="44"/>
      <c r="H104" s="44"/>
      <c r="I104" s="9"/>
    </row>
    <row r="105" spans="1:9" ht="30" customHeight="1">
      <c r="A105" s="18" t="s">
        <v>89</v>
      </c>
      <c r="B105" s="19"/>
      <c r="C105" s="28">
        <f>(Forecast_2!C105)+SUM(E125+E152+E179)</f>
        <v>0</v>
      </c>
      <c r="D105" s="44"/>
      <c r="E105" s="44"/>
      <c r="F105" s="44"/>
      <c r="G105" s="44"/>
      <c r="H105" s="44"/>
      <c r="I105" s="9"/>
    </row>
    <row r="106" spans="1:9" ht="30" customHeight="1">
      <c r="A106" s="18" t="s">
        <v>90</v>
      </c>
      <c r="B106" s="19"/>
      <c r="C106" s="28">
        <f>(Forecast_2!C106)+SUM(E126+E153+E180)</f>
        <v>0</v>
      </c>
      <c r="D106" s="44"/>
      <c r="E106" s="44"/>
      <c r="F106" s="44"/>
      <c r="G106" s="44"/>
      <c r="H106" s="44"/>
      <c r="I106" s="9"/>
    </row>
    <row r="107" spans="1:9" ht="30" customHeight="1">
      <c r="A107" s="18" t="s">
        <v>91</v>
      </c>
      <c r="B107" s="19"/>
      <c r="C107" s="28">
        <f>(Forecast_2!C107)+SUM(E127+E154+E181)</f>
        <v>0</v>
      </c>
      <c r="D107" s="44"/>
      <c r="E107" s="44"/>
      <c r="F107" s="44"/>
      <c r="G107" s="44"/>
      <c r="H107" s="44"/>
      <c r="I107" s="9"/>
    </row>
    <row r="108" spans="1:9" ht="30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30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30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30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30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30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30" customHeight="1">
      <c r="A114" s="99" t="str">
        <f>"Debts Or Credits For the Comming " &amp; IF(Main!B2,TEXT(EDATE(Main!B3,6),"mmmm dd yyyy"),TEXT(Main!B3+((Main!B5-Main!B3)*6+6),"mmmm dd yyyy")) &amp; " to " &amp; IF(Main!B2,TEXT(EDATE(Main!B3,7)-1,"mmmm dd yyyy"),TEXT(Main!B3+((Main!B5-Main!B3)*7+6),"mmmm dd yyyy"))</f>
        <v>Debts Or Credits For the Comming October 11 2025 to November 10 2025</v>
      </c>
      <c r="B114" s="100"/>
      <c r="C114" s="100"/>
      <c r="D114" s="100"/>
      <c r="E114" s="101"/>
      <c r="F114" s="44"/>
      <c r="G114" s="44"/>
      <c r="H114" s="44"/>
      <c r="I114" s="9"/>
    </row>
    <row r="115" spans="1:9" ht="30" customHeight="1">
      <c r="A115" s="99" t="s">
        <v>94</v>
      </c>
      <c r="B115" s="101"/>
      <c r="C115" s="99" t="s">
        <v>47</v>
      </c>
      <c r="D115" s="101"/>
      <c r="E115" s="29" t="s">
        <v>48</v>
      </c>
      <c r="F115" s="44"/>
      <c r="G115" s="44"/>
      <c r="H115" s="44"/>
      <c r="I115" s="9"/>
    </row>
    <row r="116" spans="1:9" ht="30" customHeight="1">
      <c r="A116" s="96" t="str">
        <f>"Balance Brought Forward From " &amp;  IF(Main!B2,TEXT(EDATE(Main!B3,6)-1,"mmmm yyyy"),TEXT(Main!B3+((Main!B5-Main!B3)*6+5),"mmmm yyyy"))</f>
        <v>Balance Brought Forward From October 2025</v>
      </c>
      <c r="B116" s="97"/>
      <c r="C116" s="158"/>
      <c r="D116" s="158"/>
      <c r="E116" s="31">
        <f>Forecast_2!E190</f>
        <v>0</v>
      </c>
      <c r="F116" s="44"/>
      <c r="G116" s="44"/>
      <c r="H116" s="44"/>
      <c r="I116" s="9"/>
    </row>
    <row r="117" spans="1:9" ht="30" customHeight="1">
      <c r="A117" s="106" t="s">
        <v>95</v>
      </c>
      <c r="B117" s="107"/>
      <c r="C117" s="157" t="s">
        <v>96</v>
      </c>
      <c r="D117" s="149"/>
      <c r="E117" s="42"/>
      <c r="F117" s="44"/>
      <c r="G117" s="44"/>
      <c r="H117" s="44"/>
      <c r="I117" s="9"/>
    </row>
    <row r="118" spans="1:9" ht="30" customHeight="1">
      <c r="A118" s="108"/>
      <c r="B118" s="109"/>
      <c r="C118" s="104" t="s">
        <v>97</v>
      </c>
      <c r="D118" s="105"/>
      <c r="E118" s="28">
        <v>0</v>
      </c>
      <c r="F118" s="44"/>
      <c r="G118" s="44"/>
      <c r="H118" s="44"/>
      <c r="I118" s="9"/>
    </row>
    <row r="119" spans="1:9" ht="30" customHeight="1">
      <c r="A119" s="108"/>
      <c r="B119" s="109"/>
      <c r="C119" s="104" t="s">
        <v>98</v>
      </c>
      <c r="D119" s="105"/>
      <c r="E119" s="28">
        <v>0</v>
      </c>
      <c r="F119" s="44"/>
      <c r="G119" s="44"/>
      <c r="H119" s="44"/>
      <c r="I119" s="9"/>
    </row>
    <row r="120" spans="1:9" ht="30" customHeight="1">
      <c r="A120" s="108"/>
      <c r="B120" s="109"/>
      <c r="C120" s="104" t="s">
        <v>99</v>
      </c>
      <c r="D120" s="105"/>
      <c r="E120" s="28">
        <v>0</v>
      </c>
      <c r="F120" s="44"/>
      <c r="G120" s="44"/>
      <c r="H120" s="44"/>
      <c r="I120" s="9"/>
    </row>
    <row r="121" spans="1:9" ht="30" customHeight="1">
      <c r="A121" s="108"/>
      <c r="B121" s="109"/>
      <c r="C121" s="104" t="s">
        <v>100</v>
      </c>
      <c r="D121" s="105"/>
      <c r="E121" s="28">
        <v>0</v>
      </c>
      <c r="F121" s="44"/>
      <c r="G121" s="44"/>
      <c r="H121" s="44"/>
      <c r="I121" s="9"/>
    </row>
    <row r="122" spans="1:9" ht="30" customHeight="1">
      <c r="A122" s="108"/>
      <c r="B122" s="109"/>
      <c r="C122" s="104" t="s">
        <v>101</v>
      </c>
      <c r="D122" s="105"/>
      <c r="E122" s="28">
        <v>0</v>
      </c>
      <c r="F122" s="44"/>
      <c r="G122" s="44"/>
      <c r="H122" s="44"/>
      <c r="I122" s="9"/>
    </row>
    <row r="123" spans="1:9" ht="30" customHeight="1">
      <c r="A123" s="108"/>
      <c r="B123" s="109"/>
      <c r="C123" s="104" t="s">
        <v>102</v>
      </c>
      <c r="D123" s="105"/>
      <c r="E123" s="28">
        <v>0</v>
      </c>
      <c r="F123" s="44"/>
      <c r="G123" s="44"/>
      <c r="H123" s="44"/>
      <c r="I123" s="9"/>
    </row>
    <row r="124" spans="1:9" ht="30" customHeight="1">
      <c r="A124" s="108"/>
      <c r="B124" s="109"/>
      <c r="C124" s="104" t="s">
        <v>103</v>
      </c>
      <c r="D124" s="105"/>
      <c r="E124" s="28">
        <v>0</v>
      </c>
      <c r="F124" s="44"/>
      <c r="G124" s="44"/>
      <c r="H124" s="44"/>
      <c r="I124" s="9"/>
    </row>
    <row r="125" spans="1:9" ht="30" customHeight="1">
      <c r="A125" s="108"/>
      <c r="B125" s="109"/>
      <c r="C125" s="104" t="s">
        <v>104</v>
      </c>
      <c r="D125" s="105"/>
      <c r="E125" s="28">
        <v>0</v>
      </c>
      <c r="F125" s="44"/>
      <c r="G125" s="44"/>
      <c r="H125" s="44"/>
      <c r="I125" s="9"/>
    </row>
    <row r="126" spans="1:9" ht="30" customHeight="1">
      <c r="A126" s="108"/>
      <c r="B126" s="109"/>
      <c r="C126" s="104" t="s">
        <v>105</v>
      </c>
      <c r="D126" s="105"/>
      <c r="E126" s="28">
        <v>0</v>
      </c>
      <c r="F126" s="44"/>
      <c r="G126" s="44"/>
      <c r="H126" s="44"/>
      <c r="I126" s="9"/>
    </row>
    <row r="127" spans="1:9" ht="30" customHeight="1">
      <c r="A127" s="108"/>
      <c r="B127" s="109"/>
      <c r="C127" s="104" t="s">
        <v>106</v>
      </c>
      <c r="D127" s="105"/>
      <c r="E127" s="28">
        <v>0</v>
      </c>
      <c r="F127" s="44"/>
      <c r="G127" s="44"/>
      <c r="H127" s="44"/>
      <c r="I127" s="9"/>
    </row>
    <row r="128" spans="1:9" ht="30" customHeight="1">
      <c r="A128" s="108"/>
      <c r="B128" s="109"/>
      <c r="C128" s="148" t="s">
        <v>107</v>
      </c>
      <c r="D128" s="149"/>
      <c r="E128" s="42"/>
      <c r="F128" s="44"/>
      <c r="G128" s="44"/>
      <c r="H128" s="44"/>
      <c r="I128" s="9"/>
    </row>
    <row r="129" spans="1:9" ht="30" customHeight="1">
      <c r="A129" s="108"/>
      <c r="B129" s="109"/>
      <c r="C129" s="150" t="s">
        <v>108</v>
      </c>
      <c r="D129" s="151"/>
      <c r="E129" s="30">
        <v>0</v>
      </c>
      <c r="F129" s="44"/>
      <c r="G129" s="44"/>
      <c r="H129" s="44"/>
      <c r="I129" s="9"/>
    </row>
    <row r="130" spans="1:9" ht="30" customHeight="1">
      <c r="A130" s="108"/>
      <c r="B130" s="109"/>
      <c r="C130" s="104" t="s">
        <v>97</v>
      </c>
      <c r="D130" s="105"/>
      <c r="E130" s="30">
        <v>0</v>
      </c>
      <c r="F130" s="44"/>
      <c r="G130" s="44"/>
      <c r="H130" s="44"/>
      <c r="I130" s="9"/>
    </row>
    <row r="131" spans="1:9" ht="30" customHeight="1">
      <c r="A131" s="108"/>
      <c r="B131" s="109"/>
      <c r="C131" s="104" t="s">
        <v>98</v>
      </c>
      <c r="D131" s="105"/>
      <c r="E131" s="30">
        <v>0</v>
      </c>
      <c r="F131" s="44"/>
      <c r="G131" s="44"/>
      <c r="H131" s="44"/>
      <c r="I131" s="9"/>
    </row>
    <row r="132" spans="1:9" ht="30" customHeight="1">
      <c r="A132" s="108"/>
      <c r="B132" s="109"/>
      <c r="C132" s="104" t="s">
        <v>99</v>
      </c>
      <c r="D132" s="105"/>
      <c r="E132" s="30">
        <v>0</v>
      </c>
      <c r="F132" s="44"/>
      <c r="G132" s="44"/>
      <c r="H132" s="44"/>
      <c r="I132" s="9"/>
    </row>
    <row r="133" spans="1:9" ht="30" customHeight="1">
      <c r="A133" s="108"/>
      <c r="B133" s="109"/>
      <c r="C133" s="104" t="s">
        <v>100</v>
      </c>
      <c r="D133" s="105"/>
      <c r="E133" s="30">
        <v>0</v>
      </c>
      <c r="F133" s="44"/>
      <c r="G133" s="44"/>
      <c r="H133" s="44"/>
      <c r="I133" s="9"/>
    </row>
    <row r="134" spans="1:9" ht="30" customHeight="1">
      <c r="A134" s="110"/>
      <c r="B134" s="111"/>
      <c r="C134" s="104" t="s">
        <v>101</v>
      </c>
      <c r="D134" s="105"/>
      <c r="E134" s="30">
        <v>0</v>
      </c>
      <c r="F134" s="44"/>
      <c r="G134" s="44"/>
      <c r="H134" s="44"/>
      <c r="I134" s="9"/>
    </row>
    <row r="135" spans="1:9" ht="30" customHeight="1">
      <c r="A135" s="96" t="s">
        <v>109</v>
      </c>
      <c r="B135" s="152"/>
      <c r="C135" s="153"/>
      <c r="D135" s="154"/>
      <c r="E135" s="30">
        <f>C96</f>
        <v>0</v>
      </c>
      <c r="F135" s="44"/>
      <c r="G135" s="44"/>
      <c r="H135" s="44"/>
      <c r="I135" s="9"/>
    </row>
    <row r="136" spans="1:9" ht="30" customHeight="1">
      <c r="A136" s="145"/>
      <c r="B136" s="146"/>
      <c r="C136" s="147" t="s">
        <v>110</v>
      </c>
      <c r="D136" s="147"/>
      <c r="E136" s="31">
        <f>(F16+E116)-(SUM(E118:E127)+SUM(E129:E135))</f>
        <v>0</v>
      </c>
      <c r="F136" s="44"/>
      <c r="G136" s="44"/>
      <c r="H136" s="44"/>
      <c r="I136" s="9"/>
    </row>
    <row r="137" spans="1:9" ht="30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30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30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30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30" customHeight="1">
      <c r="A141" s="99" t="str">
        <f>"Debts Or Credits For the Comming " &amp; IF(Main!B2,TEXT(EDATE(Main!B3,7),"mmmm dd yyyy"),TEXT(Main!B3+((Main!B5-Main!B3)*7+7),"dd mmmm yyyy")) &amp; " to " &amp;  IF(Main!B2,TEXT(EDATE(Main!B3,8)-1,"mmmm dd yyyy"),TEXT(Main!B3+((Main!B5-Main!B3)*8+7),"mmmm dd yyyy"))</f>
        <v>Debts Or Credits For the Comming November 11 2025 to December 10 2025</v>
      </c>
      <c r="B141" s="100"/>
      <c r="C141" s="100"/>
      <c r="D141" s="100"/>
      <c r="E141" s="101"/>
      <c r="F141" s="44"/>
      <c r="G141" s="44"/>
      <c r="H141" s="44"/>
      <c r="I141" s="9"/>
    </row>
    <row r="142" spans="1:9" ht="30" customHeight="1">
      <c r="A142" s="99" t="s">
        <v>94</v>
      </c>
      <c r="B142" s="101"/>
      <c r="C142" s="102" t="s">
        <v>47</v>
      </c>
      <c r="D142" s="103"/>
      <c r="E142" s="39" t="s">
        <v>48</v>
      </c>
      <c r="F142" s="44"/>
      <c r="G142" s="44"/>
      <c r="H142" s="44"/>
      <c r="I142" s="9"/>
    </row>
    <row r="143" spans="1:9" ht="30" customHeight="1">
      <c r="A143" s="96" t="str">
        <f>"Balance Brought Forward From " &amp; IF(Main!B2,TEXT(EDATE(Main!B3,7)-1,"mmmm yyyy"),TEXT(Main!B3+((Main!B5-Main!B3)*7+6),"mmmm yyyy"))</f>
        <v>Balance Brought Forward From November 2025</v>
      </c>
      <c r="B143" s="97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30" customHeight="1">
      <c r="A144" s="106" t="s">
        <v>95</v>
      </c>
      <c r="B144" s="107"/>
      <c r="C144" s="112" t="s">
        <v>96</v>
      </c>
      <c r="D144" s="113"/>
      <c r="E144" s="43"/>
      <c r="F144" s="44"/>
      <c r="G144" s="44"/>
      <c r="H144" s="44"/>
      <c r="I144" s="9"/>
    </row>
    <row r="145" spans="1:9" ht="30" customHeight="1">
      <c r="A145" s="108"/>
      <c r="B145" s="109"/>
      <c r="C145" s="104" t="s">
        <v>97</v>
      </c>
      <c r="D145" s="105"/>
      <c r="E145" s="28">
        <v>0</v>
      </c>
      <c r="F145" s="44"/>
      <c r="G145" s="44"/>
      <c r="H145" s="44"/>
      <c r="I145" s="9"/>
    </row>
    <row r="146" spans="1:9" ht="30" customHeight="1">
      <c r="A146" s="108"/>
      <c r="B146" s="109"/>
      <c r="C146" s="104" t="s">
        <v>98</v>
      </c>
      <c r="D146" s="105"/>
      <c r="E146" s="28">
        <v>0</v>
      </c>
      <c r="F146" s="44"/>
      <c r="G146" s="44"/>
      <c r="H146" s="44"/>
      <c r="I146" s="9"/>
    </row>
    <row r="147" spans="1:9" ht="30" customHeight="1">
      <c r="A147" s="108"/>
      <c r="B147" s="109"/>
      <c r="C147" s="104" t="s">
        <v>99</v>
      </c>
      <c r="D147" s="105"/>
      <c r="E147" s="28">
        <v>0</v>
      </c>
      <c r="F147" s="44"/>
      <c r="G147" s="44"/>
      <c r="H147" s="44"/>
      <c r="I147" s="9"/>
    </row>
    <row r="148" spans="1:9" ht="30" customHeight="1">
      <c r="A148" s="108"/>
      <c r="B148" s="109"/>
      <c r="C148" s="104" t="s">
        <v>100</v>
      </c>
      <c r="D148" s="105"/>
      <c r="E148" s="28">
        <v>0</v>
      </c>
      <c r="F148" s="44"/>
      <c r="G148" s="44"/>
      <c r="H148" s="44"/>
      <c r="I148" s="9"/>
    </row>
    <row r="149" spans="1:9" ht="30" customHeight="1">
      <c r="A149" s="108"/>
      <c r="B149" s="109"/>
      <c r="C149" s="104" t="s">
        <v>101</v>
      </c>
      <c r="D149" s="105"/>
      <c r="E149" s="28">
        <v>0</v>
      </c>
      <c r="F149" s="44"/>
      <c r="G149" s="44"/>
      <c r="H149" s="44"/>
      <c r="I149" s="9"/>
    </row>
    <row r="150" spans="1:9" ht="30" customHeight="1">
      <c r="A150" s="108"/>
      <c r="B150" s="109"/>
      <c r="C150" s="104" t="s">
        <v>102</v>
      </c>
      <c r="D150" s="105"/>
      <c r="E150" s="28">
        <v>0</v>
      </c>
      <c r="F150" s="44"/>
      <c r="G150" s="44"/>
      <c r="H150" s="44"/>
      <c r="I150" s="9"/>
    </row>
    <row r="151" spans="1:9" ht="30" customHeight="1">
      <c r="A151" s="108"/>
      <c r="B151" s="109"/>
      <c r="C151" s="104" t="s">
        <v>103</v>
      </c>
      <c r="D151" s="105"/>
      <c r="E151" s="28">
        <v>0</v>
      </c>
      <c r="F151" s="44"/>
      <c r="G151" s="44"/>
      <c r="H151" s="44"/>
      <c r="I151" s="9"/>
    </row>
    <row r="152" spans="1:9" ht="30" customHeight="1">
      <c r="A152" s="108"/>
      <c r="B152" s="109"/>
      <c r="C152" s="104" t="s">
        <v>104</v>
      </c>
      <c r="D152" s="105"/>
      <c r="E152" s="28">
        <v>0</v>
      </c>
      <c r="F152" s="44"/>
      <c r="G152" s="44"/>
      <c r="H152" s="44"/>
      <c r="I152" s="9"/>
    </row>
    <row r="153" spans="1:9" ht="30" customHeight="1">
      <c r="A153" s="108"/>
      <c r="B153" s="109"/>
      <c r="C153" s="104" t="s">
        <v>105</v>
      </c>
      <c r="D153" s="105"/>
      <c r="E153" s="28">
        <v>0</v>
      </c>
      <c r="F153" s="44"/>
      <c r="G153" s="44"/>
      <c r="H153" s="44"/>
      <c r="I153" s="9"/>
    </row>
    <row r="154" spans="1:9" ht="30" customHeight="1">
      <c r="A154" s="108"/>
      <c r="B154" s="109"/>
      <c r="C154" s="104" t="s">
        <v>106</v>
      </c>
      <c r="D154" s="105"/>
      <c r="E154" s="28">
        <v>0</v>
      </c>
      <c r="F154" s="44"/>
      <c r="G154" s="44"/>
      <c r="H154" s="44"/>
      <c r="I154" s="9"/>
    </row>
    <row r="155" spans="1:9" ht="30" customHeight="1">
      <c r="A155" s="108"/>
      <c r="B155" s="109"/>
      <c r="C155" s="148" t="s">
        <v>107</v>
      </c>
      <c r="D155" s="149"/>
      <c r="E155" s="42"/>
      <c r="F155" s="44"/>
      <c r="G155" s="44"/>
      <c r="H155" s="44"/>
      <c r="I155" s="9"/>
    </row>
    <row r="156" spans="1:9" ht="30" customHeight="1">
      <c r="A156" s="108"/>
      <c r="B156" s="109"/>
      <c r="C156" s="150" t="s">
        <v>111</v>
      </c>
      <c r="D156" s="151"/>
      <c r="E156" s="30">
        <v>0</v>
      </c>
      <c r="F156" s="44"/>
      <c r="G156" s="44"/>
      <c r="H156" s="44"/>
      <c r="I156" s="9"/>
    </row>
    <row r="157" spans="1:9" ht="30" customHeight="1">
      <c r="A157" s="108"/>
      <c r="B157" s="109"/>
      <c r="C157" s="104" t="s">
        <v>97</v>
      </c>
      <c r="D157" s="105"/>
      <c r="E157" s="30">
        <v>0</v>
      </c>
      <c r="F157" s="44"/>
      <c r="G157" s="44"/>
      <c r="H157" s="44"/>
      <c r="I157" s="9"/>
    </row>
    <row r="158" spans="1:9" ht="30" customHeight="1">
      <c r="A158" s="108"/>
      <c r="B158" s="109"/>
      <c r="C158" s="104" t="s">
        <v>98</v>
      </c>
      <c r="D158" s="105"/>
      <c r="E158" s="30">
        <v>0</v>
      </c>
      <c r="F158" s="44"/>
      <c r="G158" s="44"/>
      <c r="H158" s="44"/>
      <c r="I158" s="9"/>
    </row>
    <row r="159" spans="1:9" ht="30" customHeight="1">
      <c r="A159" s="108"/>
      <c r="B159" s="109"/>
      <c r="C159" s="104" t="s">
        <v>99</v>
      </c>
      <c r="D159" s="105"/>
      <c r="E159" s="30">
        <v>0</v>
      </c>
      <c r="F159" s="44"/>
      <c r="G159" s="44"/>
      <c r="H159" s="44"/>
      <c r="I159" s="9"/>
    </row>
    <row r="160" spans="1:9" ht="30" customHeight="1">
      <c r="A160" s="108"/>
      <c r="B160" s="109"/>
      <c r="C160" s="104" t="s">
        <v>100</v>
      </c>
      <c r="D160" s="105"/>
      <c r="E160" s="30">
        <v>0</v>
      </c>
      <c r="F160" s="44"/>
      <c r="G160" s="44"/>
      <c r="H160" s="44"/>
      <c r="I160" s="9"/>
    </row>
    <row r="161" spans="1:9" ht="30" customHeight="1">
      <c r="A161" s="110"/>
      <c r="B161" s="111"/>
      <c r="C161" s="104" t="s">
        <v>101</v>
      </c>
      <c r="D161" s="105"/>
      <c r="E161" s="30">
        <v>0</v>
      </c>
      <c r="F161" s="44"/>
      <c r="G161" s="44"/>
      <c r="H161" s="44"/>
      <c r="I161" s="9"/>
    </row>
    <row r="162" spans="1:9" ht="30" customHeight="1">
      <c r="A162" s="96" t="s">
        <v>109</v>
      </c>
      <c r="B162" s="152"/>
      <c r="C162" s="153"/>
      <c r="D162" s="154"/>
      <c r="E162" s="30">
        <f>C96</f>
        <v>0</v>
      </c>
      <c r="F162" s="44"/>
      <c r="G162" s="44"/>
      <c r="H162" s="44"/>
      <c r="I162" s="9"/>
    </row>
    <row r="163" spans="1:9" ht="30" customHeight="1">
      <c r="A163" s="145"/>
      <c r="B163" s="146"/>
      <c r="C163" s="147" t="s">
        <v>110</v>
      </c>
      <c r="D163" s="147"/>
      <c r="E163" s="40">
        <f>(F28+E143)-(SUM(E145:E154)+SUM(E156:E162))</f>
        <v>0</v>
      </c>
      <c r="F163" s="44"/>
      <c r="G163" s="44"/>
      <c r="H163" s="44"/>
      <c r="I163" s="9"/>
    </row>
    <row r="164" spans="1:9" ht="30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30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30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30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30" customHeight="1">
      <c r="A168" s="99" t="str">
        <f>"Debts Or Credits For the Comming " &amp; IF(Main!B2,TEXT(EDATE(Main!B3,8),"mmmm dd yyyy"),TEXT(Main!B3+((Main!B5-Main!B3)*8+8),"mmmm dd yyyy")) &amp; " to " &amp; IF(Main!B2,TEXT(EDATE(Main!B3,9)-1,"mmmm dd yyyy"),TEXT(Main!B3+((Main!B5-Main!B3)*9+8),"mmmm dd yyyy"))</f>
        <v>Debts Or Credits For the Comming December 11 2025 to January 10 2026</v>
      </c>
      <c r="B168" s="100"/>
      <c r="C168" s="100"/>
      <c r="D168" s="100"/>
      <c r="E168" s="101"/>
      <c r="F168" s="44"/>
      <c r="G168" s="44"/>
      <c r="H168" s="44"/>
      <c r="I168" s="9"/>
    </row>
    <row r="169" spans="1:9" ht="30" customHeight="1">
      <c r="A169" s="99" t="s">
        <v>94</v>
      </c>
      <c r="B169" s="101"/>
      <c r="C169" s="102" t="s">
        <v>47</v>
      </c>
      <c r="D169" s="103"/>
      <c r="E169" s="39" t="s">
        <v>48</v>
      </c>
      <c r="F169" s="44"/>
      <c r="G169" s="44"/>
      <c r="H169" s="44"/>
      <c r="I169" s="9"/>
    </row>
    <row r="170" spans="1:9" ht="30" customHeight="1">
      <c r="A170" s="96" t="str">
        <f>"Balance Brought Forward From " &amp;  IF(Main!B2,TEXT(EDATE(Main!B3,8)-1,"mmmm yyyy"),TEXT(Main!B3+((Main!B5-Main!B3)*8+7),"mmmm yyyy"))</f>
        <v>Balance Brought Forward From December 2025</v>
      </c>
      <c r="B170" s="97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30" customHeight="1">
      <c r="A171" s="106" t="s">
        <v>95</v>
      </c>
      <c r="B171" s="107"/>
      <c r="C171" s="112" t="s">
        <v>96</v>
      </c>
      <c r="D171" s="113"/>
      <c r="E171" s="43"/>
      <c r="F171" s="44"/>
      <c r="G171" s="44"/>
      <c r="H171" s="44"/>
      <c r="I171" s="9"/>
    </row>
    <row r="172" spans="1:9" ht="30" customHeight="1">
      <c r="A172" s="108"/>
      <c r="B172" s="109"/>
      <c r="C172" s="104" t="s">
        <v>97</v>
      </c>
      <c r="D172" s="105"/>
      <c r="E172" s="28">
        <v>0</v>
      </c>
      <c r="F172" s="44"/>
      <c r="G172" s="44"/>
      <c r="H172" s="44"/>
      <c r="I172" s="9"/>
    </row>
    <row r="173" spans="1:9" ht="30" customHeight="1">
      <c r="A173" s="108"/>
      <c r="B173" s="109"/>
      <c r="C173" s="104" t="s">
        <v>98</v>
      </c>
      <c r="D173" s="105"/>
      <c r="E173" s="28">
        <v>0</v>
      </c>
      <c r="F173" s="44"/>
      <c r="G173" s="44"/>
      <c r="H173" s="44"/>
      <c r="I173" s="9"/>
    </row>
    <row r="174" spans="1:9" ht="30" customHeight="1">
      <c r="A174" s="108"/>
      <c r="B174" s="109"/>
      <c r="C174" s="104" t="s">
        <v>99</v>
      </c>
      <c r="D174" s="105"/>
      <c r="E174" s="28">
        <v>0</v>
      </c>
      <c r="F174" s="44"/>
      <c r="G174" s="44"/>
      <c r="H174" s="44"/>
      <c r="I174" s="9"/>
    </row>
    <row r="175" spans="1:9" ht="30" customHeight="1">
      <c r="A175" s="108"/>
      <c r="B175" s="109"/>
      <c r="C175" s="104" t="s">
        <v>100</v>
      </c>
      <c r="D175" s="105"/>
      <c r="E175" s="28">
        <v>0</v>
      </c>
      <c r="F175" s="44"/>
      <c r="G175" s="44"/>
      <c r="H175" s="44"/>
      <c r="I175" s="9"/>
    </row>
    <row r="176" spans="1:9" ht="30" customHeight="1">
      <c r="A176" s="108"/>
      <c r="B176" s="109"/>
      <c r="C176" s="104" t="s">
        <v>101</v>
      </c>
      <c r="D176" s="105"/>
      <c r="E176" s="28">
        <v>0</v>
      </c>
      <c r="F176" s="44"/>
      <c r="G176" s="44"/>
      <c r="H176" s="44"/>
      <c r="I176" s="9"/>
    </row>
    <row r="177" spans="1:9" ht="30" customHeight="1">
      <c r="A177" s="108"/>
      <c r="B177" s="109"/>
      <c r="C177" s="104" t="s">
        <v>102</v>
      </c>
      <c r="D177" s="105"/>
      <c r="E177" s="28">
        <v>0</v>
      </c>
      <c r="F177" s="44"/>
      <c r="G177" s="44"/>
      <c r="H177" s="44"/>
      <c r="I177" s="9"/>
    </row>
    <row r="178" spans="1:9" ht="30" customHeight="1">
      <c r="A178" s="108"/>
      <c r="B178" s="109"/>
      <c r="C178" s="104" t="s">
        <v>103</v>
      </c>
      <c r="D178" s="105"/>
      <c r="E178" s="28">
        <v>0</v>
      </c>
      <c r="F178" s="44"/>
      <c r="G178" s="44"/>
      <c r="H178" s="44"/>
      <c r="I178" s="9"/>
    </row>
    <row r="179" spans="1:9" ht="30" customHeight="1">
      <c r="A179" s="108"/>
      <c r="B179" s="109"/>
      <c r="C179" s="104" t="s">
        <v>104</v>
      </c>
      <c r="D179" s="105"/>
      <c r="E179" s="28">
        <v>0</v>
      </c>
      <c r="F179" s="44"/>
      <c r="G179" s="44"/>
      <c r="H179" s="44"/>
      <c r="I179" s="9"/>
    </row>
    <row r="180" spans="1:9" ht="30" customHeight="1">
      <c r="A180" s="108"/>
      <c r="B180" s="109"/>
      <c r="C180" s="104" t="s">
        <v>105</v>
      </c>
      <c r="D180" s="105"/>
      <c r="E180" s="28">
        <v>0</v>
      </c>
      <c r="F180" s="44"/>
      <c r="G180" s="44"/>
      <c r="H180" s="44"/>
      <c r="I180" s="9"/>
    </row>
    <row r="181" spans="1:9" ht="30" customHeight="1">
      <c r="A181" s="108"/>
      <c r="B181" s="109"/>
      <c r="C181" s="104" t="s">
        <v>106</v>
      </c>
      <c r="D181" s="105"/>
      <c r="E181" s="28">
        <v>0</v>
      </c>
      <c r="F181" s="44"/>
      <c r="G181" s="44"/>
      <c r="H181" s="44"/>
      <c r="I181" s="9"/>
    </row>
    <row r="182" spans="1:9" ht="30" customHeight="1">
      <c r="A182" s="108"/>
      <c r="B182" s="109"/>
      <c r="C182" s="148" t="s">
        <v>107</v>
      </c>
      <c r="D182" s="149"/>
      <c r="E182" s="42"/>
      <c r="F182" s="44"/>
      <c r="G182" s="44"/>
      <c r="H182" s="44"/>
      <c r="I182" s="9"/>
    </row>
    <row r="183" spans="1:9" ht="30" customHeight="1">
      <c r="A183" s="108"/>
      <c r="B183" s="109"/>
      <c r="C183" s="150" t="s">
        <v>111</v>
      </c>
      <c r="D183" s="151"/>
      <c r="E183" s="30">
        <v>0</v>
      </c>
      <c r="F183" s="44"/>
      <c r="G183" s="44"/>
      <c r="H183" s="44"/>
      <c r="I183" s="9"/>
    </row>
    <row r="184" spans="1:9" ht="30" customHeight="1">
      <c r="A184" s="108"/>
      <c r="B184" s="109"/>
      <c r="C184" s="104" t="s">
        <v>97</v>
      </c>
      <c r="D184" s="105"/>
      <c r="E184" s="30">
        <v>0</v>
      </c>
      <c r="F184" s="44"/>
      <c r="G184" s="44"/>
      <c r="H184" s="44"/>
      <c r="I184" s="9"/>
    </row>
    <row r="185" spans="1:9" ht="30" customHeight="1">
      <c r="A185" s="108"/>
      <c r="B185" s="109"/>
      <c r="C185" s="104" t="s">
        <v>98</v>
      </c>
      <c r="D185" s="105"/>
      <c r="E185" s="30">
        <v>0</v>
      </c>
      <c r="F185" s="44"/>
      <c r="G185" s="44"/>
      <c r="H185" s="44"/>
      <c r="I185" s="9"/>
    </row>
    <row r="186" spans="1:9" ht="30" customHeight="1">
      <c r="A186" s="108"/>
      <c r="B186" s="109"/>
      <c r="C186" s="104" t="s">
        <v>99</v>
      </c>
      <c r="D186" s="105"/>
      <c r="E186" s="30">
        <v>0</v>
      </c>
      <c r="F186" s="44"/>
      <c r="G186" s="44"/>
      <c r="H186" s="44"/>
      <c r="I186" s="9"/>
    </row>
    <row r="187" spans="1:9" ht="30" customHeight="1">
      <c r="A187" s="108"/>
      <c r="B187" s="109"/>
      <c r="C187" s="104" t="s">
        <v>100</v>
      </c>
      <c r="D187" s="105"/>
      <c r="E187" s="30">
        <v>0</v>
      </c>
      <c r="F187" s="44"/>
      <c r="G187" s="44"/>
      <c r="H187" s="44"/>
      <c r="I187" s="9"/>
    </row>
    <row r="188" spans="1:9" ht="30" customHeight="1">
      <c r="A188" s="110"/>
      <c r="B188" s="111"/>
      <c r="C188" s="104" t="s">
        <v>101</v>
      </c>
      <c r="D188" s="105"/>
      <c r="E188" s="30">
        <v>0</v>
      </c>
      <c r="F188" s="44"/>
      <c r="G188" s="44"/>
      <c r="H188" s="44"/>
      <c r="I188" s="9"/>
    </row>
    <row r="189" spans="1:9" ht="24.75" customHeight="1">
      <c r="A189" s="96" t="s">
        <v>109</v>
      </c>
      <c r="B189" s="152"/>
      <c r="C189" s="153"/>
      <c r="D189" s="154"/>
      <c r="E189" s="30">
        <f>C96</f>
        <v>0</v>
      </c>
      <c r="F189" s="44"/>
      <c r="G189" s="44"/>
      <c r="H189" s="44"/>
      <c r="I189" s="9"/>
    </row>
    <row r="190" spans="1:9" ht="30" customHeight="1">
      <c r="A190" s="145"/>
      <c r="B190" s="146"/>
      <c r="C190" s="147" t="s">
        <v>110</v>
      </c>
      <c r="D190" s="147"/>
      <c r="E190" s="40">
        <f>(F40+E170)-(SUM(E172:E181)+SUM(E183:E189))</f>
        <v>0</v>
      </c>
      <c r="F190" s="44"/>
      <c r="G190" s="44"/>
      <c r="H190" s="44"/>
      <c r="I190" s="9"/>
    </row>
    <row r="191" spans="1:9" ht="30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30" customHeight="1"/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54" name="F1"/>
    <protectedRange sqref="A56:C65" name="F2"/>
    <protectedRange sqref="A67:C74" name="F3"/>
    <protectedRange sqref="A76:C84" name="F4"/>
    <protectedRange sqref="A86:C94" name="F5"/>
  </protectedRanges>
  <mergeCells count="174">
    <mergeCell ref="B13:C13"/>
    <mergeCell ref="D13:E13"/>
    <mergeCell ref="F13:G1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B40:C40"/>
    <mergeCell ref="D40:E40"/>
    <mergeCell ref="C130:D130"/>
    <mergeCell ref="C131:D131"/>
    <mergeCell ref="C132:D132"/>
    <mergeCell ref="A114:E114"/>
    <mergeCell ref="A115:B115"/>
    <mergeCell ref="C115:D115"/>
    <mergeCell ref="A116:B116"/>
    <mergeCell ref="C116:D116"/>
    <mergeCell ref="A117:B134"/>
    <mergeCell ref="C133:D133"/>
    <mergeCell ref="C134:D134"/>
    <mergeCell ref="A135:B135"/>
    <mergeCell ref="C135:D135"/>
    <mergeCell ref="C117:D117"/>
    <mergeCell ref="C118:D118"/>
    <mergeCell ref="C119:D119"/>
    <mergeCell ref="C120:D120"/>
    <mergeCell ref="C121:D121"/>
    <mergeCell ref="C122:D122"/>
    <mergeCell ref="C127:D127"/>
    <mergeCell ref="C128:D128"/>
    <mergeCell ref="C129:D129"/>
    <mergeCell ref="C160:D160"/>
    <mergeCell ref="C161:D161"/>
    <mergeCell ref="A162:B162"/>
    <mergeCell ref="C162:D162"/>
    <mergeCell ref="C144:D144"/>
    <mergeCell ref="C153:D153"/>
    <mergeCell ref="C154:D154"/>
    <mergeCell ref="A136:B136"/>
    <mergeCell ref="C136:D136"/>
    <mergeCell ref="A141:E141"/>
    <mergeCell ref="A142:B142"/>
    <mergeCell ref="C142:D142"/>
    <mergeCell ref="A143:B143"/>
    <mergeCell ref="C143:D143"/>
    <mergeCell ref="A190:B190"/>
    <mergeCell ref="C190:D190"/>
    <mergeCell ref="C123:D123"/>
    <mergeCell ref="C124:D124"/>
    <mergeCell ref="C126:D126"/>
    <mergeCell ref="C125:D125"/>
    <mergeCell ref="C150:D150"/>
    <mergeCell ref="C148:D148"/>
    <mergeCell ref="C145:D145"/>
    <mergeCell ref="C146:D146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2:D172"/>
    <mergeCell ref="C174:D174"/>
    <mergeCell ref="C175:D175"/>
    <mergeCell ref="C179:D179"/>
    <mergeCell ref="C180:D180"/>
    <mergeCell ref="C181:D181"/>
    <mergeCell ref="C173:D173"/>
    <mergeCell ref="C176:D176"/>
    <mergeCell ref="C177:D177"/>
    <mergeCell ref="C178:D178"/>
    <mergeCell ref="A144:B161"/>
    <mergeCell ref="A171:B188"/>
    <mergeCell ref="C147:D147"/>
    <mergeCell ref="C149:D149"/>
    <mergeCell ref="C151:D151"/>
    <mergeCell ref="C152:D152"/>
    <mergeCell ref="C155:D155"/>
    <mergeCell ref="C156:D156"/>
    <mergeCell ref="C182:D182"/>
    <mergeCell ref="C183:D183"/>
    <mergeCell ref="A163:B163"/>
    <mergeCell ref="C163:D163"/>
    <mergeCell ref="A168:E168"/>
    <mergeCell ref="A169:B169"/>
    <mergeCell ref="C169:D169"/>
    <mergeCell ref="A170:B170"/>
    <mergeCell ref="C170:D170"/>
    <mergeCell ref="C157:D157"/>
    <mergeCell ref="C158:D158"/>
    <mergeCell ref="C159:D159"/>
  </mergeCells>
  <conditionalFormatting sqref="C47:C55 C85 C78:C79 C95:C96">
    <cfRule type="cellIs" dxfId="709" priority="47" operator="equal">
      <formula>0</formula>
    </cfRule>
  </conditionalFormatting>
  <conditionalFormatting sqref="C47:C55 C85 C78:C79 C95:C96 E144 E155:E162">
    <cfRule type="cellIs" dxfId="708" priority="46" operator="greaterThan">
      <formula>0</formula>
    </cfRule>
  </conditionalFormatting>
  <conditionalFormatting sqref="C57:C66">
    <cfRule type="cellIs" dxfId="707" priority="45" operator="equal">
      <formula>0</formula>
    </cfRule>
  </conditionalFormatting>
  <conditionalFormatting sqref="C57:C66">
    <cfRule type="cellIs" dxfId="706" priority="44" operator="greaterThan">
      <formula>0</formula>
    </cfRule>
  </conditionalFormatting>
  <conditionalFormatting sqref="C68:C69">
    <cfRule type="cellIs" dxfId="705" priority="43" operator="equal">
      <formula>0</formula>
    </cfRule>
  </conditionalFormatting>
  <conditionalFormatting sqref="C68:C69">
    <cfRule type="cellIs" dxfId="704" priority="42" operator="greaterThan">
      <formula>0</formula>
    </cfRule>
  </conditionalFormatting>
  <conditionalFormatting sqref="C75">
    <cfRule type="cellIs" dxfId="703" priority="41" operator="equal">
      <formula>0</formula>
    </cfRule>
  </conditionalFormatting>
  <conditionalFormatting sqref="C75">
    <cfRule type="cellIs" dxfId="702" priority="40" operator="greaterThan">
      <formula>0</formula>
    </cfRule>
  </conditionalFormatting>
  <conditionalFormatting sqref="C77">
    <cfRule type="cellIs" dxfId="701" priority="39" operator="equal">
      <formula>0</formula>
    </cfRule>
  </conditionalFormatting>
  <conditionalFormatting sqref="C77">
    <cfRule type="cellIs" dxfId="700" priority="38" operator="greaterThan">
      <formula>0</formula>
    </cfRule>
  </conditionalFormatting>
  <conditionalFormatting sqref="C87:C89">
    <cfRule type="cellIs" dxfId="699" priority="37" operator="equal">
      <formula>0</formula>
    </cfRule>
  </conditionalFormatting>
  <conditionalFormatting sqref="C87:C89">
    <cfRule type="cellIs" dxfId="698" priority="36" operator="greaterThan">
      <formula>0</formula>
    </cfRule>
  </conditionalFormatting>
  <conditionalFormatting sqref="E117 E128:E135">
    <cfRule type="cellIs" dxfId="697" priority="35" operator="equal">
      <formula>0</formula>
    </cfRule>
  </conditionalFormatting>
  <conditionalFormatting sqref="E117 E128:E135">
    <cfRule type="cellIs" dxfId="696" priority="34" operator="greaterThan">
      <formula>0</formula>
    </cfRule>
  </conditionalFormatting>
  <conditionalFormatting sqref="E136">
    <cfRule type="cellIs" dxfId="695" priority="33" operator="greaterThanOrEqual">
      <formula>0</formula>
    </cfRule>
  </conditionalFormatting>
  <conditionalFormatting sqref="E136">
    <cfRule type="cellIs" dxfId="694" priority="32" operator="lessThan">
      <formula>0</formula>
    </cfRule>
  </conditionalFormatting>
  <conditionalFormatting sqref="C70:C74">
    <cfRule type="cellIs" dxfId="693" priority="31" operator="equal">
      <formula>0</formula>
    </cfRule>
  </conditionalFormatting>
  <conditionalFormatting sqref="C70:C74">
    <cfRule type="cellIs" dxfId="692" priority="30" operator="greaterThan">
      <formula>0</formula>
    </cfRule>
  </conditionalFormatting>
  <conditionalFormatting sqref="C80:C84">
    <cfRule type="cellIs" dxfId="691" priority="29" operator="equal">
      <formula>0</formula>
    </cfRule>
  </conditionalFormatting>
  <conditionalFormatting sqref="C80:C84">
    <cfRule type="cellIs" dxfId="690" priority="28" operator="greaterThan">
      <formula>0</formula>
    </cfRule>
  </conditionalFormatting>
  <conditionalFormatting sqref="C90:C94">
    <cfRule type="cellIs" dxfId="689" priority="27" operator="equal">
      <formula>0</formula>
    </cfRule>
  </conditionalFormatting>
  <conditionalFormatting sqref="C90:C94">
    <cfRule type="cellIs" dxfId="688" priority="26" operator="greaterThan">
      <formula>0</formula>
    </cfRule>
  </conditionalFormatting>
  <conditionalFormatting sqref="C108:C109">
    <cfRule type="cellIs" dxfId="687" priority="25" operator="equal">
      <formula>0</formula>
    </cfRule>
  </conditionalFormatting>
  <conditionalFormatting sqref="C108:C109">
    <cfRule type="cellIs" dxfId="686" priority="24" operator="greaterThan">
      <formula>0</formula>
    </cfRule>
  </conditionalFormatting>
  <conditionalFormatting sqref="E144 E155:E162">
    <cfRule type="cellIs" dxfId="685" priority="23" operator="equal">
      <formula>0</formula>
    </cfRule>
  </conditionalFormatting>
  <conditionalFormatting sqref="E163">
    <cfRule type="cellIs" dxfId="684" priority="22" operator="greaterThanOrEqual">
      <formula>0</formula>
    </cfRule>
  </conditionalFormatting>
  <conditionalFormatting sqref="E163">
    <cfRule type="cellIs" dxfId="683" priority="21" operator="lessThan">
      <formula>0</formula>
    </cfRule>
  </conditionalFormatting>
  <conditionalFormatting sqref="E143">
    <cfRule type="cellIs" dxfId="682" priority="20" operator="greaterThanOrEqual">
      <formula>0</formula>
    </cfRule>
  </conditionalFormatting>
  <conditionalFormatting sqref="E143">
    <cfRule type="cellIs" dxfId="681" priority="19" operator="lessThan">
      <formula>0</formula>
    </cfRule>
  </conditionalFormatting>
  <conditionalFormatting sqref="E171 E182:E189">
    <cfRule type="cellIs" dxfId="680" priority="18" operator="equal">
      <formula>0</formula>
    </cfRule>
  </conditionalFormatting>
  <conditionalFormatting sqref="E171 E182:E189">
    <cfRule type="cellIs" dxfId="679" priority="17" operator="greaterThan">
      <formula>0</formula>
    </cfRule>
  </conditionalFormatting>
  <conditionalFormatting sqref="E190">
    <cfRule type="cellIs" dxfId="678" priority="16" operator="greaterThanOrEqual">
      <formula>0</formula>
    </cfRule>
  </conditionalFormatting>
  <conditionalFormatting sqref="E190">
    <cfRule type="cellIs" dxfId="677" priority="15" operator="lessThan">
      <formula>0</formula>
    </cfRule>
  </conditionalFormatting>
  <conditionalFormatting sqref="E170">
    <cfRule type="cellIs" dxfId="676" priority="14" operator="greaterThanOrEqual">
      <formula>0</formula>
    </cfRule>
  </conditionalFormatting>
  <conditionalFormatting sqref="E170">
    <cfRule type="cellIs" dxfId="675" priority="13" operator="lessThan">
      <formula>0</formula>
    </cfRule>
  </conditionalFormatting>
  <conditionalFormatting sqref="C5">
    <cfRule type="cellIs" dxfId="674" priority="12" operator="equal">
      <formula>0</formula>
    </cfRule>
  </conditionalFormatting>
  <conditionalFormatting sqref="C5">
    <cfRule type="cellIs" dxfId="673" priority="11" operator="greaterThan">
      <formula>0</formula>
    </cfRule>
  </conditionalFormatting>
  <conditionalFormatting sqref="C98:C107">
    <cfRule type="cellIs" dxfId="672" priority="10" operator="lessThan">
      <formula>0</formula>
    </cfRule>
  </conditionalFormatting>
  <conditionalFormatting sqref="C98:C107">
    <cfRule type="cellIs" dxfId="671" priority="9" operator="greaterThanOrEqual">
      <formula>0</formula>
    </cfRule>
  </conditionalFormatting>
  <conditionalFormatting sqref="E118:E127">
    <cfRule type="cellIs" dxfId="670" priority="8" operator="equal">
      <formula>0</formula>
    </cfRule>
  </conditionalFormatting>
  <conditionalFormatting sqref="E118:E127">
    <cfRule type="cellIs" dxfId="669" priority="7" operator="greaterThan">
      <formula>0</formula>
    </cfRule>
  </conditionalFormatting>
  <conditionalFormatting sqref="E145:E154">
    <cfRule type="cellIs" dxfId="668" priority="6" operator="equal">
      <formula>0</formula>
    </cfRule>
  </conditionalFormatting>
  <conditionalFormatting sqref="E145:E154">
    <cfRule type="cellIs" dxfId="667" priority="5" operator="greaterThan">
      <formula>0</formula>
    </cfRule>
  </conditionalFormatting>
  <conditionalFormatting sqref="E172:E181">
    <cfRule type="cellIs" dxfId="666" priority="4" operator="equal">
      <formula>0</formula>
    </cfRule>
  </conditionalFormatting>
  <conditionalFormatting sqref="E172:E181">
    <cfRule type="cellIs" dxfId="665" priority="3" operator="greaterThan">
      <formula>0</formula>
    </cfRule>
  </conditionalFormatting>
  <conditionalFormatting sqref="E116">
    <cfRule type="cellIs" dxfId="664" priority="2" operator="greaterThanOrEqual">
      <formula>0</formula>
    </cfRule>
  </conditionalFormatting>
  <conditionalFormatting sqref="E116">
    <cfRule type="cellIs" dxfId="663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7BA1-7701-4FD8-AB09-F7645F43CF33}">
  <dimension ref="A1:I193"/>
  <sheetViews>
    <sheetView topLeftCell="A9" workbookViewId="0">
      <selection activeCell="F43" sqref="F43"/>
    </sheetView>
  </sheetViews>
  <sheetFormatPr defaultRowHeight="15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spans="1:9" ht="24.75" customHeight="1">
      <c r="A1" s="177" t="str">
        <f>"Forecasts For the Year " &amp; IF(Main!B2,TEXT(EDATE(Main!B3,9),"mmmm yyyy"),TEXT(Main!B3+((Main!B5-Main!B3)*9+9),"mmmm yyyy")) &amp; " to " &amp; IF(Main!B2,TEXT(EDATE(Main!B3,12)-1,"mmmm yyyy"),TEXT(Main!B3+((Main!B5-Main!B3)*12+11),"mmmm yyyy"))</f>
        <v>Forecasts For the Year January 2026 to April 2026</v>
      </c>
      <c r="B1" s="177"/>
      <c r="C1" s="177"/>
      <c r="D1" s="177"/>
      <c r="E1" s="177"/>
      <c r="F1" s="177"/>
      <c r="G1" s="177"/>
      <c r="H1" s="47"/>
      <c r="I1" s="47"/>
    </row>
    <row r="2" spans="1:9" ht="24.75" customHeight="1">
      <c r="A2" s="159" t="s">
        <v>31</v>
      </c>
      <c r="B2" s="48" t="s">
        <v>112</v>
      </c>
      <c r="C2" s="161" cm="1">
        <f t="array" aca="1" ref="C2" ca="1">INDIRECT("'" &amp; Main!B9 &amp; "'!$C$15")</f>
        <v>0</v>
      </c>
      <c r="D2" s="161"/>
      <c r="E2" s="161"/>
      <c r="F2" s="161"/>
      <c r="G2" s="161"/>
      <c r="H2" s="47"/>
      <c r="I2" s="47"/>
    </row>
    <row r="3" spans="1:9" ht="24.75" customHeight="1">
      <c r="A3" s="160"/>
      <c r="B3" s="41" t="s">
        <v>113</v>
      </c>
      <c r="C3" s="162">
        <f>E190</f>
        <v>0</v>
      </c>
      <c r="D3" s="162"/>
      <c r="E3" s="162"/>
      <c r="F3" s="162"/>
      <c r="G3" s="162"/>
      <c r="H3" s="47"/>
      <c r="I3" s="47"/>
    </row>
    <row r="4" spans="1:9" ht="24.75" customHeight="1">
      <c r="A4" s="174" t="s">
        <v>45</v>
      </c>
      <c r="B4" s="175"/>
      <c r="C4" s="163">
        <f ca="1">SUM(C2:G3)</f>
        <v>0</v>
      </c>
      <c r="D4" s="163"/>
      <c r="E4" s="163"/>
      <c r="F4" s="163"/>
      <c r="G4" s="163"/>
      <c r="H4" s="44"/>
      <c r="I4" s="9"/>
    </row>
    <row r="5" spans="1:9" ht="24.75" customHeight="1">
      <c r="A5" s="176" t="s">
        <v>114</v>
      </c>
      <c r="B5" s="176"/>
      <c r="C5" s="164">
        <f>C108</f>
        <v>0</v>
      </c>
      <c r="D5" s="165"/>
      <c r="E5" s="165"/>
      <c r="F5" s="165"/>
      <c r="G5" s="165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32" t="str">
        <f>IF(Main!B2,TEXT(EDATE(Main!B3,9),"dd mmmm yyyy"),TEXT(Main!B3+((Main!B5-Main!B3)*9+9),"dd mmmm yyyy")) &amp; " - " &amp; IF(Main!B2,TEXT(EDATE(Main!B3,10)-1,"dd mmmm yyyy"),TEXT(Main!B3+((Main!B5-Main!B3)*10+9),"dd mmmm yyyy")) &amp; " / " &amp; " (Revenue / Deferred Debts Or Expenses)"</f>
        <v>11 January 2026 - 10 February 2026 /  (Revenue / Deferred Debts Or Expenses)</v>
      </c>
      <c r="B8" s="133"/>
      <c r="C8" s="133"/>
      <c r="D8" s="133"/>
      <c r="E8" s="133"/>
      <c r="F8" s="133"/>
      <c r="G8" s="133"/>
      <c r="H8" s="44"/>
      <c r="I8" s="37"/>
    </row>
    <row r="9" spans="1:9" ht="24.75" customHeight="1">
      <c r="A9" s="81" t="s">
        <v>27</v>
      </c>
      <c r="B9" s="120" t="s">
        <v>46</v>
      </c>
      <c r="C9" s="120"/>
      <c r="D9" s="121" t="s">
        <v>47</v>
      </c>
      <c r="E9" s="121"/>
      <c r="F9" s="121" t="s">
        <v>48</v>
      </c>
      <c r="G9" s="121"/>
      <c r="H9" s="44"/>
      <c r="I9" s="9"/>
    </row>
    <row r="10" spans="1:9" ht="24.75" customHeight="1">
      <c r="A10" s="2" t="s">
        <v>115</v>
      </c>
      <c r="B10" s="122" t="s">
        <v>50</v>
      </c>
      <c r="C10" s="122"/>
      <c r="D10" s="122" t="s">
        <v>51</v>
      </c>
      <c r="E10" s="122"/>
      <c r="F10" s="123">
        <v>0</v>
      </c>
      <c r="G10" s="124"/>
      <c r="H10" s="44"/>
      <c r="I10" s="9"/>
    </row>
    <row r="11" spans="1:9" ht="24.75" customHeight="1">
      <c r="A11" s="2"/>
      <c r="B11" s="125" t="s">
        <v>40</v>
      </c>
      <c r="C11" s="126"/>
      <c r="D11" s="127"/>
      <c r="E11" s="128"/>
      <c r="F11" s="123">
        <v>0</v>
      </c>
      <c r="G11" s="124"/>
      <c r="H11" s="44"/>
      <c r="I11" s="9"/>
    </row>
    <row r="12" spans="1:9" ht="24.75" customHeight="1">
      <c r="A12" s="2"/>
      <c r="B12" s="125" t="s">
        <v>41</v>
      </c>
      <c r="C12" s="126"/>
      <c r="D12" s="127"/>
      <c r="E12" s="128"/>
      <c r="F12" s="123">
        <v>0</v>
      </c>
      <c r="G12" s="124"/>
      <c r="H12" s="44"/>
      <c r="I12" s="9"/>
    </row>
    <row r="13" spans="1:9" ht="24.75" customHeight="1">
      <c r="A13" s="2"/>
      <c r="B13" s="125" t="s">
        <v>42</v>
      </c>
      <c r="C13" s="126"/>
      <c r="D13" s="127"/>
      <c r="E13" s="128"/>
      <c r="F13" s="123">
        <v>0</v>
      </c>
      <c r="G13" s="124"/>
      <c r="H13" s="44"/>
      <c r="I13" s="9"/>
    </row>
    <row r="14" spans="1:9" ht="24.75" customHeight="1">
      <c r="A14" s="2"/>
      <c r="B14" s="125" t="s">
        <v>43</v>
      </c>
      <c r="C14" s="126"/>
      <c r="D14" s="127"/>
      <c r="E14" s="128"/>
      <c r="F14" s="123">
        <v>0</v>
      </c>
      <c r="G14" s="124"/>
      <c r="H14" s="44"/>
      <c r="I14" s="9"/>
    </row>
    <row r="15" spans="1:9" ht="24.75" customHeight="1">
      <c r="A15" s="2"/>
      <c r="B15" s="125" t="s">
        <v>44</v>
      </c>
      <c r="C15" s="126"/>
      <c r="D15" s="127"/>
      <c r="E15" s="128"/>
      <c r="F15" s="123">
        <v>0</v>
      </c>
      <c r="G15" s="124"/>
      <c r="H15" s="44"/>
      <c r="I15" s="9"/>
    </row>
    <row r="16" spans="1:9" ht="24.75" customHeight="1">
      <c r="A16" s="45"/>
      <c r="B16" s="166"/>
      <c r="C16" s="167"/>
      <c r="D16" s="116" t="s">
        <v>52</v>
      </c>
      <c r="E16" s="117"/>
      <c r="F16" s="118">
        <f>SUM(F10:G15)</f>
        <v>0</v>
      </c>
      <c r="G16" s="119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32" t="str">
        <f>IF(Main!B2,TEXT(EDATE(Main!B3,10),"dd mmmm yyyy"),TEXT(Main!B3+((Main!B5-Main!B3)*10+10),"dd mmmm yyyy")) &amp; " - " &amp; IF(Main!B2,TEXT(EDATE(Main!B3,11)-1,"dd mmmm yyyy"),TEXT(Main!B3+((Main!B5-Main!B3)*11+10),"dd mmmm yyyy")) &amp; " / " &amp; " (Revenue / Deferred Debts Or Expenses)"</f>
        <v>11 February 2026 - 10 March 2026 /  (Revenue / Deferred Debts Or Expenses)</v>
      </c>
      <c r="B20" s="133"/>
      <c r="C20" s="133"/>
      <c r="D20" s="133"/>
      <c r="E20" s="133"/>
      <c r="F20" s="133"/>
      <c r="G20" s="133"/>
      <c r="H20" s="44"/>
      <c r="I20" s="9"/>
    </row>
    <row r="21" spans="1:9" ht="24.75" customHeight="1">
      <c r="A21" s="81" t="s">
        <v>27</v>
      </c>
      <c r="B21" s="120" t="s">
        <v>46</v>
      </c>
      <c r="C21" s="120"/>
      <c r="D21" s="121" t="s">
        <v>47</v>
      </c>
      <c r="E21" s="121"/>
      <c r="F21" s="121" t="s">
        <v>48</v>
      </c>
      <c r="G21" s="121"/>
      <c r="H21" s="44"/>
      <c r="I21" s="9"/>
    </row>
    <row r="22" spans="1:9" ht="24.75" customHeight="1">
      <c r="A22" s="2" t="s">
        <v>116</v>
      </c>
      <c r="B22" s="122" t="s">
        <v>54</v>
      </c>
      <c r="C22" s="122"/>
      <c r="D22" s="122" t="s">
        <v>55</v>
      </c>
      <c r="E22" s="122"/>
      <c r="F22" s="123">
        <v>0</v>
      </c>
      <c r="G22" s="124"/>
      <c r="H22" s="44"/>
      <c r="I22" s="9"/>
    </row>
    <row r="23" spans="1:9" ht="24.75" customHeight="1">
      <c r="A23" s="2"/>
      <c r="B23" s="125" t="s">
        <v>40</v>
      </c>
      <c r="C23" s="126"/>
      <c r="D23" s="127"/>
      <c r="E23" s="128"/>
      <c r="F23" s="123">
        <v>0</v>
      </c>
      <c r="G23" s="124"/>
      <c r="H23" s="44"/>
      <c r="I23" s="9"/>
    </row>
    <row r="24" spans="1:9" ht="24.75" customHeight="1">
      <c r="A24" s="2"/>
      <c r="B24" s="125" t="s">
        <v>41</v>
      </c>
      <c r="C24" s="126"/>
      <c r="D24" s="127"/>
      <c r="E24" s="128"/>
      <c r="F24" s="123">
        <v>0</v>
      </c>
      <c r="G24" s="124"/>
      <c r="H24" s="44"/>
      <c r="I24" s="9"/>
    </row>
    <row r="25" spans="1:9" ht="24.75" customHeight="1">
      <c r="A25" s="2"/>
      <c r="B25" s="125" t="s">
        <v>42</v>
      </c>
      <c r="C25" s="126"/>
      <c r="D25" s="127"/>
      <c r="E25" s="128"/>
      <c r="F25" s="123">
        <v>0</v>
      </c>
      <c r="G25" s="124"/>
      <c r="H25" s="44"/>
      <c r="I25" s="9"/>
    </row>
    <row r="26" spans="1:9" ht="24.75" customHeight="1">
      <c r="A26" s="2"/>
      <c r="B26" s="125" t="s">
        <v>43</v>
      </c>
      <c r="C26" s="126"/>
      <c r="D26" s="127"/>
      <c r="E26" s="128"/>
      <c r="F26" s="123">
        <v>0</v>
      </c>
      <c r="G26" s="124"/>
      <c r="H26" s="44"/>
      <c r="I26" s="9"/>
    </row>
    <row r="27" spans="1:9" ht="24.75" customHeight="1">
      <c r="A27" s="2"/>
      <c r="B27" s="125" t="s">
        <v>44</v>
      </c>
      <c r="C27" s="126"/>
      <c r="D27" s="127"/>
      <c r="E27" s="128"/>
      <c r="F27" s="123">
        <v>0</v>
      </c>
      <c r="G27" s="124"/>
      <c r="H27" s="44"/>
      <c r="I27" s="9"/>
    </row>
    <row r="28" spans="1:9" ht="24.75" customHeight="1">
      <c r="A28" s="45"/>
      <c r="B28" s="166"/>
      <c r="C28" s="167"/>
      <c r="D28" s="116" t="s">
        <v>52</v>
      </c>
      <c r="E28" s="117"/>
      <c r="F28" s="118">
        <f>SUM(F22:G27)</f>
        <v>0</v>
      </c>
      <c r="G28" s="119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32" t="str">
        <f>IF(Main!B2,TEXT(EDATE(Main!B3,11),"dd mmmm yyyy"),TEXT(Main!B3+((Main!B5-Main!B3)*11+11),"dd mmmm yyyy")) &amp; " - " &amp; IF(Main!B2,TEXT(EDATE(Main!B3,12)-1,"dd mmmm yyyy"),TEXT(Main!B3+((Main!B5-Main!B3)*12+11),"dd mmmm yyyy")) &amp; " / " &amp; " (Revenue / Deferred Debts Or Expenses)"</f>
        <v>11 March 2026 - 10 April 2026 /  (Revenue / Deferred Debts Or Expenses)</v>
      </c>
      <c r="B32" s="133"/>
      <c r="C32" s="133"/>
      <c r="D32" s="133"/>
      <c r="E32" s="133"/>
      <c r="F32" s="133"/>
      <c r="G32" s="133"/>
      <c r="H32" s="44"/>
      <c r="I32" s="9"/>
    </row>
    <row r="33" spans="1:9" ht="24.75" customHeight="1">
      <c r="A33" s="81" t="s">
        <v>27</v>
      </c>
      <c r="B33" s="120" t="s">
        <v>46</v>
      </c>
      <c r="C33" s="120"/>
      <c r="D33" s="121" t="s">
        <v>47</v>
      </c>
      <c r="E33" s="121"/>
      <c r="F33" s="121" t="s">
        <v>48</v>
      </c>
      <c r="G33" s="121"/>
      <c r="H33" s="44"/>
      <c r="I33" s="9"/>
    </row>
    <row r="34" spans="1:9" ht="24.75" customHeight="1">
      <c r="A34" s="2" t="s">
        <v>117</v>
      </c>
      <c r="B34" s="122" t="s">
        <v>54</v>
      </c>
      <c r="C34" s="122"/>
      <c r="D34" s="122" t="s">
        <v>55</v>
      </c>
      <c r="E34" s="122"/>
      <c r="F34" s="123">
        <v>0</v>
      </c>
      <c r="G34" s="124"/>
      <c r="H34" s="44"/>
      <c r="I34" s="9"/>
    </row>
    <row r="35" spans="1:9" ht="24.75" customHeight="1">
      <c r="A35" s="2"/>
      <c r="B35" s="125" t="s">
        <v>40</v>
      </c>
      <c r="C35" s="126"/>
      <c r="D35" s="127"/>
      <c r="E35" s="128"/>
      <c r="F35" s="123">
        <v>0</v>
      </c>
      <c r="G35" s="124"/>
      <c r="H35" s="44"/>
      <c r="I35" s="9"/>
    </row>
    <row r="36" spans="1:9" ht="24.75" customHeight="1">
      <c r="A36" s="2"/>
      <c r="B36" s="125" t="s">
        <v>41</v>
      </c>
      <c r="C36" s="126"/>
      <c r="D36" s="127"/>
      <c r="E36" s="128"/>
      <c r="F36" s="123">
        <v>0</v>
      </c>
      <c r="G36" s="124"/>
      <c r="H36" s="44"/>
      <c r="I36" s="37"/>
    </row>
    <row r="37" spans="1:9" ht="24.75" customHeight="1">
      <c r="A37" s="2"/>
      <c r="B37" s="125" t="s">
        <v>42</v>
      </c>
      <c r="C37" s="126"/>
      <c r="D37" s="127"/>
      <c r="E37" s="128"/>
      <c r="F37" s="123">
        <v>0</v>
      </c>
      <c r="G37" s="124"/>
      <c r="H37" s="44"/>
      <c r="I37" s="9"/>
    </row>
    <row r="38" spans="1:9" ht="24.75" customHeight="1">
      <c r="A38" s="2"/>
      <c r="B38" s="125" t="s">
        <v>43</v>
      </c>
      <c r="C38" s="126"/>
      <c r="D38" s="127"/>
      <c r="E38" s="128"/>
      <c r="F38" s="123">
        <v>0</v>
      </c>
      <c r="G38" s="124"/>
      <c r="H38" s="44"/>
      <c r="I38" s="9"/>
    </row>
    <row r="39" spans="1:9" ht="24.75" customHeight="1">
      <c r="A39" s="2"/>
      <c r="B39" s="125" t="s">
        <v>44</v>
      </c>
      <c r="C39" s="126"/>
      <c r="D39" s="127"/>
      <c r="E39" s="128"/>
      <c r="F39" s="123">
        <v>0</v>
      </c>
      <c r="G39" s="124"/>
      <c r="H39" s="44"/>
      <c r="I39" s="9"/>
    </row>
    <row r="40" spans="1:9" ht="24.75" customHeight="1">
      <c r="A40" s="45"/>
      <c r="B40" s="166"/>
      <c r="C40" s="167"/>
      <c r="D40" s="116" t="s">
        <v>52</v>
      </c>
      <c r="E40" s="117"/>
      <c r="F40" s="118">
        <f>SUM(F34:G39)</f>
        <v>0</v>
      </c>
      <c r="G40" s="119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IF(Main!B2,TEXT(EDATE(Main!B3,9),"mmmm yyyy"),TEXT(Main!B3+((Main!B5-Main!B3)*9+9),"mmmm yyyy")) &amp; " to " &amp; IF(Main!B2,TEXT(EDATE(Main!B3,12)-1,"mmmm yyyy"),TEXT(Main!B3+((Main!B5-Main!B3)*12+11),"mmmm yyyy"))</f>
        <v>Fixed Expense For the Year January 2026 to April 2026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2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71" t="s">
        <v>57</v>
      </c>
      <c r="B46" s="172"/>
      <c r="C46" s="173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71" t="s">
        <v>62</v>
      </c>
      <c r="B56" s="172"/>
      <c r="C56" s="173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71" t="s">
        <v>67</v>
      </c>
      <c r="B67" s="172"/>
      <c r="C67" s="173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71" t="s">
        <v>72</v>
      </c>
      <c r="B76" s="172"/>
      <c r="C76" s="173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71" t="s">
        <v>77</v>
      </c>
      <c r="B86" s="172"/>
      <c r="C86" s="173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71" t="s">
        <v>86</v>
      </c>
      <c r="B97" s="172"/>
      <c r="C97" s="173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(Forecast_3!C98)+SUM(E118+E145+E172)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(Forecast_3!C99)+SUM(E119+E146+E173)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(Forecast_3!C100)+SUM(E120+E147+E174)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(Forecast_3!C101)+SUM(E121+E148+E175)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(Forecast_3!C102)+SUM(E122+E149+E176)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(Forecast_3!C103)+SUM(E123+E150+E177)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(Forecast_3!C104)+SUM(E124+E151+E178)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(Forecast_3!C105)+SUM(E125+E152+E179)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(Forecast_3!C106)+SUM(E126+E153+E180)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(Forecast_3!C107)+SUM(E127+E154+E181)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99" t="str">
        <f>"Debts Or Credits For the Comming " &amp; IF(Main!B2,TEXT(EDATE(Main!B3,9),"mmmm dd yyyy"),TEXT(Main!B3+((Main!B5-Main!B3)*9+9),"mmmm dd yyyy")) &amp; " to " &amp; IF(Main!B2,TEXT(EDATE(Main!B3,10)-1,"mmmm dd yyyy"),TEXT(Main!B3+((Main!B5-Main!B3)*10+9),"mmmm dd yyyy"))</f>
        <v>Debts Or Credits For the Comming January 11 2026 to February 10 2026</v>
      </c>
      <c r="B114" s="100"/>
      <c r="C114" s="100"/>
      <c r="D114" s="100"/>
      <c r="E114" s="101"/>
      <c r="F114" s="44"/>
      <c r="G114" s="44"/>
      <c r="H114" s="44"/>
      <c r="I114" s="9"/>
    </row>
    <row r="115" spans="1:9" ht="24.75" customHeight="1">
      <c r="A115" s="99" t="s">
        <v>94</v>
      </c>
      <c r="B115" s="101"/>
      <c r="C115" s="99" t="s">
        <v>47</v>
      </c>
      <c r="D115" s="101"/>
      <c r="E115" s="29" t="s">
        <v>48</v>
      </c>
      <c r="F115" s="44"/>
      <c r="G115" s="44"/>
      <c r="H115" s="44"/>
      <c r="I115" s="9"/>
    </row>
    <row r="116" spans="1:9" ht="24.75" customHeight="1">
      <c r="A116" s="96" t="str">
        <f>"Balance Brought Forward From " &amp; IF(Main!B2,TEXT(EDATE(Main!B3,9)-1,"mmmm yyyy"),TEXT(Main!B3+((Main!B5-Main!B3)*9+8),"mmmm yyyy"))</f>
        <v>Balance Brought Forward From January 2026</v>
      </c>
      <c r="B116" s="97"/>
      <c r="C116" s="158"/>
      <c r="D116" s="158"/>
      <c r="E116" s="51">
        <f>Forecast_3!E190</f>
        <v>0</v>
      </c>
      <c r="F116" s="44"/>
      <c r="G116" s="44"/>
      <c r="H116" s="44"/>
      <c r="I116" s="9"/>
    </row>
    <row r="117" spans="1:9" ht="24.75" customHeight="1">
      <c r="A117" s="106" t="s">
        <v>95</v>
      </c>
      <c r="B117" s="107"/>
      <c r="C117" s="157" t="s">
        <v>96</v>
      </c>
      <c r="D117" s="149"/>
      <c r="E117" s="42"/>
      <c r="F117" s="44"/>
      <c r="G117" s="44"/>
      <c r="H117" s="44"/>
      <c r="I117" s="9"/>
    </row>
    <row r="118" spans="1:9" ht="24.75" customHeight="1">
      <c r="A118" s="108"/>
      <c r="B118" s="109"/>
      <c r="C118" s="104" t="s">
        <v>97</v>
      </c>
      <c r="D118" s="105"/>
      <c r="E118" s="28">
        <v>0</v>
      </c>
      <c r="F118" s="44"/>
      <c r="G118" s="44"/>
      <c r="H118" s="44"/>
      <c r="I118" s="9"/>
    </row>
    <row r="119" spans="1:9" ht="24.75" customHeight="1">
      <c r="A119" s="108"/>
      <c r="B119" s="109"/>
      <c r="C119" s="104" t="s">
        <v>98</v>
      </c>
      <c r="D119" s="105"/>
      <c r="E119" s="28">
        <v>0</v>
      </c>
      <c r="F119" s="44"/>
      <c r="G119" s="44"/>
      <c r="H119" s="44"/>
      <c r="I119" s="9"/>
    </row>
    <row r="120" spans="1:9" ht="24.75" customHeight="1">
      <c r="A120" s="108"/>
      <c r="B120" s="109"/>
      <c r="C120" s="104" t="s">
        <v>99</v>
      </c>
      <c r="D120" s="105"/>
      <c r="E120" s="28">
        <v>0</v>
      </c>
      <c r="F120" s="44"/>
      <c r="G120" s="44"/>
      <c r="H120" s="44"/>
      <c r="I120" s="9"/>
    </row>
    <row r="121" spans="1:9" ht="24.75" customHeight="1">
      <c r="A121" s="108"/>
      <c r="B121" s="109"/>
      <c r="C121" s="104" t="s">
        <v>100</v>
      </c>
      <c r="D121" s="105"/>
      <c r="E121" s="28">
        <v>0</v>
      </c>
      <c r="F121" s="44"/>
      <c r="G121" s="44"/>
      <c r="H121" s="44"/>
      <c r="I121" s="9"/>
    </row>
    <row r="122" spans="1:9" ht="24.75" customHeight="1">
      <c r="A122" s="108"/>
      <c r="B122" s="109"/>
      <c r="C122" s="104" t="s">
        <v>101</v>
      </c>
      <c r="D122" s="105"/>
      <c r="E122" s="28">
        <v>0</v>
      </c>
      <c r="F122" s="44"/>
      <c r="G122" s="44"/>
      <c r="H122" s="44"/>
      <c r="I122" s="9"/>
    </row>
    <row r="123" spans="1:9" ht="24.75" customHeight="1">
      <c r="A123" s="108"/>
      <c r="B123" s="109"/>
      <c r="C123" s="104" t="s">
        <v>102</v>
      </c>
      <c r="D123" s="105"/>
      <c r="E123" s="28">
        <v>0</v>
      </c>
      <c r="F123" s="44"/>
      <c r="G123" s="44"/>
      <c r="H123" s="44"/>
      <c r="I123" s="9"/>
    </row>
    <row r="124" spans="1:9" ht="24.75" customHeight="1">
      <c r="A124" s="108"/>
      <c r="B124" s="109"/>
      <c r="C124" s="104" t="s">
        <v>103</v>
      </c>
      <c r="D124" s="105"/>
      <c r="E124" s="28">
        <v>0</v>
      </c>
      <c r="F124" s="44"/>
      <c r="G124" s="44"/>
      <c r="H124" s="44"/>
      <c r="I124" s="9"/>
    </row>
    <row r="125" spans="1:9" ht="24.75" customHeight="1">
      <c r="A125" s="108"/>
      <c r="B125" s="109"/>
      <c r="C125" s="104" t="s">
        <v>104</v>
      </c>
      <c r="D125" s="105"/>
      <c r="E125" s="28">
        <v>0</v>
      </c>
      <c r="F125" s="44"/>
      <c r="G125" s="44"/>
      <c r="H125" s="44"/>
      <c r="I125" s="9"/>
    </row>
    <row r="126" spans="1:9" ht="24.75" customHeight="1">
      <c r="A126" s="108"/>
      <c r="B126" s="109"/>
      <c r="C126" s="104" t="s">
        <v>105</v>
      </c>
      <c r="D126" s="105"/>
      <c r="E126" s="28">
        <v>0</v>
      </c>
      <c r="F126" s="44"/>
      <c r="G126" s="44"/>
      <c r="H126" s="44"/>
      <c r="I126" s="9"/>
    </row>
    <row r="127" spans="1:9" ht="24.75" customHeight="1">
      <c r="A127" s="108"/>
      <c r="B127" s="109"/>
      <c r="C127" s="104" t="s">
        <v>106</v>
      </c>
      <c r="D127" s="105"/>
      <c r="E127" s="28">
        <v>0</v>
      </c>
      <c r="F127" s="44"/>
      <c r="G127" s="44"/>
      <c r="H127" s="44"/>
      <c r="I127" s="9"/>
    </row>
    <row r="128" spans="1:9" ht="24.75" customHeight="1">
      <c r="A128" s="108"/>
      <c r="B128" s="109"/>
      <c r="C128" s="148" t="s">
        <v>107</v>
      </c>
      <c r="D128" s="149"/>
      <c r="E128" s="42"/>
      <c r="F128" s="44"/>
      <c r="G128" s="44"/>
      <c r="H128" s="44"/>
      <c r="I128" s="9"/>
    </row>
    <row r="129" spans="1:9" ht="24.75" customHeight="1">
      <c r="A129" s="108"/>
      <c r="B129" s="109"/>
      <c r="C129" s="150" t="s">
        <v>108</v>
      </c>
      <c r="D129" s="151"/>
      <c r="E129" s="30">
        <v>0</v>
      </c>
      <c r="F129" s="44"/>
      <c r="G129" s="44"/>
      <c r="H129" s="44"/>
      <c r="I129" s="9"/>
    </row>
    <row r="130" spans="1:9" ht="24.75" customHeight="1">
      <c r="A130" s="108"/>
      <c r="B130" s="109"/>
      <c r="C130" s="104" t="s">
        <v>97</v>
      </c>
      <c r="D130" s="105"/>
      <c r="E130" s="30">
        <v>0</v>
      </c>
      <c r="F130" s="44"/>
      <c r="G130" s="44"/>
      <c r="H130" s="44"/>
      <c r="I130" s="9"/>
    </row>
    <row r="131" spans="1:9" ht="24.75" customHeight="1">
      <c r="A131" s="108"/>
      <c r="B131" s="109"/>
      <c r="C131" s="104" t="s">
        <v>98</v>
      </c>
      <c r="D131" s="105"/>
      <c r="E131" s="30">
        <v>0</v>
      </c>
      <c r="F131" s="44"/>
      <c r="G131" s="44"/>
      <c r="H131" s="44"/>
      <c r="I131" s="9"/>
    </row>
    <row r="132" spans="1:9" ht="24.75" customHeight="1">
      <c r="A132" s="108"/>
      <c r="B132" s="109"/>
      <c r="C132" s="104" t="s">
        <v>99</v>
      </c>
      <c r="D132" s="105"/>
      <c r="E132" s="30">
        <v>0</v>
      </c>
      <c r="F132" s="44"/>
      <c r="G132" s="44"/>
      <c r="H132" s="44"/>
      <c r="I132" s="9"/>
    </row>
    <row r="133" spans="1:9" ht="24.75" customHeight="1">
      <c r="A133" s="108"/>
      <c r="B133" s="109"/>
      <c r="C133" s="104" t="s">
        <v>100</v>
      </c>
      <c r="D133" s="105"/>
      <c r="E133" s="30">
        <v>0</v>
      </c>
      <c r="F133" s="44"/>
      <c r="G133" s="44"/>
      <c r="H133" s="44"/>
      <c r="I133" s="9"/>
    </row>
    <row r="134" spans="1:9" ht="24.75" customHeight="1">
      <c r="A134" s="110"/>
      <c r="B134" s="111"/>
      <c r="C134" s="104" t="s">
        <v>101</v>
      </c>
      <c r="D134" s="105"/>
      <c r="E134" s="30">
        <v>0</v>
      </c>
      <c r="F134" s="44"/>
      <c r="G134" s="44"/>
      <c r="H134" s="44"/>
      <c r="I134" s="9"/>
    </row>
    <row r="135" spans="1:9" ht="24.75" customHeight="1">
      <c r="A135" s="96" t="s">
        <v>109</v>
      </c>
      <c r="B135" s="152"/>
      <c r="C135" s="153"/>
      <c r="D135" s="154"/>
      <c r="E135" s="30">
        <f>C96</f>
        <v>0</v>
      </c>
      <c r="F135" s="44"/>
      <c r="G135" s="44"/>
      <c r="H135" s="44"/>
      <c r="I135" s="9"/>
    </row>
    <row r="136" spans="1:9" ht="24.75" customHeight="1">
      <c r="A136" s="145"/>
      <c r="B136" s="146"/>
      <c r="C136" s="147" t="s">
        <v>110</v>
      </c>
      <c r="D136" s="147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99" t="str">
        <f>"Debts Or Credits For the Comming " &amp; IF(Main!B2,TEXT(EDATE(Main!B3,10),"mmmm dd yyyy"),TEXT(Main!B3+((Main!B5-Main!B3)*10+10),"dd mmmm yyyy")) &amp; " to " &amp;  IF(Main!B2,TEXT(EDATE(Main!B3,11)-1,"mmmm dd yyyy"),TEXT(Main!B3+((Main!B5-Main!B3)*11+10),"mmmm dd yyyy"))</f>
        <v>Debts Or Credits For the Comming February 11 2026 to March 10 2026</v>
      </c>
      <c r="B141" s="100"/>
      <c r="C141" s="100"/>
      <c r="D141" s="100"/>
      <c r="E141" s="101"/>
      <c r="F141" s="44"/>
      <c r="G141" s="44"/>
      <c r="H141" s="44"/>
      <c r="I141" s="9"/>
    </row>
    <row r="142" spans="1:9" ht="24.75" customHeight="1">
      <c r="A142" s="99" t="s">
        <v>94</v>
      </c>
      <c r="B142" s="101"/>
      <c r="C142" s="102" t="s">
        <v>47</v>
      </c>
      <c r="D142" s="103"/>
      <c r="E142" s="39" t="s">
        <v>48</v>
      </c>
      <c r="F142" s="44"/>
      <c r="G142" s="44"/>
      <c r="H142" s="44"/>
      <c r="I142" s="9"/>
    </row>
    <row r="143" spans="1:9" ht="24.75" customHeight="1">
      <c r="A143" s="96" t="str">
        <f>"Balance Brought Forward From " &amp; IF(Main!B2,TEXT(EDATE(Main!B3,10)-1,"mmmm yyyy"),TEXT(Main!B3+((Main!B5-Main!B3)*10+9),"mmmm yyyy"))</f>
        <v>Balance Brought Forward From February 2026</v>
      </c>
      <c r="B143" s="97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06" t="s">
        <v>95</v>
      </c>
      <c r="B144" s="107"/>
      <c r="C144" s="112" t="s">
        <v>96</v>
      </c>
      <c r="D144" s="113"/>
      <c r="E144" s="43"/>
      <c r="F144" s="44"/>
      <c r="G144" s="44"/>
      <c r="H144" s="44"/>
      <c r="I144" s="9"/>
    </row>
    <row r="145" spans="1:9" ht="24.75" customHeight="1">
      <c r="A145" s="108"/>
      <c r="B145" s="109"/>
      <c r="C145" s="104" t="s">
        <v>97</v>
      </c>
      <c r="D145" s="105"/>
      <c r="E145" s="28">
        <v>0</v>
      </c>
      <c r="F145" s="44"/>
      <c r="G145" s="44"/>
      <c r="H145" s="44"/>
      <c r="I145" s="9"/>
    </row>
    <row r="146" spans="1:9" ht="24.75" customHeight="1">
      <c r="A146" s="108"/>
      <c r="B146" s="109"/>
      <c r="C146" s="104" t="s">
        <v>98</v>
      </c>
      <c r="D146" s="105"/>
      <c r="E146" s="28">
        <v>0</v>
      </c>
      <c r="F146" s="44"/>
      <c r="G146" s="44"/>
      <c r="H146" s="44"/>
      <c r="I146" s="9"/>
    </row>
    <row r="147" spans="1:9" ht="24.75" customHeight="1">
      <c r="A147" s="108"/>
      <c r="B147" s="109"/>
      <c r="C147" s="104" t="s">
        <v>99</v>
      </c>
      <c r="D147" s="105"/>
      <c r="E147" s="28">
        <v>0</v>
      </c>
      <c r="F147" s="44"/>
      <c r="G147" s="44"/>
      <c r="H147" s="44"/>
      <c r="I147" s="9"/>
    </row>
    <row r="148" spans="1:9" ht="24.75" customHeight="1">
      <c r="A148" s="108"/>
      <c r="B148" s="109"/>
      <c r="C148" s="104" t="s">
        <v>100</v>
      </c>
      <c r="D148" s="105"/>
      <c r="E148" s="28">
        <v>0</v>
      </c>
      <c r="F148" s="44"/>
      <c r="G148" s="44"/>
      <c r="H148" s="44"/>
      <c r="I148" s="9"/>
    </row>
    <row r="149" spans="1:9" ht="24.75" customHeight="1">
      <c r="A149" s="108"/>
      <c r="B149" s="109"/>
      <c r="C149" s="104" t="s">
        <v>101</v>
      </c>
      <c r="D149" s="105"/>
      <c r="E149" s="28">
        <v>0</v>
      </c>
      <c r="F149" s="44"/>
      <c r="G149" s="44"/>
      <c r="H149" s="44"/>
      <c r="I149" s="9"/>
    </row>
    <row r="150" spans="1:9" ht="24.75" customHeight="1">
      <c r="A150" s="108"/>
      <c r="B150" s="109"/>
      <c r="C150" s="104" t="s">
        <v>102</v>
      </c>
      <c r="D150" s="105"/>
      <c r="E150" s="28">
        <v>0</v>
      </c>
      <c r="F150" s="44"/>
      <c r="G150" s="44"/>
      <c r="H150" s="44"/>
      <c r="I150" s="9"/>
    </row>
    <row r="151" spans="1:9" ht="24.75" customHeight="1">
      <c r="A151" s="108"/>
      <c r="B151" s="109"/>
      <c r="C151" s="104" t="s">
        <v>103</v>
      </c>
      <c r="D151" s="105"/>
      <c r="E151" s="28">
        <v>0</v>
      </c>
      <c r="F151" s="44"/>
      <c r="G151" s="44"/>
      <c r="H151" s="44"/>
      <c r="I151" s="9"/>
    </row>
    <row r="152" spans="1:9" ht="24.75" customHeight="1">
      <c r="A152" s="108"/>
      <c r="B152" s="109"/>
      <c r="C152" s="104" t="s">
        <v>104</v>
      </c>
      <c r="D152" s="105"/>
      <c r="E152" s="28">
        <v>0</v>
      </c>
      <c r="F152" s="44"/>
      <c r="G152" s="44"/>
      <c r="H152" s="44"/>
      <c r="I152" s="9"/>
    </row>
    <row r="153" spans="1:9" ht="24.75" customHeight="1">
      <c r="A153" s="108"/>
      <c r="B153" s="109"/>
      <c r="C153" s="104" t="s">
        <v>105</v>
      </c>
      <c r="D153" s="105"/>
      <c r="E153" s="28">
        <v>0</v>
      </c>
      <c r="F153" s="44"/>
      <c r="G153" s="44"/>
      <c r="H153" s="44"/>
      <c r="I153" s="9"/>
    </row>
    <row r="154" spans="1:9" ht="24.75" customHeight="1">
      <c r="A154" s="108"/>
      <c r="B154" s="109"/>
      <c r="C154" s="104" t="s">
        <v>106</v>
      </c>
      <c r="D154" s="105"/>
      <c r="E154" s="28">
        <v>0</v>
      </c>
      <c r="F154" s="44"/>
      <c r="G154" s="44"/>
      <c r="H154" s="44"/>
      <c r="I154" s="9"/>
    </row>
    <row r="155" spans="1:9" ht="24.75" customHeight="1">
      <c r="A155" s="108"/>
      <c r="B155" s="109"/>
      <c r="C155" s="148" t="s">
        <v>107</v>
      </c>
      <c r="D155" s="149"/>
      <c r="E155" s="42"/>
      <c r="F155" s="44"/>
      <c r="G155" s="44"/>
      <c r="H155" s="44"/>
      <c r="I155" s="9"/>
    </row>
    <row r="156" spans="1:9" ht="24.75" customHeight="1">
      <c r="A156" s="108"/>
      <c r="B156" s="109"/>
      <c r="C156" s="150" t="s">
        <v>111</v>
      </c>
      <c r="D156" s="151"/>
      <c r="E156" s="30">
        <v>0</v>
      </c>
      <c r="F156" s="44"/>
      <c r="G156" s="44"/>
      <c r="H156" s="44"/>
      <c r="I156" s="9"/>
    </row>
    <row r="157" spans="1:9" ht="24.75" customHeight="1">
      <c r="A157" s="108"/>
      <c r="B157" s="109"/>
      <c r="C157" s="104" t="s">
        <v>97</v>
      </c>
      <c r="D157" s="105"/>
      <c r="E157" s="30">
        <v>0</v>
      </c>
      <c r="F157" s="44"/>
      <c r="G157" s="44"/>
      <c r="H157" s="44"/>
      <c r="I157" s="9"/>
    </row>
    <row r="158" spans="1:9" ht="24.75" customHeight="1">
      <c r="A158" s="108"/>
      <c r="B158" s="109"/>
      <c r="C158" s="104" t="s">
        <v>98</v>
      </c>
      <c r="D158" s="105"/>
      <c r="E158" s="30">
        <v>0</v>
      </c>
      <c r="F158" s="44"/>
      <c r="G158" s="44"/>
      <c r="H158" s="44"/>
      <c r="I158" s="9"/>
    </row>
    <row r="159" spans="1:9" ht="24.75" customHeight="1">
      <c r="A159" s="108"/>
      <c r="B159" s="109"/>
      <c r="C159" s="104" t="s">
        <v>99</v>
      </c>
      <c r="D159" s="105"/>
      <c r="E159" s="30">
        <v>0</v>
      </c>
      <c r="F159" s="44"/>
      <c r="G159" s="44"/>
      <c r="H159" s="44"/>
      <c r="I159" s="9"/>
    </row>
    <row r="160" spans="1:9" ht="24.75" customHeight="1">
      <c r="A160" s="108"/>
      <c r="B160" s="109"/>
      <c r="C160" s="104" t="s">
        <v>100</v>
      </c>
      <c r="D160" s="105"/>
      <c r="E160" s="30">
        <v>0</v>
      </c>
      <c r="F160" s="44"/>
      <c r="G160" s="44"/>
      <c r="H160" s="44"/>
      <c r="I160" s="9"/>
    </row>
    <row r="161" spans="1:9" ht="24.75" customHeight="1">
      <c r="A161" s="110"/>
      <c r="B161" s="111"/>
      <c r="C161" s="104" t="s">
        <v>101</v>
      </c>
      <c r="D161" s="105"/>
      <c r="E161" s="30">
        <v>0</v>
      </c>
      <c r="F161" s="44"/>
      <c r="G161" s="44"/>
      <c r="H161" s="44"/>
      <c r="I161" s="9"/>
    </row>
    <row r="162" spans="1:9" ht="24.75" customHeight="1">
      <c r="A162" s="96" t="s">
        <v>109</v>
      </c>
      <c r="B162" s="152"/>
      <c r="C162" s="153"/>
      <c r="D162" s="154"/>
      <c r="E162" s="30">
        <f>C96</f>
        <v>0</v>
      </c>
      <c r="F162" s="44"/>
      <c r="G162" s="44"/>
      <c r="H162" s="44"/>
      <c r="I162" s="9"/>
    </row>
    <row r="163" spans="1:9" ht="24.75" customHeight="1">
      <c r="A163" s="145"/>
      <c r="B163" s="146"/>
      <c r="C163" s="147" t="s">
        <v>110</v>
      </c>
      <c r="D163" s="147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99" t="str">
        <f>"Debts Or Credits For the Comming " &amp; IF(Main!B2,TEXT(EDATE(Main!B3,11),"mmmm dd yyyy"),TEXT(Main!B3+((Main!B5-Main!B3)*11+11),"mmmm dd yyyy")) &amp; " to " &amp; IF(Main!B2,TEXT(EDATE(Main!B3,12)-1,"mmmm dd yyyy"),TEXT(Main!B3+((Main!B5-Main!B3)*12+11),"mmmm dd yyyy"))</f>
        <v>Debts Or Credits For the Comming March 11 2026 to April 10 2026</v>
      </c>
      <c r="B168" s="100"/>
      <c r="C168" s="100"/>
      <c r="D168" s="100"/>
      <c r="E168" s="101"/>
      <c r="F168" s="44"/>
      <c r="G168" s="44"/>
      <c r="H168" s="44"/>
      <c r="I168" s="9"/>
    </row>
    <row r="169" spans="1:9" ht="24.75" customHeight="1">
      <c r="A169" s="99" t="s">
        <v>94</v>
      </c>
      <c r="B169" s="101"/>
      <c r="C169" s="102" t="s">
        <v>47</v>
      </c>
      <c r="D169" s="103"/>
      <c r="E169" s="39" t="s">
        <v>48</v>
      </c>
      <c r="F169" s="44"/>
      <c r="G169" s="44"/>
      <c r="H169" s="44"/>
      <c r="I169" s="9"/>
    </row>
    <row r="170" spans="1:9" ht="24.75" customHeight="1">
      <c r="A170" s="96" t="str">
        <f>"Balance Brought Forward From " &amp;  IF(Main!B2,TEXT(EDATE(Main!B3,11)-1,"mmmm yyyy"),TEXT(Main!B3+((Main!B5-Main!B3)*11+10),"mmmm yyyy"))</f>
        <v>Balance Brought Forward From March 2026</v>
      </c>
      <c r="B170" s="97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06" t="s">
        <v>95</v>
      </c>
      <c r="B171" s="107"/>
      <c r="C171" s="112" t="s">
        <v>96</v>
      </c>
      <c r="D171" s="113"/>
      <c r="E171" s="43"/>
      <c r="F171" s="44"/>
      <c r="G171" s="44"/>
      <c r="H171" s="44"/>
      <c r="I171" s="9"/>
    </row>
    <row r="172" spans="1:9" ht="24.75" customHeight="1">
      <c r="A172" s="108"/>
      <c r="B172" s="109"/>
      <c r="C172" s="104" t="s">
        <v>97</v>
      </c>
      <c r="D172" s="105"/>
      <c r="E172" s="28">
        <v>0</v>
      </c>
      <c r="F172" s="44"/>
      <c r="G172" s="44"/>
      <c r="H172" s="44"/>
      <c r="I172" s="9"/>
    </row>
    <row r="173" spans="1:9" ht="24.75" customHeight="1">
      <c r="A173" s="108"/>
      <c r="B173" s="109"/>
      <c r="C173" s="104" t="s">
        <v>98</v>
      </c>
      <c r="D173" s="105"/>
      <c r="E173" s="28">
        <v>0</v>
      </c>
      <c r="F173" s="44"/>
      <c r="G173" s="44"/>
      <c r="H173" s="44"/>
      <c r="I173" s="9"/>
    </row>
    <row r="174" spans="1:9" ht="24.75" customHeight="1">
      <c r="A174" s="108"/>
      <c r="B174" s="109"/>
      <c r="C174" s="104" t="s">
        <v>99</v>
      </c>
      <c r="D174" s="105"/>
      <c r="E174" s="28">
        <v>0</v>
      </c>
      <c r="F174" s="44"/>
      <c r="G174" s="44"/>
      <c r="H174" s="44"/>
      <c r="I174" s="9"/>
    </row>
    <row r="175" spans="1:9" ht="24.75" customHeight="1">
      <c r="A175" s="108"/>
      <c r="B175" s="109"/>
      <c r="C175" s="104" t="s">
        <v>100</v>
      </c>
      <c r="D175" s="105"/>
      <c r="E175" s="28">
        <v>0</v>
      </c>
      <c r="F175" s="44"/>
      <c r="G175" s="44"/>
      <c r="H175" s="44"/>
      <c r="I175" s="9"/>
    </row>
    <row r="176" spans="1:9" ht="24.75" customHeight="1">
      <c r="A176" s="108"/>
      <c r="B176" s="109"/>
      <c r="C176" s="104" t="s">
        <v>101</v>
      </c>
      <c r="D176" s="105"/>
      <c r="E176" s="28">
        <v>0</v>
      </c>
      <c r="F176" s="44"/>
      <c r="G176" s="44"/>
      <c r="H176" s="44"/>
      <c r="I176" s="9"/>
    </row>
    <row r="177" spans="1:9" ht="24.75" customHeight="1">
      <c r="A177" s="108"/>
      <c r="B177" s="109"/>
      <c r="C177" s="104" t="s">
        <v>102</v>
      </c>
      <c r="D177" s="105"/>
      <c r="E177" s="28">
        <v>0</v>
      </c>
      <c r="F177" s="44"/>
      <c r="G177" s="44"/>
      <c r="H177" s="44"/>
      <c r="I177" s="9"/>
    </row>
    <row r="178" spans="1:9" ht="24.75" customHeight="1">
      <c r="A178" s="108"/>
      <c r="B178" s="109"/>
      <c r="C178" s="104" t="s">
        <v>103</v>
      </c>
      <c r="D178" s="105"/>
      <c r="E178" s="28">
        <v>0</v>
      </c>
      <c r="F178" s="44"/>
      <c r="G178" s="44"/>
      <c r="H178" s="44"/>
      <c r="I178" s="9"/>
    </row>
    <row r="179" spans="1:9" ht="24.75" customHeight="1">
      <c r="A179" s="108"/>
      <c r="B179" s="109"/>
      <c r="C179" s="104" t="s">
        <v>104</v>
      </c>
      <c r="D179" s="105"/>
      <c r="E179" s="28">
        <v>0</v>
      </c>
      <c r="F179" s="44"/>
      <c r="G179" s="44"/>
      <c r="H179" s="44"/>
      <c r="I179" s="9"/>
    </row>
    <row r="180" spans="1:9" ht="24.75" customHeight="1">
      <c r="A180" s="108"/>
      <c r="B180" s="109"/>
      <c r="C180" s="104" t="s">
        <v>105</v>
      </c>
      <c r="D180" s="105"/>
      <c r="E180" s="28">
        <v>0</v>
      </c>
      <c r="F180" s="44"/>
      <c r="G180" s="44"/>
      <c r="H180" s="44"/>
      <c r="I180" s="9"/>
    </row>
    <row r="181" spans="1:9" ht="24.75" customHeight="1">
      <c r="A181" s="108"/>
      <c r="B181" s="109"/>
      <c r="C181" s="104" t="s">
        <v>106</v>
      </c>
      <c r="D181" s="105"/>
      <c r="E181" s="28">
        <v>0</v>
      </c>
      <c r="F181" s="44"/>
      <c r="G181" s="44"/>
      <c r="H181" s="44"/>
      <c r="I181" s="9"/>
    </row>
    <row r="182" spans="1:9" ht="24.75" customHeight="1">
      <c r="A182" s="108"/>
      <c r="B182" s="109"/>
      <c r="C182" s="148" t="s">
        <v>107</v>
      </c>
      <c r="D182" s="149"/>
      <c r="E182" s="42"/>
      <c r="F182" s="44"/>
      <c r="G182" s="44"/>
      <c r="H182" s="44"/>
      <c r="I182" s="9"/>
    </row>
    <row r="183" spans="1:9" ht="24.75" customHeight="1">
      <c r="A183" s="108"/>
      <c r="B183" s="109"/>
      <c r="C183" s="150" t="s">
        <v>111</v>
      </c>
      <c r="D183" s="151"/>
      <c r="E183" s="30">
        <v>0</v>
      </c>
      <c r="F183" s="44"/>
      <c r="G183" s="44"/>
      <c r="H183" s="44"/>
      <c r="I183" s="9"/>
    </row>
    <row r="184" spans="1:9" ht="24.75" customHeight="1">
      <c r="A184" s="108"/>
      <c r="B184" s="109"/>
      <c r="C184" s="104" t="s">
        <v>97</v>
      </c>
      <c r="D184" s="105"/>
      <c r="E184" s="30">
        <v>0</v>
      </c>
      <c r="F184" s="44"/>
      <c r="G184" s="44"/>
      <c r="H184" s="44"/>
      <c r="I184" s="9"/>
    </row>
    <row r="185" spans="1:9" ht="24.75" customHeight="1">
      <c r="A185" s="108"/>
      <c r="B185" s="109"/>
      <c r="C185" s="104" t="s">
        <v>98</v>
      </c>
      <c r="D185" s="105"/>
      <c r="E185" s="30">
        <v>0</v>
      </c>
      <c r="F185" s="44"/>
      <c r="G185" s="44"/>
      <c r="H185" s="44"/>
      <c r="I185" s="9"/>
    </row>
    <row r="186" spans="1:9">
      <c r="A186" s="108"/>
      <c r="B186" s="109"/>
      <c r="C186" s="104" t="s">
        <v>99</v>
      </c>
      <c r="D186" s="105"/>
      <c r="E186" s="30">
        <v>0</v>
      </c>
      <c r="F186" s="44"/>
      <c r="G186" s="44"/>
      <c r="H186" s="44"/>
      <c r="I186" s="9"/>
    </row>
    <row r="187" spans="1:9" ht="24.75" customHeight="1">
      <c r="A187" s="108"/>
      <c r="B187" s="109"/>
      <c r="C187" s="104" t="s">
        <v>100</v>
      </c>
      <c r="D187" s="105"/>
      <c r="E187" s="30">
        <v>0</v>
      </c>
      <c r="F187" s="44"/>
      <c r="G187" s="44"/>
      <c r="H187" s="44"/>
      <c r="I187" s="9"/>
    </row>
    <row r="188" spans="1:9" ht="24.75" customHeight="1">
      <c r="A188" s="110"/>
      <c r="B188" s="111"/>
      <c r="C188" s="104" t="s">
        <v>101</v>
      </c>
      <c r="D188" s="105"/>
      <c r="E188" s="30">
        <v>0</v>
      </c>
      <c r="F188" s="44"/>
      <c r="G188" s="44"/>
      <c r="H188" s="44"/>
      <c r="I188" s="9"/>
    </row>
    <row r="189" spans="1:9" ht="24.75" customHeight="1">
      <c r="A189" s="96" t="s">
        <v>109</v>
      </c>
      <c r="B189" s="152"/>
      <c r="C189" s="153"/>
      <c r="D189" s="154"/>
      <c r="E189" s="30">
        <f>C96</f>
        <v>0</v>
      </c>
      <c r="F189" s="44"/>
      <c r="G189" s="44"/>
      <c r="H189" s="44"/>
      <c r="I189" s="9"/>
    </row>
    <row r="190" spans="1:9" ht="24.75" customHeight="1">
      <c r="A190" s="145"/>
      <c r="B190" s="146"/>
      <c r="C190" s="147" t="s">
        <v>110</v>
      </c>
      <c r="D190" s="147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9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16:B116"/>
    <mergeCell ref="C116:D116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60:D160"/>
    <mergeCell ref="C161:D161"/>
    <mergeCell ref="A162:B162"/>
    <mergeCell ref="C162:D162"/>
    <mergeCell ref="A163:B163"/>
    <mergeCell ref="C163:D16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C132:D132"/>
    <mergeCell ref="C133:D133"/>
    <mergeCell ref="C134:D134"/>
    <mergeCell ref="A135:B135"/>
    <mergeCell ref="C135:D135"/>
    <mergeCell ref="A136:B136"/>
    <mergeCell ref="C136:D136"/>
    <mergeCell ref="C126:D126"/>
    <mergeCell ref="C127:D127"/>
    <mergeCell ref="C128:D128"/>
    <mergeCell ref="C129:D129"/>
    <mergeCell ref="C130:D130"/>
    <mergeCell ref="C131:D131"/>
    <mergeCell ref="A117:B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662" priority="51" operator="equal">
      <formula>0</formula>
    </cfRule>
  </conditionalFormatting>
  <conditionalFormatting sqref="C47:C55 C85 C95:C96 E144 E155:E162">
    <cfRule type="cellIs" dxfId="661" priority="50" operator="greaterThan">
      <formula>0</formula>
    </cfRule>
  </conditionalFormatting>
  <conditionalFormatting sqref="C57:C66">
    <cfRule type="cellIs" dxfId="660" priority="49" operator="equal">
      <formula>0</formula>
    </cfRule>
  </conditionalFormatting>
  <conditionalFormatting sqref="C57:C66">
    <cfRule type="cellIs" dxfId="659" priority="48" operator="greaterThan">
      <formula>0</formula>
    </cfRule>
  </conditionalFormatting>
  <conditionalFormatting sqref="C68:C69">
    <cfRule type="cellIs" dxfId="658" priority="47" operator="equal">
      <formula>0</formula>
    </cfRule>
  </conditionalFormatting>
  <conditionalFormatting sqref="C68:C69">
    <cfRule type="cellIs" dxfId="657" priority="46" operator="greaterThan">
      <formula>0</formula>
    </cfRule>
  </conditionalFormatting>
  <conditionalFormatting sqref="C75">
    <cfRule type="cellIs" dxfId="656" priority="45" operator="equal">
      <formula>0</formula>
    </cfRule>
  </conditionalFormatting>
  <conditionalFormatting sqref="C75">
    <cfRule type="cellIs" dxfId="655" priority="44" operator="greaterThan">
      <formula>0</formula>
    </cfRule>
  </conditionalFormatting>
  <conditionalFormatting sqref="C77">
    <cfRule type="cellIs" dxfId="654" priority="43" operator="equal">
      <formula>0</formula>
    </cfRule>
  </conditionalFormatting>
  <conditionalFormatting sqref="C77">
    <cfRule type="cellIs" dxfId="653" priority="42" operator="greaterThan">
      <formula>0</formula>
    </cfRule>
  </conditionalFormatting>
  <conditionalFormatting sqref="C87:C89">
    <cfRule type="cellIs" dxfId="652" priority="41" operator="equal">
      <formula>0</formula>
    </cfRule>
  </conditionalFormatting>
  <conditionalFormatting sqref="C87:C89">
    <cfRule type="cellIs" dxfId="651" priority="40" operator="greaterThan">
      <formula>0</formula>
    </cfRule>
  </conditionalFormatting>
  <conditionalFormatting sqref="E117 E128:E135">
    <cfRule type="cellIs" dxfId="650" priority="39" operator="equal">
      <formula>0</formula>
    </cfRule>
  </conditionalFormatting>
  <conditionalFormatting sqref="E117 E128:E135">
    <cfRule type="cellIs" dxfId="649" priority="38" operator="greaterThan">
      <formula>0</formula>
    </cfRule>
  </conditionalFormatting>
  <conditionalFormatting sqref="E136">
    <cfRule type="cellIs" dxfId="648" priority="37" operator="greaterThanOrEqual">
      <formula>0</formula>
    </cfRule>
  </conditionalFormatting>
  <conditionalFormatting sqref="E136">
    <cfRule type="cellIs" dxfId="647" priority="36" operator="lessThan">
      <formula>0</formula>
    </cfRule>
  </conditionalFormatting>
  <conditionalFormatting sqref="C70:C74">
    <cfRule type="cellIs" dxfId="646" priority="35" operator="equal">
      <formula>0</formula>
    </cfRule>
  </conditionalFormatting>
  <conditionalFormatting sqref="C70:C74">
    <cfRule type="cellIs" dxfId="645" priority="34" operator="greaterThan">
      <formula>0</formula>
    </cfRule>
  </conditionalFormatting>
  <conditionalFormatting sqref="C80:C84">
    <cfRule type="cellIs" dxfId="644" priority="33" operator="equal">
      <formula>0</formula>
    </cfRule>
  </conditionalFormatting>
  <conditionalFormatting sqref="C80:C84">
    <cfRule type="cellIs" dxfId="643" priority="32" operator="greaterThan">
      <formula>0</formula>
    </cfRule>
  </conditionalFormatting>
  <conditionalFormatting sqref="C92:C94">
    <cfRule type="cellIs" dxfId="642" priority="31" operator="equal">
      <formula>0</formula>
    </cfRule>
  </conditionalFormatting>
  <conditionalFormatting sqref="C92:C94">
    <cfRule type="cellIs" dxfId="641" priority="30" operator="greaterThan">
      <formula>0</formula>
    </cfRule>
  </conditionalFormatting>
  <conditionalFormatting sqref="C108:C109">
    <cfRule type="cellIs" dxfId="640" priority="29" operator="equal">
      <formula>0</formula>
    </cfRule>
  </conditionalFormatting>
  <conditionalFormatting sqref="C108:C109">
    <cfRule type="cellIs" dxfId="639" priority="28" operator="greaterThan">
      <formula>0</formula>
    </cfRule>
  </conditionalFormatting>
  <conditionalFormatting sqref="E144 E155:E162">
    <cfRule type="cellIs" dxfId="638" priority="27" operator="equal">
      <formula>0</formula>
    </cfRule>
  </conditionalFormatting>
  <conditionalFormatting sqref="E163">
    <cfRule type="cellIs" dxfId="637" priority="26" operator="greaterThanOrEqual">
      <formula>0</formula>
    </cfRule>
  </conditionalFormatting>
  <conditionalFormatting sqref="E163">
    <cfRule type="cellIs" dxfId="636" priority="25" operator="lessThan">
      <formula>0</formula>
    </cfRule>
  </conditionalFormatting>
  <conditionalFormatting sqref="E143">
    <cfRule type="cellIs" dxfId="635" priority="24" operator="greaterThanOrEqual">
      <formula>0</formula>
    </cfRule>
  </conditionalFormatting>
  <conditionalFormatting sqref="E143">
    <cfRule type="cellIs" dxfId="634" priority="23" operator="lessThan">
      <formula>0</formula>
    </cfRule>
  </conditionalFormatting>
  <conditionalFormatting sqref="E171 E182:E189">
    <cfRule type="cellIs" dxfId="633" priority="22" operator="equal">
      <formula>0</formula>
    </cfRule>
  </conditionalFormatting>
  <conditionalFormatting sqref="E171 E182:E189">
    <cfRule type="cellIs" dxfId="632" priority="21" operator="greaterThan">
      <formula>0</formula>
    </cfRule>
  </conditionalFormatting>
  <conditionalFormatting sqref="E190">
    <cfRule type="cellIs" dxfId="631" priority="20" operator="greaterThanOrEqual">
      <formula>0</formula>
    </cfRule>
  </conditionalFormatting>
  <conditionalFormatting sqref="E190">
    <cfRule type="cellIs" dxfId="630" priority="19" operator="lessThan">
      <formula>0</formula>
    </cfRule>
  </conditionalFormatting>
  <conditionalFormatting sqref="E170">
    <cfRule type="cellIs" dxfId="629" priority="18" operator="greaterThanOrEqual">
      <formula>0</formula>
    </cfRule>
  </conditionalFormatting>
  <conditionalFormatting sqref="E170">
    <cfRule type="cellIs" dxfId="628" priority="17" operator="lessThan">
      <formula>0</formula>
    </cfRule>
  </conditionalFormatting>
  <conditionalFormatting sqref="C5">
    <cfRule type="cellIs" dxfId="627" priority="16" operator="equal">
      <formula>0</formula>
    </cfRule>
  </conditionalFormatting>
  <conditionalFormatting sqref="C5">
    <cfRule type="cellIs" dxfId="626" priority="15" operator="greaterThan">
      <formula>0</formula>
    </cfRule>
  </conditionalFormatting>
  <conditionalFormatting sqref="C98:C107">
    <cfRule type="cellIs" dxfId="625" priority="14" operator="lessThan">
      <formula>0</formula>
    </cfRule>
  </conditionalFormatting>
  <conditionalFormatting sqref="C98:C107">
    <cfRule type="cellIs" dxfId="624" priority="13" operator="greaterThanOrEqual">
      <formula>0</formula>
    </cfRule>
  </conditionalFormatting>
  <conditionalFormatting sqref="E118:E127">
    <cfRule type="cellIs" dxfId="623" priority="12" operator="equal">
      <formula>0</formula>
    </cfRule>
  </conditionalFormatting>
  <conditionalFormatting sqref="E118:E127">
    <cfRule type="cellIs" dxfId="622" priority="11" operator="greaterThan">
      <formula>0</formula>
    </cfRule>
  </conditionalFormatting>
  <conditionalFormatting sqref="E145:E154">
    <cfRule type="cellIs" dxfId="621" priority="10" operator="equal">
      <formula>0</formula>
    </cfRule>
  </conditionalFormatting>
  <conditionalFormatting sqref="E145:E154">
    <cfRule type="cellIs" dxfId="620" priority="9" operator="greaterThan">
      <formula>0</formula>
    </cfRule>
  </conditionalFormatting>
  <conditionalFormatting sqref="E172:E181">
    <cfRule type="cellIs" dxfId="619" priority="8" operator="equal">
      <formula>0</formula>
    </cfRule>
  </conditionalFormatting>
  <conditionalFormatting sqref="E172:E181">
    <cfRule type="cellIs" dxfId="618" priority="7" operator="greaterThan">
      <formula>0</formula>
    </cfRule>
  </conditionalFormatting>
  <conditionalFormatting sqref="E116">
    <cfRule type="cellIs" dxfId="617" priority="6" operator="greaterThanOrEqual">
      <formula>0</formula>
    </cfRule>
  </conditionalFormatting>
  <conditionalFormatting sqref="E116">
    <cfRule type="cellIs" dxfId="616" priority="5" operator="lessThan">
      <formula>0</formula>
    </cfRule>
  </conditionalFormatting>
  <conditionalFormatting sqref="C78:C79">
    <cfRule type="cellIs" dxfId="615" priority="4" operator="equal">
      <formula>0</formula>
    </cfRule>
  </conditionalFormatting>
  <conditionalFormatting sqref="C78:C79">
    <cfRule type="cellIs" dxfId="614" priority="3" operator="greaterThan">
      <formula>0</formula>
    </cfRule>
  </conditionalFormatting>
  <conditionalFormatting sqref="C90:C91">
    <cfRule type="cellIs" dxfId="613" priority="2" operator="equal">
      <formula>0</formula>
    </cfRule>
  </conditionalFormatting>
  <conditionalFormatting sqref="C90:C91">
    <cfRule type="cellIs" dxfId="612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9C74-5589-4903-8EFC-FFF56B2CB1C8}">
  <dimension ref="A1:I193"/>
  <sheetViews>
    <sheetView topLeftCell="A9" workbookViewId="0">
      <selection activeCell="A34" sqref="A34:G40"/>
    </sheetView>
  </sheetViews>
  <sheetFormatPr defaultRowHeight="15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spans="1:9" ht="24.75" customHeight="1">
      <c r="A1" s="177" t="str">
        <f>"Forecasts For the Year " &amp; IF(Main!B2,TEXT(EDATE(Main!B3,12),"mmmm yyyy"),TEXT(Main!B3+((Main!B5-Main!B3)*12+12),"mmmm yyyy")) &amp; " to " &amp; IF(Main!B2,TEXT(EDATE(Main!B3,15)-1,"mmmm yyyy"),TEXT(Main!B3+((Main!B5-Main!B3)*15+14),"mmmm yyyy"))</f>
        <v>Forecasts For the Year April 2026 to July 2026</v>
      </c>
      <c r="B1" s="177"/>
      <c r="C1" s="177"/>
      <c r="D1" s="177"/>
      <c r="E1" s="177"/>
      <c r="F1" s="177"/>
      <c r="G1" s="177"/>
      <c r="H1" s="47"/>
      <c r="I1" s="47"/>
    </row>
    <row r="2" spans="1:9" ht="24.75" customHeight="1">
      <c r="A2" s="159" t="s">
        <v>31</v>
      </c>
      <c r="B2" s="48" t="s">
        <v>112</v>
      </c>
      <c r="C2" s="161" cm="1">
        <f t="array" aca="1" ref="C2" ca="1">INDIRECT("'" &amp; Main!B9 &amp; "'!$C$15")</f>
        <v>0</v>
      </c>
      <c r="D2" s="161"/>
      <c r="E2" s="161"/>
      <c r="F2" s="161"/>
      <c r="G2" s="161"/>
      <c r="H2" s="47"/>
      <c r="I2" s="47"/>
    </row>
    <row r="3" spans="1:9" ht="24.75" customHeight="1">
      <c r="A3" s="160"/>
      <c r="B3" s="41" t="s">
        <v>113</v>
      </c>
      <c r="C3" s="162">
        <f>E190</f>
        <v>0</v>
      </c>
      <c r="D3" s="162"/>
      <c r="E3" s="162"/>
      <c r="F3" s="162"/>
      <c r="G3" s="162"/>
      <c r="H3" s="47"/>
      <c r="I3" s="47"/>
    </row>
    <row r="4" spans="1:9" ht="24.75" customHeight="1">
      <c r="A4" s="174" t="s">
        <v>45</v>
      </c>
      <c r="B4" s="175"/>
      <c r="C4" s="163">
        <f ca="1">SUM(C2:G3)</f>
        <v>0</v>
      </c>
      <c r="D4" s="163"/>
      <c r="E4" s="163"/>
      <c r="F4" s="163"/>
      <c r="G4" s="163"/>
      <c r="H4" s="44"/>
      <c r="I4" s="9"/>
    </row>
    <row r="5" spans="1:9" ht="24.75" customHeight="1">
      <c r="A5" s="176" t="s">
        <v>114</v>
      </c>
      <c r="B5" s="176"/>
      <c r="C5" s="164">
        <f>C108</f>
        <v>0</v>
      </c>
      <c r="D5" s="165"/>
      <c r="E5" s="165"/>
      <c r="F5" s="165"/>
      <c r="G5" s="165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32" t="str">
        <f>IF(Main!B2,TEXT(EDATE(Main!B3,12),"dd mmmm yyyy"),TEXT(Main!B3+((Main!B5-Main!B3)*12+12),"dd mmmm yyyy")) &amp; " - " &amp; IF(Main!B2,TEXT(EDATE(Main!B3,13)-1,"dd mmmm yyyy"),TEXT(Main!B3+((Main!B5-Main!B3)*13+12),"dd mmmm yyyy")) &amp; " / " &amp; " (Revenue / Deferred Debts Or Expenses)"</f>
        <v>11 April 2026 - 10 May 2026 /  (Revenue / Deferred Debts Or Expenses)</v>
      </c>
      <c r="B8" s="133"/>
      <c r="C8" s="133"/>
      <c r="D8" s="133"/>
      <c r="E8" s="133"/>
      <c r="F8" s="133"/>
      <c r="G8" s="133"/>
      <c r="H8" s="44"/>
      <c r="I8" s="37"/>
    </row>
    <row r="9" spans="1:9" ht="24.75" customHeight="1">
      <c r="A9" s="81" t="s">
        <v>27</v>
      </c>
      <c r="B9" s="120" t="s">
        <v>46</v>
      </c>
      <c r="C9" s="120"/>
      <c r="D9" s="121" t="s">
        <v>47</v>
      </c>
      <c r="E9" s="121"/>
      <c r="F9" s="121" t="s">
        <v>48</v>
      </c>
      <c r="G9" s="121"/>
      <c r="H9" s="44"/>
      <c r="I9" s="9"/>
    </row>
    <row r="10" spans="1:9" ht="24.75" customHeight="1">
      <c r="A10" s="2" t="s">
        <v>115</v>
      </c>
      <c r="B10" s="122" t="s">
        <v>50</v>
      </c>
      <c r="C10" s="122"/>
      <c r="D10" s="122" t="s">
        <v>51</v>
      </c>
      <c r="E10" s="122"/>
      <c r="F10" s="123">
        <v>0</v>
      </c>
      <c r="G10" s="124"/>
      <c r="H10" s="44"/>
      <c r="I10" s="9"/>
    </row>
    <row r="11" spans="1:9" ht="24.75" customHeight="1">
      <c r="A11" s="2"/>
      <c r="B11" s="125" t="s">
        <v>40</v>
      </c>
      <c r="C11" s="126"/>
      <c r="D11" s="127"/>
      <c r="E11" s="128"/>
      <c r="F11" s="123">
        <v>0</v>
      </c>
      <c r="G11" s="124"/>
      <c r="H11" s="44"/>
      <c r="I11" s="9"/>
    </row>
    <row r="12" spans="1:9" ht="24.75" customHeight="1">
      <c r="A12" s="2"/>
      <c r="B12" s="125" t="s">
        <v>41</v>
      </c>
      <c r="C12" s="126"/>
      <c r="D12" s="127"/>
      <c r="E12" s="128"/>
      <c r="F12" s="123">
        <v>0</v>
      </c>
      <c r="G12" s="124"/>
      <c r="H12" s="44"/>
      <c r="I12" s="9"/>
    </row>
    <row r="13" spans="1:9" ht="24.75" customHeight="1">
      <c r="A13" s="2"/>
      <c r="B13" s="125" t="s">
        <v>42</v>
      </c>
      <c r="C13" s="126"/>
      <c r="D13" s="127"/>
      <c r="E13" s="128"/>
      <c r="F13" s="123">
        <v>0</v>
      </c>
      <c r="G13" s="124"/>
      <c r="H13" s="44"/>
      <c r="I13" s="9"/>
    </row>
    <row r="14" spans="1:9" ht="24.75" customHeight="1">
      <c r="A14" s="2"/>
      <c r="B14" s="125" t="s">
        <v>43</v>
      </c>
      <c r="C14" s="126"/>
      <c r="D14" s="127"/>
      <c r="E14" s="128"/>
      <c r="F14" s="123">
        <v>0</v>
      </c>
      <c r="G14" s="124"/>
      <c r="H14" s="44"/>
      <c r="I14" s="9"/>
    </row>
    <row r="15" spans="1:9" ht="24.75" customHeight="1">
      <c r="A15" s="2"/>
      <c r="B15" s="125" t="s">
        <v>44</v>
      </c>
      <c r="C15" s="126"/>
      <c r="D15" s="127"/>
      <c r="E15" s="128"/>
      <c r="F15" s="123">
        <v>0</v>
      </c>
      <c r="G15" s="124"/>
      <c r="H15" s="44"/>
      <c r="I15" s="9"/>
    </row>
    <row r="16" spans="1:9" ht="24.75" customHeight="1">
      <c r="A16" s="45"/>
      <c r="B16" s="166"/>
      <c r="C16" s="167"/>
      <c r="D16" s="116" t="s">
        <v>52</v>
      </c>
      <c r="E16" s="117"/>
      <c r="F16" s="118">
        <f>SUM(F10:G15)</f>
        <v>0</v>
      </c>
      <c r="G16" s="119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32" t="str">
        <f>IF(Main!B2,TEXT(EDATE(Main!B3,13),"dd mmmm yyyy"),TEXT(Main!B3+((Main!B5-Main!B3)*13+13),"dd mmmm yyyy")) &amp; " - " &amp; IF(Main!B2,TEXT(EDATE(Main!B3,14)-1,"dd mmmm yyyy"),TEXT(Main!B3+((Main!B5-Main!B3)*14+13),"dd mmmm yyyy")) &amp; " / " &amp; " (Revenue / Deferred Debts Or Expenses)"</f>
        <v>11 May 2026 - 10 June 2026 /  (Revenue / Deferred Debts Or Expenses)</v>
      </c>
      <c r="B20" s="133"/>
      <c r="C20" s="133"/>
      <c r="D20" s="133"/>
      <c r="E20" s="133"/>
      <c r="F20" s="133"/>
      <c r="G20" s="133"/>
      <c r="H20" s="44"/>
      <c r="I20" s="9"/>
    </row>
    <row r="21" spans="1:9" ht="24.75" customHeight="1">
      <c r="A21" s="81" t="s">
        <v>27</v>
      </c>
      <c r="B21" s="120" t="s">
        <v>46</v>
      </c>
      <c r="C21" s="120"/>
      <c r="D21" s="121" t="s">
        <v>47</v>
      </c>
      <c r="E21" s="121"/>
      <c r="F21" s="121" t="s">
        <v>48</v>
      </c>
      <c r="G21" s="121"/>
      <c r="H21" s="44"/>
      <c r="I21" s="9"/>
    </row>
    <row r="22" spans="1:9" ht="24.75" customHeight="1">
      <c r="A22" s="2" t="s">
        <v>116</v>
      </c>
      <c r="B22" s="122" t="s">
        <v>54</v>
      </c>
      <c r="C22" s="122"/>
      <c r="D22" s="122" t="s">
        <v>55</v>
      </c>
      <c r="E22" s="122"/>
      <c r="F22" s="123">
        <v>0</v>
      </c>
      <c r="G22" s="124"/>
      <c r="H22" s="44"/>
      <c r="I22" s="9"/>
    </row>
    <row r="23" spans="1:9" ht="24.75" customHeight="1">
      <c r="A23" s="2"/>
      <c r="B23" s="125" t="s">
        <v>40</v>
      </c>
      <c r="C23" s="126"/>
      <c r="D23" s="127"/>
      <c r="E23" s="128"/>
      <c r="F23" s="123">
        <v>0</v>
      </c>
      <c r="G23" s="124"/>
      <c r="H23" s="44"/>
      <c r="I23" s="9"/>
    </row>
    <row r="24" spans="1:9" ht="24.75" customHeight="1">
      <c r="A24" s="2"/>
      <c r="B24" s="125" t="s">
        <v>41</v>
      </c>
      <c r="C24" s="126"/>
      <c r="D24" s="127"/>
      <c r="E24" s="128"/>
      <c r="F24" s="123">
        <v>0</v>
      </c>
      <c r="G24" s="124"/>
      <c r="H24" s="44"/>
      <c r="I24" s="9"/>
    </row>
    <row r="25" spans="1:9" ht="24.75" customHeight="1">
      <c r="A25" s="2"/>
      <c r="B25" s="125" t="s">
        <v>42</v>
      </c>
      <c r="C25" s="126"/>
      <c r="D25" s="127"/>
      <c r="E25" s="128"/>
      <c r="F25" s="123">
        <v>0</v>
      </c>
      <c r="G25" s="124"/>
      <c r="H25" s="44"/>
      <c r="I25" s="9"/>
    </row>
    <row r="26" spans="1:9" ht="24.75" customHeight="1">
      <c r="A26" s="2"/>
      <c r="B26" s="125" t="s">
        <v>43</v>
      </c>
      <c r="C26" s="126"/>
      <c r="D26" s="127"/>
      <c r="E26" s="128"/>
      <c r="F26" s="123">
        <v>0</v>
      </c>
      <c r="G26" s="124"/>
      <c r="H26" s="44"/>
      <c r="I26" s="9"/>
    </row>
    <row r="27" spans="1:9" ht="24.75" customHeight="1">
      <c r="A27" s="2"/>
      <c r="B27" s="125" t="s">
        <v>44</v>
      </c>
      <c r="C27" s="126"/>
      <c r="D27" s="127"/>
      <c r="E27" s="128"/>
      <c r="F27" s="123">
        <v>0</v>
      </c>
      <c r="G27" s="124"/>
      <c r="H27" s="44"/>
      <c r="I27" s="9"/>
    </row>
    <row r="28" spans="1:9" ht="24.75" customHeight="1">
      <c r="A28" s="45"/>
      <c r="B28" s="166"/>
      <c r="C28" s="167"/>
      <c r="D28" s="116" t="s">
        <v>52</v>
      </c>
      <c r="E28" s="117"/>
      <c r="F28" s="118">
        <f>SUM(F22:G27)</f>
        <v>0</v>
      </c>
      <c r="G28" s="119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32" t="str">
        <f>IF(Main!B2,TEXT(EDATE(Main!B3,14),"dd mmmm yyyy"),TEXT(Main!B3+((Main!B5-Main!B3)*14+14),"dd mmmm yyyy")) &amp; " - " &amp; IF(Main!B2,TEXT(EDATE(Main!B3,15)-1,"dd mmmm yyyy"),TEXT(Main!B3+((Main!B5-Main!B3)*15+14),"dd mmmm yyyy")) &amp; " / " &amp; " (Revenue / Deferred Debts Or Expenses)"</f>
        <v>11 June 2026 - 10 July 2026 /  (Revenue / Deferred Debts Or Expenses)</v>
      </c>
      <c r="B32" s="133"/>
      <c r="C32" s="133"/>
      <c r="D32" s="133"/>
      <c r="E32" s="133"/>
      <c r="F32" s="133"/>
      <c r="G32" s="133"/>
      <c r="H32" s="44"/>
      <c r="I32" s="9"/>
    </row>
    <row r="33" spans="1:9" ht="24.75" customHeight="1">
      <c r="A33" s="81" t="s">
        <v>27</v>
      </c>
      <c r="B33" s="120" t="s">
        <v>46</v>
      </c>
      <c r="C33" s="120"/>
      <c r="D33" s="121" t="s">
        <v>47</v>
      </c>
      <c r="E33" s="121"/>
      <c r="F33" s="121" t="s">
        <v>48</v>
      </c>
      <c r="G33" s="121"/>
      <c r="H33" s="44"/>
      <c r="I33" s="9"/>
    </row>
    <row r="34" spans="1:9" ht="24.75" customHeight="1">
      <c r="A34" s="2" t="s">
        <v>117</v>
      </c>
      <c r="B34" s="122" t="s">
        <v>54</v>
      </c>
      <c r="C34" s="122"/>
      <c r="D34" s="122" t="s">
        <v>55</v>
      </c>
      <c r="E34" s="122"/>
      <c r="F34" s="123">
        <v>0</v>
      </c>
      <c r="G34" s="124"/>
      <c r="H34" s="44"/>
      <c r="I34" s="9"/>
    </row>
    <row r="35" spans="1:9" ht="24.75" customHeight="1">
      <c r="A35" s="2"/>
      <c r="B35" s="125" t="s">
        <v>40</v>
      </c>
      <c r="C35" s="126"/>
      <c r="D35" s="127"/>
      <c r="E35" s="128"/>
      <c r="F35" s="123">
        <v>0</v>
      </c>
      <c r="G35" s="124"/>
      <c r="H35" s="44"/>
      <c r="I35" s="9"/>
    </row>
    <row r="36" spans="1:9" ht="24.75" customHeight="1">
      <c r="A36" s="2"/>
      <c r="B36" s="125" t="s">
        <v>41</v>
      </c>
      <c r="C36" s="126"/>
      <c r="D36" s="127"/>
      <c r="E36" s="128"/>
      <c r="F36" s="123">
        <v>0</v>
      </c>
      <c r="G36" s="124"/>
      <c r="H36" s="44"/>
      <c r="I36" s="37"/>
    </row>
    <row r="37" spans="1:9" ht="24.75" customHeight="1">
      <c r="A37" s="2"/>
      <c r="B37" s="125" t="s">
        <v>42</v>
      </c>
      <c r="C37" s="126"/>
      <c r="D37" s="127"/>
      <c r="E37" s="128"/>
      <c r="F37" s="123">
        <v>0</v>
      </c>
      <c r="G37" s="124"/>
      <c r="H37" s="44"/>
      <c r="I37" s="9"/>
    </row>
    <row r="38" spans="1:9" ht="24.75" customHeight="1">
      <c r="A38" s="2"/>
      <c r="B38" s="125" t="s">
        <v>43</v>
      </c>
      <c r="C38" s="126"/>
      <c r="D38" s="127"/>
      <c r="E38" s="128"/>
      <c r="F38" s="123">
        <v>0</v>
      </c>
      <c r="G38" s="124"/>
      <c r="H38" s="44"/>
      <c r="I38" s="9"/>
    </row>
    <row r="39" spans="1:9" ht="24.75" customHeight="1">
      <c r="A39" s="2"/>
      <c r="B39" s="125" t="s">
        <v>44</v>
      </c>
      <c r="C39" s="126"/>
      <c r="D39" s="127"/>
      <c r="E39" s="128"/>
      <c r="F39" s="123">
        <v>0</v>
      </c>
      <c r="G39" s="124"/>
      <c r="H39" s="44"/>
      <c r="I39" s="9"/>
    </row>
    <row r="40" spans="1:9" ht="24.75" customHeight="1">
      <c r="A40" s="45"/>
      <c r="B40" s="166"/>
      <c r="C40" s="167"/>
      <c r="D40" s="116" t="s">
        <v>52</v>
      </c>
      <c r="E40" s="117"/>
      <c r="F40" s="118">
        <f>SUM(F34:G39)</f>
        <v>0</v>
      </c>
      <c r="G40" s="119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IF(Main!B2,TEXT(EDATE(Main!B3,12),"mmmm yyyy"),TEXT(Main!B3+((Main!B5-Main!B3)*12+12),"mmmm yyyy")) &amp; " to " &amp; IF(Main!B2,TEXT(EDATE(Main!B3,15)-1,"mmmm yyyy"),TEXT(Main!B3+((Main!B5-Main!B3)*15+14),"mmmm yyyy"))</f>
        <v>Fixed Expense For the Year April 2026 to July 2026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2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71" t="s">
        <v>57</v>
      </c>
      <c r="B46" s="172"/>
      <c r="C46" s="173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71" t="s">
        <v>62</v>
      </c>
      <c r="B56" s="172"/>
      <c r="C56" s="173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71" t="s">
        <v>67</v>
      </c>
      <c r="B67" s="172"/>
      <c r="C67" s="173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71" t="s">
        <v>72</v>
      </c>
      <c r="B76" s="172"/>
      <c r="C76" s="173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71" t="s">
        <v>77</v>
      </c>
      <c r="B86" s="172"/>
      <c r="C86" s="173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71" t="s">
        <v>86</v>
      </c>
      <c r="B97" s="172"/>
      <c r="C97" s="173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(Forecast_4!C98)+SUM(E118+E145+E172)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(Forecast_4!C99)+SUM(E119+E146+E173)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(Forecast_4!C100)+SUM(E120+E147+E174)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(Forecast_4!C101)+SUM(E121+E148+E175)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(Forecast_4!C102)+SUM(E122+E149+E176)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(Forecast_4!C103)+SUM(E123+E150+E177)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(Forecast_4!C104)+SUM(E124+E151+E178)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(Forecast_4!C105)+SUM(E125+E152+E179)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(Forecast_4!C106)+SUM(E126+E153+E180)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(Forecast_4!C107)+SUM(E127+E154+E181)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99" t="str">
        <f>"Debts Or Credits For the Comming " &amp; IF(Main!B2,TEXT(EDATE(Main!B3,12),"mmmm dd yyyy"),TEXT(Main!B3+((Main!B5-Main!B3)*12+12),"mmmm dd yyyy")) &amp; " to " &amp; IF(Main!B2,TEXT(EDATE(Main!B3,13)-1,"mmmm dd yyyy"),TEXT(Main!B3+((Main!B5-Main!B3)*13+12),"mmmm dd yyyy"))</f>
        <v>Debts Or Credits For the Comming April 11 2026 to May 10 2026</v>
      </c>
      <c r="B114" s="100"/>
      <c r="C114" s="100"/>
      <c r="D114" s="100"/>
      <c r="E114" s="101"/>
      <c r="F114" s="44"/>
      <c r="G114" s="44"/>
      <c r="H114" s="44"/>
      <c r="I114" s="9"/>
    </row>
    <row r="115" spans="1:9" ht="24.75" customHeight="1">
      <c r="A115" s="99" t="s">
        <v>94</v>
      </c>
      <c r="B115" s="101"/>
      <c r="C115" s="99" t="s">
        <v>47</v>
      </c>
      <c r="D115" s="101"/>
      <c r="E115" s="29" t="s">
        <v>48</v>
      </c>
      <c r="F115" s="44"/>
      <c r="G115" s="44"/>
      <c r="H115" s="44"/>
      <c r="I115" s="9"/>
    </row>
    <row r="116" spans="1:9" ht="24.75" customHeight="1">
      <c r="A116" s="96" t="str">
        <f>"Balance Brought Forward From " &amp; IF(Main!B2,TEXT(EDATE(Main!B3,12)-1,"mmmm yyyy"),TEXT(Main!B3+((Main!B5-Main!B3)*12+11),"mmmm yyyy"))</f>
        <v>Balance Brought Forward From April 2026</v>
      </c>
      <c r="B116" s="97"/>
      <c r="C116" s="158"/>
      <c r="D116" s="158"/>
      <c r="E116" s="51">
        <f>Forecast_4!E190</f>
        <v>0</v>
      </c>
      <c r="F116" s="44"/>
      <c r="G116" s="44"/>
      <c r="H116" s="44"/>
      <c r="I116" s="9"/>
    </row>
    <row r="117" spans="1:9" ht="24.75" customHeight="1">
      <c r="A117" s="106" t="s">
        <v>95</v>
      </c>
      <c r="B117" s="107"/>
      <c r="C117" s="157" t="s">
        <v>96</v>
      </c>
      <c r="D117" s="149"/>
      <c r="E117" s="42"/>
      <c r="F117" s="44"/>
      <c r="G117" s="44"/>
      <c r="H117" s="44"/>
      <c r="I117" s="9"/>
    </row>
    <row r="118" spans="1:9" ht="24.75" customHeight="1">
      <c r="A118" s="108"/>
      <c r="B118" s="109"/>
      <c r="C118" s="104" t="s">
        <v>97</v>
      </c>
      <c r="D118" s="105"/>
      <c r="E118" s="28">
        <v>0</v>
      </c>
      <c r="F118" s="44"/>
      <c r="G118" s="44"/>
      <c r="H118" s="44"/>
      <c r="I118" s="9"/>
    </row>
    <row r="119" spans="1:9" ht="24.75" customHeight="1">
      <c r="A119" s="108"/>
      <c r="B119" s="109"/>
      <c r="C119" s="104" t="s">
        <v>98</v>
      </c>
      <c r="D119" s="105"/>
      <c r="E119" s="28">
        <v>0</v>
      </c>
      <c r="F119" s="44"/>
      <c r="G119" s="44"/>
      <c r="H119" s="44"/>
      <c r="I119" s="9"/>
    </row>
    <row r="120" spans="1:9" ht="24.75" customHeight="1">
      <c r="A120" s="108"/>
      <c r="B120" s="109"/>
      <c r="C120" s="104" t="s">
        <v>99</v>
      </c>
      <c r="D120" s="105"/>
      <c r="E120" s="28">
        <v>0</v>
      </c>
      <c r="F120" s="44"/>
      <c r="G120" s="44"/>
      <c r="H120" s="44"/>
      <c r="I120" s="9"/>
    </row>
    <row r="121" spans="1:9" ht="24.75" customHeight="1">
      <c r="A121" s="108"/>
      <c r="B121" s="109"/>
      <c r="C121" s="104" t="s">
        <v>100</v>
      </c>
      <c r="D121" s="105"/>
      <c r="E121" s="28">
        <v>0</v>
      </c>
      <c r="F121" s="44"/>
      <c r="G121" s="44"/>
      <c r="H121" s="44"/>
      <c r="I121" s="9"/>
    </row>
    <row r="122" spans="1:9" ht="24.75" customHeight="1">
      <c r="A122" s="108"/>
      <c r="B122" s="109"/>
      <c r="C122" s="104" t="s">
        <v>101</v>
      </c>
      <c r="D122" s="105"/>
      <c r="E122" s="28">
        <v>0</v>
      </c>
      <c r="F122" s="44"/>
      <c r="G122" s="44"/>
      <c r="H122" s="44"/>
      <c r="I122" s="9"/>
    </row>
    <row r="123" spans="1:9" ht="24.75" customHeight="1">
      <c r="A123" s="108"/>
      <c r="B123" s="109"/>
      <c r="C123" s="104" t="s">
        <v>102</v>
      </c>
      <c r="D123" s="105"/>
      <c r="E123" s="28">
        <v>0</v>
      </c>
      <c r="F123" s="44"/>
      <c r="G123" s="44"/>
      <c r="H123" s="44"/>
      <c r="I123" s="9"/>
    </row>
    <row r="124" spans="1:9" ht="24.75" customHeight="1">
      <c r="A124" s="108"/>
      <c r="B124" s="109"/>
      <c r="C124" s="104" t="s">
        <v>103</v>
      </c>
      <c r="D124" s="105"/>
      <c r="E124" s="28">
        <v>0</v>
      </c>
      <c r="F124" s="44"/>
      <c r="G124" s="44"/>
      <c r="H124" s="44"/>
      <c r="I124" s="9"/>
    </row>
    <row r="125" spans="1:9" ht="24.75" customHeight="1">
      <c r="A125" s="108"/>
      <c r="B125" s="109"/>
      <c r="C125" s="104" t="s">
        <v>104</v>
      </c>
      <c r="D125" s="105"/>
      <c r="E125" s="28">
        <v>0</v>
      </c>
      <c r="F125" s="44"/>
      <c r="G125" s="44"/>
      <c r="H125" s="44"/>
      <c r="I125" s="9"/>
    </row>
    <row r="126" spans="1:9" ht="24.75" customHeight="1">
      <c r="A126" s="108"/>
      <c r="B126" s="109"/>
      <c r="C126" s="104" t="s">
        <v>105</v>
      </c>
      <c r="D126" s="105"/>
      <c r="E126" s="28">
        <v>0</v>
      </c>
      <c r="F126" s="44"/>
      <c r="G126" s="44"/>
      <c r="H126" s="44"/>
      <c r="I126" s="9"/>
    </row>
    <row r="127" spans="1:9" ht="24.75" customHeight="1">
      <c r="A127" s="108"/>
      <c r="B127" s="109"/>
      <c r="C127" s="104" t="s">
        <v>106</v>
      </c>
      <c r="D127" s="105"/>
      <c r="E127" s="28">
        <v>0</v>
      </c>
      <c r="F127" s="44"/>
      <c r="G127" s="44"/>
      <c r="H127" s="44"/>
      <c r="I127" s="9"/>
    </row>
    <row r="128" spans="1:9" ht="24.75" customHeight="1">
      <c r="A128" s="108"/>
      <c r="B128" s="109"/>
      <c r="C128" s="148" t="s">
        <v>107</v>
      </c>
      <c r="D128" s="149"/>
      <c r="E128" s="42"/>
      <c r="F128" s="44"/>
      <c r="G128" s="44"/>
      <c r="H128" s="44"/>
      <c r="I128" s="9"/>
    </row>
    <row r="129" spans="1:9" ht="24.75" customHeight="1">
      <c r="A129" s="108"/>
      <c r="B129" s="109"/>
      <c r="C129" s="150" t="s">
        <v>108</v>
      </c>
      <c r="D129" s="151"/>
      <c r="E129" s="30">
        <v>0</v>
      </c>
      <c r="F129" s="44"/>
      <c r="G129" s="44"/>
      <c r="H129" s="44"/>
      <c r="I129" s="9"/>
    </row>
    <row r="130" spans="1:9" ht="24.75" customHeight="1">
      <c r="A130" s="108"/>
      <c r="B130" s="109"/>
      <c r="C130" s="104" t="s">
        <v>97</v>
      </c>
      <c r="D130" s="105"/>
      <c r="E130" s="30">
        <v>0</v>
      </c>
      <c r="F130" s="44"/>
      <c r="G130" s="44"/>
      <c r="H130" s="44"/>
      <c r="I130" s="9"/>
    </row>
    <row r="131" spans="1:9" ht="24.75" customHeight="1">
      <c r="A131" s="108"/>
      <c r="B131" s="109"/>
      <c r="C131" s="104" t="s">
        <v>98</v>
      </c>
      <c r="D131" s="105"/>
      <c r="E131" s="30">
        <v>0</v>
      </c>
      <c r="F131" s="44"/>
      <c r="G131" s="44"/>
      <c r="H131" s="44"/>
      <c r="I131" s="9"/>
    </row>
    <row r="132" spans="1:9" ht="24.75" customHeight="1">
      <c r="A132" s="108"/>
      <c r="B132" s="109"/>
      <c r="C132" s="104" t="s">
        <v>99</v>
      </c>
      <c r="D132" s="105"/>
      <c r="E132" s="30">
        <v>0</v>
      </c>
      <c r="F132" s="44"/>
      <c r="G132" s="44"/>
      <c r="H132" s="44"/>
      <c r="I132" s="9"/>
    </row>
    <row r="133" spans="1:9" ht="24.75" customHeight="1">
      <c r="A133" s="108"/>
      <c r="B133" s="109"/>
      <c r="C133" s="104" t="s">
        <v>100</v>
      </c>
      <c r="D133" s="105"/>
      <c r="E133" s="30">
        <v>0</v>
      </c>
      <c r="F133" s="44"/>
      <c r="G133" s="44"/>
      <c r="H133" s="44"/>
      <c r="I133" s="9"/>
    </row>
    <row r="134" spans="1:9" ht="24.75" customHeight="1">
      <c r="A134" s="110"/>
      <c r="B134" s="111"/>
      <c r="C134" s="104" t="s">
        <v>101</v>
      </c>
      <c r="D134" s="105"/>
      <c r="E134" s="30">
        <v>0</v>
      </c>
      <c r="F134" s="44"/>
      <c r="G134" s="44"/>
      <c r="H134" s="44"/>
      <c r="I134" s="9"/>
    </row>
    <row r="135" spans="1:9" ht="24.75" customHeight="1">
      <c r="A135" s="96" t="s">
        <v>109</v>
      </c>
      <c r="B135" s="152"/>
      <c r="C135" s="153"/>
      <c r="D135" s="154"/>
      <c r="E135" s="30">
        <f>C96</f>
        <v>0</v>
      </c>
      <c r="F135" s="44"/>
      <c r="G135" s="44"/>
      <c r="H135" s="44"/>
      <c r="I135" s="9"/>
    </row>
    <row r="136" spans="1:9" ht="24.75" customHeight="1">
      <c r="A136" s="145"/>
      <c r="B136" s="146"/>
      <c r="C136" s="147" t="s">
        <v>110</v>
      </c>
      <c r="D136" s="147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99" t="str">
        <f>"Debts Or Credits For the Comming " &amp; IF(Main!B2,TEXT(EDATE(Main!B3,13),"mmmm dd yyyy"),TEXT(Main!B3+((Main!B5-Main!B3)*13+13),"dd mmmm yyyy")) &amp; " to " &amp;  IF(Main!B2,TEXT(EDATE(Main!B3,14)-1,"mmmm dd yyyy"),TEXT(Main!B3+((Main!B5-Main!B3)*14+13),"mmmm dd yyyy"))</f>
        <v>Debts Or Credits For the Comming May 11 2026 to June 10 2026</v>
      </c>
      <c r="B141" s="100"/>
      <c r="C141" s="100"/>
      <c r="D141" s="100"/>
      <c r="E141" s="101"/>
      <c r="F141" s="44"/>
      <c r="G141" s="44"/>
      <c r="H141" s="44"/>
      <c r="I141" s="9"/>
    </row>
    <row r="142" spans="1:9" ht="24.75" customHeight="1">
      <c r="A142" s="99" t="s">
        <v>94</v>
      </c>
      <c r="B142" s="101"/>
      <c r="C142" s="102" t="s">
        <v>47</v>
      </c>
      <c r="D142" s="103"/>
      <c r="E142" s="39" t="s">
        <v>48</v>
      </c>
      <c r="F142" s="44"/>
      <c r="G142" s="44"/>
      <c r="H142" s="44"/>
      <c r="I142" s="9"/>
    </row>
    <row r="143" spans="1:9" ht="24.75" customHeight="1">
      <c r="A143" s="96" t="str">
        <f>"Balance Brought Forward From " &amp; IF(Main!B2,TEXT(EDATE(Main!B3,13)-1,"mmmm yyyy"),TEXT(Main!B3+((Main!B5-Main!B3)*13+12),"mmmm yyyy"))</f>
        <v>Balance Brought Forward From May 2026</v>
      </c>
      <c r="B143" s="97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06" t="s">
        <v>95</v>
      </c>
      <c r="B144" s="107"/>
      <c r="C144" s="112" t="s">
        <v>96</v>
      </c>
      <c r="D144" s="113"/>
      <c r="E144" s="43"/>
      <c r="F144" s="44"/>
      <c r="G144" s="44"/>
      <c r="H144" s="44"/>
      <c r="I144" s="9"/>
    </row>
    <row r="145" spans="1:9" ht="24.75" customHeight="1">
      <c r="A145" s="108"/>
      <c r="B145" s="109"/>
      <c r="C145" s="104" t="s">
        <v>97</v>
      </c>
      <c r="D145" s="105"/>
      <c r="E145" s="28">
        <v>0</v>
      </c>
      <c r="F145" s="44"/>
      <c r="G145" s="44"/>
      <c r="H145" s="44"/>
      <c r="I145" s="9"/>
    </row>
    <row r="146" spans="1:9" ht="24.75" customHeight="1">
      <c r="A146" s="108"/>
      <c r="B146" s="109"/>
      <c r="C146" s="104" t="s">
        <v>98</v>
      </c>
      <c r="D146" s="105"/>
      <c r="E146" s="28">
        <v>0</v>
      </c>
      <c r="F146" s="44"/>
      <c r="G146" s="44"/>
      <c r="H146" s="44"/>
      <c r="I146" s="9"/>
    </row>
    <row r="147" spans="1:9" ht="24.75" customHeight="1">
      <c r="A147" s="108"/>
      <c r="B147" s="109"/>
      <c r="C147" s="104" t="s">
        <v>99</v>
      </c>
      <c r="D147" s="105"/>
      <c r="E147" s="28">
        <v>0</v>
      </c>
      <c r="F147" s="44"/>
      <c r="G147" s="44"/>
      <c r="H147" s="44"/>
      <c r="I147" s="9"/>
    </row>
    <row r="148" spans="1:9" ht="24.75" customHeight="1">
      <c r="A148" s="108"/>
      <c r="B148" s="109"/>
      <c r="C148" s="104" t="s">
        <v>100</v>
      </c>
      <c r="D148" s="105"/>
      <c r="E148" s="28">
        <v>0</v>
      </c>
      <c r="F148" s="44"/>
      <c r="G148" s="44"/>
      <c r="H148" s="44"/>
      <c r="I148" s="9"/>
    </row>
    <row r="149" spans="1:9" ht="24.75" customHeight="1">
      <c r="A149" s="108"/>
      <c r="B149" s="109"/>
      <c r="C149" s="104" t="s">
        <v>101</v>
      </c>
      <c r="D149" s="105"/>
      <c r="E149" s="28">
        <v>0</v>
      </c>
      <c r="F149" s="44"/>
      <c r="G149" s="44"/>
      <c r="H149" s="44"/>
      <c r="I149" s="9"/>
    </row>
    <row r="150" spans="1:9" ht="24.75" customHeight="1">
      <c r="A150" s="108"/>
      <c r="B150" s="109"/>
      <c r="C150" s="104" t="s">
        <v>102</v>
      </c>
      <c r="D150" s="105"/>
      <c r="E150" s="28">
        <v>0</v>
      </c>
      <c r="F150" s="44"/>
      <c r="G150" s="44"/>
      <c r="H150" s="44"/>
      <c r="I150" s="9"/>
    </row>
    <row r="151" spans="1:9" ht="24.75" customHeight="1">
      <c r="A151" s="108"/>
      <c r="B151" s="109"/>
      <c r="C151" s="104" t="s">
        <v>103</v>
      </c>
      <c r="D151" s="105"/>
      <c r="E151" s="28">
        <v>0</v>
      </c>
      <c r="F151" s="44"/>
      <c r="G151" s="44"/>
      <c r="H151" s="44"/>
      <c r="I151" s="9"/>
    </row>
    <row r="152" spans="1:9" ht="24.75" customHeight="1">
      <c r="A152" s="108"/>
      <c r="B152" s="109"/>
      <c r="C152" s="104" t="s">
        <v>104</v>
      </c>
      <c r="D152" s="105"/>
      <c r="E152" s="28">
        <v>0</v>
      </c>
      <c r="F152" s="44"/>
      <c r="G152" s="44"/>
      <c r="H152" s="44"/>
      <c r="I152" s="9"/>
    </row>
    <row r="153" spans="1:9" ht="24.75" customHeight="1">
      <c r="A153" s="108"/>
      <c r="B153" s="109"/>
      <c r="C153" s="104" t="s">
        <v>105</v>
      </c>
      <c r="D153" s="105"/>
      <c r="E153" s="28">
        <v>0</v>
      </c>
      <c r="F153" s="44"/>
      <c r="G153" s="44"/>
      <c r="H153" s="44"/>
      <c r="I153" s="9"/>
    </row>
    <row r="154" spans="1:9" ht="24.75" customHeight="1">
      <c r="A154" s="108"/>
      <c r="B154" s="109"/>
      <c r="C154" s="104" t="s">
        <v>106</v>
      </c>
      <c r="D154" s="105"/>
      <c r="E154" s="28">
        <v>0</v>
      </c>
      <c r="F154" s="44"/>
      <c r="G154" s="44"/>
      <c r="H154" s="44"/>
      <c r="I154" s="9"/>
    </row>
    <row r="155" spans="1:9" ht="24.75" customHeight="1">
      <c r="A155" s="108"/>
      <c r="B155" s="109"/>
      <c r="C155" s="148" t="s">
        <v>107</v>
      </c>
      <c r="D155" s="149"/>
      <c r="E155" s="42"/>
      <c r="F155" s="44"/>
      <c r="G155" s="44"/>
      <c r="H155" s="44"/>
      <c r="I155" s="9"/>
    </row>
    <row r="156" spans="1:9" ht="24.75" customHeight="1">
      <c r="A156" s="108"/>
      <c r="B156" s="109"/>
      <c r="C156" s="150" t="s">
        <v>111</v>
      </c>
      <c r="D156" s="151"/>
      <c r="E156" s="30">
        <v>0</v>
      </c>
      <c r="F156" s="44"/>
      <c r="G156" s="44"/>
      <c r="H156" s="44"/>
      <c r="I156" s="9"/>
    </row>
    <row r="157" spans="1:9" ht="24.75" customHeight="1">
      <c r="A157" s="108"/>
      <c r="B157" s="109"/>
      <c r="C157" s="104" t="s">
        <v>97</v>
      </c>
      <c r="D157" s="105"/>
      <c r="E157" s="30">
        <v>0</v>
      </c>
      <c r="F157" s="44"/>
      <c r="G157" s="44"/>
      <c r="H157" s="44"/>
      <c r="I157" s="9"/>
    </row>
    <row r="158" spans="1:9" ht="24.75" customHeight="1">
      <c r="A158" s="108"/>
      <c r="B158" s="109"/>
      <c r="C158" s="104" t="s">
        <v>98</v>
      </c>
      <c r="D158" s="105"/>
      <c r="E158" s="30">
        <v>0</v>
      </c>
      <c r="F158" s="44"/>
      <c r="G158" s="44"/>
      <c r="H158" s="44"/>
      <c r="I158" s="9"/>
    </row>
    <row r="159" spans="1:9" ht="24.75" customHeight="1">
      <c r="A159" s="108"/>
      <c r="B159" s="109"/>
      <c r="C159" s="104" t="s">
        <v>99</v>
      </c>
      <c r="D159" s="105"/>
      <c r="E159" s="30">
        <v>0</v>
      </c>
      <c r="F159" s="44"/>
      <c r="G159" s="44"/>
      <c r="H159" s="44"/>
      <c r="I159" s="9"/>
    </row>
    <row r="160" spans="1:9" ht="24.75" customHeight="1">
      <c r="A160" s="108"/>
      <c r="B160" s="109"/>
      <c r="C160" s="104" t="s">
        <v>100</v>
      </c>
      <c r="D160" s="105"/>
      <c r="E160" s="30">
        <v>0</v>
      </c>
      <c r="F160" s="44"/>
      <c r="G160" s="44"/>
      <c r="H160" s="44"/>
      <c r="I160" s="9"/>
    </row>
    <row r="161" spans="1:9" ht="24.75" customHeight="1">
      <c r="A161" s="110"/>
      <c r="B161" s="111"/>
      <c r="C161" s="104" t="s">
        <v>101</v>
      </c>
      <c r="D161" s="105"/>
      <c r="E161" s="30">
        <v>0</v>
      </c>
      <c r="F161" s="44"/>
      <c r="G161" s="44"/>
      <c r="H161" s="44"/>
      <c r="I161" s="9"/>
    </row>
    <row r="162" spans="1:9" ht="24.75" customHeight="1">
      <c r="A162" s="96" t="s">
        <v>109</v>
      </c>
      <c r="B162" s="152"/>
      <c r="C162" s="153"/>
      <c r="D162" s="154"/>
      <c r="E162" s="30">
        <f>C96</f>
        <v>0</v>
      </c>
      <c r="F162" s="44"/>
      <c r="G162" s="44"/>
      <c r="H162" s="44"/>
      <c r="I162" s="9"/>
    </row>
    <row r="163" spans="1:9" ht="24.75" customHeight="1">
      <c r="A163" s="145"/>
      <c r="B163" s="146"/>
      <c r="C163" s="147" t="s">
        <v>110</v>
      </c>
      <c r="D163" s="147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99" t="str">
        <f>"Debts Or Credits For the Comming " &amp; IF(Main!B2,TEXT(EDATE(Main!B3,14),"mmmm dd yyyy"),TEXT(Main!B3+((Main!B5-Main!B3)*14+14),"mmmm dd yyyy")) &amp; " to " &amp; IF(Main!B2,TEXT(EDATE(Main!B3,15)-1,"mmmm dd yyyy"),TEXT(Main!B3+((Main!B5-Main!B3)*15+14),"mmmm dd yyyy"))</f>
        <v>Debts Or Credits For the Comming June 11 2026 to July 10 2026</v>
      </c>
      <c r="B168" s="100"/>
      <c r="C168" s="100"/>
      <c r="D168" s="100"/>
      <c r="E168" s="101"/>
      <c r="F168" s="44"/>
      <c r="G168" s="44"/>
      <c r="H168" s="44"/>
      <c r="I168" s="9"/>
    </row>
    <row r="169" spans="1:9" ht="24.75" customHeight="1">
      <c r="A169" s="99" t="s">
        <v>94</v>
      </c>
      <c r="B169" s="101"/>
      <c r="C169" s="102" t="s">
        <v>47</v>
      </c>
      <c r="D169" s="103"/>
      <c r="E169" s="39" t="s">
        <v>48</v>
      </c>
      <c r="F169" s="44"/>
      <c r="G169" s="44"/>
      <c r="H169" s="44"/>
      <c r="I169" s="9"/>
    </row>
    <row r="170" spans="1:9" ht="24.75" customHeight="1">
      <c r="A170" s="96" t="str">
        <f>"Balance Brought Forward From " &amp;  IF(Main!B2,TEXT(EDATE(Main!B3,14)-1,"mmmm yyyy"),TEXT(Main!B3+((Main!B5-Main!B3)*14+13),"mmmm yyyy"))</f>
        <v>Balance Brought Forward From June 2026</v>
      </c>
      <c r="B170" s="97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06" t="s">
        <v>95</v>
      </c>
      <c r="B171" s="107"/>
      <c r="C171" s="112" t="s">
        <v>96</v>
      </c>
      <c r="D171" s="113"/>
      <c r="E171" s="43"/>
      <c r="F171" s="44"/>
      <c r="G171" s="44"/>
      <c r="H171" s="44"/>
      <c r="I171" s="9"/>
    </row>
    <row r="172" spans="1:9" ht="24.75" customHeight="1">
      <c r="A172" s="108"/>
      <c r="B172" s="109"/>
      <c r="C172" s="104" t="s">
        <v>97</v>
      </c>
      <c r="D172" s="105"/>
      <c r="E172" s="28">
        <v>0</v>
      </c>
      <c r="F172" s="44"/>
      <c r="G172" s="44"/>
      <c r="H172" s="44"/>
      <c r="I172" s="9"/>
    </row>
    <row r="173" spans="1:9" ht="24.75" customHeight="1">
      <c r="A173" s="108"/>
      <c r="B173" s="109"/>
      <c r="C173" s="104" t="s">
        <v>98</v>
      </c>
      <c r="D173" s="105"/>
      <c r="E173" s="28">
        <v>0</v>
      </c>
      <c r="F173" s="44"/>
      <c r="G173" s="44"/>
      <c r="H173" s="44"/>
      <c r="I173" s="9"/>
    </row>
    <row r="174" spans="1:9" ht="24.75" customHeight="1">
      <c r="A174" s="108"/>
      <c r="B174" s="109"/>
      <c r="C174" s="104" t="s">
        <v>99</v>
      </c>
      <c r="D174" s="105"/>
      <c r="E174" s="28">
        <v>0</v>
      </c>
      <c r="F174" s="44"/>
      <c r="G174" s="44"/>
      <c r="H174" s="44"/>
      <c r="I174" s="9"/>
    </row>
    <row r="175" spans="1:9" ht="24.75" customHeight="1">
      <c r="A175" s="108"/>
      <c r="B175" s="109"/>
      <c r="C175" s="104" t="s">
        <v>100</v>
      </c>
      <c r="D175" s="105"/>
      <c r="E175" s="28">
        <v>0</v>
      </c>
      <c r="F175" s="44"/>
      <c r="G175" s="44"/>
      <c r="H175" s="44"/>
      <c r="I175" s="9"/>
    </row>
    <row r="176" spans="1:9" ht="24.75" customHeight="1">
      <c r="A176" s="108"/>
      <c r="B176" s="109"/>
      <c r="C176" s="104" t="s">
        <v>101</v>
      </c>
      <c r="D176" s="105"/>
      <c r="E176" s="28">
        <v>0</v>
      </c>
      <c r="F176" s="44"/>
      <c r="G176" s="44"/>
      <c r="H176" s="44"/>
      <c r="I176" s="9"/>
    </row>
    <row r="177" spans="1:9" ht="24.75" customHeight="1">
      <c r="A177" s="108"/>
      <c r="B177" s="109"/>
      <c r="C177" s="104" t="s">
        <v>102</v>
      </c>
      <c r="D177" s="105"/>
      <c r="E177" s="28">
        <v>0</v>
      </c>
      <c r="F177" s="44"/>
      <c r="G177" s="44"/>
      <c r="H177" s="44"/>
      <c r="I177" s="9"/>
    </row>
    <row r="178" spans="1:9" ht="24.75" customHeight="1">
      <c r="A178" s="108"/>
      <c r="B178" s="109"/>
      <c r="C178" s="104" t="s">
        <v>103</v>
      </c>
      <c r="D178" s="105"/>
      <c r="E178" s="28">
        <v>0</v>
      </c>
      <c r="F178" s="44"/>
      <c r="G178" s="44"/>
      <c r="H178" s="44"/>
      <c r="I178" s="9"/>
    </row>
    <row r="179" spans="1:9" ht="24.75" customHeight="1">
      <c r="A179" s="108"/>
      <c r="B179" s="109"/>
      <c r="C179" s="104" t="s">
        <v>104</v>
      </c>
      <c r="D179" s="105"/>
      <c r="E179" s="28">
        <v>0</v>
      </c>
      <c r="F179" s="44"/>
      <c r="G179" s="44"/>
      <c r="H179" s="44"/>
      <c r="I179" s="9"/>
    </row>
    <row r="180" spans="1:9" ht="24.75" customHeight="1">
      <c r="A180" s="108"/>
      <c r="B180" s="109"/>
      <c r="C180" s="104" t="s">
        <v>105</v>
      </c>
      <c r="D180" s="105"/>
      <c r="E180" s="28">
        <v>0</v>
      </c>
      <c r="F180" s="44"/>
      <c r="G180" s="44"/>
      <c r="H180" s="44"/>
      <c r="I180" s="9"/>
    </row>
    <row r="181" spans="1:9" ht="24.75" customHeight="1">
      <c r="A181" s="108"/>
      <c r="B181" s="109"/>
      <c r="C181" s="104" t="s">
        <v>106</v>
      </c>
      <c r="D181" s="105"/>
      <c r="E181" s="28">
        <v>0</v>
      </c>
      <c r="F181" s="44"/>
      <c r="G181" s="44"/>
      <c r="H181" s="44"/>
      <c r="I181" s="9"/>
    </row>
    <row r="182" spans="1:9" ht="24.75" customHeight="1">
      <c r="A182" s="108"/>
      <c r="B182" s="109"/>
      <c r="C182" s="148" t="s">
        <v>107</v>
      </c>
      <c r="D182" s="149"/>
      <c r="E182" s="42"/>
      <c r="F182" s="44"/>
      <c r="G182" s="44"/>
      <c r="H182" s="44"/>
      <c r="I182" s="9"/>
    </row>
    <row r="183" spans="1:9" ht="24.75" customHeight="1">
      <c r="A183" s="108"/>
      <c r="B183" s="109"/>
      <c r="C183" s="150" t="s">
        <v>111</v>
      </c>
      <c r="D183" s="151"/>
      <c r="E183" s="30">
        <v>0</v>
      </c>
      <c r="F183" s="44"/>
      <c r="G183" s="44"/>
      <c r="H183" s="44"/>
      <c r="I183" s="9"/>
    </row>
    <row r="184" spans="1:9" ht="24.75" customHeight="1">
      <c r="A184" s="108"/>
      <c r="B184" s="109"/>
      <c r="C184" s="104" t="s">
        <v>97</v>
      </c>
      <c r="D184" s="105"/>
      <c r="E184" s="30">
        <v>0</v>
      </c>
      <c r="F184" s="44"/>
      <c r="G184" s="44"/>
      <c r="H184" s="44"/>
      <c r="I184" s="9"/>
    </row>
    <row r="185" spans="1:9" ht="24.75" customHeight="1">
      <c r="A185" s="108"/>
      <c r="B185" s="109"/>
      <c r="C185" s="104" t="s">
        <v>98</v>
      </c>
      <c r="D185" s="105"/>
      <c r="E185" s="30">
        <v>0</v>
      </c>
      <c r="F185" s="44"/>
      <c r="G185" s="44"/>
      <c r="H185" s="44"/>
      <c r="I185" s="9"/>
    </row>
    <row r="186" spans="1:9" ht="24.75" customHeight="1">
      <c r="A186" s="108"/>
      <c r="B186" s="109"/>
      <c r="C186" s="104" t="s">
        <v>99</v>
      </c>
      <c r="D186" s="105"/>
      <c r="E186" s="30">
        <v>0</v>
      </c>
      <c r="F186" s="44"/>
      <c r="G186" s="44"/>
      <c r="H186" s="44"/>
      <c r="I186" s="9"/>
    </row>
    <row r="187" spans="1:9">
      <c r="A187" s="108"/>
      <c r="B187" s="109"/>
      <c r="C187" s="104" t="s">
        <v>100</v>
      </c>
      <c r="D187" s="105"/>
      <c r="E187" s="30">
        <v>0</v>
      </c>
      <c r="F187" s="44"/>
      <c r="G187" s="44"/>
      <c r="H187" s="44"/>
      <c r="I187" s="9"/>
    </row>
    <row r="188" spans="1:9" ht="24.75" customHeight="1">
      <c r="A188" s="110"/>
      <c r="B188" s="111"/>
      <c r="C188" s="104" t="s">
        <v>101</v>
      </c>
      <c r="D188" s="105"/>
      <c r="E188" s="30">
        <v>0</v>
      </c>
      <c r="F188" s="44"/>
      <c r="G188" s="44"/>
      <c r="H188" s="44"/>
      <c r="I188" s="9"/>
    </row>
    <row r="189" spans="1:9" ht="24.75" customHeight="1">
      <c r="A189" s="96" t="s">
        <v>109</v>
      </c>
      <c r="B189" s="152"/>
      <c r="C189" s="153"/>
      <c r="D189" s="154"/>
      <c r="E189" s="30">
        <f>C96</f>
        <v>0</v>
      </c>
      <c r="F189" s="44"/>
      <c r="G189" s="44"/>
      <c r="H189" s="44"/>
      <c r="I189" s="9"/>
    </row>
    <row r="190" spans="1:9" ht="24.75" customHeight="1">
      <c r="A190" s="145"/>
      <c r="B190" s="146"/>
      <c r="C190" s="147" t="s">
        <v>110</v>
      </c>
      <c r="D190" s="147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611" priority="51" operator="equal">
      <formula>0</formula>
    </cfRule>
  </conditionalFormatting>
  <conditionalFormatting sqref="C47:C55 C85 C95:C96 E144 E155:E162">
    <cfRule type="cellIs" dxfId="610" priority="50" operator="greaterThan">
      <formula>0</formula>
    </cfRule>
  </conditionalFormatting>
  <conditionalFormatting sqref="C57:C66">
    <cfRule type="cellIs" dxfId="609" priority="49" operator="equal">
      <formula>0</formula>
    </cfRule>
  </conditionalFormatting>
  <conditionalFormatting sqref="C57:C66">
    <cfRule type="cellIs" dxfId="608" priority="48" operator="greaterThan">
      <formula>0</formula>
    </cfRule>
  </conditionalFormatting>
  <conditionalFormatting sqref="C68:C69">
    <cfRule type="cellIs" dxfId="607" priority="47" operator="equal">
      <formula>0</formula>
    </cfRule>
  </conditionalFormatting>
  <conditionalFormatting sqref="C68:C69">
    <cfRule type="cellIs" dxfId="606" priority="46" operator="greaterThan">
      <formula>0</formula>
    </cfRule>
  </conditionalFormatting>
  <conditionalFormatting sqref="C75">
    <cfRule type="cellIs" dxfId="605" priority="45" operator="equal">
      <formula>0</formula>
    </cfRule>
  </conditionalFormatting>
  <conditionalFormatting sqref="C75">
    <cfRule type="cellIs" dxfId="604" priority="44" operator="greaterThan">
      <formula>0</formula>
    </cfRule>
  </conditionalFormatting>
  <conditionalFormatting sqref="C77">
    <cfRule type="cellIs" dxfId="603" priority="43" operator="equal">
      <formula>0</formula>
    </cfRule>
  </conditionalFormatting>
  <conditionalFormatting sqref="C77">
    <cfRule type="cellIs" dxfId="602" priority="42" operator="greaterThan">
      <formula>0</formula>
    </cfRule>
  </conditionalFormatting>
  <conditionalFormatting sqref="C87:C89">
    <cfRule type="cellIs" dxfId="601" priority="41" operator="equal">
      <formula>0</formula>
    </cfRule>
  </conditionalFormatting>
  <conditionalFormatting sqref="C87:C89">
    <cfRule type="cellIs" dxfId="600" priority="40" operator="greaterThan">
      <formula>0</formula>
    </cfRule>
  </conditionalFormatting>
  <conditionalFormatting sqref="E117 E128:E135">
    <cfRule type="cellIs" dxfId="599" priority="39" operator="equal">
      <formula>0</formula>
    </cfRule>
  </conditionalFormatting>
  <conditionalFormatting sqref="E117 E128:E135">
    <cfRule type="cellIs" dxfId="598" priority="38" operator="greaterThan">
      <formula>0</formula>
    </cfRule>
  </conditionalFormatting>
  <conditionalFormatting sqref="E136">
    <cfRule type="cellIs" dxfId="597" priority="37" operator="greaterThanOrEqual">
      <formula>0</formula>
    </cfRule>
  </conditionalFormatting>
  <conditionalFormatting sqref="E136">
    <cfRule type="cellIs" dxfId="596" priority="36" operator="lessThan">
      <formula>0</formula>
    </cfRule>
  </conditionalFormatting>
  <conditionalFormatting sqref="C70:C74">
    <cfRule type="cellIs" dxfId="595" priority="35" operator="equal">
      <formula>0</formula>
    </cfRule>
  </conditionalFormatting>
  <conditionalFormatting sqref="C70:C74">
    <cfRule type="cellIs" dxfId="594" priority="34" operator="greaterThan">
      <formula>0</formula>
    </cfRule>
  </conditionalFormatting>
  <conditionalFormatting sqref="C80:C84">
    <cfRule type="cellIs" dxfId="593" priority="33" operator="equal">
      <formula>0</formula>
    </cfRule>
  </conditionalFormatting>
  <conditionalFormatting sqref="C80:C84">
    <cfRule type="cellIs" dxfId="592" priority="32" operator="greaterThan">
      <formula>0</formula>
    </cfRule>
  </conditionalFormatting>
  <conditionalFormatting sqref="C92:C94">
    <cfRule type="cellIs" dxfId="591" priority="31" operator="equal">
      <formula>0</formula>
    </cfRule>
  </conditionalFormatting>
  <conditionalFormatting sqref="C92:C94">
    <cfRule type="cellIs" dxfId="590" priority="30" operator="greaterThan">
      <formula>0</formula>
    </cfRule>
  </conditionalFormatting>
  <conditionalFormatting sqref="C108:C109">
    <cfRule type="cellIs" dxfId="589" priority="29" operator="equal">
      <formula>0</formula>
    </cfRule>
  </conditionalFormatting>
  <conditionalFormatting sqref="C108:C109">
    <cfRule type="cellIs" dxfId="588" priority="28" operator="greaterThan">
      <formula>0</formula>
    </cfRule>
  </conditionalFormatting>
  <conditionalFormatting sqref="E144 E155:E162">
    <cfRule type="cellIs" dxfId="587" priority="27" operator="equal">
      <formula>0</formula>
    </cfRule>
  </conditionalFormatting>
  <conditionalFormatting sqref="E163">
    <cfRule type="cellIs" dxfId="586" priority="26" operator="greaterThanOrEqual">
      <formula>0</formula>
    </cfRule>
  </conditionalFormatting>
  <conditionalFormatting sqref="E163">
    <cfRule type="cellIs" dxfId="585" priority="25" operator="lessThan">
      <formula>0</formula>
    </cfRule>
  </conditionalFormatting>
  <conditionalFormatting sqref="E143">
    <cfRule type="cellIs" dxfId="584" priority="24" operator="greaterThanOrEqual">
      <formula>0</formula>
    </cfRule>
  </conditionalFormatting>
  <conditionalFormatting sqref="E143">
    <cfRule type="cellIs" dxfId="583" priority="23" operator="lessThan">
      <formula>0</formula>
    </cfRule>
  </conditionalFormatting>
  <conditionalFormatting sqref="E171 E182:E189">
    <cfRule type="cellIs" dxfId="582" priority="22" operator="equal">
      <formula>0</formula>
    </cfRule>
  </conditionalFormatting>
  <conditionalFormatting sqref="E171 E182:E189">
    <cfRule type="cellIs" dxfId="581" priority="21" operator="greaterThan">
      <formula>0</formula>
    </cfRule>
  </conditionalFormatting>
  <conditionalFormatting sqref="E190">
    <cfRule type="cellIs" dxfId="580" priority="20" operator="greaterThanOrEqual">
      <formula>0</formula>
    </cfRule>
  </conditionalFormatting>
  <conditionalFormatting sqref="E190">
    <cfRule type="cellIs" dxfId="579" priority="19" operator="lessThan">
      <formula>0</formula>
    </cfRule>
  </conditionalFormatting>
  <conditionalFormatting sqref="E170">
    <cfRule type="cellIs" dxfId="578" priority="18" operator="greaterThanOrEqual">
      <formula>0</formula>
    </cfRule>
  </conditionalFormatting>
  <conditionalFormatting sqref="E170">
    <cfRule type="cellIs" dxfId="577" priority="17" operator="lessThan">
      <formula>0</formula>
    </cfRule>
  </conditionalFormatting>
  <conditionalFormatting sqref="C5">
    <cfRule type="cellIs" dxfId="576" priority="16" operator="equal">
      <formula>0</formula>
    </cfRule>
  </conditionalFormatting>
  <conditionalFormatting sqref="C5">
    <cfRule type="cellIs" dxfId="575" priority="15" operator="greaterThan">
      <formula>0</formula>
    </cfRule>
  </conditionalFormatting>
  <conditionalFormatting sqref="C98:C107">
    <cfRule type="cellIs" dxfId="574" priority="14" operator="lessThan">
      <formula>0</formula>
    </cfRule>
  </conditionalFormatting>
  <conditionalFormatting sqref="C98:C107">
    <cfRule type="cellIs" dxfId="573" priority="13" operator="greaterThanOrEqual">
      <formula>0</formula>
    </cfRule>
  </conditionalFormatting>
  <conditionalFormatting sqref="E118:E127">
    <cfRule type="cellIs" dxfId="572" priority="12" operator="equal">
      <formula>0</formula>
    </cfRule>
  </conditionalFormatting>
  <conditionalFormatting sqref="E118:E127">
    <cfRule type="cellIs" dxfId="571" priority="11" operator="greaterThan">
      <formula>0</formula>
    </cfRule>
  </conditionalFormatting>
  <conditionalFormatting sqref="E145:E154">
    <cfRule type="cellIs" dxfId="570" priority="10" operator="equal">
      <formula>0</formula>
    </cfRule>
  </conditionalFormatting>
  <conditionalFormatting sqref="E145:E154">
    <cfRule type="cellIs" dxfId="569" priority="9" operator="greaterThan">
      <formula>0</formula>
    </cfRule>
  </conditionalFormatting>
  <conditionalFormatting sqref="E172:E181">
    <cfRule type="cellIs" dxfId="568" priority="8" operator="equal">
      <formula>0</formula>
    </cfRule>
  </conditionalFormatting>
  <conditionalFormatting sqref="E172:E181">
    <cfRule type="cellIs" dxfId="567" priority="7" operator="greaterThan">
      <formula>0</formula>
    </cfRule>
  </conditionalFormatting>
  <conditionalFormatting sqref="E116">
    <cfRule type="cellIs" dxfId="566" priority="6" operator="greaterThanOrEqual">
      <formula>0</formula>
    </cfRule>
  </conditionalFormatting>
  <conditionalFormatting sqref="E116">
    <cfRule type="cellIs" dxfId="565" priority="5" operator="lessThan">
      <formula>0</formula>
    </cfRule>
  </conditionalFormatting>
  <conditionalFormatting sqref="C78:C79">
    <cfRule type="cellIs" dxfId="564" priority="4" operator="equal">
      <formula>0</formula>
    </cfRule>
  </conditionalFormatting>
  <conditionalFormatting sqref="C78:C79">
    <cfRule type="cellIs" dxfId="563" priority="3" operator="greaterThan">
      <formula>0</formula>
    </cfRule>
  </conditionalFormatting>
  <conditionalFormatting sqref="C90:C91">
    <cfRule type="cellIs" dxfId="562" priority="2" operator="equal">
      <formula>0</formula>
    </cfRule>
  </conditionalFormatting>
  <conditionalFormatting sqref="C90:C91">
    <cfRule type="cellIs" dxfId="561" priority="1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96C1-98C3-4F01-A415-90003CF2A311}">
  <dimension ref="A1:I193"/>
  <sheetViews>
    <sheetView topLeftCell="A9" workbookViewId="0">
      <selection activeCell="A22" sqref="A22:G28"/>
    </sheetView>
  </sheetViews>
  <sheetFormatPr defaultRowHeight="15"/>
  <cols>
    <col min="1" max="1" width="20.625" customWidth="1"/>
    <col min="2" max="2" width="23.5" customWidth="1"/>
    <col min="3" max="8" width="20.625" customWidth="1"/>
  </cols>
  <sheetData>
    <row r="1" spans="1:9" ht="24.75" customHeight="1">
      <c r="A1" s="177" t="str">
        <f>"Forecasts For the Year " &amp; IF(Main!B2,TEXT(EDATE(Main!B3,15),"mmmm yyyy"),TEXT(Main!B3+((Main!B5-Main!B3)*15+15),"mmmm yyyy")) &amp; " to " &amp; IF(Main!B2,TEXT(EDATE(Main!B3,18)-1,"mmmm yyyy"),TEXT(Main!B3+((Main!B5-Main!B3)*18+17),"mmmm yyyy"))</f>
        <v>Forecasts For the Year July 2026 to October 2026</v>
      </c>
      <c r="B1" s="177"/>
      <c r="C1" s="177"/>
      <c r="D1" s="177"/>
      <c r="E1" s="177"/>
      <c r="F1" s="177"/>
      <c r="G1" s="177"/>
      <c r="H1" s="47"/>
      <c r="I1" s="47"/>
    </row>
    <row r="2" spans="1:9" ht="24.75" customHeight="1">
      <c r="A2" s="159" t="s">
        <v>31</v>
      </c>
      <c r="B2" s="48" t="s">
        <v>112</v>
      </c>
      <c r="C2" s="161" cm="1">
        <f t="array" aca="1" ref="C2" ca="1">INDIRECT("'" &amp; Main!B9 &amp; "'!$C$15")</f>
        <v>0</v>
      </c>
      <c r="D2" s="161"/>
      <c r="E2" s="161"/>
      <c r="F2" s="161"/>
      <c r="G2" s="161"/>
      <c r="H2" s="47"/>
      <c r="I2" s="47"/>
    </row>
    <row r="3" spans="1:9" ht="24.75" customHeight="1">
      <c r="A3" s="160"/>
      <c r="B3" s="41" t="s">
        <v>113</v>
      </c>
      <c r="C3" s="162">
        <f>E190</f>
        <v>0</v>
      </c>
      <c r="D3" s="162"/>
      <c r="E3" s="162"/>
      <c r="F3" s="162"/>
      <c r="G3" s="162"/>
      <c r="H3" s="47"/>
      <c r="I3" s="47"/>
    </row>
    <row r="4" spans="1:9" ht="24.75" customHeight="1">
      <c r="A4" s="174" t="s">
        <v>45</v>
      </c>
      <c r="B4" s="175"/>
      <c r="C4" s="163">
        <f ca="1">SUM(C2:G3)</f>
        <v>0</v>
      </c>
      <c r="D4" s="163"/>
      <c r="E4" s="163"/>
      <c r="F4" s="163"/>
      <c r="G4" s="163"/>
      <c r="H4" s="44"/>
      <c r="I4" s="9"/>
    </row>
    <row r="5" spans="1:9" ht="24.75" customHeight="1">
      <c r="A5" s="176" t="s">
        <v>114</v>
      </c>
      <c r="B5" s="176"/>
      <c r="C5" s="164">
        <f>C108</f>
        <v>0</v>
      </c>
      <c r="D5" s="165"/>
      <c r="E5" s="165"/>
      <c r="F5" s="165"/>
      <c r="G5" s="165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32" t="str">
        <f>IF(Main!B2,TEXT(EDATE(Main!B3,15),"dd mmmm yyyy"),TEXT(Main!B3+((Main!B5-Main!B3)*15+15),"dd mmmm yyyy")) &amp; " - " &amp; IF(Main!B2,TEXT(EDATE(Main!B3,16)-1,"dd mmmm yyyy"),TEXT(Main!B3+((Main!B5-Main!B3)*16+15),"dd mmmm yyyy")) &amp; " / " &amp; " (Revenue / Deferred Debts Or Expenses)"</f>
        <v>11 July 2026 - 10 August 2026 /  (Revenue / Deferred Debts Or Expenses)</v>
      </c>
      <c r="B8" s="133"/>
      <c r="C8" s="133"/>
      <c r="D8" s="133"/>
      <c r="E8" s="133"/>
      <c r="F8" s="133"/>
      <c r="G8" s="133"/>
      <c r="H8" s="44"/>
      <c r="I8" s="37"/>
    </row>
    <row r="9" spans="1:9" ht="24.75" customHeight="1">
      <c r="A9" s="81" t="s">
        <v>27</v>
      </c>
      <c r="B9" s="120" t="s">
        <v>46</v>
      </c>
      <c r="C9" s="120"/>
      <c r="D9" s="121" t="s">
        <v>47</v>
      </c>
      <c r="E9" s="121"/>
      <c r="F9" s="121" t="s">
        <v>48</v>
      </c>
      <c r="G9" s="121"/>
      <c r="H9" s="44"/>
      <c r="I9" s="9"/>
    </row>
    <row r="10" spans="1:9" ht="24.75" customHeight="1">
      <c r="A10" s="2" t="s">
        <v>115</v>
      </c>
      <c r="B10" s="122" t="s">
        <v>50</v>
      </c>
      <c r="C10" s="122"/>
      <c r="D10" s="122" t="s">
        <v>51</v>
      </c>
      <c r="E10" s="122"/>
      <c r="F10" s="123">
        <v>0</v>
      </c>
      <c r="G10" s="124"/>
      <c r="H10" s="44"/>
      <c r="I10" s="9"/>
    </row>
    <row r="11" spans="1:9" ht="24.75" customHeight="1">
      <c r="A11" s="2"/>
      <c r="B11" s="125" t="s">
        <v>40</v>
      </c>
      <c r="C11" s="126"/>
      <c r="D11" s="127"/>
      <c r="E11" s="128"/>
      <c r="F11" s="123">
        <v>0</v>
      </c>
      <c r="G11" s="124"/>
      <c r="H11" s="44"/>
      <c r="I11" s="9"/>
    </row>
    <row r="12" spans="1:9" ht="24.75" customHeight="1">
      <c r="A12" s="2"/>
      <c r="B12" s="125" t="s">
        <v>41</v>
      </c>
      <c r="C12" s="126"/>
      <c r="D12" s="127"/>
      <c r="E12" s="128"/>
      <c r="F12" s="123">
        <v>0</v>
      </c>
      <c r="G12" s="124"/>
      <c r="H12" s="44"/>
      <c r="I12" s="9"/>
    </row>
    <row r="13" spans="1:9" ht="24.75" customHeight="1">
      <c r="A13" s="2"/>
      <c r="B13" s="125" t="s">
        <v>42</v>
      </c>
      <c r="C13" s="126"/>
      <c r="D13" s="127"/>
      <c r="E13" s="128"/>
      <c r="F13" s="123">
        <v>0</v>
      </c>
      <c r="G13" s="124"/>
      <c r="H13" s="44"/>
      <c r="I13" s="9"/>
    </row>
    <row r="14" spans="1:9" ht="24.75" customHeight="1">
      <c r="A14" s="2"/>
      <c r="B14" s="125" t="s">
        <v>43</v>
      </c>
      <c r="C14" s="126"/>
      <c r="D14" s="127"/>
      <c r="E14" s="128"/>
      <c r="F14" s="123">
        <v>0</v>
      </c>
      <c r="G14" s="124"/>
      <c r="H14" s="44"/>
      <c r="I14" s="9"/>
    </row>
    <row r="15" spans="1:9" ht="24.75" customHeight="1">
      <c r="A15" s="2"/>
      <c r="B15" s="125" t="s">
        <v>44</v>
      </c>
      <c r="C15" s="126"/>
      <c r="D15" s="127"/>
      <c r="E15" s="128"/>
      <c r="F15" s="123">
        <v>0</v>
      </c>
      <c r="G15" s="124"/>
      <c r="H15" s="44"/>
      <c r="I15" s="9"/>
    </row>
    <row r="16" spans="1:9" ht="24.75" customHeight="1">
      <c r="A16" s="45"/>
      <c r="B16" s="166"/>
      <c r="C16" s="167"/>
      <c r="D16" s="116" t="s">
        <v>52</v>
      </c>
      <c r="E16" s="117"/>
      <c r="F16" s="118">
        <f>SUM(F10:G15)</f>
        <v>0</v>
      </c>
      <c r="G16" s="119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32" t="str">
        <f>IF(Main!B2,TEXT(EDATE(Main!B3,16),"dd mmmm yyyy"),TEXT(Main!B3+((Main!B5-Main!B3)*16+16),"dd mmmm yyyy")) &amp; " - " &amp; IF(Main!B2,TEXT(EDATE(Main!B3,17)-1,"dd mmmm yyyy"),TEXT(Main!B3+((Main!B5-Main!B3)*17+16),"dd mmmm yyyy")) &amp; " / " &amp; " (Revenue / Deferred Debts Or Expenses)"</f>
        <v>11 August 2026 - 10 September 2026 /  (Revenue / Deferred Debts Or Expenses)</v>
      </c>
      <c r="B20" s="133"/>
      <c r="C20" s="133"/>
      <c r="D20" s="133"/>
      <c r="E20" s="133"/>
      <c r="F20" s="133"/>
      <c r="G20" s="133"/>
      <c r="H20" s="44"/>
      <c r="I20" s="9"/>
    </row>
    <row r="21" spans="1:9" ht="24.75" customHeight="1">
      <c r="A21" s="81" t="s">
        <v>27</v>
      </c>
      <c r="B21" s="120" t="s">
        <v>46</v>
      </c>
      <c r="C21" s="120"/>
      <c r="D21" s="121" t="s">
        <v>47</v>
      </c>
      <c r="E21" s="121"/>
      <c r="F21" s="121" t="s">
        <v>48</v>
      </c>
      <c r="G21" s="121"/>
      <c r="H21" s="44"/>
      <c r="I21" s="9"/>
    </row>
    <row r="22" spans="1:9" ht="24.75" customHeight="1">
      <c r="A22" s="2" t="s">
        <v>116</v>
      </c>
      <c r="B22" s="122" t="s">
        <v>54</v>
      </c>
      <c r="C22" s="122"/>
      <c r="D22" s="122" t="s">
        <v>55</v>
      </c>
      <c r="E22" s="122"/>
      <c r="F22" s="123">
        <v>0</v>
      </c>
      <c r="G22" s="124"/>
      <c r="H22" s="44"/>
      <c r="I22" s="9"/>
    </row>
    <row r="23" spans="1:9" ht="24.75" customHeight="1">
      <c r="A23" s="2"/>
      <c r="B23" s="125" t="s">
        <v>40</v>
      </c>
      <c r="C23" s="126"/>
      <c r="D23" s="127"/>
      <c r="E23" s="128"/>
      <c r="F23" s="123">
        <v>0</v>
      </c>
      <c r="G23" s="124"/>
      <c r="H23" s="44"/>
      <c r="I23" s="9"/>
    </row>
    <row r="24" spans="1:9" ht="24.75" customHeight="1">
      <c r="A24" s="2"/>
      <c r="B24" s="125" t="s">
        <v>41</v>
      </c>
      <c r="C24" s="126"/>
      <c r="D24" s="127"/>
      <c r="E24" s="128"/>
      <c r="F24" s="123">
        <v>0</v>
      </c>
      <c r="G24" s="124"/>
      <c r="H24" s="44"/>
      <c r="I24" s="9"/>
    </row>
    <row r="25" spans="1:9" ht="24.75" customHeight="1">
      <c r="A25" s="2"/>
      <c r="B25" s="125" t="s">
        <v>42</v>
      </c>
      <c r="C25" s="126"/>
      <c r="D25" s="127"/>
      <c r="E25" s="128"/>
      <c r="F25" s="123">
        <v>0</v>
      </c>
      <c r="G25" s="124"/>
      <c r="H25" s="44"/>
      <c r="I25" s="9"/>
    </row>
    <row r="26" spans="1:9" ht="24.75" customHeight="1">
      <c r="A26" s="2"/>
      <c r="B26" s="125" t="s">
        <v>43</v>
      </c>
      <c r="C26" s="126"/>
      <c r="D26" s="127"/>
      <c r="E26" s="128"/>
      <c r="F26" s="123">
        <v>0</v>
      </c>
      <c r="G26" s="124"/>
      <c r="H26" s="44"/>
      <c r="I26" s="9"/>
    </row>
    <row r="27" spans="1:9" ht="24.75" customHeight="1">
      <c r="A27" s="2"/>
      <c r="B27" s="125" t="s">
        <v>44</v>
      </c>
      <c r="C27" s="126"/>
      <c r="D27" s="127"/>
      <c r="E27" s="128"/>
      <c r="F27" s="123">
        <v>0</v>
      </c>
      <c r="G27" s="124"/>
      <c r="H27" s="44"/>
      <c r="I27" s="9"/>
    </row>
    <row r="28" spans="1:9" ht="24.75" customHeight="1">
      <c r="A28" s="45"/>
      <c r="B28" s="166"/>
      <c r="C28" s="167"/>
      <c r="D28" s="116" t="s">
        <v>52</v>
      </c>
      <c r="E28" s="117"/>
      <c r="F28" s="118">
        <f>SUM(F22:G27)</f>
        <v>0</v>
      </c>
      <c r="G28" s="119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32" t="str">
        <f>IF(Main!B2,TEXT(EDATE(Main!B3,17),"dd mmmm yyyy"),TEXT(Main!B3+((Main!B5-Main!B3)*17+17),"dd mmmm yyyy")) &amp; " - " &amp; IF(Main!B2,TEXT(EDATE(Main!B3,18)-1,"dd mmmm yyyy"),TEXT(Main!B3+((Main!B5-Main!B3)*18+17),"dd mmmm yyyy")) &amp; " / " &amp; " (Revenue / Deferred Debts Or Expenses)"</f>
        <v>11 September 2026 - 10 October 2026 /  (Revenue / Deferred Debts Or Expenses)</v>
      </c>
      <c r="B32" s="133"/>
      <c r="C32" s="133"/>
      <c r="D32" s="133"/>
      <c r="E32" s="133"/>
      <c r="F32" s="133"/>
      <c r="G32" s="133"/>
      <c r="H32" s="44"/>
      <c r="I32" s="9"/>
    </row>
    <row r="33" spans="1:9" ht="24.75" customHeight="1">
      <c r="A33" s="81" t="s">
        <v>27</v>
      </c>
      <c r="B33" s="120" t="s">
        <v>46</v>
      </c>
      <c r="C33" s="120"/>
      <c r="D33" s="121" t="s">
        <v>47</v>
      </c>
      <c r="E33" s="121"/>
      <c r="F33" s="121" t="s">
        <v>48</v>
      </c>
      <c r="G33" s="121"/>
      <c r="H33" s="44"/>
      <c r="I33" s="9"/>
    </row>
    <row r="34" spans="1:9" ht="24.75" customHeight="1">
      <c r="A34" s="2" t="s">
        <v>117</v>
      </c>
      <c r="B34" s="122" t="s">
        <v>54</v>
      </c>
      <c r="C34" s="122"/>
      <c r="D34" s="122" t="s">
        <v>55</v>
      </c>
      <c r="E34" s="122"/>
      <c r="F34" s="123">
        <v>0</v>
      </c>
      <c r="G34" s="124"/>
      <c r="H34" s="44"/>
      <c r="I34" s="9"/>
    </row>
    <row r="35" spans="1:9" ht="24.75" customHeight="1">
      <c r="A35" s="2"/>
      <c r="B35" s="125" t="s">
        <v>40</v>
      </c>
      <c r="C35" s="126"/>
      <c r="D35" s="127"/>
      <c r="E35" s="128"/>
      <c r="F35" s="123">
        <v>0</v>
      </c>
      <c r="G35" s="124"/>
      <c r="H35" s="44"/>
      <c r="I35" s="9"/>
    </row>
    <row r="36" spans="1:9" ht="24.75" customHeight="1">
      <c r="A36" s="2"/>
      <c r="B36" s="125" t="s">
        <v>41</v>
      </c>
      <c r="C36" s="126"/>
      <c r="D36" s="127"/>
      <c r="E36" s="128"/>
      <c r="F36" s="123">
        <v>0</v>
      </c>
      <c r="G36" s="124"/>
      <c r="H36" s="44"/>
      <c r="I36" s="37"/>
    </row>
    <row r="37" spans="1:9" ht="24.75" customHeight="1">
      <c r="A37" s="2"/>
      <c r="B37" s="125" t="s">
        <v>42</v>
      </c>
      <c r="C37" s="126"/>
      <c r="D37" s="127"/>
      <c r="E37" s="128"/>
      <c r="F37" s="123">
        <v>0</v>
      </c>
      <c r="G37" s="124"/>
      <c r="H37" s="44"/>
      <c r="I37" s="9"/>
    </row>
    <row r="38" spans="1:9" ht="24.75" customHeight="1">
      <c r="A38" s="2"/>
      <c r="B38" s="125" t="s">
        <v>43</v>
      </c>
      <c r="C38" s="126"/>
      <c r="D38" s="127"/>
      <c r="E38" s="128"/>
      <c r="F38" s="123">
        <v>0</v>
      </c>
      <c r="G38" s="124"/>
      <c r="H38" s="44"/>
      <c r="I38" s="9"/>
    </row>
    <row r="39" spans="1:9" ht="24.75" customHeight="1">
      <c r="A39" s="2"/>
      <c r="B39" s="125" t="s">
        <v>44</v>
      </c>
      <c r="C39" s="126"/>
      <c r="D39" s="127"/>
      <c r="E39" s="128"/>
      <c r="F39" s="123">
        <v>0</v>
      </c>
      <c r="G39" s="124"/>
      <c r="H39" s="44"/>
      <c r="I39" s="9"/>
    </row>
    <row r="40" spans="1:9" ht="24.75" customHeight="1">
      <c r="A40" s="45"/>
      <c r="B40" s="166"/>
      <c r="C40" s="167"/>
      <c r="D40" s="116" t="s">
        <v>52</v>
      </c>
      <c r="E40" s="117"/>
      <c r="F40" s="118">
        <f>SUM(F34:G39)</f>
        <v>0</v>
      </c>
      <c r="G40" s="119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IF(Main!B2,TEXT(EDATE(Main!B3,15),"mmmm yyyy"),TEXT(Main!B3+((Main!B5-Main!B3)*15+15),"mmmm yyyy")) &amp; " to " &amp; IF(Main!B2,TEXT(EDATE(Main!B3,18)-1,"mmmm yyyy"),TEXT(Main!B3+((Main!B5-Main!B3)*18+17),"mmmm yyyy"))</f>
        <v>Fixed Expense For the Year July 2026 to October 2026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2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71" t="s">
        <v>57</v>
      </c>
      <c r="B46" s="172"/>
      <c r="C46" s="173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71" t="s">
        <v>62</v>
      </c>
      <c r="B56" s="172"/>
      <c r="C56" s="173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71" t="s">
        <v>67</v>
      </c>
      <c r="B67" s="172"/>
      <c r="C67" s="173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71" t="s">
        <v>72</v>
      </c>
      <c r="B76" s="172"/>
      <c r="C76" s="173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71" t="s">
        <v>77</v>
      </c>
      <c r="B86" s="172"/>
      <c r="C86" s="173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71" t="s">
        <v>86</v>
      </c>
      <c r="B97" s="172"/>
      <c r="C97" s="173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(Forecast_5!C98)+SUM(E118+E145+E172)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(Forecast_5!C99)+SUM(E119+E146+E173)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(Forecast_5!C100)+SUM(E120+E147+E174)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(Forecast_5!C101)+SUM(E121+E148+E175)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(Forecast_5!C102)+SUM(E122+E149+E176)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(Forecast_5!C103)+SUM(E123+E150+E177)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(Forecast_5!C104)+SUM(E124+E151+E178)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(Forecast_5!C105)+SUM(E125+E152+E179)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(Forecast_5!C106)+SUM(E126+E153+E180)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(Forecast_5!C107)+SUM(E127+E154+E181)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99" t="str">
        <f>"Debts Or Credits For the Comming " &amp; IF(Main!B2,TEXT(EDATE(Main!B3,15),"mmmm dd yyyy"),TEXT(Main!B3+((Main!B5-Main!B3)*15+15),"mmmm dd yyyy")) &amp; " to " &amp; IF(Main!B2,TEXT(EDATE(Main!B3,16)-1,"mmmm dd yyyy"),TEXT(Main!B3+((Main!B5-Main!B3)*16+15),"mmmm dd yyyy"))</f>
        <v>Debts Or Credits For the Comming July 11 2026 to August 10 2026</v>
      </c>
      <c r="B114" s="100"/>
      <c r="C114" s="100"/>
      <c r="D114" s="100"/>
      <c r="E114" s="101"/>
      <c r="F114" s="44"/>
      <c r="G114" s="44"/>
      <c r="H114" s="44"/>
      <c r="I114" s="9"/>
    </row>
    <row r="115" spans="1:9" ht="24.75" customHeight="1">
      <c r="A115" s="99" t="s">
        <v>94</v>
      </c>
      <c r="B115" s="101"/>
      <c r="C115" s="99" t="s">
        <v>47</v>
      </c>
      <c r="D115" s="101"/>
      <c r="E115" s="29" t="s">
        <v>48</v>
      </c>
      <c r="F115" s="44"/>
      <c r="G115" s="44"/>
      <c r="H115" s="44"/>
      <c r="I115" s="9"/>
    </row>
    <row r="116" spans="1:9" ht="24.75" customHeight="1">
      <c r="A116" s="96" t="str">
        <f>"Balance Brought Forward From " &amp; IF(Main!B2,TEXT(EDATE(Main!B3,15)-1,"mmmm yyyy"),TEXT(Main!B3+((Main!B5-Main!B3)*15+14),"mmmm yyyy"))</f>
        <v>Balance Brought Forward From July 2026</v>
      </c>
      <c r="B116" s="97"/>
      <c r="C116" s="158"/>
      <c r="D116" s="158"/>
      <c r="E116" s="51">
        <f>Forecast_5!E190</f>
        <v>0</v>
      </c>
      <c r="F116" s="44"/>
      <c r="G116" s="44"/>
      <c r="H116" s="44"/>
      <c r="I116" s="9"/>
    </row>
    <row r="117" spans="1:9" ht="24.75" customHeight="1">
      <c r="A117" s="106" t="s">
        <v>95</v>
      </c>
      <c r="B117" s="107"/>
      <c r="C117" s="157" t="s">
        <v>96</v>
      </c>
      <c r="D117" s="149"/>
      <c r="E117" s="42"/>
      <c r="F117" s="44"/>
      <c r="G117" s="44"/>
      <c r="H117" s="44"/>
      <c r="I117" s="9"/>
    </row>
    <row r="118" spans="1:9" ht="24.75" customHeight="1">
      <c r="A118" s="108"/>
      <c r="B118" s="109"/>
      <c r="C118" s="104" t="s">
        <v>97</v>
      </c>
      <c r="D118" s="105"/>
      <c r="E118" s="28">
        <v>0</v>
      </c>
      <c r="F118" s="44"/>
      <c r="G118" s="44"/>
      <c r="H118" s="44"/>
      <c r="I118" s="9"/>
    </row>
    <row r="119" spans="1:9" ht="24.75" customHeight="1">
      <c r="A119" s="108"/>
      <c r="B119" s="109"/>
      <c r="C119" s="104" t="s">
        <v>98</v>
      </c>
      <c r="D119" s="105"/>
      <c r="E119" s="28">
        <v>0</v>
      </c>
      <c r="F119" s="44"/>
      <c r="G119" s="44"/>
      <c r="H119" s="44"/>
      <c r="I119" s="9"/>
    </row>
    <row r="120" spans="1:9" ht="24.75" customHeight="1">
      <c r="A120" s="108"/>
      <c r="B120" s="109"/>
      <c r="C120" s="104" t="s">
        <v>99</v>
      </c>
      <c r="D120" s="105"/>
      <c r="E120" s="28">
        <v>0</v>
      </c>
      <c r="F120" s="44"/>
      <c r="G120" s="44"/>
      <c r="H120" s="44"/>
      <c r="I120" s="9"/>
    </row>
    <row r="121" spans="1:9" ht="24.75" customHeight="1">
      <c r="A121" s="108"/>
      <c r="B121" s="109"/>
      <c r="C121" s="104" t="s">
        <v>100</v>
      </c>
      <c r="D121" s="105"/>
      <c r="E121" s="28">
        <v>0</v>
      </c>
      <c r="F121" s="44"/>
      <c r="G121" s="44"/>
      <c r="H121" s="44"/>
      <c r="I121" s="9"/>
    </row>
    <row r="122" spans="1:9" ht="24.75" customHeight="1">
      <c r="A122" s="108"/>
      <c r="B122" s="109"/>
      <c r="C122" s="104" t="s">
        <v>101</v>
      </c>
      <c r="D122" s="105"/>
      <c r="E122" s="28">
        <v>0</v>
      </c>
      <c r="F122" s="44"/>
      <c r="G122" s="44"/>
      <c r="H122" s="44"/>
      <c r="I122" s="9"/>
    </row>
    <row r="123" spans="1:9" ht="24.75" customHeight="1">
      <c r="A123" s="108"/>
      <c r="B123" s="109"/>
      <c r="C123" s="104" t="s">
        <v>102</v>
      </c>
      <c r="D123" s="105"/>
      <c r="E123" s="28">
        <v>0</v>
      </c>
      <c r="F123" s="44"/>
      <c r="G123" s="44"/>
      <c r="H123" s="44"/>
      <c r="I123" s="9"/>
    </row>
    <row r="124" spans="1:9" ht="24.75" customHeight="1">
      <c r="A124" s="108"/>
      <c r="B124" s="109"/>
      <c r="C124" s="104" t="s">
        <v>103</v>
      </c>
      <c r="D124" s="105"/>
      <c r="E124" s="28">
        <v>0</v>
      </c>
      <c r="F124" s="44"/>
      <c r="G124" s="44"/>
      <c r="H124" s="44"/>
      <c r="I124" s="9"/>
    </row>
    <row r="125" spans="1:9" ht="24.75" customHeight="1">
      <c r="A125" s="108"/>
      <c r="B125" s="109"/>
      <c r="C125" s="104" t="s">
        <v>104</v>
      </c>
      <c r="D125" s="105"/>
      <c r="E125" s="28">
        <v>0</v>
      </c>
      <c r="F125" s="44"/>
      <c r="G125" s="44"/>
      <c r="H125" s="44"/>
      <c r="I125" s="9"/>
    </row>
    <row r="126" spans="1:9" ht="24.75" customHeight="1">
      <c r="A126" s="108"/>
      <c r="B126" s="109"/>
      <c r="C126" s="104" t="s">
        <v>105</v>
      </c>
      <c r="D126" s="105"/>
      <c r="E126" s="28">
        <v>0</v>
      </c>
      <c r="F126" s="44"/>
      <c r="G126" s="44"/>
      <c r="H126" s="44"/>
      <c r="I126" s="9"/>
    </row>
    <row r="127" spans="1:9" ht="24.75" customHeight="1">
      <c r="A127" s="108"/>
      <c r="B127" s="109"/>
      <c r="C127" s="104" t="s">
        <v>106</v>
      </c>
      <c r="D127" s="105"/>
      <c r="E127" s="28">
        <v>0</v>
      </c>
      <c r="F127" s="44"/>
      <c r="G127" s="44"/>
      <c r="H127" s="44"/>
      <c r="I127" s="9"/>
    </row>
    <row r="128" spans="1:9" ht="24.75" customHeight="1">
      <c r="A128" s="108"/>
      <c r="B128" s="109"/>
      <c r="C128" s="148" t="s">
        <v>107</v>
      </c>
      <c r="D128" s="149"/>
      <c r="E128" s="42"/>
      <c r="F128" s="44"/>
      <c r="G128" s="44"/>
      <c r="H128" s="44"/>
      <c r="I128" s="9"/>
    </row>
    <row r="129" spans="1:9" ht="24.75" customHeight="1">
      <c r="A129" s="108"/>
      <c r="B129" s="109"/>
      <c r="C129" s="150" t="s">
        <v>108</v>
      </c>
      <c r="D129" s="151"/>
      <c r="E129" s="30">
        <v>0</v>
      </c>
      <c r="F129" s="44"/>
      <c r="G129" s="44"/>
      <c r="H129" s="44"/>
      <c r="I129" s="9"/>
    </row>
    <row r="130" spans="1:9" ht="24.75" customHeight="1">
      <c r="A130" s="108"/>
      <c r="B130" s="109"/>
      <c r="C130" s="104" t="s">
        <v>97</v>
      </c>
      <c r="D130" s="105"/>
      <c r="E130" s="30">
        <v>0</v>
      </c>
      <c r="F130" s="44"/>
      <c r="G130" s="44"/>
      <c r="H130" s="44"/>
      <c r="I130" s="9"/>
    </row>
    <row r="131" spans="1:9" ht="24.75" customHeight="1">
      <c r="A131" s="108"/>
      <c r="B131" s="109"/>
      <c r="C131" s="104" t="s">
        <v>98</v>
      </c>
      <c r="D131" s="105"/>
      <c r="E131" s="30">
        <v>0</v>
      </c>
      <c r="F131" s="44"/>
      <c r="G131" s="44"/>
      <c r="H131" s="44"/>
      <c r="I131" s="9"/>
    </row>
    <row r="132" spans="1:9" ht="24.75" customHeight="1">
      <c r="A132" s="108"/>
      <c r="B132" s="109"/>
      <c r="C132" s="104" t="s">
        <v>99</v>
      </c>
      <c r="D132" s="105"/>
      <c r="E132" s="30">
        <v>0</v>
      </c>
      <c r="F132" s="44"/>
      <c r="G132" s="44"/>
      <c r="H132" s="44"/>
      <c r="I132" s="9"/>
    </row>
    <row r="133" spans="1:9" ht="24.75" customHeight="1">
      <c r="A133" s="108"/>
      <c r="B133" s="109"/>
      <c r="C133" s="104" t="s">
        <v>100</v>
      </c>
      <c r="D133" s="105"/>
      <c r="E133" s="30">
        <v>0</v>
      </c>
      <c r="F133" s="44"/>
      <c r="G133" s="44"/>
      <c r="H133" s="44"/>
      <c r="I133" s="9"/>
    </row>
    <row r="134" spans="1:9" ht="24.75" customHeight="1">
      <c r="A134" s="110"/>
      <c r="B134" s="111"/>
      <c r="C134" s="104" t="s">
        <v>101</v>
      </c>
      <c r="D134" s="105"/>
      <c r="E134" s="30">
        <v>0</v>
      </c>
      <c r="F134" s="44"/>
      <c r="G134" s="44"/>
      <c r="H134" s="44"/>
      <c r="I134" s="9"/>
    </row>
    <row r="135" spans="1:9" ht="24.75" customHeight="1">
      <c r="A135" s="96" t="s">
        <v>109</v>
      </c>
      <c r="B135" s="152"/>
      <c r="C135" s="153"/>
      <c r="D135" s="154"/>
      <c r="E135" s="30">
        <f>C96</f>
        <v>0</v>
      </c>
      <c r="F135" s="44"/>
      <c r="G135" s="44"/>
      <c r="H135" s="44"/>
      <c r="I135" s="9"/>
    </row>
    <row r="136" spans="1:9" ht="24.75" customHeight="1">
      <c r="A136" s="145"/>
      <c r="B136" s="146"/>
      <c r="C136" s="147" t="s">
        <v>110</v>
      </c>
      <c r="D136" s="147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99" t="str">
        <f>"Debts Or Credits For the Comming " &amp; IF(Main!B2,TEXT(EDATE(Main!B3,16),"mmmm dd yyyy"),TEXT(Main!B3+((Main!B5-Main!B3)*16+16),"dd mmmm yyyy")) &amp; " to " &amp;  IF(Main!B2,TEXT(EDATE(Main!B3,17)-1,"mmmm dd yyyy"),TEXT(Main!B3+((Main!B5-Main!B3)*17+16),"mmmm dd yyyy"))</f>
        <v>Debts Or Credits For the Comming August 11 2026 to September 10 2026</v>
      </c>
      <c r="B141" s="100"/>
      <c r="C141" s="100"/>
      <c r="D141" s="100"/>
      <c r="E141" s="101"/>
      <c r="F141" s="44"/>
      <c r="G141" s="44"/>
      <c r="H141" s="44"/>
      <c r="I141" s="9"/>
    </row>
    <row r="142" spans="1:9" ht="24.75" customHeight="1">
      <c r="A142" s="99" t="s">
        <v>94</v>
      </c>
      <c r="B142" s="101"/>
      <c r="C142" s="102" t="s">
        <v>47</v>
      </c>
      <c r="D142" s="103"/>
      <c r="E142" s="39" t="s">
        <v>48</v>
      </c>
      <c r="F142" s="44"/>
      <c r="G142" s="44"/>
      <c r="H142" s="44"/>
      <c r="I142" s="9"/>
    </row>
    <row r="143" spans="1:9" ht="24.75" customHeight="1">
      <c r="A143" s="96" t="str">
        <f>"Balance Brought Forward From " &amp; IF(Main!B2,TEXT(EDATE(Main!B3,16)-1,"mmmm yyyy"),TEXT(Main!B3+((Main!B5-Main!B3)*16+15),"mmmm yyyy"))</f>
        <v>Balance Brought Forward From August 2026</v>
      </c>
      <c r="B143" s="97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06" t="s">
        <v>95</v>
      </c>
      <c r="B144" s="107"/>
      <c r="C144" s="112" t="s">
        <v>96</v>
      </c>
      <c r="D144" s="113"/>
      <c r="E144" s="43"/>
      <c r="F144" s="44"/>
      <c r="G144" s="44"/>
      <c r="H144" s="44"/>
      <c r="I144" s="9"/>
    </row>
    <row r="145" spans="1:9" ht="24.75" customHeight="1">
      <c r="A145" s="108"/>
      <c r="B145" s="109"/>
      <c r="C145" s="104" t="s">
        <v>97</v>
      </c>
      <c r="D145" s="105"/>
      <c r="E145" s="28">
        <v>0</v>
      </c>
      <c r="F145" s="44"/>
      <c r="G145" s="44"/>
      <c r="H145" s="44"/>
      <c r="I145" s="9"/>
    </row>
    <row r="146" spans="1:9" ht="24.75" customHeight="1">
      <c r="A146" s="108"/>
      <c r="B146" s="109"/>
      <c r="C146" s="104" t="s">
        <v>98</v>
      </c>
      <c r="D146" s="105"/>
      <c r="E146" s="28">
        <v>0</v>
      </c>
      <c r="F146" s="44"/>
      <c r="G146" s="44"/>
      <c r="H146" s="44"/>
      <c r="I146" s="9"/>
    </row>
    <row r="147" spans="1:9" ht="24.75" customHeight="1">
      <c r="A147" s="108"/>
      <c r="B147" s="109"/>
      <c r="C147" s="104" t="s">
        <v>99</v>
      </c>
      <c r="D147" s="105"/>
      <c r="E147" s="28">
        <v>0</v>
      </c>
      <c r="F147" s="44"/>
      <c r="G147" s="44"/>
      <c r="H147" s="44"/>
      <c r="I147" s="9"/>
    </row>
    <row r="148" spans="1:9" ht="24.75" customHeight="1">
      <c r="A148" s="108"/>
      <c r="B148" s="109"/>
      <c r="C148" s="104" t="s">
        <v>100</v>
      </c>
      <c r="D148" s="105"/>
      <c r="E148" s="28">
        <v>0</v>
      </c>
      <c r="F148" s="44"/>
      <c r="G148" s="44"/>
      <c r="H148" s="44"/>
      <c r="I148" s="9"/>
    </row>
    <row r="149" spans="1:9" ht="24.75" customHeight="1">
      <c r="A149" s="108"/>
      <c r="B149" s="109"/>
      <c r="C149" s="104" t="s">
        <v>101</v>
      </c>
      <c r="D149" s="105"/>
      <c r="E149" s="28">
        <v>0</v>
      </c>
      <c r="F149" s="44"/>
      <c r="G149" s="44"/>
      <c r="H149" s="44"/>
      <c r="I149" s="9"/>
    </row>
    <row r="150" spans="1:9" ht="24.75" customHeight="1">
      <c r="A150" s="108"/>
      <c r="B150" s="109"/>
      <c r="C150" s="104" t="s">
        <v>102</v>
      </c>
      <c r="D150" s="105"/>
      <c r="E150" s="28">
        <v>0</v>
      </c>
      <c r="F150" s="44"/>
      <c r="G150" s="44"/>
      <c r="H150" s="44"/>
      <c r="I150" s="9"/>
    </row>
    <row r="151" spans="1:9" ht="24.75" customHeight="1">
      <c r="A151" s="108"/>
      <c r="B151" s="109"/>
      <c r="C151" s="104" t="s">
        <v>103</v>
      </c>
      <c r="D151" s="105"/>
      <c r="E151" s="28">
        <v>0</v>
      </c>
      <c r="F151" s="44"/>
      <c r="G151" s="44"/>
      <c r="H151" s="44"/>
      <c r="I151" s="9"/>
    </row>
    <row r="152" spans="1:9" ht="24.75" customHeight="1">
      <c r="A152" s="108"/>
      <c r="B152" s="109"/>
      <c r="C152" s="104" t="s">
        <v>104</v>
      </c>
      <c r="D152" s="105"/>
      <c r="E152" s="28">
        <v>0</v>
      </c>
      <c r="F152" s="44"/>
      <c r="G152" s="44"/>
      <c r="H152" s="44"/>
      <c r="I152" s="9"/>
    </row>
    <row r="153" spans="1:9" ht="24.75" customHeight="1">
      <c r="A153" s="108"/>
      <c r="B153" s="109"/>
      <c r="C153" s="104" t="s">
        <v>105</v>
      </c>
      <c r="D153" s="105"/>
      <c r="E153" s="28">
        <v>0</v>
      </c>
      <c r="F153" s="44"/>
      <c r="G153" s="44"/>
      <c r="H153" s="44"/>
      <c r="I153" s="9"/>
    </row>
    <row r="154" spans="1:9" ht="24.75" customHeight="1">
      <c r="A154" s="108"/>
      <c r="B154" s="109"/>
      <c r="C154" s="104" t="s">
        <v>106</v>
      </c>
      <c r="D154" s="105"/>
      <c r="E154" s="28">
        <v>0</v>
      </c>
      <c r="F154" s="44"/>
      <c r="G154" s="44"/>
      <c r="H154" s="44"/>
      <c r="I154" s="9"/>
    </row>
    <row r="155" spans="1:9" ht="24.75" customHeight="1">
      <c r="A155" s="108"/>
      <c r="B155" s="109"/>
      <c r="C155" s="148" t="s">
        <v>107</v>
      </c>
      <c r="D155" s="149"/>
      <c r="E155" s="42"/>
      <c r="F155" s="44"/>
      <c r="G155" s="44"/>
      <c r="H155" s="44"/>
      <c r="I155" s="9"/>
    </row>
    <row r="156" spans="1:9" ht="24.75" customHeight="1">
      <c r="A156" s="108"/>
      <c r="B156" s="109"/>
      <c r="C156" s="150" t="s">
        <v>111</v>
      </c>
      <c r="D156" s="151"/>
      <c r="E156" s="30">
        <v>0</v>
      </c>
      <c r="F156" s="44"/>
      <c r="G156" s="44"/>
      <c r="H156" s="44"/>
      <c r="I156" s="9"/>
    </row>
    <row r="157" spans="1:9" ht="24.75" customHeight="1">
      <c r="A157" s="108"/>
      <c r="B157" s="109"/>
      <c r="C157" s="104" t="s">
        <v>97</v>
      </c>
      <c r="D157" s="105"/>
      <c r="E157" s="30">
        <v>0</v>
      </c>
      <c r="F157" s="44"/>
      <c r="G157" s="44"/>
      <c r="H157" s="44"/>
      <c r="I157" s="9"/>
    </row>
    <row r="158" spans="1:9" ht="24.75" customHeight="1">
      <c r="A158" s="108"/>
      <c r="B158" s="109"/>
      <c r="C158" s="104" t="s">
        <v>98</v>
      </c>
      <c r="D158" s="105"/>
      <c r="E158" s="30">
        <v>0</v>
      </c>
      <c r="F158" s="44"/>
      <c r="G158" s="44"/>
      <c r="H158" s="44"/>
      <c r="I158" s="9"/>
    </row>
    <row r="159" spans="1:9" ht="24.75" customHeight="1">
      <c r="A159" s="108"/>
      <c r="B159" s="109"/>
      <c r="C159" s="104" t="s">
        <v>99</v>
      </c>
      <c r="D159" s="105"/>
      <c r="E159" s="30">
        <v>0</v>
      </c>
      <c r="F159" s="44"/>
      <c r="G159" s="44"/>
      <c r="H159" s="44"/>
      <c r="I159" s="9"/>
    </row>
    <row r="160" spans="1:9" ht="24.75" customHeight="1">
      <c r="A160" s="108"/>
      <c r="B160" s="109"/>
      <c r="C160" s="104" t="s">
        <v>100</v>
      </c>
      <c r="D160" s="105"/>
      <c r="E160" s="30">
        <v>0</v>
      </c>
      <c r="F160" s="44"/>
      <c r="G160" s="44"/>
      <c r="H160" s="44"/>
      <c r="I160" s="9"/>
    </row>
    <row r="161" spans="1:9" ht="24.75" customHeight="1">
      <c r="A161" s="110"/>
      <c r="B161" s="111"/>
      <c r="C161" s="104" t="s">
        <v>101</v>
      </c>
      <c r="D161" s="105"/>
      <c r="E161" s="30">
        <v>0</v>
      </c>
      <c r="F161" s="44"/>
      <c r="G161" s="44"/>
      <c r="H161" s="44"/>
      <c r="I161" s="9"/>
    </row>
    <row r="162" spans="1:9" ht="24.75" customHeight="1">
      <c r="A162" s="96" t="s">
        <v>109</v>
      </c>
      <c r="B162" s="152"/>
      <c r="C162" s="153"/>
      <c r="D162" s="154"/>
      <c r="E162" s="30">
        <f>C96</f>
        <v>0</v>
      </c>
      <c r="F162" s="44"/>
      <c r="G162" s="44"/>
      <c r="H162" s="44"/>
      <c r="I162" s="9"/>
    </row>
    <row r="163" spans="1:9" ht="24.75" customHeight="1">
      <c r="A163" s="145"/>
      <c r="B163" s="146"/>
      <c r="C163" s="147" t="s">
        <v>110</v>
      </c>
      <c r="D163" s="147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99" t="str">
        <f>"Debts Or Credits For the Comming " &amp; IF(Main!B2,TEXT(EDATE(Main!B3,17),"mmmm dd yyyy"),TEXT(Main!B3+((Main!B5-Main!B3)*17+17),"mmmm dd yyyy")) &amp; " to " &amp; IF(Main!B2,TEXT(EDATE(Main!B3,18)-1,"mmmm dd yyyy"),TEXT(Main!B3+((Main!B5-Main!B3)*18+17),"mmmm dd yyyy"))</f>
        <v>Debts Or Credits For the Comming September 11 2026 to October 10 2026</v>
      </c>
      <c r="B168" s="100"/>
      <c r="C168" s="100"/>
      <c r="D168" s="100"/>
      <c r="E168" s="101"/>
      <c r="F168" s="44"/>
      <c r="G168" s="44"/>
      <c r="H168" s="44"/>
      <c r="I168" s="9"/>
    </row>
    <row r="169" spans="1:9" ht="24.75" customHeight="1">
      <c r="A169" s="99" t="s">
        <v>94</v>
      </c>
      <c r="B169" s="101"/>
      <c r="C169" s="102" t="s">
        <v>47</v>
      </c>
      <c r="D169" s="103"/>
      <c r="E169" s="39" t="s">
        <v>48</v>
      </c>
      <c r="F169" s="44"/>
      <c r="G169" s="44"/>
      <c r="H169" s="44"/>
      <c r="I169" s="9"/>
    </row>
    <row r="170" spans="1:9" ht="24.75" customHeight="1">
      <c r="A170" s="96" t="str">
        <f>"Balance Brought Forward From " &amp;  IF(Main!B2,TEXT(EDATE(Main!B3,17)-1,"mmmm yyyy"),TEXT(Main!B3+((Main!B5-Main!B3)*17+16),"mmmm yyyy"))</f>
        <v>Balance Brought Forward From September 2026</v>
      </c>
      <c r="B170" s="97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06" t="s">
        <v>95</v>
      </c>
      <c r="B171" s="107"/>
      <c r="C171" s="112" t="s">
        <v>96</v>
      </c>
      <c r="D171" s="113"/>
      <c r="E171" s="43"/>
      <c r="F171" s="44"/>
      <c r="G171" s="44"/>
      <c r="H171" s="44"/>
      <c r="I171" s="9"/>
    </row>
    <row r="172" spans="1:9" ht="24.75" customHeight="1">
      <c r="A172" s="108"/>
      <c r="B172" s="109"/>
      <c r="C172" s="104" t="s">
        <v>97</v>
      </c>
      <c r="D172" s="105"/>
      <c r="E172" s="28">
        <v>0</v>
      </c>
      <c r="F172" s="44"/>
      <c r="G172" s="44"/>
      <c r="H172" s="44"/>
      <c r="I172" s="9"/>
    </row>
    <row r="173" spans="1:9" ht="24.75" customHeight="1">
      <c r="A173" s="108"/>
      <c r="B173" s="109"/>
      <c r="C173" s="104" t="s">
        <v>98</v>
      </c>
      <c r="D173" s="105"/>
      <c r="E173" s="28">
        <v>0</v>
      </c>
      <c r="F173" s="44"/>
      <c r="G173" s="44"/>
      <c r="H173" s="44"/>
      <c r="I173" s="9"/>
    </row>
    <row r="174" spans="1:9" ht="24.75" customHeight="1">
      <c r="A174" s="108"/>
      <c r="B174" s="109"/>
      <c r="C174" s="104" t="s">
        <v>99</v>
      </c>
      <c r="D174" s="105"/>
      <c r="E174" s="28">
        <v>0</v>
      </c>
      <c r="F174" s="44"/>
      <c r="G174" s="44"/>
      <c r="H174" s="44"/>
      <c r="I174" s="9"/>
    </row>
    <row r="175" spans="1:9" ht="24.75" customHeight="1">
      <c r="A175" s="108"/>
      <c r="B175" s="109"/>
      <c r="C175" s="104" t="s">
        <v>100</v>
      </c>
      <c r="D175" s="105"/>
      <c r="E175" s="28">
        <v>0</v>
      </c>
      <c r="F175" s="44"/>
      <c r="G175" s="44"/>
      <c r="H175" s="44"/>
      <c r="I175" s="9"/>
    </row>
    <row r="176" spans="1:9" ht="24.75" customHeight="1">
      <c r="A176" s="108"/>
      <c r="B176" s="109"/>
      <c r="C176" s="104" t="s">
        <v>101</v>
      </c>
      <c r="D176" s="105"/>
      <c r="E176" s="28">
        <v>0</v>
      </c>
      <c r="F176" s="44"/>
      <c r="G176" s="44"/>
      <c r="H176" s="44"/>
      <c r="I176" s="9"/>
    </row>
    <row r="177" spans="1:9" ht="24.75" customHeight="1">
      <c r="A177" s="108"/>
      <c r="B177" s="109"/>
      <c r="C177" s="104" t="s">
        <v>102</v>
      </c>
      <c r="D177" s="105"/>
      <c r="E177" s="28">
        <v>0</v>
      </c>
      <c r="F177" s="44"/>
      <c r="G177" s="44"/>
      <c r="H177" s="44"/>
      <c r="I177" s="9"/>
    </row>
    <row r="178" spans="1:9" ht="24.75" customHeight="1">
      <c r="A178" s="108"/>
      <c r="B178" s="109"/>
      <c r="C178" s="104" t="s">
        <v>103</v>
      </c>
      <c r="D178" s="105"/>
      <c r="E178" s="28">
        <v>0</v>
      </c>
      <c r="F178" s="44"/>
      <c r="G178" s="44"/>
      <c r="H178" s="44"/>
      <c r="I178" s="9"/>
    </row>
    <row r="179" spans="1:9" ht="24.75" customHeight="1">
      <c r="A179" s="108"/>
      <c r="B179" s="109"/>
      <c r="C179" s="104" t="s">
        <v>104</v>
      </c>
      <c r="D179" s="105"/>
      <c r="E179" s="28">
        <v>0</v>
      </c>
      <c r="F179" s="44"/>
      <c r="G179" s="44"/>
      <c r="H179" s="44"/>
      <c r="I179" s="9"/>
    </row>
    <row r="180" spans="1:9" ht="24.75" customHeight="1">
      <c r="A180" s="108"/>
      <c r="B180" s="109"/>
      <c r="C180" s="104" t="s">
        <v>105</v>
      </c>
      <c r="D180" s="105"/>
      <c r="E180" s="28">
        <v>0</v>
      </c>
      <c r="F180" s="44"/>
      <c r="G180" s="44"/>
      <c r="H180" s="44"/>
      <c r="I180" s="9"/>
    </row>
    <row r="181" spans="1:9" ht="24.75" customHeight="1">
      <c r="A181" s="108"/>
      <c r="B181" s="109"/>
      <c r="C181" s="104" t="s">
        <v>106</v>
      </c>
      <c r="D181" s="105"/>
      <c r="E181" s="28">
        <v>0</v>
      </c>
      <c r="F181" s="44"/>
      <c r="G181" s="44"/>
      <c r="H181" s="44"/>
      <c r="I181" s="9"/>
    </row>
    <row r="182" spans="1:9">
      <c r="A182" s="108"/>
      <c r="B182" s="109"/>
      <c r="C182" s="148" t="s">
        <v>107</v>
      </c>
      <c r="D182" s="149"/>
      <c r="E182" s="42"/>
      <c r="F182" s="44"/>
      <c r="G182" s="44"/>
      <c r="H182" s="44"/>
      <c r="I182" s="9"/>
    </row>
    <row r="183" spans="1:9" ht="24.75" customHeight="1">
      <c r="A183" s="108"/>
      <c r="B183" s="109"/>
      <c r="C183" s="150" t="s">
        <v>111</v>
      </c>
      <c r="D183" s="151"/>
      <c r="E183" s="30">
        <v>0</v>
      </c>
      <c r="F183" s="44"/>
      <c r="G183" s="44"/>
      <c r="H183" s="44"/>
      <c r="I183" s="9"/>
    </row>
    <row r="184" spans="1:9" ht="24.75" customHeight="1">
      <c r="A184" s="108"/>
      <c r="B184" s="109"/>
      <c r="C184" s="104" t="s">
        <v>97</v>
      </c>
      <c r="D184" s="105"/>
      <c r="E184" s="30">
        <v>0</v>
      </c>
      <c r="F184" s="44"/>
      <c r="G184" s="44"/>
      <c r="H184" s="44"/>
      <c r="I184" s="9"/>
    </row>
    <row r="185" spans="1:9" ht="24.75" customHeight="1">
      <c r="A185" s="108"/>
      <c r="B185" s="109"/>
      <c r="C185" s="104" t="s">
        <v>98</v>
      </c>
      <c r="D185" s="105"/>
      <c r="E185" s="30">
        <v>0</v>
      </c>
      <c r="F185" s="44"/>
      <c r="G185" s="44"/>
      <c r="H185" s="44"/>
      <c r="I185" s="9"/>
    </row>
    <row r="186" spans="1:9" ht="24.75" customHeight="1">
      <c r="A186" s="108"/>
      <c r="B186" s="109"/>
      <c r="C186" s="104" t="s">
        <v>99</v>
      </c>
      <c r="D186" s="105"/>
      <c r="E186" s="30">
        <v>0</v>
      </c>
      <c r="F186" s="44"/>
      <c r="G186" s="44"/>
      <c r="H186" s="44"/>
      <c r="I186" s="9"/>
    </row>
    <row r="187" spans="1:9" ht="24.75" customHeight="1">
      <c r="A187" s="108"/>
      <c r="B187" s="109"/>
      <c r="C187" s="104" t="s">
        <v>100</v>
      </c>
      <c r="D187" s="105"/>
      <c r="E187" s="30">
        <v>0</v>
      </c>
      <c r="F187" s="44"/>
      <c r="G187" s="44"/>
      <c r="H187" s="44"/>
      <c r="I187" s="9"/>
    </row>
    <row r="188" spans="1:9" ht="24.75" customHeight="1">
      <c r="A188" s="110"/>
      <c r="B188" s="111"/>
      <c r="C188" s="104" t="s">
        <v>101</v>
      </c>
      <c r="D188" s="105"/>
      <c r="E188" s="30">
        <v>0</v>
      </c>
      <c r="F188" s="44"/>
      <c r="G188" s="44"/>
      <c r="H188" s="44"/>
      <c r="I188" s="9"/>
    </row>
    <row r="189" spans="1:9" ht="24.75" customHeight="1">
      <c r="A189" s="96" t="s">
        <v>109</v>
      </c>
      <c r="B189" s="152"/>
      <c r="C189" s="153"/>
      <c r="D189" s="154"/>
      <c r="E189" s="30">
        <f>C96</f>
        <v>0</v>
      </c>
      <c r="F189" s="44"/>
      <c r="G189" s="44"/>
      <c r="H189" s="44"/>
      <c r="I189" s="9"/>
    </row>
    <row r="190" spans="1:9" ht="24.75" customHeight="1">
      <c r="A190" s="145"/>
      <c r="B190" s="146"/>
      <c r="C190" s="147" t="s">
        <v>110</v>
      </c>
      <c r="D190" s="147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560" priority="51" operator="equal">
      <formula>0</formula>
    </cfRule>
  </conditionalFormatting>
  <conditionalFormatting sqref="C47:C55 C85 C95:C96 E144 E155:E162">
    <cfRule type="cellIs" dxfId="559" priority="50" operator="greaterThan">
      <formula>0</formula>
    </cfRule>
  </conditionalFormatting>
  <conditionalFormatting sqref="C57:C66">
    <cfRule type="cellIs" dxfId="558" priority="49" operator="equal">
      <formula>0</formula>
    </cfRule>
  </conditionalFormatting>
  <conditionalFormatting sqref="C57:C66">
    <cfRule type="cellIs" dxfId="557" priority="48" operator="greaterThan">
      <formula>0</formula>
    </cfRule>
  </conditionalFormatting>
  <conditionalFormatting sqref="C68:C69">
    <cfRule type="cellIs" dxfId="556" priority="47" operator="equal">
      <formula>0</formula>
    </cfRule>
  </conditionalFormatting>
  <conditionalFormatting sqref="C68:C69">
    <cfRule type="cellIs" dxfId="555" priority="46" operator="greaterThan">
      <formula>0</formula>
    </cfRule>
  </conditionalFormatting>
  <conditionalFormatting sqref="C75">
    <cfRule type="cellIs" dxfId="554" priority="45" operator="equal">
      <formula>0</formula>
    </cfRule>
  </conditionalFormatting>
  <conditionalFormatting sqref="C75">
    <cfRule type="cellIs" dxfId="553" priority="44" operator="greaterThan">
      <formula>0</formula>
    </cfRule>
  </conditionalFormatting>
  <conditionalFormatting sqref="C77">
    <cfRule type="cellIs" dxfId="552" priority="43" operator="equal">
      <formula>0</formula>
    </cfRule>
  </conditionalFormatting>
  <conditionalFormatting sqref="C77">
    <cfRule type="cellIs" dxfId="551" priority="42" operator="greaterThan">
      <formula>0</formula>
    </cfRule>
  </conditionalFormatting>
  <conditionalFormatting sqref="C87:C89">
    <cfRule type="cellIs" dxfId="550" priority="41" operator="equal">
      <formula>0</formula>
    </cfRule>
  </conditionalFormatting>
  <conditionalFormatting sqref="C87:C89">
    <cfRule type="cellIs" dxfId="549" priority="40" operator="greaterThan">
      <formula>0</formula>
    </cfRule>
  </conditionalFormatting>
  <conditionalFormatting sqref="E117 E128:E135">
    <cfRule type="cellIs" dxfId="548" priority="39" operator="equal">
      <formula>0</formula>
    </cfRule>
  </conditionalFormatting>
  <conditionalFormatting sqref="E117 E128:E135">
    <cfRule type="cellIs" dxfId="547" priority="38" operator="greaterThan">
      <formula>0</formula>
    </cfRule>
  </conditionalFormatting>
  <conditionalFormatting sqref="E136">
    <cfRule type="cellIs" dxfId="546" priority="37" operator="greaterThanOrEqual">
      <formula>0</formula>
    </cfRule>
  </conditionalFormatting>
  <conditionalFormatting sqref="E136">
    <cfRule type="cellIs" dxfId="545" priority="36" operator="lessThan">
      <formula>0</formula>
    </cfRule>
  </conditionalFormatting>
  <conditionalFormatting sqref="C70:C74">
    <cfRule type="cellIs" dxfId="544" priority="35" operator="equal">
      <formula>0</formula>
    </cfRule>
  </conditionalFormatting>
  <conditionalFormatting sqref="C70:C74">
    <cfRule type="cellIs" dxfId="543" priority="34" operator="greaterThan">
      <formula>0</formula>
    </cfRule>
  </conditionalFormatting>
  <conditionalFormatting sqref="C80:C84">
    <cfRule type="cellIs" dxfId="542" priority="33" operator="equal">
      <formula>0</formula>
    </cfRule>
  </conditionalFormatting>
  <conditionalFormatting sqref="C80:C84">
    <cfRule type="cellIs" dxfId="541" priority="32" operator="greaterThan">
      <formula>0</formula>
    </cfRule>
  </conditionalFormatting>
  <conditionalFormatting sqref="C92:C94">
    <cfRule type="cellIs" dxfId="540" priority="31" operator="equal">
      <formula>0</formula>
    </cfRule>
  </conditionalFormatting>
  <conditionalFormatting sqref="C92:C94">
    <cfRule type="cellIs" dxfId="539" priority="30" operator="greaterThan">
      <formula>0</formula>
    </cfRule>
  </conditionalFormatting>
  <conditionalFormatting sqref="C108:C109">
    <cfRule type="cellIs" dxfId="538" priority="29" operator="equal">
      <formula>0</formula>
    </cfRule>
  </conditionalFormatting>
  <conditionalFormatting sqref="C108:C109">
    <cfRule type="cellIs" dxfId="537" priority="28" operator="greaterThan">
      <formula>0</formula>
    </cfRule>
  </conditionalFormatting>
  <conditionalFormatting sqref="E144 E155:E162">
    <cfRule type="cellIs" dxfId="536" priority="27" operator="equal">
      <formula>0</formula>
    </cfRule>
  </conditionalFormatting>
  <conditionalFormatting sqref="E163">
    <cfRule type="cellIs" dxfId="535" priority="26" operator="greaterThanOrEqual">
      <formula>0</formula>
    </cfRule>
  </conditionalFormatting>
  <conditionalFormatting sqref="E163">
    <cfRule type="cellIs" dxfId="534" priority="25" operator="lessThan">
      <formula>0</formula>
    </cfRule>
  </conditionalFormatting>
  <conditionalFormatting sqref="E143">
    <cfRule type="cellIs" dxfId="533" priority="24" operator="greaterThanOrEqual">
      <formula>0</formula>
    </cfRule>
  </conditionalFormatting>
  <conditionalFormatting sqref="E143">
    <cfRule type="cellIs" dxfId="532" priority="23" operator="lessThan">
      <formula>0</formula>
    </cfRule>
  </conditionalFormatting>
  <conditionalFormatting sqref="E171 E182:E189">
    <cfRule type="cellIs" dxfId="531" priority="22" operator="equal">
      <formula>0</formula>
    </cfRule>
  </conditionalFormatting>
  <conditionalFormatting sqref="E171 E182:E189">
    <cfRule type="cellIs" dxfId="530" priority="21" operator="greaterThan">
      <formula>0</formula>
    </cfRule>
  </conditionalFormatting>
  <conditionalFormatting sqref="E190">
    <cfRule type="cellIs" dxfId="529" priority="20" operator="greaterThanOrEqual">
      <formula>0</formula>
    </cfRule>
  </conditionalFormatting>
  <conditionalFormatting sqref="E190">
    <cfRule type="cellIs" dxfId="528" priority="19" operator="lessThan">
      <formula>0</formula>
    </cfRule>
  </conditionalFormatting>
  <conditionalFormatting sqref="E170">
    <cfRule type="cellIs" dxfId="527" priority="18" operator="greaterThanOrEqual">
      <formula>0</formula>
    </cfRule>
  </conditionalFormatting>
  <conditionalFormatting sqref="E170">
    <cfRule type="cellIs" dxfId="526" priority="17" operator="lessThan">
      <formula>0</formula>
    </cfRule>
  </conditionalFormatting>
  <conditionalFormatting sqref="C5">
    <cfRule type="cellIs" dxfId="525" priority="16" operator="equal">
      <formula>0</formula>
    </cfRule>
  </conditionalFormatting>
  <conditionalFormatting sqref="C5">
    <cfRule type="cellIs" dxfId="524" priority="15" operator="greaterThan">
      <formula>0</formula>
    </cfRule>
  </conditionalFormatting>
  <conditionalFormatting sqref="C98:C107">
    <cfRule type="cellIs" dxfId="523" priority="14" operator="lessThan">
      <formula>0</formula>
    </cfRule>
  </conditionalFormatting>
  <conditionalFormatting sqref="C98:C107">
    <cfRule type="cellIs" dxfId="522" priority="13" operator="greaterThanOrEqual">
      <formula>0</formula>
    </cfRule>
  </conditionalFormatting>
  <conditionalFormatting sqref="E118:E127">
    <cfRule type="cellIs" dxfId="521" priority="12" operator="equal">
      <formula>0</formula>
    </cfRule>
  </conditionalFormatting>
  <conditionalFormatting sqref="E118:E127">
    <cfRule type="cellIs" dxfId="520" priority="11" operator="greaterThan">
      <formula>0</formula>
    </cfRule>
  </conditionalFormatting>
  <conditionalFormatting sqref="E145:E154">
    <cfRule type="cellIs" dxfId="519" priority="10" operator="equal">
      <formula>0</formula>
    </cfRule>
  </conditionalFormatting>
  <conditionalFormatting sqref="E145:E154">
    <cfRule type="cellIs" dxfId="518" priority="9" operator="greaterThan">
      <formula>0</formula>
    </cfRule>
  </conditionalFormatting>
  <conditionalFormatting sqref="E172:E181">
    <cfRule type="cellIs" dxfId="517" priority="8" operator="equal">
      <formula>0</formula>
    </cfRule>
  </conditionalFormatting>
  <conditionalFormatting sqref="E172:E181">
    <cfRule type="cellIs" dxfId="516" priority="7" operator="greaterThan">
      <formula>0</formula>
    </cfRule>
  </conditionalFormatting>
  <conditionalFormatting sqref="E116">
    <cfRule type="cellIs" dxfId="515" priority="6" operator="greaterThanOrEqual">
      <formula>0</formula>
    </cfRule>
  </conditionalFormatting>
  <conditionalFormatting sqref="E116">
    <cfRule type="cellIs" dxfId="514" priority="5" operator="lessThan">
      <formula>0</formula>
    </cfRule>
  </conditionalFormatting>
  <conditionalFormatting sqref="C78:C79">
    <cfRule type="cellIs" dxfId="513" priority="4" operator="equal">
      <formula>0</formula>
    </cfRule>
  </conditionalFormatting>
  <conditionalFormatting sqref="C78:C79">
    <cfRule type="cellIs" dxfId="512" priority="3" operator="greaterThan">
      <formula>0</formula>
    </cfRule>
  </conditionalFormatting>
  <conditionalFormatting sqref="C90:C91">
    <cfRule type="cellIs" dxfId="511" priority="2" operator="equal">
      <formula>0</formula>
    </cfRule>
  </conditionalFormatting>
  <conditionalFormatting sqref="C90:C91">
    <cfRule type="cellIs" dxfId="510" priority="1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CB6F-10E3-4F34-B456-81FA80F60BFA}">
  <dimension ref="A1:I193"/>
  <sheetViews>
    <sheetView topLeftCell="A9" workbookViewId="0">
      <selection activeCell="M34" sqref="M34"/>
    </sheetView>
  </sheetViews>
  <sheetFormatPr defaultRowHeight="15"/>
  <cols>
    <col min="1" max="2" width="20.625" customWidth="1"/>
    <col min="3" max="3" width="26.25" customWidth="1"/>
    <col min="4" max="8" width="20.625" customWidth="1"/>
  </cols>
  <sheetData>
    <row r="1" spans="1:9" ht="24.75" customHeight="1">
      <c r="A1" s="177" t="str">
        <f>"Forecasts For the Year " &amp; IF(Main!B2,TEXT(EDATE(Main!B3,18),"mmmm yyyy"),TEXT(Main!B3+((Main!B5-Main!B3)*18+18),"mmmm yyyy")) &amp; " to " &amp; IF(Main!B2,TEXT(EDATE(Main!B3,21)-1,"mmmm yyyy"),TEXT(Main!B3+((Main!B5-Main!B3)*21+20),"mmmm yyyy"))</f>
        <v>Forecasts For the Year October 2026 to January 2027</v>
      </c>
      <c r="B1" s="177"/>
      <c r="C1" s="177"/>
      <c r="D1" s="177"/>
      <c r="E1" s="177"/>
      <c r="F1" s="177"/>
      <c r="G1" s="177"/>
      <c r="H1" s="47"/>
      <c r="I1" s="47"/>
    </row>
    <row r="2" spans="1:9" ht="24.75" customHeight="1">
      <c r="A2" s="159" t="s">
        <v>31</v>
      </c>
      <c r="B2" s="48" t="s">
        <v>112</v>
      </c>
      <c r="C2" s="161" cm="1">
        <f t="array" aca="1" ref="C2" ca="1">INDIRECT("'" &amp; Main!B9 &amp; "'!$C$15")</f>
        <v>0</v>
      </c>
      <c r="D2" s="161"/>
      <c r="E2" s="161"/>
      <c r="F2" s="161"/>
      <c r="G2" s="161"/>
      <c r="H2" s="47"/>
      <c r="I2" s="47"/>
    </row>
    <row r="3" spans="1:9" ht="28.5">
      <c r="A3" s="160"/>
      <c r="B3" s="41" t="s">
        <v>113</v>
      </c>
      <c r="C3" s="162">
        <f>E190</f>
        <v>0</v>
      </c>
      <c r="D3" s="162"/>
      <c r="E3" s="162"/>
      <c r="F3" s="162"/>
      <c r="G3" s="162"/>
      <c r="H3" s="47"/>
      <c r="I3" s="47"/>
    </row>
    <row r="4" spans="1:9" ht="24.75" customHeight="1">
      <c r="A4" s="174" t="s">
        <v>45</v>
      </c>
      <c r="B4" s="175"/>
      <c r="C4" s="163">
        <f ca="1">SUM(C2:G3)</f>
        <v>0</v>
      </c>
      <c r="D4" s="163"/>
      <c r="E4" s="163"/>
      <c r="F4" s="163"/>
      <c r="G4" s="163"/>
      <c r="H4" s="44"/>
      <c r="I4" s="9"/>
    </row>
    <row r="5" spans="1:9" ht="24.75" customHeight="1">
      <c r="A5" s="176" t="s">
        <v>114</v>
      </c>
      <c r="B5" s="176"/>
      <c r="C5" s="164">
        <f>C108</f>
        <v>0</v>
      </c>
      <c r="D5" s="165"/>
      <c r="E5" s="165"/>
      <c r="F5" s="165"/>
      <c r="G5" s="165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32" t="str">
        <f>IF(Main!B2,TEXT(EDATE(Main!B3,18),"dd mmmm yyyy"),TEXT(Main!B3+((Main!B5-Main!B3)*18+18),"dd mmmm yyyy")) &amp; " - " &amp; IF(Main!B2,TEXT(EDATE(Main!B3,19)-1,"dd mmmm yyyy"),TEXT(Main!B3+((Main!B5-Main!B3)*19+18),"dd mmmm yyyy")) &amp; " / " &amp; " (Revenue / Deferred Debts Or Expenses)"</f>
        <v>11 October 2026 - 10 November 2026 /  (Revenue / Deferred Debts Or Expenses)</v>
      </c>
      <c r="B8" s="133"/>
      <c r="C8" s="133"/>
      <c r="D8" s="133"/>
      <c r="E8" s="133"/>
      <c r="F8" s="133"/>
      <c r="G8" s="133"/>
      <c r="H8" s="44"/>
      <c r="I8" s="37"/>
    </row>
    <row r="9" spans="1:9" ht="24.75" customHeight="1">
      <c r="A9" s="81" t="s">
        <v>27</v>
      </c>
      <c r="B9" s="120" t="s">
        <v>46</v>
      </c>
      <c r="C9" s="120"/>
      <c r="D9" s="121" t="s">
        <v>47</v>
      </c>
      <c r="E9" s="121"/>
      <c r="F9" s="121" t="s">
        <v>48</v>
      </c>
      <c r="G9" s="121"/>
      <c r="H9" s="44"/>
      <c r="I9" s="9"/>
    </row>
    <row r="10" spans="1:9" ht="24.75" customHeight="1">
      <c r="A10" s="2" t="s">
        <v>115</v>
      </c>
      <c r="B10" s="122" t="s">
        <v>50</v>
      </c>
      <c r="C10" s="122"/>
      <c r="D10" s="122" t="s">
        <v>51</v>
      </c>
      <c r="E10" s="122"/>
      <c r="F10" s="123">
        <v>0</v>
      </c>
      <c r="G10" s="124"/>
      <c r="H10" s="44"/>
      <c r="I10" s="9"/>
    </row>
    <row r="11" spans="1:9" ht="24.75" customHeight="1">
      <c r="A11" s="2"/>
      <c r="B11" s="125" t="s">
        <v>40</v>
      </c>
      <c r="C11" s="126"/>
      <c r="D11" s="127"/>
      <c r="E11" s="128"/>
      <c r="F11" s="123">
        <v>0</v>
      </c>
      <c r="G11" s="124"/>
      <c r="H11" s="44"/>
      <c r="I11" s="9"/>
    </row>
    <row r="12" spans="1:9" ht="24.75" customHeight="1">
      <c r="A12" s="2"/>
      <c r="B12" s="125" t="s">
        <v>41</v>
      </c>
      <c r="C12" s="126"/>
      <c r="D12" s="127"/>
      <c r="E12" s="128"/>
      <c r="F12" s="123">
        <v>0</v>
      </c>
      <c r="G12" s="124"/>
      <c r="H12" s="44"/>
      <c r="I12" s="9"/>
    </row>
    <row r="13" spans="1:9" ht="24.75" customHeight="1">
      <c r="A13" s="2"/>
      <c r="B13" s="125" t="s">
        <v>42</v>
      </c>
      <c r="C13" s="126"/>
      <c r="D13" s="127"/>
      <c r="E13" s="128"/>
      <c r="F13" s="123">
        <v>0</v>
      </c>
      <c r="G13" s="124"/>
      <c r="H13" s="44"/>
      <c r="I13" s="9"/>
    </row>
    <row r="14" spans="1:9" ht="24.75" customHeight="1">
      <c r="A14" s="2"/>
      <c r="B14" s="125" t="s">
        <v>43</v>
      </c>
      <c r="C14" s="126"/>
      <c r="D14" s="127"/>
      <c r="E14" s="128"/>
      <c r="F14" s="123">
        <v>0</v>
      </c>
      <c r="G14" s="124"/>
      <c r="H14" s="44"/>
      <c r="I14" s="9"/>
    </row>
    <row r="15" spans="1:9" ht="24.75" customHeight="1">
      <c r="A15" s="2"/>
      <c r="B15" s="125" t="s">
        <v>44</v>
      </c>
      <c r="C15" s="126"/>
      <c r="D15" s="127"/>
      <c r="E15" s="128"/>
      <c r="F15" s="123">
        <v>0</v>
      </c>
      <c r="G15" s="124"/>
      <c r="H15" s="44"/>
      <c r="I15" s="9"/>
    </row>
    <row r="16" spans="1:9" ht="24.75" customHeight="1">
      <c r="A16" s="45"/>
      <c r="B16" s="166"/>
      <c r="C16" s="167"/>
      <c r="D16" s="116" t="s">
        <v>52</v>
      </c>
      <c r="E16" s="117"/>
      <c r="F16" s="118">
        <f>SUM(F10:G15)</f>
        <v>0</v>
      </c>
      <c r="G16" s="119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32" t="str">
        <f>IF(Main!B2,TEXT(EDATE(Main!B3,19),"dd mmmm yyyy"),TEXT(Main!B3+((Main!B5-Main!B3)*19+19),"dd mmmm yyyy")) &amp; " - " &amp; IF(Main!B2,TEXT(EDATE(Main!B3,20)-1,"dd mmmm yyyy"),TEXT(Main!B3+((Main!B5-Main!B3)*20+19),"dd mmmm yyyy")) &amp; " / " &amp; " (Revenue / Deferred Debts Or Expenses)"</f>
        <v>11 November 2026 - 10 December 2026 /  (Revenue / Deferred Debts Or Expenses)</v>
      </c>
      <c r="B20" s="133"/>
      <c r="C20" s="133"/>
      <c r="D20" s="133"/>
      <c r="E20" s="133"/>
      <c r="F20" s="133"/>
      <c r="G20" s="133"/>
      <c r="H20" s="44"/>
      <c r="I20" s="9"/>
    </row>
    <row r="21" spans="1:9" ht="24.75" customHeight="1">
      <c r="A21" s="81" t="s">
        <v>27</v>
      </c>
      <c r="B21" s="120" t="s">
        <v>46</v>
      </c>
      <c r="C21" s="120"/>
      <c r="D21" s="121" t="s">
        <v>47</v>
      </c>
      <c r="E21" s="121"/>
      <c r="F21" s="121" t="s">
        <v>48</v>
      </c>
      <c r="G21" s="121"/>
      <c r="H21" s="44"/>
      <c r="I21" s="9"/>
    </row>
    <row r="22" spans="1:9" ht="24.75" customHeight="1">
      <c r="A22" s="2" t="s">
        <v>116</v>
      </c>
      <c r="B22" s="122" t="s">
        <v>54</v>
      </c>
      <c r="C22" s="122"/>
      <c r="D22" s="122" t="s">
        <v>55</v>
      </c>
      <c r="E22" s="122"/>
      <c r="F22" s="123">
        <v>0</v>
      </c>
      <c r="G22" s="124"/>
      <c r="H22" s="44"/>
      <c r="I22" s="9"/>
    </row>
    <row r="23" spans="1:9" ht="24.75" customHeight="1">
      <c r="A23" s="2"/>
      <c r="B23" s="125" t="s">
        <v>40</v>
      </c>
      <c r="C23" s="126"/>
      <c r="D23" s="127"/>
      <c r="E23" s="128"/>
      <c r="F23" s="123">
        <v>0</v>
      </c>
      <c r="G23" s="124"/>
      <c r="H23" s="44"/>
      <c r="I23" s="9"/>
    </row>
    <row r="24" spans="1:9" ht="24.75" customHeight="1">
      <c r="A24" s="2"/>
      <c r="B24" s="125" t="s">
        <v>41</v>
      </c>
      <c r="C24" s="126"/>
      <c r="D24" s="127"/>
      <c r="E24" s="128"/>
      <c r="F24" s="123">
        <v>0</v>
      </c>
      <c r="G24" s="124"/>
      <c r="H24" s="44"/>
      <c r="I24" s="9"/>
    </row>
    <row r="25" spans="1:9" ht="24.75" customHeight="1">
      <c r="A25" s="2"/>
      <c r="B25" s="125" t="s">
        <v>42</v>
      </c>
      <c r="C25" s="126"/>
      <c r="D25" s="127"/>
      <c r="E25" s="128"/>
      <c r="F25" s="123">
        <v>0</v>
      </c>
      <c r="G25" s="124"/>
      <c r="H25" s="44"/>
      <c r="I25" s="9"/>
    </row>
    <row r="26" spans="1:9" ht="24.75" customHeight="1">
      <c r="A26" s="2"/>
      <c r="B26" s="125" t="s">
        <v>43</v>
      </c>
      <c r="C26" s="126"/>
      <c r="D26" s="127"/>
      <c r="E26" s="128"/>
      <c r="F26" s="123">
        <v>0</v>
      </c>
      <c r="G26" s="124"/>
      <c r="H26" s="44"/>
      <c r="I26" s="9"/>
    </row>
    <row r="27" spans="1:9" ht="24.75" customHeight="1">
      <c r="A27" s="2"/>
      <c r="B27" s="125" t="s">
        <v>44</v>
      </c>
      <c r="C27" s="126"/>
      <c r="D27" s="127"/>
      <c r="E27" s="128"/>
      <c r="F27" s="123">
        <v>0</v>
      </c>
      <c r="G27" s="124"/>
      <c r="H27" s="44"/>
      <c r="I27" s="9"/>
    </row>
    <row r="28" spans="1:9" ht="24.75" customHeight="1">
      <c r="A28" s="45"/>
      <c r="B28" s="166"/>
      <c r="C28" s="167"/>
      <c r="D28" s="116" t="s">
        <v>52</v>
      </c>
      <c r="E28" s="117"/>
      <c r="F28" s="118">
        <f>SUM(F22:G27)</f>
        <v>0</v>
      </c>
      <c r="G28" s="119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32" t="str">
        <f>IF(Main!B2,TEXT(EDATE(Main!B3,20),"dd mmmm yyyy"),TEXT(Main!B3+((Main!B5-Main!B3)*20+20),"dd mmmm yyyy")) &amp; " - " &amp; IF(Main!B2,TEXT(EDATE(Main!B3,21)-1,"dd mmmm yyyy"),TEXT(Main!B3+((Main!B5-Main!B3)*21+20),"dd mmmm yyyy")) &amp; " / " &amp; " (Revenue / Deferred Debts Or Expenses)"</f>
        <v>11 December 2026 - 10 January 2027 /  (Revenue / Deferred Debts Or Expenses)</v>
      </c>
      <c r="B32" s="133"/>
      <c r="C32" s="133"/>
      <c r="D32" s="133"/>
      <c r="E32" s="133"/>
      <c r="F32" s="133"/>
      <c r="G32" s="133"/>
      <c r="H32" s="44"/>
      <c r="I32" s="9"/>
    </row>
    <row r="33" spans="1:9" ht="24.75" customHeight="1">
      <c r="A33" s="81" t="s">
        <v>27</v>
      </c>
      <c r="B33" s="120" t="s">
        <v>46</v>
      </c>
      <c r="C33" s="120"/>
      <c r="D33" s="121" t="s">
        <v>47</v>
      </c>
      <c r="E33" s="121"/>
      <c r="F33" s="121" t="s">
        <v>48</v>
      </c>
      <c r="G33" s="121"/>
      <c r="H33" s="44"/>
      <c r="I33" s="9"/>
    </row>
    <row r="34" spans="1:9" ht="24.75" customHeight="1">
      <c r="A34" s="2" t="s">
        <v>117</v>
      </c>
      <c r="B34" s="122" t="s">
        <v>54</v>
      </c>
      <c r="C34" s="122"/>
      <c r="D34" s="122" t="s">
        <v>55</v>
      </c>
      <c r="E34" s="122"/>
      <c r="F34" s="123">
        <v>0</v>
      </c>
      <c r="G34" s="124"/>
      <c r="H34" s="44"/>
      <c r="I34" s="9"/>
    </row>
    <row r="35" spans="1:9" ht="24.75" customHeight="1">
      <c r="A35" s="2"/>
      <c r="B35" s="125" t="s">
        <v>40</v>
      </c>
      <c r="C35" s="126"/>
      <c r="D35" s="127"/>
      <c r="E35" s="128"/>
      <c r="F35" s="123">
        <v>0</v>
      </c>
      <c r="G35" s="124"/>
      <c r="H35" s="44"/>
      <c r="I35" s="9"/>
    </row>
    <row r="36" spans="1:9" ht="24.75" customHeight="1">
      <c r="A36" s="2"/>
      <c r="B36" s="125" t="s">
        <v>41</v>
      </c>
      <c r="C36" s="126"/>
      <c r="D36" s="127"/>
      <c r="E36" s="128"/>
      <c r="F36" s="123">
        <v>0</v>
      </c>
      <c r="G36" s="124"/>
      <c r="H36" s="44"/>
      <c r="I36" s="37"/>
    </row>
    <row r="37" spans="1:9" ht="24.75" customHeight="1">
      <c r="A37" s="2"/>
      <c r="B37" s="125" t="s">
        <v>42</v>
      </c>
      <c r="C37" s="126"/>
      <c r="D37" s="127"/>
      <c r="E37" s="128"/>
      <c r="F37" s="123">
        <v>0</v>
      </c>
      <c r="G37" s="124"/>
      <c r="H37" s="44"/>
      <c r="I37" s="9"/>
    </row>
    <row r="38" spans="1:9" ht="24.75" customHeight="1">
      <c r="A38" s="2"/>
      <c r="B38" s="125" t="s">
        <v>43</v>
      </c>
      <c r="C38" s="126"/>
      <c r="D38" s="127"/>
      <c r="E38" s="128"/>
      <c r="F38" s="123">
        <v>0</v>
      </c>
      <c r="G38" s="124"/>
      <c r="H38" s="44"/>
      <c r="I38" s="9"/>
    </row>
    <row r="39" spans="1:9" ht="24.75" customHeight="1">
      <c r="A39" s="2"/>
      <c r="B39" s="125" t="s">
        <v>44</v>
      </c>
      <c r="C39" s="126"/>
      <c r="D39" s="127"/>
      <c r="E39" s="128"/>
      <c r="F39" s="123">
        <v>0</v>
      </c>
      <c r="G39" s="124"/>
      <c r="H39" s="44"/>
      <c r="I39" s="9"/>
    </row>
    <row r="40" spans="1:9" ht="24.75" customHeight="1">
      <c r="A40" s="45"/>
      <c r="B40" s="166"/>
      <c r="C40" s="167"/>
      <c r="D40" s="116" t="s">
        <v>52</v>
      </c>
      <c r="E40" s="117"/>
      <c r="F40" s="118">
        <f>SUM(F34:G39)</f>
        <v>0</v>
      </c>
      <c r="G40" s="119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IF(Main!B2,TEXT(EDATE(Main!B3,18),"mmmm yyyy"),TEXT(Main!B3+((Main!B5-Main!B3)*18+18),"mmmm yyyy")) &amp; " to " &amp; IF(Main!B2,TEXT(EDATE(Main!B3,21)-1,"mmmm yyyy"),TEXT(Main!B3+((Main!B5-Main!B3)*21+20),"mmmm yyyy"))</f>
        <v>Fixed Expense For the Year October 2026 to January 2027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2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71" t="s">
        <v>57</v>
      </c>
      <c r="B46" s="172"/>
      <c r="C46" s="173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71" t="s">
        <v>62</v>
      </c>
      <c r="B56" s="172"/>
      <c r="C56" s="173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71" t="s">
        <v>67</v>
      </c>
      <c r="B67" s="172"/>
      <c r="C67" s="173"/>
      <c r="D67" s="44"/>
      <c r="E67" s="44"/>
      <c r="F67" s="44"/>
      <c r="G67" s="44"/>
      <c r="H67" s="44"/>
      <c r="I67" s="9"/>
    </row>
    <row r="68" spans="1:9" ht="48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71" t="s">
        <v>72</v>
      </c>
      <c r="B76" s="172"/>
      <c r="C76" s="173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71" t="s">
        <v>77</v>
      </c>
      <c r="B86" s="172"/>
      <c r="C86" s="173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71" t="s">
        <v>86</v>
      </c>
      <c r="B97" s="172"/>
      <c r="C97" s="173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(Forecast_6!C98)+SUM(E118+E145+E172)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(Forecast_6!C99)+SUM(E119+E146+E173)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(Forecast_6!C100)+SUM(E120+E147+E174)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(Forecast_6!C101)+SUM(E121+E148+E175)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(Forecast_6!C102)+SUM(E122+E149+E176)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(Forecast_6!C103)+SUM(E123+E150+E177)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(Forecast_6!C104)+SUM(E124+E151+E178)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(Forecast_6!C105)+SUM(E125+E152+E179)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(Forecast_6!C106)+SUM(E126+E153+E180)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(Forecast_6!C107)+SUM(E127+E154+E181)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99" t="str">
        <f>"Debts Or Credits For the Comming " &amp; IF(Main!B2,TEXT(EDATE(Main!B3,18),"mmmm dd yyyy"),TEXT(Main!B3+((Main!B5-Main!B3)*18+18),"mmmm dd yyyy")) &amp; " to " &amp; IF(Main!B2,TEXT(EDATE(Main!B3,19)-1,"mmmm dd yyyy"),TEXT(Main!B3+((Main!B5-Main!B3)*19+18),"mmmm dd yyyy"))</f>
        <v>Debts Or Credits For the Comming October 11 2026 to November 10 2026</v>
      </c>
      <c r="B114" s="100"/>
      <c r="C114" s="100"/>
      <c r="D114" s="100"/>
      <c r="E114" s="101"/>
      <c r="F114" s="44"/>
      <c r="G114" s="44"/>
      <c r="H114" s="44"/>
      <c r="I114" s="9"/>
    </row>
    <row r="115" spans="1:9" ht="24.75" customHeight="1">
      <c r="A115" s="99" t="s">
        <v>94</v>
      </c>
      <c r="B115" s="101"/>
      <c r="C115" s="99" t="s">
        <v>47</v>
      </c>
      <c r="D115" s="101"/>
      <c r="E115" s="29" t="s">
        <v>48</v>
      </c>
      <c r="F115" s="44"/>
      <c r="G115" s="44"/>
      <c r="H115" s="44"/>
      <c r="I115" s="9"/>
    </row>
    <row r="116" spans="1:9" ht="24.75" customHeight="1">
      <c r="A116" s="96" t="str">
        <f>"Balance Brought Forward From " &amp; IF(Main!B2,TEXT(EDATE(Main!B3,18)-1,"mmmm yyyy"),TEXT(Main!B3+((Main!B5-Main!B3)*18+17),"mmmm yyyy"))</f>
        <v>Balance Brought Forward From October 2026</v>
      </c>
      <c r="B116" s="97"/>
      <c r="C116" s="158"/>
      <c r="D116" s="158"/>
      <c r="E116" s="51">
        <f>Forecast_6!E190</f>
        <v>0</v>
      </c>
      <c r="F116" s="44"/>
      <c r="G116" s="44"/>
      <c r="H116" s="44"/>
      <c r="I116" s="9"/>
    </row>
    <row r="117" spans="1:9" ht="24.75" customHeight="1">
      <c r="A117" s="106" t="s">
        <v>95</v>
      </c>
      <c r="B117" s="107"/>
      <c r="C117" s="157" t="s">
        <v>96</v>
      </c>
      <c r="D117" s="149"/>
      <c r="E117" s="42"/>
      <c r="F117" s="44"/>
      <c r="G117" s="44"/>
      <c r="H117" s="44"/>
      <c r="I117" s="9"/>
    </row>
    <row r="118" spans="1:9" ht="24.75" customHeight="1">
      <c r="A118" s="108"/>
      <c r="B118" s="109"/>
      <c r="C118" s="104" t="s">
        <v>97</v>
      </c>
      <c r="D118" s="105"/>
      <c r="E118" s="28">
        <v>0</v>
      </c>
      <c r="F118" s="44"/>
      <c r="G118" s="44"/>
      <c r="H118" s="44"/>
      <c r="I118" s="9"/>
    </row>
    <row r="119" spans="1:9" ht="24.75" customHeight="1">
      <c r="A119" s="108"/>
      <c r="B119" s="109"/>
      <c r="C119" s="104" t="s">
        <v>98</v>
      </c>
      <c r="D119" s="105"/>
      <c r="E119" s="28">
        <v>0</v>
      </c>
      <c r="F119" s="44"/>
      <c r="G119" s="44"/>
      <c r="H119" s="44"/>
      <c r="I119" s="9"/>
    </row>
    <row r="120" spans="1:9" ht="24.75" customHeight="1">
      <c r="A120" s="108"/>
      <c r="B120" s="109"/>
      <c r="C120" s="104" t="s">
        <v>99</v>
      </c>
      <c r="D120" s="105"/>
      <c r="E120" s="28">
        <v>0</v>
      </c>
      <c r="F120" s="44"/>
      <c r="G120" s="44"/>
      <c r="H120" s="44"/>
      <c r="I120" s="9"/>
    </row>
    <row r="121" spans="1:9" ht="24.75" customHeight="1">
      <c r="A121" s="108"/>
      <c r="B121" s="109"/>
      <c r="C121" s="104" t="s">
        <v>100</v>
      </c>
      <c r="D121" s="105"/>
      <c r="E121" s="28">
        <v>0</v>
      </c>
      <c r="F121" s="44"/>
      <c r="G121" s="44"/>
      <c r="H121" s="44"/>
      <c r="I121" s="9"/>
    </row>
    <row r="122" spans="1:9" ht="24.75" customHeight="1">
      <c r="A122" s="108"/>
      <c r="B122" s="109"/>
      <c r="C122" s="104" t="s">
        <v>101</v>
      </c>
      <c r="D122" s="105"/>
      <c r="E122" s="28">
        <v>0</v>
      </c>
      <c r="F122" s="44"/>
      <c r="G122" s="44"/>
      <c r="H122" s="44"/>
      <c r="I122" s="9"/>
    </row>
    <row r="123" spans="1:9" ht="24.75" customHeight="1">
      <c r="A123" s="108"/>
      <c r="B123" s="109"/>
      <c r="C123" s="104" t="s">
        <v>102</v>
      </c>
      <c r="D123" s="105"/>
      <c r="E123" s="28">
        <v>0</v>
      </c>
      <c r="F123" s="44"/>
      <c r="G123" s="44"/>
      <c r="H123" s="44"/>
      <c r="I123" s="9"/>
    </row>
    <row r="124" spans="1:9" ht="24.75" customHeight="1">
      <c r="A124" s="108"/>
      <c r="B124" s="109"/>
      <c r="C124" s="104" t="s">
        <v>103</v>
      </c>
      <c r="D124" s="105"/>
      <c r="E124" s="28">
        <v>0</v>
      </c>
      <c r="F124" s="44"/>
      <c r="G124" s="44"/>
      <c r="H124" s="44"/>
      <c r="I124" s="9"/>
    </row>
    <row r="125" spans="1:9" ht="24.75" customHeight="1">
      <c r="A125" s="108"/>
      <c r="B125" s="109"/>
      <c r="C125" s="104" t="s">
        <v>104</v>
      </c>
      <c r="D125" s="105"/>
      <c r="E125" s="28">
        <v>0</v>
      </c>
      <c r="F125" s="44"/>
      <c r="G125" s="44"/>
      <c r="H125" s="44"/>
      <c r="I125" s="9"/>
    </row>
    <row r="126" spans="1:9" ht="24.75" customHeight="1">
      <c r="A126" s="108"/>
      <c r="B126" s="109"/>
      <c r="C126" s="104" t="s">
        <v>105</v>
      </c>
      <c r="D126" s="105"/>
      <c r="E126" s="28">
        <v>0</v>
      </c>
      <c r="F126" s="44"/>
      <c r="G126" s="44"/>
      <c r="H126" s="44"/>
      <c r="I126" s="9"/>
    </row>
    <row r="127" spans="1:9" ht="24.75" customHeight="1">
      <c r="A127" s="108"/>
      <c r="B127" s="109"/>
      <c r="C127" s="104" t="s">
        <v>106</v>
      </c>
      <c r="D127" s="105"/>
      <c r="E127" s="28">
        <v>0</v>
      </c>
      <c r="F127" s="44"/>
      <c r="G127" s="44"/>
      <c r="H127" s="44"/>
      <c r="I127" s="9"/>
    </row>
    <row r="128" spans="1:9" ht="24.75" customHeight="1">
      <c r="A128" s="108"/>
      <c r="B128" s="109"/>
      <c r="C128" s="148" t="s">
        <v>107</v>
      </c>
      <c r="D128" s="149"/>
      <c r="E128" s="42"/>
      <c r="F128" s="44"/>
      <c r="G128" s="44"/>
      <c r="H128" s="44"/>
      <c r="I128" s="9"/>
    </row>
    <row r="129" spans="1:9" ht="24.75" customHeight="1">
      <c r="A129" s="108"/>
      <c r="B129" s="109"/>
      <c r="C129" s="150" t="s">
        <v>108</v>
      </c>
      <c r="D129" s="151"/>
      <c r="E129" s="30">
        <v>0</v>
      </c>
      <c r="F129" s="44"/>
      <c r="G129" s="44"/>
      <c r="H129" s="44"/>
      <c r="I129" s="9"/>
    </row>
    <row r="130" spans="1:9" ht="24.75" customHeight="1">
      <c r="A130" s="108"/>
      <c r="B130" s="109"/>
      <c r="C130" s="104" t="s">
        <v>97</v>
      </c>
      <c r="D130" s="105"/>
      <c r="E130" s="30">
        <v>0</v>
      </c>
      <c r="F130" s="44"/>
      <c r="G130" s="44"/>
      <c r="H130" s="44"/>
      <c r="I130" s="9"/>
    </row>
    <row r="131" spans="1:9" ht="24.75" customHeight="1">
      <c r="A131" s="108"/>
      <c r="B131" s="109"/>
      <c r="C131" s="104" t="s">
        <v>98</v>
      </c>
      <c r="D131" s="105"/>
      <c r="E131" s="30">
        <v>0</v>
      </c>
      <c r="F131" s="44"/>
      <c r="G131" s="44"/>
      <c r="H131" s="44"/>
      <c r="I131" s="9"/>
    </row>
    <row r="132" spans="1:9" ht="24.75" customHeight="1">
      <c r="A132" s="108"/>
      <c r="B132" s="109"/>
      <c r="C132" s="104" t="s">
        <v>99</v>
      </c>
      <c r="D132" s="105"/>
      <c r="E132" s="30">
        <v>0</v>
      </c>
      <c r="F132" s="44"/>
      <c r="G132" s="44"/>
      <c r="H132" s="44"/>
      <c r="I132" s="9"/>
    </row>
    <row r="133" spans="1:9" ht="24.75" customHeight="1">
      <c r="A133" s="108"/>
      <c r="B133" s="109"/>
      <c r="C133" s="104" t="s">
        <v>100</v>
      </c>
      <c r="D133" s="105"/>
      <c r="E133" s="30">
        <v>0</v>
      </c>
      <c r="F133" s="44"/>
      <c r="G133" s="44"/>
      <c r="H133" s="44"/>
      <c r="I133" s="9"/>
    </row>
    <row r="134" spans="1:9" ht="24.75" customHeight="1">
      <c r="A134" s="110"/>
      <c r="B134" s="111"/>
      <c r="C134" s="104" t="s">
        <v>101</v>
      </c>
      <c r="D134" s="105"/>
      <c r="E134" s="30">
        <v>0</v>
      </c>
      <c r="F134" s="44"/>
      <c r="G134" s="44"/>
      <c r="H134" s="44"/>
      <c r="I134" s="9"/>
    </row>
    <row r="135" spans="1:9" ht="24.75" customHeight="1">
      <c r="A135" s="96" t="s">
        <v>109</v>
      </c>
      <c r="B135" s="152"/>
      <c r="C135" s="153"/>
      <c r="D135" s="154"/>
      <c r="E135" s="30">
        <f>C96</f>
        <v>0</v>
      </c>
      <c r="F135" s="44"/>
      <c r="G135" s="44"/>
      <c r="H135" s="44"/>
      <c r="I135" s="9"/>
    </row>
    <row r="136" spans="1:9" ht="24.75" customHeight="1">
      <c r="A136" s="145"/>
      <c r="B136" s="146"/>
      <c r="C136" s="147" t="s">
        <v>110</v>
      </c>
      <c r="D136" s="147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99" t="str">
        <f>"Debts Or Credits For the Comming " &amp; IF(Main!B2,TEXT(EDATE(Main!B3,19),"mmmm dd yyyy"),TEXT(Main!B3+((Main!B5-Main!B3)*19+19),"dd mmmm yyyy")) &amp; " to " &amp;  IF(Main!B2,TEXT(EDATE(Main!B3,20)-1,"mmmm dd yyyy"),TEXT(Main!B3+((Main!B5-Main!B3)*20+19),"mmmm dd yyyy"))</f>
        <v>Debts Or Credits For the Comming November 11 2026 to December 10 2026</v>
      </c>
      <c r="B141" s="100"/>
      <c r="C141" s="100"/>
      <c r="D141" s="100"/>
      <c r="E141" s="101"/>
      <c r="F141" s="44"/>
      <c r="G141" s="44"/>
      <c r="H141" s="44"/>
      <c r="I141" s="9"/>
    </row>
    <row r="142" spans="1:9" ht="24.75" customHeight="1">
      <c r="A142" s="99" t="s">
        <v>94</v>
      </c>
      <c r="B142" s="101"/>
      <c r="C142" s="102" t="s">
        <v>47</v>
      </c>
      <c r="D142" s="103"/>
      <c r="E142" s="39" t="s">
        <v>48</v>
      </c>
      <c r="F142" s="44"/>
      <c r="G142" s="44"/>
      <c r="H142" s="44"/>
      <c r="I142" s="9"/>
    </row>
    <row r="143" spans="1:9" ht="24.75" customHeight="1">
      <c r="A143" s="96" t="str">
        <f>"Balance Brought Forward From " &amp; IF(Main!B2,TEXT(EDATE(Main!B3,19)-1,"mmmm yyyy"),TEXT(Main!B3+((Main!B5-Main!B3)*19+18),"mmmm yyyy"))</f>
        <v>Balance Brought Forward From November 2026</v>
      </c>
      <c r="B143" s="97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06" t="s">
        <v>95</v>
      </c>
      <c r="B144" s="107"/>
      <c r="C144" s="112" t="s">
        <v>96</v>
      </c>
      <c r="D144" s="113"/>
      <c r="E144" s="43"/>
      <c r="F144" s="44"/>
      <c r="G144" s="44"/>
      <c r="H144" s="44"/>
      <c r="I144" s="9"/>
    </row>
    <row r="145" spans="1:9" ht="24.75" customHeight="1">
      <c r="A145" s="108"/>
      <c r="B145" s="109"/>
      <c r="C145" s="104" t="s">
        <v>97</v>
      </c>
      <c r="D145" s="105"/>
      <c r="E145" s="28">
        <v>0</v>
      </c>
      <c r="F145" s="44"/>
      <c r="G145" s="44"/>
      <c r="H145" s="44"/>
      <c r="I145" s="9"/>
    </row>
    <row r="146" spans="1:9" ht="24.75" customHeight="1">
      <c r="A146" s="108"/>
      <c r="B146" s="109"/>
      <c r="C146" s="104" t="s">
        <v>98</v>
      </c>
      <c r="D146" s="105"/>
      <c r="E146" s="28">
        <v>0</v>
      </c>
      <c r="F146" s="44"/>
      <c r="G146" s="44"/>
      <c r="H146" s="44"/>
      <c r="I146" s="9"/>
    </row>
    <row r="147" spans="1:9" ht="24.75" customHeight="1">
      <c r="A147" s="108"/>
      <c r="B147" s="109"/>
      <c r="C147" s="104" t="s">
        <v>99</v>
      </c>
      <c r="D147" s="105"/>
      <c r="E147" s="28">
        <v>0</v>
      </c>
      <c r="F147" s="44"/>
      <c r="G147" s="44"/>
      <c r="H147" s="44"/>
      <c r="I147" s="9"/>
    </row>
    <row r="148" spans="1:9" ht="24.75" customHeight="1">
      <c r="A148" s="108"/>
      <c r="B148" s="109"/>
      <c r="C148" s="104" t="s">
        <v>100</v>
      </c>
      <c r="D148" s="105"/>
      <c r="E148" s="28">
        <v>0</v>
      </c>
      <c r="F148" s="44"/>
      <c r="G148" s="44"/>
      <c r="H148" s="44"/>
      <c r="I148" s="9"/>
    </row>
    <row r="149" spans="1:9" ht="24.75" customHeight="1">
      <c r="A149" s="108"/>
      <c r="B149" s="109"/>
      <c r="C149" s="104" t="s">
        <v>101</v>
      </c>
      <c r="D149" s="105"/>
      <c r="E149" s="28">
        <v>0</v>
      </c>
      <c r="F149" s="44"/>
      <c r="G149" s="44"/>
      <c r="H149" s="44"/>
      <c r="I149" s="9"/>
    </row>
    <row r="150" spans="1:9" ht="24.75" customHeight="1">
      <c r="A150" s="108"/>
      <c r="B150" s="109"/>
      <c r="C150" s="104" t="s">
        <v>102</v>
      </c>
      <c r="D150" s="105"/>
      <c r="E150" s="28">
        <v>0</v>
      </c>
      <c r="F150" s="44"/>
      <c r="G150" s="44"/>
      <c r="H150" s="44"/>
      <c r="I150" s="9"/>
    </row>
    <row r="151" spans="1:9" ht="24.75" customHeight="1">
      <c r="A151" s="108"/>
      <c r="B151" s="109"/>
      <c r="C151" s="104" t="s">
        <v>103</v>
      </c>
      <c r="D151" s="105"/>
      <c r="E151" s="28">
        <v>0</v>
      </c>
      <c r="F151" s="44"/>
      <c r="G151" s="44"/>
      <c r="H151" s="44"/>
      <c r="I151" s="9"/>
    </row>
    <row r="152" spans="1:9" ht="24.75" customHeight="1">
      <c r="A152" s="108"/>
      <c r="B152" s="109"/>
      <c r="C152" s="104" t="s">
        <v>104</v>
      </c>
      <c r="D152" s="105"/>
      <c r="E152" s="28">
        <v>0</v>
      </c>
      <c r="F152" s="44"/>
      <c r="G152" s="44"/>
      <c r="H152" s="44"/>
      <c r="I152" s="9"/>
    </row>
    <row r="153" spans="1:9" ht="24.75" customHeight="1">
      <c r="A153" s="108"/>
      <c r="B153" s="109"/>
      <c r="C153" s="104" t="s">
        <v>105</v>
      </c>
      <c r="D153" s="105"/>
      <c r="E153" s="28">
        <v>0</v>
      </c>
      <c r="F153" s="44"/>
      <c r="G153" s="44"/>
      <c r="H153" s="44"/>
      <c r="I153" s="9"/>
    </row>
    <row r="154" spans="1:9" ht="24.75" customHeight="1">
      <c r="A154" s="108"/>
      <c r="B154" s="109"/>
      <c r="C154" s="104" t="s">
        <v>106</v>
      </c>
      <c r="D154" s="105"/>
      <c r="E154" s="28">
        <v>0</v>
      </c>
      <c r="F154" s="44"/>
      <c r="G154" s="44"/>
      <c r="H154" s="44"/>
      <c r="I154" s="9"/>
    </row>
    <row r="155" spans="1:9" ht="24.75" customHeight="1">
      <c r="A155" s="108"/>
      <c r="B155" s="109"/>
      <c r="C155" s="148" t="s">
        <v>107</v>
      </c>
      <c r="D155" s="149"/>
      <c r="E155" s="42"/>
      <c r="F155" s="44"/>
      <c r="G155" s="44"/>
      <c r="H155" s="44"/>
      <c r="I155" s="9"/>
    </row>
    <row r="156" spans="1:9" ht="24.75" customHeight="1">
      <c r="A156" s="108"/>
      <c r="B156" s="109"/>
      <c r="C156" s="150" t="s">
        <v>111</v>
      </c>
      <c r="D156" s="151"/>
      <c r="E156" s="30">
        <v>0</v>
      </c>
      <c r="F156" s="44"/>
      <c r="G156" s="44"/>
      <c r="H156" s="44"/>
      <c r="I156" s="9"/>
    </row>
    <row r="157" spans="1:9" ht="24.75" customHeight="1">
      <c r="A157" s="108"/>
      <c r="B157" s="109"/>
      <c r="C157" s="104" t="s">
        <v>97</v>
      </c>
      <c r="D157" s="105"/>
      <c r="E157" s="30">
        <v>0</v>
      </c>
      <c r="F157" s="44"/>
      <c r="G157" s="44"/>
      <c r="H157" s="44"/>
      <c r="I157" s="9"/>
    </row>
    <row r="158" spans="1:9" ht="24.75" customHeight="1">
      <c r="A158" s="108"/>
      <c r="B158" s="109"/>
      <c r="C158" s="104" t="s">
        <v>98</v>
      </c>
      <c r="D158" s="105"/>
      <c r="E158" s="30">
        <v>0</v>
      </c>
      <c r="F158" s="44"/>
      <c r="G158" s="44"/>
      <c r="H158" s="44"/>
      <c r="I158" s="9"/>
    </row>
    <row r="159" spans="1:9" ht="24.75" customHeight="1">
      <c r="A159" s="108"/>
      <c r="B159" s="109"/>
      <c r="C159" s="104" t="s">
        <v>99</v>
      </c>
      <c r="D159" s="105"/>
      <c r="E159" s="30">
        <v>0</v>
      </c>
      <c r="F159" s="44"/>
      <c r="G159" s="44"/>
      <c r="H159" s="44"/>
      <c r="I159" s="9"/>
    </row>
    <row r="160" spans="1:9" ht="24.75" customHeight="1">
      <c r="A160" s="108"/>
      <c r="B160" s="109"/>
      <c r="C160" s="104" t="s">
        <v>100</v>
      </c>
      <c r="D160" s="105"/>
      <c r="E160" s="30">
        <v>0</v>
      </c>
      <c r="F160" s="44"/>
      <c r="G160" s="44"/>
      <c r="H160" s="44"/>
      <c r="I160" s="9"/>
    </row>
    <row r="161" spans="1:9" ht="24.75" customHeight="1">
      <c r="A161" s="110"/>
      <c r="B161" s="111"/>
      <c r="C161" s="104" t="s">
        <v>101</v>
      </c>
      <c r="D161" s="105"/>
      <c r="E161" s="30">
        <v>0</v>
      </c>
      <c r="F161" s="44"/>
      <c r="G161" s="44"/>
      <c r="H161" s="44"/>
      <c r="I161" s="9"/>
    </row>
    <row r="162" spans="1:9" ht="24.75" customHeight="1">
      <c r="A162" s="96" t="s">
        <v>109</v>
      </c>
      <c r="B162" s="152"/>
      <c r="C162" s="153"/>
      <c r="D162" s="154"/>
      <c r="E162" s="30">
        <f>C96</f>
        <v>0</v>
      </c>
      <c r="F162" s="44"/>
      <c r="G162" s="44"/>
      <c r="H162" s="44"/>
      <c r="I162" s="9"/>
    </row>
    <row r="163" spans="1:9" ht="24.75" customHeight="1">
      <c r="A163" s="145"/>
      <c r="B163" s="146"/>
      <c r="C163" s="147" t="s">
        <v>110</v>
      </c>
      <c r="D163" s="147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99" t="str">
        <f>"Debts Or Credits For the Comming " &amp; IF(Main!B2,TEXT(EDATE(Main!B3,20),"mmmm dd yyyy"),TEXT(Main!B3+((Main!B5-Main!B3)*20+20),"mmmm dd yyyy")) &amp; " to " &amp; IF(Main!B2,TEXT(EDATE(Main!B3,21)-1,"mmmm dd yyyy"),TEXT(Main!B3+((Main!B5-Main!B3)*21+20),"mmmm dd yyyy"))</f>
        <v>Debts Or Credits For the Comming December 11 2026 to January 10 2027</v>
      </c>
      <c r="B168" s="100"/>
      <c r="C168" s="100"/>
      <c r="D168" s="100"/>
      <c r="E168" s="101"/>
      <c r="F168" s="44"/>
      <c r="G168" s="44"/>
      <c r="H168" s="44"/>
      <c r="I168" s="9"/>
    </row>
    <row r="169" spans="1:9" ht="24.75" customHeight="1">
      <c r="A169" s="99" t="s">
        <v>94</v>
      </c>
      <c r="B169" s="101"/>
      <c r="C169" s="102" t="s">
        <v>47</v>
      </c>
      <c r="D169" s="103"/>
      <c r="E169" s="39" t="s">
        <v>48</v>
      </c>
      <c r="F169" s="44"/>
      <c r="G169" s="44"/>
      <c r="H169" s="44"/>
      <c r="I169" s="9"/>
    </row>
    <row r="170" spans="1:9" ht="24.75" customHeight="1">
      <c r="A170" s="96" t="str">
        <f>"Balance Brought Forward From " &amp;  IF(Main!B2,TEXT(EDATE(Main!B3,20)-1,"mmmm yyyy"),TEXT(Main!B3+((Main!B5-Main!B3)*20+19),"mmmm yyyy"))</f>
        <v>Balance Brought Forward From December 2026</v>
      </c>
      <c r="B170" s="97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06" t="s">
        <v>95</v>
      </c>
      <c r="B171" s="107"/>
      <c r="C171" s="112" t="s">
        <v>96</v>
      </c>
      <c r="D171" s="113"/>
      <c r="E171" s="43"/>
      <c r="F171" s="44"/>
      <c r="G171" s="44"/>
      <c r="H171" s="44"/>
      <c r="I171" s="9"/>
    </row>
    <row r="172" spans="1:9" ht="24.75" customHeight="1">
      <c r="A172" s="108"/>
      <c r="B172" s="109"/>
      <c r="C172" s="104" t="s">
        <v>97</v>
      </c>
      <c r="D172" s="105"/>
      <c r="E172" s="28">
        <v>0</v>
      </c>
      <c r="F172" s="44"/>
      <c r="G172" s="44"/>
      <c r="H172" s="44"/>
      <c r="I172" s="9"/>
    </row>
    <row r="173" spans="1:9" ht="24.75" customHeight="1">
      <c r="A173" s="108"/>
      <c r="B173" s="109"/>
      <c r="C173" s="104" t="s">
        <v>98</v>
      </c>
      <c r="D173" s="105"/>
      <c r="E173" s="28">
        <v>0</v>
      </c>
      <c r="F173" s="44"/>
      <c r="G173" s="44"/>
      <c r="H173" s="44"/>
      <c r="I173" s="9"/>
    </row>
    <row r="174" spans="1:9" ht="24.75" customHeight="1">
      <c r="A174" s="108"/>
      <c r="B174" s="109"/>
      <c r="C174" s="104" t="s">
        <v>99</v>
      </c>
      <c r="D174" s="105"/>
      <c r="E174" s="28">
        <v>0</v>
      </c>
      <c r="F174" s="44"/>
      <c r="G174" s="44"/>
      <c r="H174" s="44"/>
      <c r="I174" s="9"/>
    </row>
    <row r="175" spans="1:9" ht="24.75" customHeight="1">
      <c r="A175" s="108"/>
      <c r="B175" s="109"/>
      <c r="C175" s="104" t="s">
        <v>100</v>
      </c>
      <c r="D175" s="105"/>
      <c r="E175" s="28">
        <v>0</v>
      </c>
      <c r="F175" s="44"/>
      <c r="G175" s="44"/>
      <c r="H175" s="44"/>
      <c r="I175" s="9"/>
    </row>
    <row r="176" spans="1:9" ht="24.75" customHeight="1">
      <c r="A176" s="108"/>
      <c r="B176" s="109"/>
      <c r="C176" s="104" t="s">
        <v>101</v>
      </c>
      <c r="D176" s="105"/>
      <c r="E176" s="28">
        <v>0</v>
      </c>
      <c r="F176" s="44"/>
      <c r="G176" s="44"/>
      <c r="H176" s="44"/>
      <c r="I176" s="9"/>
    </row>
    <row r="177" spans="1:9" ht="24.75" customHeight="1">
      <c r="A177" s="108"/>
      <c r="B177" s="109"/>
      <c r="C177" s="104" t="s">
        <v>102</v>
      </c>
      <c r="D177" s="105"/>
      <c r="E177" s="28">
        <v>0</v>
      </c>
      <c r="F177" s="44"/>
      <c r="G177" s="44"/>
      <c r="H177" s="44"/>
      <c r="I177" s="9"/>
    </row>
    <row r="178" spans="1:9" ht="24.75" customHeight="1">
      <c r="A178" s="108"/>
      <c r="B178" s="109"/>
      <c r="C178" s="104" t="s">
        <v>103</v>
      </c>
      <c r="D178" s="105"/>
      <c r="E178" s="28">
        <v>0</v>
      </c>
      <c r="F178" s="44"/>
      <c r="G178" s="44"/>
      <c r="H178" s="44"/>
      <c r="I178" s="9"/>
    </row>
    <row r="179" spans="1:9" ht="24.75" customHeight="1">
      <c r="A179" s="108"/>
      <c r="B179" s="109"/>
      <c r="C179" s="104" t="s">
        <v>104</v>
      </c>
      <c r="D179" s="105"/>
      <c r="E179" s="28">
        <v>0</v>
      </c>
      <c r="F179" s="44"/>
      <c r="G179" s="44"/>
      <c r="H179" s="44"/>
      <c r="I179" s="9"/>
    </row>
    <row r="180" spans="1:9" ht="24.75" customHeight="1">
      <c r="A180" s="108"/>
      <c r="B180" s="109"/>
      <c r="C180" s="104" t="s">
        <v>105</v>
      </c>
      <c r="D180" s="105"/>
      <c r="E180" s="28">
        <v>0</v>
      </c>
      <c r="F180" s="44"/>
      <c r="G180" s="44"/>
      <c r="H180" s="44"/>
      <c r="I180" s="9"/>
    </row>
    <row r="181" spans="1:9" ht="24.75" customHeight="1">
      <c r="A181" s="108"/>
      <c r="B181" s="109"/>
      <c r="C181" s="104" t="s">
        <v>106</v>
      </c>
      <c r="D181" s="105"/>
      <c r="E181" s="28">
        <v>0</v>
      </c>
      <c r="F181" s="44"/>
      <c r="G181" s="44"/>
      <c r="H181" s="44"/>
      <c r="I181" s="9"/>
    </row>
    <row r="182" spans="1:9" ht="24.75" customHeight="1">
      <c r="A182" s="108"/>
      <c r="B182" s="109"/>
      <c r="C182" s="148" t="s">
        <v>107</v>
      </c>
      <c r="D182" s="149"/>
      <c r="E182" s="42"/>
      <c r="F182" s="44"/>
      <c r="G182" s="44"/>
      <c r="H182" s="44"/>
      <c r="I182" s="9"/>
    </row>
    <row r="183" spans="1:9" ht="24.75" customHeight="1">
      <c r="A183" s="108"/>
      <c r="B183" s="109"/>
      <c r="C183" s="150" t="s">
        <v>111</v>
      </c>
      <c r="D183" s="151"/>
      <c r="E183" s="30">
        <v>0</v>
      </c>
      <c r="F183" s="44"/>
      <c r="G183" s="44"/>
      <c r="H183" s="44"/>
      <c r="I183" s="9"/>
    </row>
    <row r="184" spans="1:9" ht="24.75" customHeight="1">
      <c r="A184" s="108"/>
      <c r="B184" s="109"/>
      <c r="C184" s="104" t="s">
        <v>97</v>
      </c>
      <c r="D184" s="105"/>
      <c r="E184" s="30">
        <v>0</v>
      </c>
      <c r="F184" s="44"/>
      <c r="G184" s="44"/>
      <c r="H184" s="44"/>
      <c r="I184" s="9"/>
    </row>
    <row r="185" spans="1:9" ht="24.75" customHeight="1">
      <c r="A185" s="108"/>
      <c r="B185" s="109"/>
      <c r="C185" s="104" t="s">
        <v>98</v>
      </c>
      <c r="D185" s="105"/>
      <c r="E185" s="30">
        <v>0</v>
      </c>
      <c r="F185" s="44"/>
      <c r="G185" s="44"/>
      <c r="H185" s="44"/>
      <c r="I185" s="9"/>
    </row>
    <row r="186" spans="1:9" ht="24.75" customHeight="1">
      <c r="A186" s="108"/>
      <c r="B186" s="109"/>
      <c r="C186" s="104" t="s">
        <v>99</v>
      </c>
      <c r="D186" s="105"/>
      <c r="E186" s="30">
        <v>0</v>
      </c>
      <c r="F186" s="44"/>
      <c r="G186" s="44"/>
      <c r="H186" s="44"/>
      <c r="I186" s="9"/>
    </row>
    <row r="187" spans="1:9" ht="24.75" customHeight="1">
      <c r="A187" s="108"/>
      <c r="B187" s="109"/>
      <c r="C187" s="104" t="s">
        <v>100</v>
      </c>
      <c r="D187" s="105"/>
      <c r="E187" s="30">
        <v>0</v>
      </c>
      <c r="F187" s="44"/>
      <c r="G187" s="44"/>
      <c r="H187" s="44"/>
      <c r="I187" s="9"/>
    </row>
    <row r="188" spans="1:9" ht="24.75" customHeight="1">
      <c r="A188" s="110"/>
      <c r="B188" s="111"/>
      <c r="C188" s="104" t="s">
        <v>101</v>
      </c>
      <c r="D188" s="105"/>
      <c r="E188" s="30">
        <v>0</v>
      </c>
      <c r="F188" s="44"/>
      <c r="G188" s="44"/>
      <c r="H188" s="44"/>
      <c r="I188" s="9"/>
    </row>
    <row r="189" spans="1:9" ht="24.75" customHeight="1">
      <c r="A189" s="96" t="s">
        <v>109</v>
      </c>
      <c r="B189" s="152"/>
      <c r="C189" s="153"/>
      <c r="D189" s="154"/>
      <c r="E189" s="30">
        <f>C96</f>
        <v>0</v>
      </c>
      <c r="F189" s="44"/>
      <c r="G189" s="44"/>
      <c r="H189" s="44"/>
      <c r="I189" s="9"/>
    </row>
    <row r="190" spans="1:9" ht="24.75" customHeight="1">
      <c r="A190" s="145"/>
      <c r="B190" s="146"/>
      <c r="C190" s="147" t="s">
        <v>110</v>
      </c>
      <c r="D190" s="147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509" priority="51" operator="equal">
      <formula>0</formula>
    </cfRule>
  </conditionalFormatting>
  <conditionalFormatting sqref="C47:C55 C85 C95:C96 E144 E155:E162">
    <cfRule type="cellIs" dxfId="508" priority="50" operator="greaterThan">
      <formula>0</formula>
    </cfRule>
  </conditionalFormatting>
  <conditionalFormatting sqref="C57:C66">
    <cfRule type="cellIs" dxfId="507" priority="49" operator="equal">
      <formula>0</formula>
    </cfRule>
  </conditionalFormatting>
  <conditionalFormatting sqref="C57:C66">
    <cfRule type="cellIs" dxfId="506" priority="48" operator="greaterThan">
      <formula>0</formula>
    </cfRule>
  </conditionalFormatting>
  <conditionalFormatting sqref="C68:C69">
    <cfRule type="cellIs" dxfId="505" priority="47" operator="equal">
      <formula>0</formula>
    </cfRule>
  </conditionalFormatting>
  <conditionalFormatting sqref="C68:C69">
    <cfRule type="cellIs" dxfId="504" priority="46" operator="greaterThan">
      <formula>0</formula>
    </cfRule>
  </conditionalFormatting>
  <conditionalFormatting sqref="C75">
    <cfRule type="cellIs" dxfId="503" priority="45" operator="equal">
      <formula>0</formula>
    </cfRule>
  </conditionalFormatting>
  <conditionalFormatting sqref="C75">
    <cfRule type="cellIs" dxfId="502" priority="44" operator="greaterThan">
      <formula>0</formula>
    </cfRule>
  </conditionalFormatting>
  <conditionalFormatting sqref="C77">
    <cfRule type="cellIs" dxfId="501" priority="43" operator="equal">
      <formula>0</formula>
    </cfRule>
  </conditionalFormatting>
  <conditionalFormatting sqref="C77">
    <cfRule type="cellIs" dxfId="500" priority="42" operator="greaterThan">
      <formula>0</formula>
    </cfRule>
  </conditionalFormatting>
  <conditionalFormatting sqref="C87:C89">
    <cfRule type="cellIs" dxfId="499" priority="41" operator="equal">
      <formula>0</formula>
    </cfRule>
  </conditionalFormatting>
  <conditionalFormatting sqref="C87:C89">
    <cfRule type="cellIs" dxfId="498" priority="40" operator="greaterThan">
      <formula>0</formula>
    </cfRule>
  </conditionalFormatting>
  <conditionalFormatting sqref="E117 E128:E135">
    <cfRule type="cellIs" dxfId="497" priority="39" operator="equal">
      <formula>0</formula>
    </cfRule>
  </conditionalFormatting>
  <conditionalFormatting sqref="E117 E128:E135">
    <cfRule type="cellIs" dxfId="496" priority="38" operator="greaterThan">
      <formula>0</formula>
    </cfRule>
  </conditionalFormatting>
  <conditionalFormatting sqref="E136">
    <cfRule type="cellIs" dxfId="495" priority="37" operator="greaterThanOrEqual">
      <formula>0</formula>
    </cfRule>
  </conditionalFormatting>
  <conditionalFormatting sqref="E136">
    <cfRule type="cellIs" dxfId="494" priority="36" operator="lessThan">
      <formula>0</formula>
    </cfRule>
  </conditionalFormatting>
  <conditionalFormatting sqref="C70:C74">
    <cfRule type="cellIs" dxfId="493" priority="35" operator="equal">
      <formula>0</formula>
    </cfRule>
  </conditionalFormatting>
  <conditionalFormatting sqref="C70:C74">
    <cfRule type="cellIs" dxfId="492" priority="34" operator="greaterThan">
      <formula>0</formula>
    </cfRule>
  </conditionalFormatting>
  <conditionalFormatting sqref="C80:C84">
    <cfRule type="cellIs" dxfId="491" priority="33" operator="equal">
      <formula>0</formula>
    </cfRule>
  </conditionalFormatting>
  <conditionalFormatting sqref="C80:C84">
    <cfRule type="cellIs" dxfId="490" priority="32" operator="greaterThan">
      <formula>0</formula>
    </cfRule>
  </conditionalFormatting>
  <conditionalFormatting sqref="C92:C94">
    <cfRule type="cellIs" dxfId="489" priority="31" operator="equal">
      <formula>0</formula>
    </cfRule>
  </conditionalFormatting>
  <conditionalFormatting sqref="C92:C94">
    <cfRule type="cellIs" dxfId="488" priority="30" operator="greaterThan">
      <formula>0</formula>
    </cfRule>
  </conditionalFormatting>
  <conditionalFormatting sqref="C108:C109">
    <cfRule type="cellIs" dxfId="487" priority="29" operator="equal">
      <formula>0</formula>
    </cfRule>
  </conditionalFormatting>
  <conditionalFormatting sqref="C108:C109">
    <cfRule type="cellIs" dxfId="486" priority="28" operator="greaterThan">
      <formula>0</formula>
    </cfRule>
  </conditionalFormatting>
  <conditionalFormatting sqref="E144 E155:E162">
    <cfRule type="cellIs" dxfId="485" priority="27" operator="equal">
      <formula>0</formula>
    </cfRule>
  </conditionalFormatting>
  <conditionalFormatting sqref="E163">
    <cfRule type="cellIs" dxfId="484" priority="26" operator="greaterThanOrEqual">
      <formula>0</formula>
    </cfRule>
  </conditionalFormatting>
  <conditionalFormatting sqref="E163">
    <cfRule type="cellIs" dxfId="483" priority="25" operator="lessThan">
      <formula>0</formula>
    </cfRule>
  </conditionalFormatting>
  <conditionalFormatting sqref="E143">
    <cfRule type="cellIs" dxfId="482" priority="24" operator="greaterThanOrEqual">
      <formula>0</formula>
    </cfRule>
  </conditionalFormatting>
  <conditionalFormatting sqref="E143">
    <cfRule type="cellIs" dxfId="481" priority="23" operator="lessThan">
      <formula>0</formula>
    </cfRule>
  </conditionalFormatting>
  <conditionalFormatting sqref="E171 E182:E189">
    <cfRule type="cellIs" dxfId="480" priority="22" operator="equal">
      <formula>0</formula>
    </cfRule>
  </conditionalFormatting>
  <conditionalFormatting sqref="E171 E182:E189">
    <cfRule type="cellIs" dxfId="479" priority="21" operator="greaterThan">
      <formula>0</formula>
    </cfRule>
  </conditionalFormatting>
  <conditionalFormatting sqref="E190">
    <cfRule type="cellIs" dxfId="478" priority="20" operator="greaterThanOrEqual">
      <formula>0</formula>
    </cfRule>
  </conditionalFormatting>
  <conditionalFormatting sqref="E190">
    <cfRule type="cellIs" dxfId="477" priority="19" operator="lessThan">
      <formula>0</formula>
    </cfRule>
  </conditionalFormatting>
  <conditionalFormatting sqref="E170">
    <cfRule type="cellIs" dxfId="476" priority="18" operator="greaterThanOrEqual">
      <formula>0</formula>
    </cfRule>
  </conditionalFormatting>
  <conditionalFormatting sqref="E170">
    <cfRule type="cellIs" dxfId="475" priority="17" operator="lessThan">
      <formula>0</formula>
    </cfRule>
  </conditionalFormatting>
  <conditionalFormatting sqref="C5">
    <cfRule type="cellIs" dxfId="474" priority="16" operator="equal">
      <formula>0</formula>
    </cfRule>
  </conditionalFormatting>
  <conditionalFormatting sqref="C5">
    <cfRule type="cellIs" dxfId="473" priority="15" operator="greaterThan">
      <formula>0</formula>
    </cfRule>
  </conditionalFormatting>
  <conditionalFormatting sqref="C98:C107">
    <cfRule type="cellIs" dxfId="472" priority="14" operator="lessThan">
      <formula>0</formula>
    </cfRule>
  </conditionalFormatting>
  <conditionalFormatting sqref="C98:C107">
    <cfRule type="cellIs" dxfId="471" priority="13" operator="greaterThanOrEqual">
      <formula>0</formula>
    </cfRule>
  </conditionalFormatting>
  <conditionalFormatting sqref="E118:E127">
    <cfRule type="cellIs" dxfId="470" priority="12" operator="equal">
      <formula>0</formula>
    </cfRule>
  </conditionalFormatting>
  <conditionalFormatting sqref="E118:E127">
    <cfRule type="cellIs" dxfId="469" priority="11" operator="greaterThan">
      <formula>0</formula>
    </cfRule>
  </conditionalFormatting>
  <conditionalFormatting sqref="E145:E154">
    <cfRule type="cellIs" dxfId="468" priority="10" operator="equal">
      <formula>0</formula>
    </cfRule>
  </conditionalFormatting>
  <conditionalFormatting sqref="E145:E154">
    <cfRule type="cellIs" dxfId="467" priority="9" operator="greaterThan">
      <formula>0</formula>
    </cfRule>
  </conditionalFormatting>
  <conditionalFormatting sqref="E172:E181">
    <cfRule type="cellIs" dxfId="466" priority="8" operator="equal">
      <formula>0</formula>
    </cfRule>
  </conditionalFormatting>
  <conditionalFormatting sqref="E172:E181">
    <cfRule type="cellIs" dxfId="465" priority="7" operator="greaterThan">
      <formula>0</formula>
    </cfRule>
  </conditionalFormatting>
  <conditionalFormatting sqref="E116">
    <cfRule type="cellIs" dxfId="464" priority="6" operator="greaterThanOrEqual">
      <formula>0</formula>
    </cfRule>
  </conditionalFormatting>
  <conditionalFormatting sqref="E116">
    <cfRule type="cellIs" dxfId="463" priority="5" operator="lessThan">
      <formula>0</formula>
    </cfRule>
  </conditionalFormatting>
  <conditionalFormatting sqref="C78:C79">
    <cfRule type="cellIs" dxfId="462" priority="4" operator="equal">
      <formula>0</formula>
    </cfRule>
  </conditionalFormatting>
  <conditionalFormatting sqref="C78:C79">
    <cfRule type="cellIs" dxfId="461" priority="3" operator="greaterThan">
      <formula>0</formula>
    </cfRule>
  </conditionalFormatting>
  <conditionalFormatting sqref="C90:C91">
    <cfRule type="cellIs" dxfId="460" priority="2" operator="equal">
      <formula>0</formula>
    </cfRule>
  </conditionalFormatting>
  <conditionalFormatting sqref="C90:C91">
    <cfRule type="cellIs" dxfId="459" priority="1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0479-C751-4C53-A2ED-EE5DA60A80DD}">
  <dimension ref="A1:I193"/>
  <sheetViews>
    <sheetView topLeftCell="A9" workbookViewId="0">
      <selection activeCell="I40" sqref="I40"/>
    </sheetView>
  </sheetViews>
  <sheetFormatPr defaultRowHeight="15"/>
  <cols>
    <col min="1" max="1" width="20.625" customWidth="1"/>
    <col min="2" max="2" width="25" customWidth="1"/>
    <col min="3" max="3" width="21.25" customWidth="1"/>
    <col min="4" max="8" width="20.625" customWidth="1"/>
  </cols>
  <sheetData>
    <row r="1" spans="1:9" ht="24.75" customHeight="1">
      <c r="A1" s="177" t="str">
        <f>"Forecasts For the Year " &amp; IF(Main!B2,TEXT(EDATE(Main!B3,21),"mmmm yyyy"),TEXT(Main!B3+((Main!B5-Main!B3)*21+21),"mmmm yyyy")) &amp; " to " &amp; IF(Main!B2,TEXT(EDATE(Main!B3,24)-1,"mmmm yyyy"),TEXT(Main!B3+((Main!B5-Main!B3)*24+23),"mmmm yyyy"))</f>
        <v>Forecasts For the Year January 2027 to April 2027</v>
      </c>
      <c r="B1" s="177"/>
      <c r="C1" s="177"/>
      <c r="D1" s="177"/>
      <c r="E1" s="177"/>
      <c r="F1" s="177"/>
      <c r="G1" s="177"/>
      <c r="H1" s="47"/>
      <c r="I1" s="47"/>
    </row>
    <row r="2" spans="1:9" ht="24.75" customHeight="1">
      <c r="A2" s="159" t="s">
        <v>31</v>
      </c>
      <c r="B2" s="48" t="s">
        <v>112</v>
      </c>
      <c r="C2" s="161" cm="1">
        <f t="array" aca="1" ref="C2" ca="1">INDIRECT("'" &amp; Main!B9 &amp; "'!$C$15")</f>
        <v>0</v>
      </c>
      <c r="D2" s="161"/>
      <c r="E2" s="161"/>
      <c r="F2" s="161"/>
      <c r="G2" s="161"/>
      <c r="H2" s="47"/>
      <c r="I2" s="47"/>
    </row>
    <row r="3" spans="1:9" ht="24.75" customHeight="1">
      <c r="A3" s="160"/>
      <c r="B3" s="41" t="s">
        <v>113</v>
      </c>
      <c r="C3" s="162">
        <f>E190</f>
        <v>0</v>
      </c>
      <c r="D3" s="162"/>
      <c r="E3" s="162"/>
      <c r="F3" s="162"/>
      <c r="G3" s="162"/>
      <c r="H3" s="47"/>
      <c r="I3" s="47"/>
    </row>
    <row r="4" spans="1:9" ht="24.75" customHeight="1">
      <c r="A4" s="174" t="s">
        <v>45</v>
      </c>
      <c r="B4" s="175"/>
      <c r="C4" s="163">
        <f ca="1">SUM(C2:G3)</f>
        <v>0</v>
      </c>
      <c r="D4" s="163"/>
      <c r="E4" s="163"/>
      <c r="F4" s="163"/>
      <c r="G4" s="163"/>
      <c r="H4" s="44"/>
      <c r="I4" s="9"/>
    </row>
    <row r="5" spans="1:9" ht="24.75" customHeight="1">
      <c r="A5" s="176" t="s">
        <v>114</v>
      </c>
      <c r="B5" s="176"/>
      <c r="C5" s="164">
        <f>C108</f>
        <v>0</v>
      </c>
      <c r="D5" s="165"/>
      <c r="E5" s="165"/>
      <c r="F5" s="165"/>
      <c r="G5" s="165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32" t="str">
        <f>IF(Main!B2,TEXT(EDATE(Main!B3,21),"dd mmmm yyyy"),TEXT(Main!B3+((Main!B5-Main!B3)*21+21),"dd mmmm yyyy")) &amp; " - " &amp; IF(Main!B2,TEXT(EDATE(Main!B3,22)-1,"dd mmmm yyyy"),TEXT(Main!B3+((Main!B5-Main!B3)*22+21),"dd mmmm yyyy")) &amp; " / " &amp; " (Revenue / Deferred Debts Or Expenses)"</f>
        <v>11 January 2027 - 10 February 2027 /  (Revenue / Deferred Debts Or Expenses)</v>
      </c>
      <c r="B8" s="133"/>
      <c r="C8" s="133"/>
      <c r="D8" s="133"/>
      <c r="E8" s="133"/>
      <c r="F8" s="133"/>
      <c r="G8" s="133"/>
      <c r="H8" s="44"/>
      <c r="I8" s="37"/>
    </row>
    <row r="9" spans="1:9" ht="24.75" customHeight="1">
      <c r="A9" s="81" t="s">
        <v>27</v>
      </c>
      <c r="B9" s="120" t="s">
        <v>46</v>
      </c>
      <c r="C9" s="120"/>
      <c r="D9" s="121" t="s">
        <v>47</v>
      </c>
      <c r="E9" s="121"/>
      <c r="F9" s="121" t="s">
        <v>48</v>
      </c>
      <c r="G9" s="121"/>
      <c r="H9" s="44"/>
      <c r="I9" s="9"/>
    </row>
    <row r="10" spans="1:9" ht="24.75" customHeight="1">
      <c r="A10" s="2" t="s">
        <v>115</v>
      </c>
      <c r="B10" s="122" t="s">
        <v>50</v>
      </c>
      <c r="C10" s="122"/>
      <c r="D10" s="122" t="s">
        <v>51</v>
      </c>
      <c r="E10" s="122"/>
      <c r="F10" s="123">
        <v>0</v>
      </c>
      <c r="G10" s="124"/>
      <c r="H10" s="44"/>
      <c r="I10" s="9"/>
    </row>
    <row r="11" spans="1:9" ht="24.75" customHeight="1">
      <c r="A11" s="2"/>
      <c r="B11" s="125" t="s">
        <v>40</v>
      </c>
      <c r="C11" s="126"/>
      <c r="D11" s="127"/>
      <c r="E11" s="128"/>
      <c r="F11" s="123">
        <v>0</v>
      </c>
      <c r="G11" s="124"/>
      <c r="H11" s="44"/>
      <c r="I11" s="9"/>
    </row>
    <row r="12" spans="1:9" ht="24.75" customHeight="1">
      <c r="A12" s="2"/>
      <c r="B12" s="125" t="s">
        <v>41</v>
      </c>
      <c r="C12" s="126"/>
      <c r="D12" s="127"/>
      <c r="E12" s="128"/>
      <c r="F12" s="123">
        <v>0</v>
      </c>
      <c r="G12" s="124"/>
      <c r="H12" s="44"/>
      <c r="I12" s="9"/>
    </row>
    <row r="13" spans="1:9" ht="24.75" customHeight="1">
      <c r="A13" s="2"/>
      <c r="B13" s="125" t="s">
        <v>42</v>
      </c>
      <c r="C13" s="126"/>
      <c r="D13" s="127"/>
      <c r="E13" s="128"/>
      <c r="F13" s="123">
        <v>0</v>
      </c>
      <c r="G13" s="124"/>
      <c r="H13" s="44"/>
      <c r="I13" s="9"/>
    </row>
    <row r="14" spans="1:9" ht="24.75" customHeight="1">
      <c r="A14" s="2"/>
      <c r="B14" s="125" t="s">
        <v>43</v>
      </c>
      <c r="C14" s="126"/>
      <c r="D14" s="127"/>
      <c r="E14" s="128"/>
      <c r="F14" s="123">
        <v>0</v>
      </c>
      <c r="G14" s="124"/>
      <c r="H14" s="44"/>
      <c r="I14" s="9"/>
    </row>
    <row r="15" spans="1:9" ht="24.75" customHeight="1">
      <c r="A15" s="2"/>
      <c r="B15" s="125" t="s">
        <v>44</v>
      </c>
      <c r="C15" s="126"/>
      <c r="D15" s="127"/>
      <c r="E15" s="128"/>
      <c r="F15" s="123">
        <v>0</v>
      </c>
      <c r="G15" s="124"/>
      <c r="H15" s="44"/>
      <c r="I15" s="9"/>
    </row>
    <row r="16" spans="1:9" ht="24.75" customHeight="1">
      <c r="A16" s="45"/>
      <c r="B16" s="166"/>
      <c r="C16" s="167"/>
      <c r="D16" s="116" t="s">
        <v>52</v>
      </c>
      <c r="E16" s="117"/>
      <c r="F16" s="118">
        <f>SUM(F10:G15)</f>
        <v>0</v>
      </c>
      <c r="G16" s="119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32" t="str">
        <f>IF(Main!B2,TEXT(EDATE(Main!B3,22),"dd mmmm yyyy"),TEXT(Main!B3+((Main!B5-Main!B3)*22+22),"dd mmmm yyyy")) &amp; " - " &amp; IF(Main!B2,TEXT(EDATE(Main!B3,23)-1,"dd mmmm yyyy"),TEXT(Main!B3+((Main!B5-Main!B3)*23+22),"dd mmmm yyyy")) &amp; " / " &amp; " (Revenue / Deferred Debts Or Expenses)"</f>
        <v>11 February 2027 - 10 March 2027 /  (Revenue / Deferred Debts Or Expenses)</v>
      </c>
      <c r="B20" s="133"/>
      <c r="C20" s="133"/>
      <c r="D20" s="133"/>
      <c r="E20" s="133"/>
      <c r="F20" s="133"/>
      <c r="G20" s="133"/>
      <c r="H20" s="44"/>
      <c r="I20" s="9"/>
    </row>
    <row r="21" spans="1:9" ht="24.75" customHeight="1">
      <c r="A21" s="81" t="s">
        <v>27</v>
      </c>
      <c r="B21" s="120" t="s">
        <v>46</v>
      </c>
      <c r="C21" s="120"/>
      <c r="D21" s="121" t="s">
        <v>47</v>
      </c>
      <c r="E21" s="121"/>
      <c r="F21" s="121" t="s">
        <v>48</v>
      </c>
      <c r="G21" s="121"/>
      <c r="H21" s="44"/>
      <c r="I21" s="9"/>
    </row>
    <row r="22" spans="1:9" ht="24.75" customHeight="1">
      <c r="A22" s="2" t="s">
        <v>116</v>
      </c>
      <c r="B22" s="122" t="s">
        <v>54</v>
      </c>
      <c r="C22" s="122"/>
      <c r="D22" s="122" t="s">
        <v>55</v>
      </c>
      <c r="E22" s="122"/>
      <c r="F22" s="123">
        <v>0</v>
      </c>
      <c r="G22" s="124"/>
      <c r="H22" s="44"/>
      <c r="I22" s="9"/>
    </row>
    <row r="23" spans="1:9" ht="24.75" customHeight="1">
      <c r="A23" s="2"/>
      <c r="B23" s="125" t="s">
        <v>40</v>
      </c>
      <c r="C23" s="126"/>
      <c r="D23" s="127"/>
      <c r="E23" s="128"/>
      <c r="F23" s="123">
        <v>0</v>
      </c>
      <c r="G23" s="124"/>
      <c r="H23" s="44"/>
      <c r="I23" s="9"/>
    </row>
    <row r="24" spans="1:9" ht="24.75" customHeight="1">
      <c r="A24" s="2"/>
      <c r="B24" s="125" t="s">
        <v>41</v>
      </c>
      <c r="C24" s="126"/>
      <c r="D24" s="127"/>
      <c r="E24" s="128"/>
      <c r="F24" s="123">
        <v>0</v>
      </c>
      <c r="G24" s="124"/>
      <c r="H24" s="44"/>
      <c r="I24" s="9"/>
    </row>
    <row r="25" spans="1:9" ht="24.75" customHeight="1">
      <c r="A25" s="2"/>
      <c r="B25" s="125" t="s">
        <v>42</v>
      </c>
      <c r="C25" s="126"/>
      <c r="D25" s="127"/>
      <c r="E25" s="128"/>
      <c r="F25" s="123">
        <v>0</v>
      </c>
      <c r="G25" s="124"/>
      <c r="H25" s="44"/>
      <c r="I25" s="9"/>
    </row>
    <row r="26" spans="1:9" ht="24.75" customHeight="1">
      <c r="A26" s="2"/>
      <c r="B26" s="125" t="s">
        <v>43</v>
      </c>
      <c r="C26" s="126"/>
      <c r="D26" s="127"/>
      <c r="E26" s="128"/>
      <c r="F26" s="123">
        <v>0</v>
      </c>
      <c r="G26" s="124"/>
      <c r="H26" s="44"/>
      <c r="I26" s="9"/>
    </row>
    <row r="27" spans="1:9" ht="24.75" customHeight="1">
      <c r="A27" s="2"/>
      <c r="B27" s="125" t="s">
        <v>44</v>
      </c>
      <c r="C27" s="126"/>
      <c r="D27" s="127"/>
      <c r="E27" s="128"/>
      <c r="F27" s="123">
        <v>0</v>
      </c>
      <c r="G27" s="124"/>
      <c r="H27" s="44"/>
      <c r="I27" s="9"/>
    </row>
    <row r="28" spans="1:9" ht="24.75" customHeight="1">
      <c r="A28" s="45"/>
      <c r="B28" s="166"/>
      <c r="C28" s="167"/>
      <c r="D28" s="116" t="s">
        <v>52</v>
      </c>
      <c r="E28" s="117"/>
      <c r="F28" s="118">
        <f>SUM(F22:G27)</f>
        <v>0</v>
      </c>
      <c r="G28" s="119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32" t="str">
        <f>IF(Main!B2,TEXT(EDATE(Main!B3,23),"dd mmmm yyyy"),TEXT(Main!B3+((Main!B5-Main!B3)*23+23),"dd mmmm yyyy")) &amp; " - " &amp; IF(Main!B2,TEXT(EDATE(Main!B3,24)-1,"dd mmmm yyyy"),TEXT(Main!B3+((Main!B5-Main!B3)*24+23),"dd mmmm yyyy")) &amp; " / " &amp; " (Revenue / Deferred Debts Or Expenses)"</f>
        <v>11 March 2027 - 10 April 2027 /  (Revenue / Deferred Debts Or Expenses)</v>
      </c>
      <c r="B32" s="133"/>
      <c r="C32" s="133"/>
      <c r="D32" s="133"/>
      <c r="E32" s="133"/>
      <c r="F32" s="133"/>
      <c r="G32" s="133"/>
      <c r="H32" s="44"/>
      <c r="I32" s="9"/>
    </row>
    <row r="33" spans="1:9" ht="24.75" customHeight="1">
      <c r="A33" s="81" t="s">
        <v>27</v>
      </c>
      <c r="B33" s="120" t="s">
        <v>46</v>
      </c>
      <c r="C33" s="120"/>
      <c r="D33" s="121" t="s">
        <v>47</v>
      </c>
      <c r="E33" s="121"/>
      <c r="F33" s="121" t="s">
        <v>48</v>
      </c>
      <c r="G33" s="121"/>
      <c r="H33" s="44"/>
      <c r="I33" s="9"/>
    </row>
    <row r="34" spans="1:9" ht="24.75" customHeight="1">
      <c r="A34" s="2" t="s">
        <v>117</v>
      </c>
      <c r="B34" s="122" t="s">
        <v>54</v>
      </c>
      <c r="C34" s="122"/>
      <c r="D34" s="122" t="s">
        <v>55</v>
      </c>
      <c r="E34" s="122"/>
      <c r="F34" s="123">
        <v>0</v>
      </c>
      <c r="G34" s="124"/>
      <c r="H34" s="44"/>
      <c r="I34" s="9"/>
    </row>
    <row r="35" spans="1:9" ht="24.75" customHeight="1">
      <c r="A35" s="2"/>
      <c r="B35" s="125" t="s">
        <v>40</v>
      </c>
      <c r="C35" s="126"/>
      <c r="D35" s="127"/>
      <c r="E35" s="128"/>
      <c r="F35" s="123">
        <v>0</v>
      </c>
      <c r="G35" s="124"/>
      <c r="H35" s="44"/>
      <c r="I35" s="9"/>
    </row>
    <row r="36" spans="1:9" ht="24.75" customHeight="1">
      <c r="A36" s="2"/>
      <c r="B36" s="125" t="s">
        <v>41</v>
      </c>
      <c r="C36" s="126"/>
      <c r="D36" s="127"/>
      <c r="E36" s="128"/>
      <c r="F36" s="123">
        <v>0</v>
      </c>
      <c r="G36" s="124"/>
      <c r="H36" s="44"/>
      <c r="I36" s="37"/>
    </row>
    <row r="37" spans="1:9" ht="24.75" customHeight="1">
      <c r="A37" s="2"/>
      <c r="B37" s="125" t="s">
        <v>42</v>
      </c>
      <c r="C37" s="126"/>
      <c r="D37" s="127"/>
      <c r="E37" s="128"/>
      <c r="F37" s="123">
        <v>0</v>
      </c>
      <c r="G37" s="124"/>
      <c r="H37" s="44"/>
      <c r="I37" s="9"/>
    </row>
    <row r="38" spans="1:9" ht="24.75" customHeight="1">
      <c r="A38" s="2"/>
      <c r="B38" s="125" t="s">
        <v>43</v>
      </c>
      <c r="C38" s="126"/>
      <c r="D38" s="127"/>
      <c r="E38" s="128"/>
      <c r="F38" s="123">
        <v>0</v>
      </c>
      <c r="G38" s="124"/>
      <c r="H38" s="44"/>
      <c r="I38" s="9"/>
    </row>
    <row r="39" spans="1:9" ht="24.75" customHeight="1">
      <c r="A39" s="2"/>
      <c r="B39" s="125" t="s">
        <v>44</v>
      </c>
      <c r="C39" s="126"/>
      <c r="D39" s="127"/>
      <c r="E39" s="128"/>
      <c r="F39" s="123">
        <v>0</v>
      </c>
      <c r="G39" s="124"/>
      <c r="H39" s="44"/>
      <c r="I39" s="9"/>
    </row>
    <row r="40" spans="1:9" ht="24.75" customHeight="1">
      <c r="A40" s="45"/>
      <c r="B40" s="166"/>
      <c r="C40" s="167"/>
      <c r="D40" s="116" t="s">
        <v>52</v>
      </c>
      <c r="E40" s="117"/>
      <c r="F40" s="118">
        <f>SUM(F34:G39)</f>
        <v>0</v>
      </c>
      <c r="G40" s="119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IF(Main!B2,TEXT(EDATE(Main!B3,21),"mmmm yyyy"),TEXT(Main!B3+((Main!B5-Main!B3)*21+21),"mmmm yyyy")) &amp; " to " &amp; IF(Main!B2,TEXT(EDATE(Main!B3,24)-1,"mmmm yyyy"),TEXT(Main!B3+((Main!B5-Main!B3)*24+23),"mmmm yyyy"))</f>
        <v>Fixed Expense For the Year January 2027 to April 2027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2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71" t="s">
        <v>57</v>
      </c>
      <c r="B46" s="172"/>
      <c r="C46" s="173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71" t="s">
        <v>62</v>
      </c>
      <c r="B56" s="172"/>
      <c r="C56" s="173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71" t="s">
        <v>67</v>
      </c>
      <c r="B67" s="172"/>
      <c r="C67" s="173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71" t="s">
        <v>72</v>
      </c>
      <c r="B76" s="172"/>
      <c r="C76" s="173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71" t="s">
        <v>77</v>
      </c>
      <c r="B86" s="172"/>
      <c r="C86" s="173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71" t="s">
        <v>86</v>
      </c>
      <c r="B97" s="172"/>
      <c r="C97" s="173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(Forecast_7!C98)+SUM(E118+E145+E172)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(Forecast_7!C99)+SUM(E119+E146+E173)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(Forecast_7!C100)+SUM(E120+E147+E174)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(Forecast_7!C101)+SUM(E121+E148+E175)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(Forecast_7!C102)+SUM(E122+E149+E176)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(Forecast_7!C103)+SUM(E123+E150+E177)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(Forecast_7!C104)+SUM(E124+E151+E178)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(Forecast_7!C105)+SUM(E125+E152+E179)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(Forecast_7!C106)+SUM(E126+E153+E180)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(Forecast_7!C107)+SUM(E127+E154+E181)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99" t="str">
        <f>"Debts Or Credits For the Comming " &amp; IF(Main!B2,TEXT(EDATE(Main!B3,21),"mmmm dd yyyy"),TEXT(Main!B3+((Main!B5-Main!B3)*21+21),"mmmm dd yyyy")) &amp; " to " &amp; IF(Main!B2,TEXT(EDATE(Main!B3,22)-1,"mmmm dd yyyy"),TEXT(Main!B3+((Main!B5-Main!B3)*22+21),"mmmm dd yyyy"))</f>
        <v>Debts Or Credits For the Comming January 11 2027 to February 10 2027</v>
      </c>
      <c r="B114" s="100"/>
      <c r="C114" s="100"/>
      <c r="D114" s="100"/>
      <c r="E114" s="101"/>
      <c r="F114" s="44"/>
      <c r="G114" s="44"/>
      <c r="H114" s="44"/>
      <c r="I114" s="9"/>
    </row>
    <row r="115" spans="1:9" ht="24.75" customHeight="1">
      <c r="A115" s="99" t="s">
        <v>94</v>
      </c>
      <c r="B115" s="101"/>
      <c r="C115" s="99" t="s">
        <v>47</v>
      </c>
      <c r="D115" s="101"/>
      <c r="E115" s="29" t="s">
        <v>48</v>
      </c>
      <c r="F115" s="44"/>
      <c r="G115" s="44"/>
      <c r="H115" s="44"/>
      <c r="I115" s="9"/>
    </row>
    <row r="116" spans="1:9" ht="24.75" customHeight="1">
      <c r="A116" s="96" t="str">
        <f>"Balance Brought Forward From " &amp; IF(Main!B2,TEXT(EDATE(Main!B3,21)-1,"mmmm yyyy"),TEXT(Main!B3+((Main!B5-Main!B3)*21+20),"mmmm yyyy"))</f>
        <v>Balance Brought Forward From January 2027</v>
      </c>
      <c r="B116" s="97"/>
      <c r="C116" s="158"/>
      <c r="D116" s="158"/>
      <c r="E116" s="51">
        <f>Forecast_7!E190</f>
        <v>0</v>
      </c>
      <c r="F116" s="44"/>
      <c r="G116" s="44"/>
      <c r="H116" s="44"/>
      <c r="I116" s="9"/>
    </row>
    <row r="117" spans="1:9" ht="24.75" customHeight="1">
      <c r="A117" s="106" t="s">
        <v>95</v>
      </c>
      <c r="B117" s="107"/>
      <c r="C117" s="157" t="s">
        <v>96</v>
      </c>
      <c r="D117" s="149"/>
      <c r="E117" s="42"/>
      <c r="F117" s="44"/>
      <c r="G117" s="44"/>
      <c r="H117" s="44"/>
      <c r="I117" s="9"/>
    </row>
    <row r="118" spans="1:9" ht="24.75" customHeight="1">
      <c r="A118" s="108"/>
      <c r="B118" s="109"/>
      <c r="C118" s="104" t="s">
        <v>97</v>
      </c>
      <c r="D118" s="105"/>
      <c r="E118" s="28">
        <v>0</v>
      </c>
      <c r="F118" s="44"/>
      <c r="G118" s="44"/>
      <c r="H118" s="44"/>
      <c r="I118" s="9"/>
    </row>
    <row r="119" spans="1:9" ht="24.75" customHeight="1">
      <c r="A119" s="108"/>
      <c r="B119" s="109"/>
      <c r="C119" s="104" t="s">
        <v>98</v>
      </c>
      <c r="D119" s="105"/>
      <c r="E119" s="28">
        <v>0</v>
      </c>
      <c r="F119" s="44"/>
      <c r="G119" s="44"/>
      <c r="H119" s="44"/>
      <c r="I119" s="9"/>
    </row>
    <row r="120" spans="1:9" ht="24.75" customHeight="1">
      <c r="A120" s="108"/>
      <c r="B120" s="109"/>
      <c r="C120" s="104" t="s">
        <v>99</v>
      </c>
      <c r="D120" s="105"/>
      <c r="E120" s="28">
        <v>0</v>
      </c>
      <c r="F120" s="44"/>
      <c r="G120" s="44"/>
      <c r="H120" s="44"/>
      <c r="I120" s="9"/>
    </row>
    <row r="121" spans="1:9" ht="24.75" customHeight="1">
      <c r="A121" s="108"/>
      <c r="B121" s="109"/>
      <c r="C121" s="104" t="s">
        <v>100</v>
      </c>
      <c r="D121" s="105"/>
      <c r="E121" s="28">
        <v>0</v>
      </c>
      <c r="F121" s="44"/>
      <c r="G121" s="44"/>
      <c r="H121" s="44"/>
      <c r="I121" s="9"/>
    </row>
    <row r="122" spans="1:9" ht="24.75" customHeight="1">
      <c r="A122" s="108"/>
      <c r="B122" s="109"/>
      <c r="C122" s="104" t="s">
        <v>101</v>
      </c>
      <c r="D122" s="105"/>
      <c r="E122" s="28">
        <v>0</v>
      </c>
      <c r="F122" s="44"/>
      <c r="G122" s="44"/>
      <c r="H122" s="44"/>
      <c r="I122" s="9"/>
    </row>
    <row r="123" spans="1:9" ht="24.75" customHeight="1">
      <c r="A123" s="108"/>
      <c r="B123" s="109"/>
      <c r="C123" s="104" t="s">
        <v>102</v>
      </c>
      <c r="D123" s="105"/>
      <c r="E123" s="28">
        <v>0</v>
      </c>
      <c r="F123" s="44"/>
      <c r="G123" s="44"/>
      <c r="H123" s="44"/>
      <c r="I123" s="9"/>
    </row>
    <row r="124" spans="1:9" ht="24.75" customHeight="1">
      <c r="A124" s="108"/>
      <c r="B124" s="109"/>
      <c r="C124" s="104" t="s">
        <v>103</v>
      </c>
      <c r="D124" s="105"/>
      <c r="E124" s="28">
        <v>0</v>
      </c>
      <c r="F124" s="44"/>
      <c r="G124" s="44"/>
      <c r="H124" s="44"/>
      <c r="I124" s="9"/>
    </row>
    <row r="125" spans="1:9" ht="24.75" customHeight="1">
      <c r="A125" s="108"/>
      <c r="B125" s="109"/>
      <c r="C125" s="104" t="s">
        <v>104</v>
      </c>
      <c r="D125" s="105"/>
      <c r="E125" s="28">
        <v>0</v>
      </c>
      <c r="F125" s="44"/>
      <c r="G125" s="44"/>
      <c r="H125" s="44"/>
      <c r="I125" s="9"/>
    </row>
    <row r="126" spans="1:9" ht="24.75" customHeight="1">
      <c r="A126" s="108"/>
      <c r="B126" s="109"/>
      <c r="C126" s="104" t="s">
        <v>105</v>
      </c>
      <c r="D126" s="105"/>
      <c r="E126" s="28">
        <v>0</v>
      </c>
      <c r="F126" s="44"/>
      <c r="G126" s="44"/>
      <c r="H126" s="44"/>
      <c r="I126" s="9"/>
    </row>
    <row r="127" spans="1:9" ht="24.75" customHeight="1">
      <c r="A127" s="108"/>
      <c r="B127" s="109"/>
      <c r="C127" s="104" t="s">
        <v>106</v>
      </c>
      <c r="D127" s="105"/>
      <c r="E127" s="28">
        <v>0</v>
      </c>
      <c r="F127" s="44"/>
      <c r="G127" s="44"/>
      <c r="H127" s="44"/>
      <c r="I127" s="9"/>
    </row>
    <row r="128" spans="1:9" ht="24.75" customHeight="1">
      <c r="A128" s="108"/>
      <c r="B128" s="109"/>
      <c r="C128" s="148" t="s">
        <v>107</v>
      </c>
      <c r="D128" s="149"/>
      <c r="E128" s="42"/>
      <c r="F128" s="44"/>
      <c r="G128" s="44"/>
      <c r="H128" s="44"/>
      <c r="I128" s="9"/>
    </row>
    <row r="129" spans="1:9" ht="24.75" customHeight="1">
      <c r="A129" s="108"/>
      <c r="B129" s="109"/>
      <c r="C129" s="150" t="s">
        <v>108</v>
      </c>
      <c r="D129" s="151"/>
      <c r="E129" s="30">
        <v>0</v>
      </c>
      <c r="F129" s="44"/>
      <c r="G129" s="44"/>
      <c r="H129" s="44"/>
      <c r="I129" s="9"/>
    </row>
    <row r="130" spans="1:9" ht="24.75" customHeight="1">
      <c r="A130" s="108"/>
      <c r="B130" s="109"/>
      <c r="C130" s="104" t="s">
        <v>97</v>
      </c>
      <c r="D130" s="105"/>
      <c r="E130" s="30">
        <v>0</v>
      </c>
      <c r="F130" s="44"/>
      <c r="G130" s="44"/>
      <c r="H130" s="44"/>
      <c r="I130" s="9"/>
    </row>
    <row r="131" spans="1:9" ht="24.75" customHeight="1">
      <c r="A131" s="108"/>
      <c r="B131" s="109"/>
      <c r="C131" s="104" t="s">
        <v>98</v>
      </c>
      <c r="D131" s="105"/>
      <c r="E131" s="30">
        <v>0</v>
      </c>
      <c r="F131" s="44"/>
      <c r="G131" s="44"/>
      <c r="H131" s="44"/>
      <c r="I131" s="9"/>
    </row>
    <row r="132" spans="1:9" ht="24.75" customHeight="1">
      <c r="A132" s="108"/>
      <c r="B132" s="109"/>
      <c r="C132" s="104" t="s">
        <v>99</v>
      </c>
      <c r="D132" s="105"/>
      <c r="E132" s="30">
        <v>0</v>
      </c>
      <c r="F132" s="44"/>
      <c r="G132" s="44"/>
      <c r="H132" s="44"/>
      <c r="I132" s="9"/>
    </row>
    <row r="133" spans="1:9" ht="24.75" customHeight="1">
      <c r="A133" s="108"/>
      <c r="B133" s="109"/>
      <c r="C133" s="104" t="s">
        <v>100</v>
      </c>
      <c r="D133" s="105"/>
      <c r="E133" s="30">
        <v>0</v>
      </c>
      <c r="F133" s="44"/>
      <c r="G133" s="44"/>
      <c r="H133" s="44"/>
      <c r="I133" s="9"/>
    </row>
    <row r="134" spans="1:9" ht="24.75" customHeight="1">
      <c r="A134" s="110"/>
      <c r="B134" s="111"/>
      <c r="C134" s="104" t="s">
        <v>101</v>
      </c>
      <c r="D134" s="105"/>
      <c r="E134" s="30">
        <v>0</v>
      </c>
      <c r="F134" s="44"/>
      <c r="G134" s="44"/>
      <c r="H134" s="44"/>
      <c r="I134" s="9"/>
    </row>
    <row r="135" spans="1:9" ht="24.75" customHeight="1">
      <c r="A135" s="96" t="s">
        <v>109</v>
      </c>
      <c r="B135" s="152"/>
      <c r="C135" s="153"/>
      <c r="D135" s="154"/>
      <c r="E135" s="30">
        <f>C96</f>
        <v>0</v>
      </c>
      <c r="F135" s="44"/>
      <c r="G135" s="44"/>
      <c r="H135" s="44"/>
      <c r="I135" s="9"/>
    </row>
    <row r="136" spans="1:9" ht="24.75" customHeight="1">
      <c r="A136" s="145"/>
      <c r="B136" s="146"/>
      <c r="C136" s="147" t="s">
        <v>110</v>
      </c>
      <c r="D136" s="147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99" t="str">
        <f>"Debts Or Credits For the Comming " &amp; IF(Main!B2,TEXT(EDATE(Main!B3,22),"mmmm dd yyyy"),TEXT(Main!B3+((Main!B5-Main!B3)*22+22),"dd mmmm yyyy")) &amp; " to " &amp;  IF(Main!B2,TEXT(EDATE(Main!B3,23)-1,"mmmm dd yyyy"),TEXT(Main!B3+((Main!B5-Main!B3)*23+22),"mmmm dd yyyy"))</f>
        <v>Debts Or Credits For the Comming February 11 2027 to March 10 2027</v>
      </c>
      <c r="B141" s="100"/>
      <c r="C141" s="100"/>
      <c r="D141" s="100"/>
      <c r="E141" s="101"/>
      <c r="F141" s="44"/>
      <c r="G141" s="44"/>
      <c r="H141" s="44"/>
      <c r="I141" s="9"/>
    </row>
    <row r="142" spans="1:9" ht="24.75" customHeight="1">
      <c r="A142" s="99" t="s">
        <v>94</v>
      </c>
      <c r="B142" s="101"/>
      <c r="C142" s="102" t="s">
        <v>47</v>
      </c>
      <c r="D142" s="103"/>
      <c r="E142" s="39" t="s">
        <v>48</v>
      </c>
      <c r="F142" s="44"/>
      <c r="G142" s="44"/>
      <c r="H142" s="44"/>
      <c r="I142" s="9"/>
    </row>
    <row r="143" spans="1:9" ht="24.75" customHeight="1">
      <c r="A143" s="96" t="str">
        <f>"Balance Brought Forward From " &amp; IF(Main!B2,TEXT(EDATE(Main!B3,22)-1,"mmmm yyyy"),TEXT(Main!B3+((Main!B5-Main!B3)*22+21),"mmmm yyyy"))</f>
        <v>Balance Brought Forward From February 2027</v>
      </c>
      <c r="B143" s="97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06" t="s">
        <v>95</v>
      </c>
      <c r="B144" s="107"/>
      <c r="C144" s="112" t="s">
        <v>96</v>
      </c>
      <c r="D144" s="113"/>
      <c r="E144" s="43"/>
      <c r="F144" s="44"/>
      <c r="G144" s="44"/>
      <c r="H144" s="44"/>
      <c r="I144" s="9"/>
    </row>
    <row r="145" spans="1:9" ht="24.75" customHeight="1">
      <c r="A145" s="108"/>
      <c r="B145" s="109"/>
      <c r="C145" s="104" t="s">
        <v>97</v>
      </c>
      <c r="D145" s="105"/>
      <c r="E145" s="28">
        <v>0</v>
      </c>
      <c r="F145" s="44"/>
      <c r="G145" s="44"/>
      <c r="H145" s="44"/>
      <c r="I145" s="9"/>
    </row>
    <row r="146" spans="1:9" ht="24.75" customHeight="1">
      <c r="A146" s="108"/>
      <c r="B146" s="109"/>
      <c r="C146" s="104" t="s">
        <v>98</v>
      </c>
      <c r="D146" s="105"/>
      <c r="E146" s="28">
        <v>0</v>
      </c>
      <c r="F146" s="44"/>
      <c r="G146" s="44"/>
      <c r="H146" s="44"/>
      <c r="I146" s="9"/>
    </row>
    <row r="147" spans="1:9" ht="24.75" customHeight="1">
      <c r="A147" s="108"/>
      <c r="B147" s="109"/>
      <c r="C147" s="104" t="s">
        <v>99</v>
      </c>
      <c r="D147" s="105"/>
      <c r="E147" s="28">
        <v>0</v>
      </c>
      <c r="F147" s="44"/>
      <c r="G147" s="44"/>
      <c r="H147" s="44"/>
      <c r="I147" s="9"/>
    </row>
    <row r="148" spans="1:9" ht="24.75" customHeight="1">
      <c r="A148" s="108"/>
      <c r="B148" s="109"/>
      <c r="C148" s="104" t="s">
        <v>100</v>
      </c>
      <c r="D148" s="105"/>
      <c r="E148" s="28">
        <v>0</v>
      </c>
      <c r="F148" s="44"/>
      <c r="G148" s="44"/>
      <c r="H148" s="44"/>
      <c r="I148" s="9"/>
    </row>
    <row r="149" spans="1:9" ht="24.75" customHeight="1">
      <c r="A149" s="108"/>
      <c r="B149" s="109"/>
      <c r="C149" s="104" t="s">
        <v>101</v>
      </c>
      <c r="D149" s="105"/>
      <c r="E149" s="28">
        <v>0</v>
      </c>
      <c r="F149" s="44"/>
      <c r="G149" s="44"/>
      <c r="H149" s="44"/>
      <c r="I149" s="9"/>
    </row>
    <row r="150" spans="1:9" ht="24.75" customHeight="1">
      <c r="A150" s="108"/>
      <c r="B150" s="109"/>
      <c r="C150" s="104" t="s">
        <v>102</v>
      </c>
      <c r="D150" s="105"/>
      <c r="E150" s="28">
        <v>0</v>
      </c>
      <c r="F150" s="44"/>
      <c r="G150" s="44"/>
      <c r="H150" s="44"/>
      <c r="I150" s="9"/>
    </row>
    <row r="151" spans="1:9" ht="24.75" customHeight="1">
      <c r="A151" s="108"/>
      <c r="B151" s="109"/>
      <c r="C151" s="104" t="s">
        <v>103</v>
      </c>
      <c r="D151" s="105"/>
      <c r="E151" s="28">
        <v>0</v>
      </c>
      <c r="F151" s="44"/>
      <c r="G151" s="44"/>
      <c r="H151" s="44"/>
      <c r="I151" s="9"/>
    </row>
    <row r="152" spans="1:9" ht="24.75" customHeight="1">
      <c r="A152" s="108"/>
      <c r="B152" s="109"/>
      <c r="C152" s="104" t="s">
        <v>104</v>
      </c>
      <c r="D152" s="105"/>
      <c r="E152" s="28">
        <v>0</v>
      </c>
      <c r="F152" s="44"/>
      <c r="G152" s="44"/>
      <c r="H152" s="44"/>
      <c r="I152" s="9"/>
    </row>
    <row r="153" spans="1:9" ht="24.75" customHeight="1">
      <c r="A153" s="108"/>
      <c r="B153" s="109"/>
      <c r="C153" s="104" t="s">
        <v>105</v>
      </c>
      <c r="D153" s="105"/>
      <c r="E153" s="28">
        <v>0</v>
      </c>
      <c r="F153" s="44"/>
      <c r="G153" s="44"/>
      <c r="H153" s="44"/>
      <c r="I153" s="9"/>
    </row>
    <row r="154" spans="1:9" ht="24.75" customHeight="1">
      <c r="A154" s="108"/>
      <c r="B154" s="109"/>
      <c r="C154" s="104" t="s">
        <v>106</v>
      </c>
      <c r="D154" s="105"/>
      <c r="E154" s="28">
        <v>0</v>
      </c>
      <c r="F154" s="44"/>
      <c r="G154" s="44"/>
      <c r="H154" s="44"/>
      <c r="I154" s="9"/>
    </row>
    <row r="155" spans="1:9" ht="24.75" customHeight="1">
      <c r="A155" s="108"/>
      <c r="B155" s="109"/>
      <c r="C155" s="148" t="s">
        <v>107</v>
      </c>
      <c r="D155" s="149"/>
      <c r="E155" s="42"/>
      <c r="F155" s="44"/>
      <c r="G155" s="44"/>
      <c r="H155" s="44"/>
      <c r="I155" s="9"/>
    </row>
    <row r="156" spans="1:9" ht="24.75" customHeight="1">
      <c r="A156" s="108"/>
      <c r="B156" s="109"/>
      <c r="C156" s="150" t="s">
        <v>111</v>
      </c>
      <c r="D156" s="151"/>
      <c r="E156" s="30">
        <v>0</v>
      </c>
      <c r="F156" s="44"/>
      <c r="G156" s="44"/>
      <c r="H156" s="44"/>
      <c r="I156" s="9"/>
    </row>
    <row r="157" spans="1:9" ht="24.75" customHeight="1">
      <c r="A157" s="108"/>
      <c r="B157" s="109"/>
      <c r="C157" s="104" t="s">
        <v>97</v>
      </c>
      <c r="D157" s="105"/>
      <c r="E157" s="30">
        <v>0</v>
      </c>
      <c r="F157" s="44"/>
      <c r="G157" s="44"/>
      <c r="H157" s="44"/>
      <c r="I157" s="9"/>
    </row>
    <row r="158" spans="1:9" ht="24.75" customHeight="1">
      <c r="A158" s="108"/>
      <c r="B158" s="109"/>
      <c r="C158" s="104" t="s">
        <v>98</v>
      </c>
      <c r="D158" s="105"/>
      <c r="E158" s="30">
        <v>0</v>
      </c>
      <c r="F158" s="44"/>
      <c r="G158" s="44"/>
      <c r="H158" s="44"/>
      <c r="I158" s="9"/>
    </row>
    <row r="159" spans="1:9" ht="24.75" customHeight="1">
      <c r="A159" s="108"/>
      <c r="B159" s="109"/>
      <c r="C159" s="104" t="s">
        <v>99</v>
      </c>
      <c r="D159" s="105"/>
      <c r="E159" s="30">
        <v>0</v>
      </c>
      <c r="F159" s="44"/>
      <c r="G159" s="44"/>
      <c r="H159" s="44"/>
      <c r="I159" s="9"/>
    </row>
    <row r="160" spans="1:9" ht="24.75" customHeight="1">
      <c r="A160" s="108"/>
      <c r="B160" s="109"/>
      <c r="C160" s="104" t="s">
        <v>100</v>
      </c>
      <c r="D160" s="105"/>
      <c r="E160" s="30">
        <v>0</v>
      </c>
      <c r="F160" s="44"/>
      <c r="G160" s="44"/>
      <c r="H160" s="44"/>
      <c r="I160" s="9"/>
    </row>
    <row r="161" spans="1:9" ht="24.75" customHeight="1">
      <c r="A161" s="110"/>
      <c r="B161" s="111"/>
      <c r="C161" s="104" t="s">
        <v>101</v>
      </c>
      <c r="D161" s="105"/>
      <c r="E161" s="30">
        <v>0</v>
      </c>
      <c r="F161" s="44"/>
      <c r="G161" s="44"/>
      <c r="H161" s="44"/>
      <c r="I161" s="9"/>
    </row>
    <row r="162" spans="1:9" ht="24.75" customHeight="1">
      <c r="A162" s="96" t="s">
        <v>109</v>
      </c>
      <c r="B162" s="152"/>
      <c r="C162" s="153"/>
      <c r="D162" s="154"/>
      <c r="E162" s="30">
        <f>C96</f>
        <v>0</v>
      </c>
      <c r="F162" s="44"/>
      <c r="G162" s="44"/>
      <c r="H162" s="44"/>
      <c r="I162" s="9"/>
    </row>
    <row r="163" spans="1:9" ht="24.75" customHeight="1">
      <c r="A163" s="145"/>
      <c r="B163" s="146"/>
      <c r="C163" s="147" t="s">
        <v>110</v>
      </c>
      <c r="D163" s="147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99" t="str">
        <f>"Debts Or Credits For the Comming " &amp; IF(Main!B2,TEXT(EDATE(Main!B3,23),"mmmm dd yyyy"),TEXT(Main!B3+((Main!B5-Main!B3)*23+23),"mmmm dd yyyy")) &amp; " to " &amp; IF(Main!B2,TEXT(EDATE(Main!B3,24)-1,"mmmm dd yyyy"),TEXT(Main!B3+((Main!B5-Main!B3)*24+23),"mmmm dd yyyy"))</f>
        <v>Debts Or Credits For the Comming March 11 2027 to April 10 2027</v>
      </c>
      <c r="B168" s="100"/>
      <c r="C168" s="100"/>
      <c r="D168" s="100"/>
      <c r="E168" s="101"/>
      <c r="F168" s="44"/>
      <c r="G168" s="44"/>
      <c r="H168" s="44"/>
      <c r="I168" s="9"/>
    </row>
    <row r="169" spans="1:9" ht="24.75" customHeight="1">
      <c r="A169" s="99" t="s">
        <v>94</v>
      </c>
      <c r="B169" s="101"/>
      <c r="C169" s="102" t="s">
        <v>47</v>
      </c>
      <c r="D169" s="103"/>
      <c r="E169" s="39" t="s">
        <v>48</v>
      </c>
      <c r="F169" s="44"/>
      <c r="G169" s="44"/>
      <c r="H169" s="44"/>
      <c r="I169" s="9"/>
    </row>
    <row r="170" spans="1:9" ht="24.75" customHeight="1">
      <c r="A170" s="96" t="str">
        <f>"Balance Brought Forward From " &amp;  IF(Main!B2,TEXT(EDATE(Main!B3,23)-1,"mmmm yyyy"),TEXT(Main!B3+((Main!B5-Main!B3)*23+22),"mmmm yyyy"))</f>
        <v>Balance Brought Forward From March 2027</v>
      </c>
      <c r="B170" s="97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06" t="s">
        <v>95</v>
      </c>
      <c r="B171" s="107"/>
      <c r="C171" s="112" t="s">
        <v>96</v>
      </c>
      <c r="D171" s="113"/>
      <c r="E171" s="43"/>
      <c r="F171" s="44"/>
      <c r="G171" s="44"/>
      <c r="H171" s="44"/>
      <c r="I171" s="9"/>
    </row>
    <row r="172" spans="1:9" ht="24.75" customHeight="1">
      <c r="A172" s="108"/>
      <c r="B172" s="109"/>
      <c r="C172" s="104" t="s">
        <v>97</v>
      </c>
      <c r="D172" s="105"/>
      <c r="E172" s="28">
        <v>0</v>
      </c>
      <c r="F172" s="44"/>
      <c r="G172" s="44"/>
      <c r="H172" s="44"/>
      <c r="I172" s="9"/>
    </row>
    <row r="173" spans="1:9" ht="24.75" customHeight="1">
      <c r="A173" s="108"/>
      <c r="B173" s="109"/>
      <c r="C173" s="104" t="s">
        <v>98</v>
      </c>
      <c r="D173" s="105"/>
      <c r="E173" s="28">
        <v>0</v>
      </c>
      <c r="F173" s="44"/>
      <c r="G173" s="44"/>
      <c r="H173" s="44"/>
      <c r="I173" s="9"/>
    </row>
    <row r="174" spans="1:9" ht="24.75" customHeight="1">
      <c r="A174" s="108"/>
      <c r="B174" s="109"/>
      <c r="C174" s="104" t="s">
        <v>99</v>
      </c>
      <c r="D174" s="105"/>
      <c r="E174" s="28">
        <v>0</v>
      </c>
      <c r="F174" s="44"/>
      <c r="G174" s="44"/>
      <c r="H174" s="44"/>
      <c r="I174" s="9"/>
    </row>
    <row r="175" spans="1:9" ht="24.75" customHeight="1">
      <c r="A175" s="108"/>
      <c r="B175" s="109"/>
      <c r="C175" s="104" t="s">
        <v>100</v>
      </c>
      <c r="D175" s="105"/>
      <c r="E175" s="28">
        <v>0</v>
      </c>
      <c r="F175" s="44"/>
      <c r="G175" s="44"/>
      <c r="H175" s="44"/>
      <c r="I175" s="9"/>
    </row>
    <row r="176" spans="1:9" ht="24.75" customHeight="1">
      <c r="A176" s="108"/>
      <c r="B176" s="109"/>
      <c r="C176" s="104" t="s">
        <v>101</v>
      </c>
      <c r="D176" s="105"/>
      <c r="E176" s="28">
        <v>0</v>
      </c>
      <c r="F176" s="44"/>
      <c r="G176" s="44"/>
      <c r="H176" s="44"/>
      <c r="I176" s="9"/>
    </row>
    <row r="177" spans="1:9" ht="24.75" customHeight="1">
      <c r="A177" s="108"/>
      <c r="B177" s="109"/>
      <c r="C177" s="104" t="s">
        <v>102</v>
      </c>
      <c r="D177" s="105"/>
      <c r="E177" s="28">
        <v>0</v>
      </c>
      <c r="F177" s="44"/>
      <c r="G177" s="44"/>
      <c r="H177" s="44"/>
      <c r="I177" s="9"/>
    </row>
    <row r="178" spans="1:9" ht="24.75" customHeight="1">
      <c r="A178" s="108"/>
      <c r="B178" s="109"/>
      <c r="C178" s="104" t="s">
        <v>103</v>
      </c>
      <c r="D178" s="105"/>
      <c r="E178" s="28">
        <v>0</v>
      </c>
      <c r="F178" s="44"/>
      <c r="G178" s="44"/>
      <c r="H178" s="44"/>
      <c r="I178" s="9"/>
    </row>
    <row r="179" spans="1:9" ht="24.75" customHeight="1">
      <c r="A179" s="108"/>
      <c r="B179" s="109"/>
      <c r="C179" s="104" t="s">
        <v>104</v>
      </c>
      <c r="D179" s="105"/>
      <c r="E179" s="28">
        <v>0</v>
      </c>
      <c r="F179" s="44"/>
      <c r="G179" s="44"/>
      <c r="H179" s="44"/>
      <c r="I179" s="9"/>
    </row>
    <row r="180" spans="1:9" ht="24.75" customHeight="1">
      <c r="A180" s="108"/>
      <c r="B180" s="109"/>
      <c r="C180" s="104" t="s">
        <v>105</v>
      </c>
      <c r="D180" s="105"/>
      <c r="E180" s="28">
        <v>0</v>
      </c>
      <c r="F180" s="44"/>
      <c r="G180" s="44"/>
      <c r="H180" s="44"/>
      <c r="I180" s="9"/>
    </row>
    <row r="181" spans="1:9" ht="24.75" customHeight="1">
      <c r="A181" s="108"/>
      <c r="B181" s="109"/>
      <c r="C181" s="104" t="s">
        <v>106</v>
      </c>
      <c r="D181" s="105"/>
      <c r="E181" s="28">
        <v>0</v>
      </c>
      <c r="F181" s="44"/>
      <c r="G181" s="44"/>
      <c r="H181" s="44"/>
      <c r="I181" s="9"/>
    </row>
    <row r="182" spans="1:9" ht="24.75" customHeight="1">
      <c r="A182" s="108"/>
      <c r="B182" s="109"/>
      <c r="C182" s="148" t="s">
        <v>107</v>
      </c>
      <c r="D182" s="149"/>
      <c r="E182" s="42"/>
      <c r="F182" s="44"/>
      <c r="G182" s="44"/>
      <c r="H182" s="44"/>
      <c r="I182" s="9"/>
    </row>
    <row r="183" spans="1:9" ht="24.75" customHeight="1">
      <c r="A183" s="108"/>
      <c r="B183" s="109"/>
      <c r="C183" s="150" t="s">
        <v>111</v>
      </c>
      <c r="D183" s="151"/>
      <c r="E183" s="30">
        <v>0</v>
      </c>
      <c r="F183" s="44"/>
      <c r="G183" s="44"/>
      <c r="H183" s="44"/>
      <c r="I183" s="9"/>
    </row>
    <row r="184" spans="1:9" ht="24.75" customHeight="1">
      <c r="A184" s="108"/>
      <c r="B184" s="109"/>
      <c r="C184" s="104" t="s">
        <v>97</v>
      </c>
      <c r="D184" s="105"/>
      <c r="E184" s="30">
        <v>0</v>
      </c>
      <c r="F184" s="44"/>
      <c r="G184" s="44"/>
      <c r="H184" s="44"/>
      <c r="I184" s="9"/>
    </row>
    <row r="185" spans="1:9" ht="24.75" customHeight="1">
      <c r="A185" s="108"/>
      <c r="B185" s="109"/>
      <c r="C185" s="104" t="s">
        <v>98</v>
      </c>
      <c r="D185" s="105"/>
      <c r="E185" s="30">
        <v>0</v>
      </c>
      <c r="F185" s="44"/>
      <c r="G185" s="44"/>
      <c r="H185" s="44"/>
      <c r="I185" s="9"/>
    </row>
    <row r="186" spans="1:9">
      <c r="A186" s="108"/>
      <c r="B186" s="109"/>
      <c r="C186" s="104" t="s">
        <v>99</v>
      </c>
      <c r="D186" s="105"/>
      <c r="E186" s="30">
        <v>0</v>
      </c>
      <c r="F186" s="44"/>
      <c r="G186" s="44"/>
      <c r="H186" s="44"/>
      <c r="I186" s="9"/>
    </row>
    <row r="187" spans="1:9" ht="24.75" customHeight="1">
      <c r="A187" s="108"/>
      <c r="B187" s="109"/>
      <c r="C187" s="104" t="s">
        <v>100</v>
      </c>
      <c r="D187" s="105"/>
      <c r="E187" s="30">
        <v>0</v>
      </c>
      <c r="F187" s="44"/>
      <c r="G187" s="44"/>
      <c r="H187" s="44"/>
      <c r="I187" s="9"/>
    </row>
    <row r="188" spans="1:9" ht="24.75" customHeight="1">
      <c r="A188" s="110"/>
      <c r="B188" s="111"/>
      <c r="C188" s="104" t="s">
        <v>101</v>
      </c>
      <c r="D188" s="105"/>
      <c r="E188" s="30">
        <v>0</v>
      </c>
      <c r="F188" s="44"/>
      <c r="G188" s="44"/>
      <c r="H188" s="44"/>
      <c r="I188" s="9"/>
    </row>
    <row r="189" spans="1:9" ht="24.75" customHeight="1">
      <c r="A189" s="96" t="s">
        <v>109</v>
      </c>
      <c r="B189" s="152"/>
      <c r="C189" s="153"/>
      <c r="D189" s="154"/>
      <c r="E189" s="30">
        <f>C96</f>
        <v>0</v>
      </c>
      <c r="F189" s="44"/>
      <c r="G189" s="44"/>
      <c r="H189" s="44"/>
      <c r="I189" s="9"/>
    </row>
    <row r="190" spans="1:9" ht="24.75" customHeight="1">
      <c r="A190" s="145"/>
      <c r="B190" s="146"/>
      <c r="C190" s="147" t="s">
        <v>110</v>
      </c>
      <c r="D190" s="147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 ht="24.75" customHeight="1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5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458" priority="51" operator="equal">
      <formula>0</formula>
    </cfRule>
  </conditionalFormatting>
  <conditionalFormatting sqref="C47:C55 C85 C95:C96 E144 E155:E162">
    <cfRule type="cellIs" dxfId="457" priority="50" operator="greaterThan">
      <formula>0</formula>
    </cfRule>
  </conditionalFormatting>
  <conditionalFormatting sqref="C57:C66">
    <cfRule type="cellIs" dxfId="456" priority="49" operator="equal">
      <formula>0</formula>
    </cfRule>
  </conditionalFormatting>
  <conditionalFormatting sqref="C57:C66">
    <cfRule type="cellIs" dxfId="455" priority="48" operator="greaterThan">
      <formula>0</formula>
    </cfRule>
  </conditionalFormatting>
  <conditionalFormatting sqref="C68:C69">
    <cfRule type="cellIs" dxfId="454" priority="47" operator="equal">
      <formula>0</formula>
    </cfRule>
  </conditionalFormatting>
  <conditionalFormatting sqref="C68:C69">
    <cfRule type="cellIs" dxfId="453" priority="46" operator="greaterThan">
      <formula>0</formula>
    </cfRule>
  </conditionalFormatting>
  <conditionalFormatting sqref="C75">
    <cfRule type="cellIs" dxfId="452" priority="45" operator="equal">
      <formula>0</formula>
    </cfRule>
  </conditionalFormatting>
  <conditionalFormatting sqref="C75">
    <cfRule type="cellIs" dxfId="451" priority="44" operator="greaterThan">
      <formula>0</formula>
    </cfRule>
  </conditionalFormatting>
  <conditionalFormatting sqref="C77">
    <cfRule type="cellIs" dxfId="450" priority="43" operator="equal">
      <formula>0</formula>
    </cfRule>
  </conditionalFormatting>
  <conditionalFormatting sqref="C77">
    <cfRule type="cellIs" dxfId="449" priority="42" operator="greaterThan">
      <formula>0</formula>
    </cfRule>
  </conditionalFormatting>
  <conditionalFormatting sqref="C87:C89">
    <cfRule type="cellIs" dxfId="448" priority="41" operator="equal">
      <formula>0</formula>
    </cfRule>
  </conditionalFormatting>
  <conditionalFormatting sqref="C87:C89">
    <cfRule type="cellIs" dxfId="447" priority="40" operator="greaterThan">
      <formula>0</formula>
    </cfRule>
  </conditionalFormatting>
  <conditionalFormatting sqref="E117 E128:E135">
    <cfRule type="cellIs" dxfId="446" priority="39" operator="equal">
      <formula>0</formula>
    </cfRule>
  </conditionalFormatting>
  <conditionalFormatting sqref="E117 E128:E135">
    <cfRule type="cellIs" dxfId="445" priority="38" operator="greaterThan">
      <formula>0</formula>
    </cfRule>
  </conditionalFormatting>
  <conditionalFormatting sqref="E136">
    <cfRule type="cellIs" dxfId="444" priority="37" operator="greaterThanOrEqual">
      <formula>0</formula>
    </cfRule>
  </conditionalFormatting>
  <conditionalFormatting sqref="E136">
    <cfRule type="cellIs" dxfId="443" priority="36" operator="lessThan">
      <formula>0</formula>
    </cfRule>
  </conditionalFormatting>
  <conditionalFormatting sqref="C70:C74">
    <cfRule type="cellIs" dxfId="442" priority="35" operator="equal">
      <formula>0</formula>
    </cfRule>
  </conditionalFormatting>
  <conditionalFormatting sqref="C70:C74">
    <cfRule type="cellIs" dxfId="441" priority="34" operator="greaterThan">
      <formula>0</formula>
    </cfRule>
  </conditionalFormatting>
  <conditionalFormatting sqref="C80:C84">
    <cfRule type="cellIs" dxfId="440" priority="33" operator="equal">
      <formula>0</formula>
    </cfRule>
  </conditionalFormatting>
  <conditionalFormatting sqref="C80:C84">
    <cfRule type="cellIs" dxfId="439" priority="32" operator="greaterThan">
      <formula>0</formula>
    </cfRule>
  </conditionalFormatting>
  <conditionalFormatting sqref="C92:C94">
    <cfRule type="cellIs" dxfId="438" priority="31" operator="equal">
      <formula>0</formula>
    </cfRule>
  </conditionalFormatting>
  <conditionalFormatting sqref="C92:C94">
    <cfRule type="cellIs" dxfId="437" priority="30" operator="greaterThan">
      <formula>0</formula>
    </cfRule>
  </conditionalFormatting>
  <conditionalFormatting sqref="C108:C109">
    <cfRule type="cellIs" dxfId="436" priority="29" operator="equal">
      <formula>0</formula>
    </cfRule>
  </conditionalFormatting>
  <conditionalFormatting sqref="C108:C109">
    <cfRule type="cellIs" dxfId="435" priority="28" operator="greaterThan">
      <formula>0</formula>
    </cfRule>
  </conditionalFormatting>
  <conditionalFormatting sqref="E144 E155:E162">
    <cfRule type="cellIs" dxfId="434" priority="27" operator="equal">
      <formula>0</formula>
    </cfRule>
  </conditionalFormatting>
  <conditionalFormatting sqref="E163">
    <cfRule type="cellIs" dxfId="433" priority="26" operator="greaterThanOrEqual">
      <formula>0</formula>
    </cfRule>
  </conditionalFormatting>
  <conditionalFormatting sqref="E163">
    <cfRule type="cellIs" dxfId="432" priority="25" operator="lessThan">
      <formula>0</formula>
    </cfRule>
  </conditionalFormatting>
  <conditionalFormatting sqref="E143">
    <cfRule type="cellIs" dxfId="431" priority="24" operator="greaterThanOrEqual">
      <formula>0</formula>
    </cfRule>
  </conditionalFormatting>
  <conditionalFormatting sqref="E143">
    <cfRule type="cellIs" dxfId="430" priority="23" operator="lessThan">
      <formula>0</formula>
    </cfRule>
  </conditionalFormatting>
  <conditionalFormatting sqref="E171 E182:E189">
    <cfRule type="cellIs" dxfId="429" priority="22" operator="equal">
      <formula>0</formula>
    </cfRule>
  </conditionalFormatting>
  <conditionalFormatting sqref="E171 E182:E189">
    <cfRule type="cellIs" dxfId="428" priority="21" operator="greaterThan">
      <formula>0</formula>
    </cfRule>
  </conditionalFormatting>
  <conditionalFormatting sqref="E190">
    <cfRule type="cellIs" dxfId="427" priority="20" operator="greaterThanOrEqual">
      <formula>0</formula>
    </cfRule>
  </conditionalFormatting>
  <conditionalFormatting sqref="E190">
    <cfRule type="cellIs" dxfId="426" priority="19" operator="lessThan">
      <formula>0</formula>
    </cfRule>
  </conditionalFormatting>
  <conditionalFormatting sqref="E170">
    <cfRule type="cellIs" dxfId="425" priority="18" operator="greaterThanOrEqual">
      <formula>0</formula>
    </cfRule>
  </conditionalFormatting>
  <conditionalFormatting sqref="E170">
    <cfRule type="cellIs" dxfId="424" priority="17" operator="lessThan">
      <formula>0</formula>
    </cfRule>
  </conditionalFormatting>
  <conditionalFormatting sqref="C5">
    <cfRule type="cellIs" dxfId="423" priority="16" operator="equal">
      <formula>0</formula>
    </cfRule>
  </conditionalFormatting>
  <conditionalFormatting sqref="C5">
    <cfRule type="cellIs" dxfId="422" priority="15" operator="greaterThan">
      <formula>0</formula>
    </cfRule>
  </conditionalFormatting>
  <conditionalFormatting sqref="C98:C107">
    <cfRule type="cellIs" dxfId="421" priority="14" operator="lessThan">
      <formula>0</formula>
    </cfRule>
  </conditionalFormatting>
  <conditionalFormatting sqref="C98:C107">
    <cfRule type="cellIs" dxfId="420" priority="13" operator="greaterThanOrEqual">
      <formula>0</formula>
    </cfRule>
  </conditionalFormatting>
  <conditionalFormatting sqref="E118:E127">
    <cfRule type="cellIs" dxfId="419" priority="12" operator="equal">
      <formula>0</formula>
    </cfRule>
  </conditionalFormatting>
  <conditionalFormatting sqref="E118:E127">
    <cfRule type="cellIs" dxfId="418" priority="11" operator="greaterThan">
      <formula>0</formula>
    </cfRule>
  </conditionalFormatting>
  <conditionalFormatting sqref="E145:E154">
    <cfRule type="cellIs" dxfId="417" priority="10" operator="equal">
      <formula>0</formula>
    </cfRule>
  </conditionalFormatting>
  <conditionalFormatting sqref="E145:E154">
    <cfRule type="cellIs" dxfId="416" priority="9" operator="greaterThan">
      <formula>0</formula>
    </cfRule>
  </conditionalFormatting>
  <conditionalFormatting sqref="E172:E181">
    <cfRule type="cellIs" dxfId="415" priority="8" operator="equal">
      <formula>0</formula>
    </cfRule>
  </conditionalFormatting>
  <conditionalFormatting sqref="E172:E181">
    <cfRule type="cellIs" dxfId="414" priority="7" operator="greaterThan">
      <formula>0</formula>
    </cfRule>
  </conditionalFormatting>
  <conditionalFormatting sqref="E116">
    <cfRule type="cellIs" dxfId="413" priority="6" operator="greaterThanOrEqual">
      <formula>0</formula>
    </cfRule>
  </conditionalFormatting>
  <conditionalFormatting sqref="E116">
    <cfRule type="cellIs" dxfId="412" priority="5" operator="lessThan">
      <formula>0</formula>
    </cfRule>
  </conditionalFormatting>
  <conditionalFormatting sqref="C78:C79">
    <cfRule type="cellIs" dxfId="411" priority="4" operator="equal">
      <formula>0</formula>
    </cfRule>
  </conditionalFormatting>
  <conditionalFormatting sqref="C78:C79">
    <cfRule type="cellIs" dxfId="410" priority="3" operator="greaterThan">
      <formula>0</formula>
    </cfRule>
  </conditionalFormatting>
  <conditionalFormatting sqref="C90:C91">
    <cfRule type="cellIs" dxfId="409" priority="2" operator="equal">
      <formula>0</formula>
    </cfRule>
  </conditionalFormatting>
  <conditionalFormatting sqref="C90:C91">
    <cfRule type="cellIs" dxfId="408" priority="1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0128-C7AA-4335-9548-8A1FBFF72764}">
  <dimension ref="A1:I193"/>
  <sheetViews>
    <sheetView topLeftCell="A9" workbookViewId="0">
      <selection activeCell="J40" sqref="J40"/>
    </sheetView>
  </sheetViews>
  <sheetFormatPr defaultRowHeight="15"/>
  <cols>
    <col min="1" max="1" width="20.625" customWidth="1"/>
    <col min="2" max="2" width="30" customWidth="1"/>
    <col min="3" max="3" width="33.25" customWidth="1"/>
    <col min="4" max="8" width="20.625" customWidth="1"/>
  </cols>
  <sheetData>
    <row r="1" spans="1:9" ht="24.75" customHeight="1">
      <c r="A1" s="177" t="str">
        <f>"Forecasts For the Year " &amp; IF(Main!B2,TEXT(EDATE(Main!B3,24),"mmmm yyyy"),TEXT(Main!B3+((Main!B5-Main!B3)*24+24),"mmmm yyyy")) &amp; " to " &amp; IF(Main!B2,TEXT(EDATE(Main!B3,27)-1,"mmmm yyyy"),TEXT(Main!B3+((Main!B5-Main!B3)*27+26),"mmmm yyyy"))</f>
        <v>Forecasts For the Year April 2027 to July 2027</v>
      </c>
      <c r="B1" s="177"/>
      <c r="C1" s="177"/>
      <c r="D1" s="177"/>
      <c r="E1" s="177"/>
      <c r="F1" s="177"/>
      <c r="G1" s="177"/>
      <c r="H1" s="47"/>
      <c r="I1" s="47"/>
    </row>
    <row r="2" spans="1:9" ht="24.75" customHeight="1">
      <c r="A2" s="159" t="s">
        <v>31</v>
      </c>
      <c r="B2" s="48" t="s">
        <v>112</v>
      </c>
      <c r="C2" s="161" cm="1">
        <f t="array" aca="1" ref="C2" ca="1">INDIRECT("'" &amp; Main!B9 &amp; "'!$C$15")</f>
        <v>0</v>
      </c>
      <c r="D2" s="161"/>
      <c r="E2" s="161"/>
      <c r="F2" s="161"/>
      <c r="G2" s="161"/>
      <c r="H2" s="47"/>
      <c r="I2" s="47"/>
    </row>
    <row r="3" spans="1:9" ht="24.75" customHeight="1">
      <c r="A3" s="160"/>
      <c r="B3" s="41" t="s">
        <v>113</v>
      </c>
      <c r="C3" s="162">
        <f>E190</f>
        <v>0</v>
      </c>
      <c r="D3" s="162"/>
      <c r="E3" s="162"/>
      <c r="F3" s="162"/>
      <c r="G3" s="162"/>
      <c r="H3" s="47"/>
      <c r="I3" s="47"/>
    </row>
    <row r="4" spans="1:9" ht="24.75" customHeight="1">
      <c r="A4" s="174" t="s">
        <v>45</v>
      </c>
      <c r="B4" s="175"/>
      <c r="C4" s="163">
        <f ca="1">SUM(C2:G3)</f>
        <v>0</v>
      </c>
      <c r="D4" s="163"/>
      <c r="E4" s="163"/>
      <c r="F4" s="163"/>
      <c r="G4" s="163"/>
      <c r="H4" s="44"/>
      <c r="I4" s="9"/>
    </row>
    <row r="5" spans="1:9" ht="24.75" customHeight="1">
      <c r="A5" s="176" t="s">
        <v>114</v>
      </c>
      <c r="B5" s="176"/>
      <c r="C5" s="164">
        <f>C108</f>
        <v>0</v>
      </c>
      <c r="D5" s="165"/>
      <c r="E5" s="165"/>
      <c r="F5" s="165"/>
      <c r="G5" s="165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32" t="str">
        <f>IF(Main!B2,TEXT(EDATE(Main!B3,24),"dd mmmm yyyy"),TEXT(Main!B3+((Main!B5-Main!B3)*24+24),"dd mmmm yyyy")) &amp; " - " &amp; IF(Main!B2,TEXT(EDATE(Main!B3,25)-1,"dd mmmm yyyy"),TEXT(Main!B3+((Main!B5-Main!B3)*25+24),"dd mmmm yyyy")) &amp; " / " &amp; " (Revenue / Deferred Debts Or Expenses)"</f>
        <v>11 April 2027 - 10 May 2027 /  (Revenue / Deferred Debts Or Expenses)</v>
      </c>
      <c r="B8" s="133"/>
      <c r="C8" s="133"/>
      <c r="D8" s="133"/>
      <c r="E8" s="133"/>
      <c r="F8" s="133"/>
      <c r="G8" s="133"/>
      <c r="H8" s="44"/>
      <c r="I8" s="37"/>
    </row>
    <row r="9" spans="1:9" ht="24.75" customHeight="1">
      <c r="A9" s="81" t="s">
        <v>27</v>
      </c>
      <c r="B9" s="120" t="s">
        <v>46</v>
      </c>
      <c r="C9" s="120"/>
      <c r="D9" s="121" t="s">
        <v>47</v>
      </c>
      <c r="E9" s="121"/>
      <c r="F9" s="121" t="s">
        <v>48</v>
      </c>
      <c r="G9" s="121"/>
      <c r="H9" s="44"/>
      <c r="I9" s="9"/>
    </row>
    <row r="10" spans="1:9" ht="24.75" customHeight="1">
      <c r="A10" s="2" t="s">
        <v>115</v>
      </c>
      <c r="B10" s="122" t="s">
        <v>50</v>
      </c>
      <c r="C10" s="122"/>
      <c r="D10" s="122" t="s">
        <v>51</v>
      </c>
      <c r="E10" s="122"/>
      <c r="F10" s="123">
        <v>0</v>
      </c>
      <c r="G10" s="124"/>
      <c r="H10" s="44"/>
      <c r="I10" s="9"/>
    </row>
    <row r="11" spans="1:9" ht="24.75" customHeight="1">
      <c r="A11" s="2"/>
      <c r="B11" s="125" t="s">
        <v>40</v>
      </c>
      <c r="C11" s="126"/>
      <c r="D11" s="127"/>
      <c r="E11" s="128"/>
      <c r="F11" s="123">
        <v>0</v>
      </c>
      <c r="G11" s="124"/>
      <c r="H11" s="44"/>
      <c r="I11" s="9"/>
    </row>
    <row r="12" spans="1:9" ht="24.75" customHeight="1">
      <c r="A12" s="2"/>
      <c r="B12" s="125" t="s">
        <v>41</v>
      </c>
      <c r="C12" s="126"/>
      <c r="D12" s="127"/>
      <c r="E12" s="128"/>
      <c r="F12" s="123">
        <v>0</v>
      </c>
      <c r="G12" s="124"/>
      <c r="H12" s="44"/>
      <c r="I12" s="9"/>
    </row>
    <row r="13" spans="1:9" ht="24.75" customHeight="1">
      <c r="A13" s="2"/>
      <c r="B13" s="125" t="s">
        <v>42</v>
      </c>
      <c r="C13" s="126"/>
      <c r="D13" s="127"/>
      <c r="E13" s="128"/>
      <c r="F13" s="123">
        <v>0</v>
      </c>
      <c r="G13" s="124"/>
      <c r="H13" s="44"/>
      <c r="I13" s="9"/>
    </row>
    <row r="14" spans="1:9" ht="24.75" customHeight="1">
      <c r="A14" s="2"/>
      <c r="B14" s="125" t="s">
        <v>43</v>
      </c>
      <c r="C14" s="126"/>
      <c r="D14" s="127"/>
      <c r="E14" s="128"/>
      <c r="F14" s="123">
        <v>0</v>
      </c>
      <c r="G14" s="124"/>
      <c r="H14" s="44"/>
      <c r="I14" s="9"/>
    </row>
    <row r="15" spans="1:9" ht="24.75" customHeight="1">
      <c r="A15" s="2"/>
      <c r="B15" s="125" t="s">
        <v>44</v>
      </c>
      <c r="C15" s="126"/>
      <c r="D15" s="127"/>
      <c r="E15" s="128"/>
      <c r="F15" s="123">
        <v>0</v>
      </c>
      <c r="G15" s="124"/>
      <c r="H15" s="44"/>
      <c r="I15" s="9"/>
    </row>
    <row r="16" spans="1:9" ht="24.75" customHeight="1">
      <c r="A16" s="45"/>
      <c r="B16" s="166"/>
      <c r="C16" s="167"/>
      <c r="D16" s="116" t="s">
        <v>52</v>
      </c>
      <c r="E16" s="117"/>
      <c r="F16" s="118">
        <f>SUM(F10:G15)</f>
        <v>0</v>
      </c>
      <c r="G16" s="119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32" t="str">
        <f>IF(Main!B2,TEXT(EDATE(Main!B3,25),"dd mmmm yyyy"),TEXT(Main!B3+((Main!B5-Main!B3)*25+25),"dd mmmm yyyy")) &amp; " - " &amp; IF(Main!B2,TEXT(EDATE(Main!B3,26)-1,"dd mmmm yyyy"),TEXT(Main!B3+((Main!B5-Main!B3)*26+25),"dd mmmm yyyy")) &amp; " / " &amp; " (Revenue / Deferred Debts Or Expenses)"</f>
        <v>11 May 2027 - 10 June 2027 /  (Revenue / Deferred Debts Or Expenses)</v>
      </c>
      <c r="B20" s="133"/>
      <c r="C20" s="133"/>
      <c r="D20" s="133"/>
      <c r="E20" s="133"/>
      <c r="F20" s="133"/>
      <c r="G20" s="133"/>
      <c r="H20" s="44"/>
      <c r="I20" s="9"/>
    </row>
    <row r="21" spans="1:9" ht="24.75" customHeight="1">
      <c r="A21" s="81" t="s">
        <v>27</v>
      </c>
      <c r="B21" s="120" t="s">
        <v>46</v>
      </c>
      <c r="C21" s="120"/>
      <c r="D21" s="121" t="s">
        <v>47</v>
      </c>
      <c r="E21" s="121"/>
      <c r="F21" s="121" t="s">
        <v>48</v>
      </c>
      <c r="G21" s="121"/>
      <c r="H21" s="44"/>
      <c r="I21" s="9"/>
    </row>
    <row r="22" spans="1:9" ht="24.75" customHeight="1">
      <c r="A22" s="2" t="s">
        <v>116</v>
      </c>
      <c r="B22" s="122" t="s">
        <v>54</v>
      </c>
      <c r="C22" s="122"/>
      <c r="D22" s="122" t="s">
        <v>55</v>
      </c>
      <c r="E22" s="122"/>
      <c r="F22" s="123">
        <v>0</v>
      </c>
      <c r="G22" s="124"/>
      <c r="H22" s="44"/>
      <c r="I22" s="9"/>
    </row>
    <row r="23" spans="1:9" ht="24.75" customHeight="1">
      <c r="A23" s="2"/>
      <c r="B23" s="125" t="s">
        <v>40</v>
      </c>
      <c r="C23" s="126"/>
      <c r="D23" s="127"/>
      <c r="E23" s="128"/>
      <c r="F23" s="123">
        <v>0</v>
      </c>
      <c r="G23" s="124"/>
      <c r="H23" s="44"/>
      <c r="I23" s="9"/>
    </row>
    <row r="24" spans="1:9" ht="24.75" customHeight="1">
      <c r="A24" s="2"/>
      <c r="B24" s="125" t="s">
        <v>41</v>
      </c>
      <c r="C24" s="126"/>
      <c r="D24" s="127"/>
      <c r="E24" s="128"/>
      <c r="F24" s="123">
        <v>0</v>
      </c>
      <c r="G24" s="124"/>
      <c r="H24" s="44"/>
      <c r="I24" s="9"/>
    </row>
    <row r="25" spans="1:9" ht="24.75" customHeight="1">
      <c r="A25" s="2"/>
      <c r="B25" s="125" t="s">
        <v>42</v>
      </c>
      <c r="C25" s="126"/>
      <c r="D25" s="127"/>
      <c r="E25" s="128"/>
      <c r="F25" s="123">
        <v>0</v>
      </c>
      <c r="G25" s="124"/>
      <c r="H25" s="44"/>
      <c r="I25" s="9"/>
    </row>
    <row r="26" spans="1:9" ht="24.75" customHeight="1">
      <c r="A26" s="2"/>
      <c r="B26" s="125" t="s">
        <v>43</v>
      </c>
      <c r="C26" s="126"/>
      <c r="D26" s="127"/>
      <c r="E26" s="128"/>
      <c r="F26" s="123">
        <v>0</v>
      </c>
      <c r="G26" s="124"/>
      <c r="H26" s="44"/>
      <c r="I26" s="9"/>
    </row>
    <row r="27" spans="1:9" ht="24.75" customHeight="1">
      <c r="A27" s="2"/>
      <c r="B27" s="125" t="s">
        <v>44</v>
      </c>
      <c r="C27" s="126"/>
      <c r="D27" s="127"/>
      <c r="E27" s="128"/>
      <c r="F27" s="123">
        <v>0</v>
      </c>
      <c r="G27" s="124"/>
      <c r="H27" s="44"/>
      <c r="I27" s="9"/>
    </row>
    <row r="28" spans="1:9" ht="24.75" customHeight="1">
      <c r="A28" s="45"/>
      <c r="B28" s="166"/>
      <c r="C28" s="167"/>
      <c r="D28" s="116" t="s">
        <v>52</v>
      </c>
      <c r="E28" s="117"/>
      <c r="F28" s="118">
        <f>SUM(F22:G27)</f>
        <v>0</v>
      </c>
      <c r="G28" s="119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32" t="str">
        <f>IF(Main!B2,TEXT(EDATE(Main!B3,26),"dd mmmm yyyy"),TEXT(Main!B3+((Main!B5-Main!B3)*26+26),"dd mmmm yyyy")) &amp; " - " &amp; IF(Main!B2,TEXT(EDATE(Main!B3,27)-1,"dd mmmm yyyy"),TEXT(Main!B3+((Main!B5-Main!B3)*27+26),"dd mmmm yyyy")) &amp; " / " &amp; " (Revenue / Deferred Debts Or Expenses)"</f>
        <v>11 June 2027 - 10 July 2027 /  (Revenue / Deferred Debts Or Expenses)</v>
      </c>
      <c r="B32" s="133"/>
      <c r="C32" s="133"/>
      <c r="D32" s="133"/>
      <c r="E32" s="133"/>
      <c r="F32" s="133"/>
      <c r="G32" s="133"/>
      <c r="H32" s="44"/>
      <c r="I32" s="9"/>
    </row>
    <row r="33" spans="1:9" ht="24.75" customHeight="1">
      <c r="A33" s="81" t="s">
        <v>27</v>
      </c>
      <c r="B33" s="120" t="s">
        <v>46</v>
      </c>
      <c r="C33" s="120"/>
      <c r="D33" s="121" t="s">
        <v>47</v>
      </c>
      <c r="E33" s="121"/>
      <c r="F33" s="121" t="s">
        <v>48</v>
      </c>
      <c r="G33" s="121"/>
      <c r="H33" s="44"/>
      <c r="I33" s="9"/>
    </row>
    <row r="34" spans="1:9" ht="24.75" customHeight="1">
      <c r="A34" s="2" t="s">
        <v>117</v>
      </c>
      <c r="B34" s="122" t="s">
        <v>54</v>
      </c>
      <c r="C34" s="122"/>
      <c r="D34" s="122" t="s">
        <v>55</v>
      </c>
      <c r="E34" s="122"/>
      <c r="F34" s="123">
        <v>0</v>
      </c>
      <c r="G34" s="124"/>
      <c r="H34" s="44"/>
      <c r="I34" s="9"/>
    </row>
    <row r="35" spans="1:9" ht="24.75" customHeight="1">
      <c r="A35" s="2"/>
      <c r="B35" s="125" t="s">
        <v>40</v>
      </c>
      <c r="C35" s="126"/>
      <c r="D35" s="127"/>
      <c r="E35" s="128"/>
      <c r="F35" s="123">
        <v>0</v>
      </c>
      <c r="G35" s="124"/>
      <c r="H35" s="44"/>
      <c r="I35" s="9"/>
    </row>
    <row r="36" spans="1:9" ht="24.75" customHeight="1">
      <c r="A36" s="2"/>
      <c r="B36" s="125" t="s">
        <v>41</v>
      </c>
      <c r="C36" s="126"/>
      <c r="D36" s="127"/>
      <c r="E36" s="128"/>
      <c r="F36" s="123">
        <v>0</v>
      </c>
      <c r="G36" s="124"/>
      <c r="H36" s="44"/>
      <c r="I36" s="37"/>
    </row>
    <row r="37" spans="1:9" ht="24.75" customHeight="1">
      <c r="A37" s="2"/>
      <c r="B37" s="125" t="s">
        <v>42</v>
      </c>
      <c r="C37" s="126"/>
      <c r="D37" s="127"/>
      <c r="E37" s="128"/>
      <c r="F37" s="123">
        <v>0</v>
      </c>
      <c r="G37" s="124"/>
      <c r="H37" s="44"/>
      <c r="I37" s="9"/>
    </row>
    <row r="38" spans="1:9" ht="24.75" customHeight="1">
      <c r="A38" s="2"/>
      <c r="B38" s="125" t="s">
        <v>43</v>
      </c>
      <c r="C38" s="126"/>
      <c r="D38" s="127"/>
      <c r="E38" s="128"/>
      <c r="F38" s="123">
        <v>0</v>
      </c>
      <c r="G38" s="124"/>
      <c r="H38" s="44"/>
      <c r="I38" s="9"/>
    </row>
    <row r="39" spans="1:9" ht="24.75" customHeight="1">
      <c r="A39" s="2"/>
      <c r="B39" s="125" t="s">
        <v>44</v>
      </c>
      <c r="C39" s="126"/>
      <c r="D39" s="127"/>
      <c r="E39" s="128"/>
      <c r="F39" s="123">
        <v>0</v>
      </c>
      <c r="G39" s="124"/>
      <c r="H39" s="44"/>
      <c r="I39" s="9"/>
    </row>
    <row r="40" spans="1:9" ht="24.75" customHeight="1">
      <c r="A40" s="45"/>
      <c r="B40" s="166"/>
      <c r="C40" s="167"/>
      <c r="D40" s="116" t="s">
        <v>52</v>
      </c>
      <c r="E40" s="117"/>
      <c r="F40" s="118">
        <f>SUM(F34:G39)</f>
        <v>0</v>
      </c>
      <c r="G40" s="119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IF(Main!B2,TEXT(EDATE(Main!B3,24),"mmmm yyyy"),TEXT(Main!B3+((Main!B5-Main!B3)*24+24),"mmmm yyyy")) &amp; " to " &amp; IF(Main!B2,TEXT(EDATE(Main!B3,27)-1,"mmmm yyyy"),TEXT(Main!B3+((Main!B5-Main!B3)*27+26),"mmmm yyyy"))</f>
        <v>Fixed Expense For the Year April 2027 to July 2027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2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71" t="s">
        <v>57</v>
      </c>
      <c r="B46" s="172"/>
      <c r="C46" s="173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71" t="s">
        <v>62</v>
      </c>
      <c r="B56" s="172"/>
      <c r="C56" s="173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71" t="s">
        <v>67</v>
      </c>
      <c r="B67" s="172"/>
      <c r="C67" s="173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71" t="s">
        <v>72</v>
      </c>
      <c r="B76" s="172"/>
      <c r="C76" s="173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71" t="s">
        <v>77</v>
      </c>
      <c r="B86" s="172"/>
      <c r="C86" s="173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71" t="s">
        <v>86</v>
      </c>
      <c r="B97" s="172"/>
      <c r="C97" s="173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(Forecast_8!C98)+SUM(E118+E145+E172)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(Forecast_8!C99)+SUM(E119+E146+E173)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(Forecast_8!C100)+SUM(E120+E147+E174)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(Forecast_8!C101)+SUM(E121+E148+E175)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(Forecast_8!C102)+SUM(E122+E149+E176)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(Forecast_8!C103)+SUM(E123+E150+E177)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(Forecast_8!C104)+SUM(E124+E151+E178)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(Forecast_8!C105)+SUM(E125+E152+E179)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(Forecast_8!C106)+SUM(E126+E153+E180)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(Forecast_8!C107)+SUM(E127+E154+E181)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99" t="str">
        <f>"Debts Or Credits For the Comming " &amp; IF(Main!B2,TEXT(EDATE(Main!B3,24),"mmmm dd yyyy"),TEXT(Main!B3+((Main!B5-Main!B3)*24+24),"mmmm dd yyyy")) &amp; " to " &amp; IF(Main!B2,TEXT(EDATE(Main!B3,25)-1,"mmmm dd yyyy"),TEXT(Main!B3+((Main!B5-Main!B3)*25+24),"mmmm dd yyyy"))</f>
        <v>Debts Or Credits For the Comming April 11 2027 to May 10 2027</v>
      </c>
      <c r="B114" s="100"/>
      <c r="C114" s="100"/>
      <c r="D114" s="100"/>
      <c r="E114" s="101"/>
      <c r="F114" s="44"/>
      <c r="G114" s="44"/>
      <c r="H114" s="44"/>
      <c r="I114" s="9"/>
    </row>
    <row r="115" spans="1:9" ht="24.75" customHeight="1">
      <c r="A115" s="99" t="s">
        <v>94</v>
      </c>
      <c r="B115" s="101"/>
      <c r="C115" s="99" t="s">
        <v>47</v>
      </c>
      <c r="D115" s="101"/>
      <c r="E115" s="29" t="s">
        <v>48</v>
      </c>
      <c r="F115" s="44"/>
      <c r="G115" s="44"/>
      <c r="H115" s="44"/>
      <c r="I115" s="9"/>
    </row>
    <row r="116" spans="1:9" ht="24.75" customHeight="1">
      <c r="A116" s="96" t="str">
        <f>"Balance Brought Forward From " &amp; IF(Main!B2,TEXT(EDATE(Main!B3,24)-1,"mmmm yyyy"),TEXT(Main!B3+((Main!B5-Main!B3)*24+23),"mmmm yyyy"))</f>
        <v>Balance Brought Forward From April 2027</v>
      </c>
      <c r="B116" s="97"/>
      <c r="C116" s="158"/>
      <c r="D116" s="158"/>
      <c r="E116" s="51">
        <f>Forecast_8!E190</f>
        <v>0</v>
      </c>
      <c r="F116" s="44"/>
      <c r="G116" s="44"/>
      <c r="H116" s="44"/>
      <c r="I116" s="9"/>
    </row>
    <row r="117" spans="1:9" ht="24.75" customHeight="1">
      <c r="A117" s="106" t="s">
        <v>95</v>
      </c>
      <c r="B117" s="107"/>
      <c r="C117" s="157" t="s">
        <v>96</v>
      </c>
      <c r="D117" s="149"/>
      <c r="E117" s="42"/>
      <c r="F117" s="44"/>
      <c r="G117" s="44"/>
      <c r="H117" s="44"/>
      <c r="I117" s="9"/>
    </row>
    <row r="118" spans="1:9" ht="24.75" customHeight="1">
      <c r="A118" s="108"/>
      <c r="B118" s="109"/>
      <c r="C118" s="104" t="s">
        <v>97</v>
      </c>
      <c r="D118" s="105"/>
      <c r="E118" s="28">
        <v>0</v>
      </c>
      <c r="F118" s="44"/>
      <c r="G118" s="44"/>
      <c r="H118" s="44"/>
      <c r="I118" s="9"/>
    </row>
    <row r="119" spans="1:9" ht="24.75" customHeight="1">
      <c r="A119" s="108"/>
      <c r="B119" s="109"/>
      <c r="C119" s="104" t="s">
        <v>98</v>
      </c>
      <c r="D119" s="105"/>
      <c r="E119" s="28">
        <v>0</v>
      </c>
      <c r="F119" s="44"/>
      <c r="G119" s="44"/>
      <c r="H119" s="44"/>
      <c r="I119" s="9"/>
    </row>
    <row r="120" spans="1:9" ht="24.75" customHeight="1">
      <c r="A120" s="108"/>
      <c r="B120" s="109"/>
      <c r="C120" s="104" t="s">
        <v>99</v>
      </c>
      <c r="D120" s="105"/>
      <c r="E120" s="28">
        <v>0</v>
      </c>
      <c r="F120" s="44"/>
      <c r="G120" s="44"/>
      <c r="H120" s="44"/>
      <c r="I120" s="9"/>
    </row>
    <row r="121" spans="1:9" ht="24.75" customHeight="1">
      <c r="A121" s="108"/>
      <c r="B121" s="109"/>
      <c r="C121" s="104" t="s">
        <v>100</v>
      </c>
      <c r="D121" s="105"/>
      <c r="E121" s="28">
        <v>0</v>
      </c>
      <c r="F121" s="44"/>
      <c r="G121" s="44"/>
      <c r="H121" s="44"/>
      <c r="I121" s="9"/>
    </row>
    <row r="122" spans="1:9" ht="24.75" customHeight="1">
      <c r="A122" s="108"/>
      <c r="B122" s="109"/>
      <c r="C122" s="104" t="s">
        <v>101</v>
      </c>
      <c r="D122" s="105"/>
      <c r="E122" s="28">
        <v>0</v>
      </c>
      <c r="F122" s="44"/>
      <c r="G122" s="44"/>
      <c r="H122" s="44"/>
      <c r="I122" s="9"/>
    </row>
    <row r="123" spans="1:9" ht="24.75" customHeight="1">
      <c r="A123" s="108"/>
      <c r="B123" s="109"/>
      <c r="C123" s="104" t="s">
        <v>102</v>
      </c>
      <c r="D123" s="105"/>
      <c r="E123" s="28">
        <v>0</v>
      </c>
      <c r="F123" s="44"/>
      <c r="G123" s="44"/>
      <c r="H123" s="44"/>
      <c r="I123" s="9"/>
    </row>
    <row r="124" spans="1:9" ht="24.75" customHeight="1">
      <c r="A124" s="108"/>
      <c r="B124" s="109"/>
      <c r="C124" s="104" t="s">
        <v>103</v>
      </c>
      <c r="D124" s="105"/>
      <c r="E124" s="28">
        <v>0</v>
      </c>
      <c r="F124" s="44"/>
      <c r="G124" s="44"/>
      <c r="H124" s="44"/>
      <c r="I124" s="9"/>
    </row>
    <row r="125" spans="1:9" ht="24.75" customHeight="1">
      <c r="A125" s="108"/>
      <c r="B125" s="109"/>
      <c r="C125" s="104" t="s">
        <v>104</v>
      </c>
      <c r="D125" s="105"/>
      <c r="E125" s="28">
        <v>0</v>
      </c>
      <c r="F125" s="44"/>
      <c r="G125" s="44"/>
      <c r="H125" s="44"/>
      <c r="I125" s="9"/>
    </row>
    <row r="126" spans="1:9" ht="24.75" customHeight="1">
      <c r="A126" s="108"/>
      <c r="B126" s="109"/>
      <c r="C126" s="104" t="s">
        <v>105</v>
      </c>
      <c r="D126" s="105"/>
      <c r="E126" s="28">
        <v>0</v>
      </c>
      <c r="F126" s="44"/>
      <c r="G126" s="44"/>
      <c r="H126" s="44"/>
      <c r="I126" s="9"/>
    </row>
    <row r="127" spans="1:9" ht="24.75" customHeight="1">
      <c r="A127" s="108"/>
      <c r="B127" s="109"/>
      <c r="C127" s="104" t="s">
        <v>106</v>
      </c>
      <c r="D127" s="105"/>
      <c r="E127" s="28">
        <v>0</v>
      </c>
      <c r="F127" s="44"/>
      <c r="G127" s="44"/>
      <c r="H127" s="44"/>
      <c r="I127" s="9"/>
    </row>
    <row r="128" spans="1:9" ht="24.75" customHeight="1">
      <c r="A128" s="108"/>
      <c r="B128" s="109"/>
      <c r="C128" s="148" t="s">
        <v>107</v>
      </c>
      <c r="D128" s="149"/>
      <c r="E128" s="42"/>
      <c r="F128" s="44"/>
      <c r="G128" s="44"/>
      <c r="H128" s="44"/>
      <c r="I128" s="9"/>
    </row>
    <row r="129" spans="1:9" ht="24.75" customHeight="1">
      <c r="A129" s="108"/>
      <c r="B129" s="109"/>
      <c r="C129" s="150" t="s">
        <v>108</v>
      </c>
      <c r="D129" s="151"/>
      <c r="E129" s="30">
        <v>0</v>
      </c>
      <c r="F129" s="44"/>
      <c r="G129" s="44"/>
      <c r="H129" s="44"/>
      <c r="I129" s="9"/>
    </row>
    <row r="130" spans="1:9" ht="24.75" customHeight="1">
      <c r="A130" s="108"/>
      <c r="B130" s="109"/>
      <c r="C130" s="104" t="s">
        <v>97</v>
      </c>
      <c r="D130" s="105"/>
      <c r="E130" s="30">
        <v>0</v>
      </c>
      <c r="F130" s="44"/>
      <c r="G130" s="44"/>
      <c r="H130" s="44"/>
      <c r="I130" s="9"/>
    </row>
    <row r="131" spans="1:9" ht="24.75" customHeight="1">
      <c r="A131" s="108"/>
      <c r="B131" s="109"/>
      <c r="C131" s="104" t="s">
        <v>98</v>
      </c>
      <c r="D131" s="105"/>
      <c r="E131" s="30">
        <v>0</v>
      </c>
      <c r="F131" s="44"/>
      <c r="G131" s="44"/>
      <c r="H131" s="44"/>
      <c r="I131" s="9"/>
    </row>
    <row r="132" spans="1:9" ht="24.75" customHeight="1">
      <c r="A132" s="108"/>
      <c r="B132" s="109"/>
      <c r="C132" s="104" t="s">
        <v>99</v>
      </c>
      <c r="D132" s="105"/>
      <c r="E132" s="30">
        <v>0</v>
      </c>
      <c r="F132" s="44"/>
      <c r="G132" s="44"/>
      <c r="H132" s="44"/>
      <c r="I132" s="9"/>
    </row>
    <row r="133" spans="1:9" ht="24.75" customHeight="1">
      <c r="A133" s="108"/>
      <c r="B133" s="109"/>
      <c r="C133" s="104" t="s">
        <v>100</v>
      </c>
      <c r="D133" s="105"/>
      <c r="E133" s="30">
        <v>0</v>
      </c>
      <c r="F133" s="44"/>
      <c r="G133" s="44"/>
      <c r="H133" s="44"/>
      <c r="I133" s="9"/>
    </row>
    <row r="134" spans="1:9" ht="24.75" customHeight="1">
      <c r="A134" s="110"/>
      <c r="B134" s="111"/>
      <c r="C134" s="104" t="s">
        <v>101</v>
      </c>
      <c r="D134" s="105"/>
      <c r="E134" s="30">
        <v>0</v>
      </c>
      <c r="F134" s="44"/>
      <c r="G134" s="44"/>
      <c r="H134" s="44"/>
      <c r="I134" s="9"/>
    </row>
    <row r="135" spans="1:9" ht="24.75" customHeight="1">
      <c r="A135" s="96" t="s">
        <v>109</v>
      </c>
      <c r="B135" s="152"/>
      <c r="C135" s="153"/>
      <c r="D135" s="154"/>
      <c r="E135" s="30">
        <f>C96</f>
        <v>0</v>
      </c>
      <c r="F135" s="44"/>
      <c r="G135" s="44"/>
      <c r="H135" s="44"/>
      <c r="I135" s="9"/>
    </row>
    <row r="136" spans="1:9" ht="24.75" customHeight="1">
      <c r="A136" s="145"/>
      <c r="B136" s="146"/>
      <c r="C136" s="147" t="s">
        <v>110</v>
      </c>
      <c r="D136" s="147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99" t="str">
        <f>"Debts Or Credits For the Comming " &amp; IF(Main!B2,TEXT(EDATE(Main!B3,25),"mmmm dd yyyy"),TEXT(Main!B3+((Main!B5-Main!B3)*25+25),"dd mmmm yyyy")) &amp; " to " &amp;  IF(Main!B2,TEXT(EDATE(Main!B3,26)-1,"mmmm dd yyyy"),TEXT(Main!B3+((Main!B5-Main!B3)*26+25),"mmmm dd yyyy"))</f>
        <v>Debts Or Credits For the Comming May 11 2027 to June 10 2027</v>
      </c>
      <c r="B141" s="100"/>
      <c r="C141" s="100"/>
      <c r="D141" s="100"/>
      <c r="E141" s="101"/>
      <c r="F141" s="44"/>
      <c r="G141" s="44"/>
      <c r="H141" s="44"/>
      <c r="I141" s="9"/>
    </row>
    <row r="142" spans="1:9" ht="24.75" customHeight="1">
      <c r="A142" s="99" t="s">
        <v>94</v>
      </c>
      <c r="B142" s="101"/>
      <c r="C142" s="102" t="s">
        <v>47</v>
      </c>
      <c r="D142" s="103"/>
      <c r="E142" s="39" t="s">
        <v>48</v>
      </c>
      <c r="F142" s="44"/>
      <c r="G142" s="44"/>
      <c r="H142" s="44"/>
      <c r="I142" s="9"/>
    </row>
    <row r="143" spans="1:9" ht="24.75" customHeight="1">
      <c r="A143" s="96" t="str">
        <f>"Balance Brought Forward From " &amp; IF(Main!B2,TEXT(EDATE(Main!B3,25)-1,"mmmm yyyy"),TEXT(Main!B3+((Main!B5-Main!B3)*25+24),"mmmm yyyy"))</f>
        <v>Balance Brought Forward From May 2027</v>
      </c>
      <c r="B143" s="97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06" t="s">
        <v>95</v>
      </c>
      <c r="B144" s="107"/>
      <c r="C144" s="112" t="s">
        <v>96</v>
      </c>
      <c r="D144" s="113"/>
      <c r="E144" s="43"/>
      <c r="F144" s="44"/>
      <c r="G144" s="44"/>
      <c r="H144" s="44"/>
      <c r="I144" s="9"/>
    </row>
    <row r="145" spans="1:9" ht="24.75" customHeight="1">
      <c r="A145" s="108"/>
      <c r="B145" s="109"/>
      <c r="C145" s="104" t="s">
        <v>97</v>
      </c>
      <c r="D145" s="105"/>
      <c r="E145" s="28">
        <v>0</v>
      </c>
      <c r="F145" s="44"/>
      <c r="G145" s="44"/>
      <c r="H145" s="44"/>
      <c r="I145" s="9"/>
    </row>
    <row r="146" spans="1:9" ht="24.75" customHeight="1">
      <c r="A146" s="108"/>
      <c r="B146" s="109"/>
      <c r="C146" s="104" t="s">
        <v>98</v>
      </c>
      <c r="D146" s="105"/>
      <c r="E146" s="28">
        <v>0</v>
      </c>
      <c r="F146" s="44"/>
      <c r="G146" s="44"/>
      <c r="H146" s="44"/>
      <c r="I146" s="9"/>
    </row>
    <row r="147" spans="1:9" ht="24.75" customHeight="1">
      <c r="A147" s="108"/>
      <c r="B147" s="109"/>
      <c r="C147" s="104" t="s">
        <v>99</v>
      </c>
      <c r="D147" s="105"/>
      <c r="E147" s="28">
        <v>0</v>
      </c>
      <c r="F147" s="44"/>
      <c r="G147" s="44"/>
      <c r="H147" s="44"/>
      <c r="I147" s="9"/>
    </row>
    <row r="148" spans="1:9" ht="24.75" customHeight="1">
      <c r="A148" s="108"/>
      <c r="B148" s="109"/>
      <c r="C148" s="104" t="s">
        <v>100</v>
      </c>
      <c r="D148" s="105"/>
      <c r="E148" s="28">
        <v>0</v>
      </c>
      <c r="F148" s="44"/>
      <c r="G148" s="44"/>
      <c r="H148" s="44"/>
      <c r="I148" s="9"/>
    </row>
    <row r="149" spans="1:9" ht="24.75" customHeight="1">
      <c r="A149" s="108"/>
      <c r="B149" s="109"/>
      <c r="C149" s="104" t="s">
        <v>101</v>
      </c>
      <c r="D149" s="105"/>
      <c r="E149" s="28">
        <v>0</v>
      </c>
      <c r="F149" s="44"/>
      <c r="G149" s="44"/>
      <c r="H149" s="44"/>
      <c r="I149" s="9"/>
    </row>
    <row r="150" spans="1:9" ht="24.75" customHeight="1">
      <c r="A150" s="108"/>
      <c r="B150" s="109"/>
      <c r="C150" s="104" t="s">
        <v>102</v>
      </c>
      <c r="D150" s="105"/>
      <c r="E150" s="28">
        <v>0</v>
      </c>
      <c r="F150" s="44"/>
      <c r="G150" s="44"/>
      <c r="H150" s="44"/>
      <c r="I150" s="9"/>
    </row>
    <row r="151" spans="1:9" ht="24.75" customHeight="1">
      <c r="A151" s="108"/>
      <c r="B151" s="109"/>
      <c r="C151" s="104" t="s">
        <v>103</v>
      </c>
      <c r="D151" s="105"/>
      <c r="E151" s="28">
        <v>0</v>
      </c>
      <c r="F151" s="44"/>
      <c r="G151" s="44"/>
      <c r="H151" s="44"/>
      <c r="I151" s="9"/>
    </row>
    <row r="152" spans="1:9" ht="24.75" customHeight="1">
      <c r="A152" s="108"/>
      <c r="B152" s="109"/>
      <c r="C152" s="104" t="s">
        <v>104</v>
      </c>
      <c r="D152" s="105"/>
      <c r="E152" s="28">
        <v>0</v>
      </c>
      <c r="F152" s="44"/>
      <c r="G152" s="44"/>
      <c r="H152" s="44"/>
      <c r="I152" s="9"/>
    </row>
    <row r="153" spans="1:9" ht="24.75" customHeight="1">
      <c r="A153" s="108"/>
      <c r="B153" s="109"/>
      <c r="C153" s="104" t="s">
        <v>105</v>
      </c>
      <c r="D153" s="105"/>
      <c r="E153" s="28">
        <v>0</v>
      </c>
      <c r="F153" s="44"/>
      <c r="G153" s="44"/>
      <c r="H153" s="44"/>
      <c r="I153" s="9"/>
    </row>
    <row r="154" spans="1:9" ht="24.75" customHeight="1">
      <c r="A154" s="108"/>
      <c r="B154" s="109"/>
      <c r="C154" s="104" t="s">
        <v>106</v>
      </c>
      <c r="D154" s="105"/>
      <c r="E154" s="28">
        <v>0</v>
      </c>
      <c r="F154" s="44"/>
      <c r="G154" s="44"/>
      <c r="H154" s="44"/>
      <c r="I154" s="9"/>
    </row>
    <row r="155" spans="1:9" ht="24.75" customHeight="1">
      <c r="A155" s="108"/>
      <c r="B155" s="109"/>
      <c r="C155" s="148" t="s">
        <v>107</v>
      </c>
      <c r="D155" s="149"/>
      <c r="E155" s="42"/>
      <c r="F155" s="44"/>
      <c r="G155" s="44"/>
      <c r="H155" s="44"/>
      <c r="I155" s="9"/>
    </row>
    <row r="156" spans="1:9" ht="24.75" customHeight="1">
      <c r="A156" s="108"/>
      <c r="B156" s="109"/>
      <c r="C156" s="150" t="s">
        <v>111</v>
      </c>
      <c r="D156" s="151"/>
      <c r="E156" s="30">
        <v>0</v>
      </c>
      <c r="F156" s="44"/>
      <c r="G156" s="44"/>
      <c r="H156" s="44"/>
      <c r="I156" s="9"/>
    </row>
    <row r="157" spans="1:9" ht="24.75" customHeight="1">
      <c r="A157" s="108"/>
      <c r="B157" s="109"/>
      <c r="C157" s="104" t="s">
        <v>97</v>
      </c>
      <c r="D157" s="105"/>
      <c r="E157" s="30">
        <v>0</v>
      </c>
      <c r="F157" s="44"/>
      <c r="G157" s="44"/>
      <c r="H157" s="44"/>
      <c r="I157" s="9"/>
    </row>
    <row r="158" spans="1:9" ht="24.75" customHeight="1">
      <c r="A158" s="108"/>
      <c r="B158" s="109"/>
      <c r="C158" s="104" t="s">
        <v>98</v>
      </c>
      <c r="D158" s="105"/>
      <c r="E158" s="30">
        <v>0</v>
      </c>
      <c r="F158" s="44"/>
      <c r="G158" s="44"/>
      <c r="H158" s="44"/>
      <c r="I158" s="9"/>
    </row>
    <row r="159" spans="1:9" ht="24.75" customHeight="1">
      <c r="A159" s="108"/>
      <c r="B159" s="109"/>
      <c r="C159" s="104" t="s">
        <v>99</v>
      </c>
      <c r="D159" s="105"/>
      <c r="E159" s="30">
        <v>0</v>
      </c>
      <c r="F159" s="44"/>
      <c r="G159" s="44"/>
      <c r="H159" s="44"/>
      <c r="I159" s="9"/>
    </row>
    <row r="160" spans="1:9" ht="24.75" customHeight="1">
      <c r="A160" s="108"/>
      <c r="B160" s="109"/>
      <c r="C160" s="104" t="s">
        <v>100</v>
      </c>
      <c r="D160" s="105"/>
      <c r="E160" s="30">
        <v>0</v>
      </c>
      <c r="F160" s="44"/>
      <c r="G160" s="44"/>
      <c r="H160" s="44"/>
      <c r="I160" s="9"/>
    </row>
    <row r="161" spans="1:9" ht="24.75" customHeight="1">
      <c r="A161" s="110"/>
      <c r="B161" s="111"/>
      <c r="C161" s="104" t="s">
        <v>101</v>
      </c>
      <c r="D161" s="105"/>
      <c r="E161" s="30">
        <v>0</v>
      </c>
      <c r="F161" s="44"/>
      <c r="G161" s="44"/>
      <c r="H161" s="44"/>
      <c r="I161" s="9"/>
    </row>
    <row r="162" spans="1:9" ht="24.75" customHeight="1">
      <c r="A162" s="96" t="s">
        <v>109</v>
      </c>
      <c r="B162" s="152"/>
      <c r="C162" s="153"/>
      <c r="D162" s="154"/>
      <c r="E162" s="30">
        <f>C96</f>
        <v>0</v>
      </c>
      <c r="F162" s="44"/>
      <c r="G162" s="44"/>
      <c r="H162" s="44"/>
      <c r="I162" s="9"/>
    </row>
    <row r="163" spans="1:9" ht="24.75" customHeight="1">
      <c r="A163" s="145"/>
      <c r="B163" s="146"/>
      <c r="C163" s="147" t="s">
        <v>110</v>
      </c>
      <c r="D163" s="147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99" t="str">
        <f>"Debts Or Credits For the Comming " &amp; IF(Main!B2,TEXT(EDATE(Main!B3,26),"mmmm dd yyyy"),TEXT(Main!B3+((Main!B5-Main!B3)*26+26),"mmmm dd yyyy")) &amp; " to " &amp; IF(Main!B2,TEXT(EDATE(Main!B3,27)-1,"mmmm dd yyyy"),TEXT(Main!B3+((Main!B5-Main!B3)*27+26),"mmmm dd yyyy"))</f>
        <v>Debts Or Credits For the Comming June 11 2027 to July 10 2027</v>
      </c>
      <c r="B168" s="100"/>
      <c r="C168" s="100"/>
      <c r="D168" s="100"/>
      <c r="E168" s="101"/>
      <c r="F168" s="44"/>
      <c r="G168" s="44"/>
      <c r="H168" s="44"/>
      <c r="I168" s="9"/>
    </row>
    <row r="169" spans="1:9" ht="24.75" customHeight="1">
      <c r="A169" s="99" t="s">
        <v>94</v>
      </c>
      <c r="B169" s="101"/>
      <c r="C169" s="102" t="s">
        <v>47</v>
      </c>
      <c r="D169" s="103"/>
      <c r="E169" s="39" t="s">
        <v>48</v>
      </c>
      <c r="F169" s="44"/>
      <c r="G169" s="44"/>
      <c r="H169" s="44"/>
      <c r="I169" s="9"/>
    </row>
    <row r="170" spans="1:9" ht="24.75" customHeight="1">
      <c r="A170" s="96" t="str">
        <f>"Balance Brought Forward From " &amp;  IF(Main!B2,TEXT(EDATE(Main!B3,26)-1,"mmmm yyyy"),TEXT(Main!B3+((Main!B5-Main!B3)*26+25),"mmmm yyyy"))</f>
        <v>Balance Brought Forward From June 2027</v>
      </c>
      <c r="B170" s="97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06" t="s">
        <v>95</v>
      </c>
      <c r="B171" s="107"/>
      <c r="C171" s="112" t="s">
        <v>96</v>
      </c>
      <c r="D171" s="113"/>
      <c r="E171" s="43"/>
      <c r="F171" s="44"/>
      <c r="G171" s="44"/>
      <c r="H171" s="44"/>
      <c r="I171" s="9"/>
    </row>
    <row r="172" spans="1:9" ht="24.75" customHeight="1">
      <c r="A172" s="108"/>
      <c r="B172" s="109"/>
      <c r="C172" s="104" t="s">
        <v>97</v>
      </c>
      <c r="D172" s="105"/>
      <c r="E172" s="28">
        <v>0</v>
      </c>
      <c r="F172" s="44"/>
      <c r="G172" s="44"/>
      <c r="H172" s="44"/>
      <c r="I172" s="9"/>
    </row>
    <row r="173" spans="1:9" ht="24.75" customHeight="1">
      <c r="A173" s="108"/>
      <c r="B173" s="109"/>
      <c r="C173" s="104" t="s">
        <v>98</v>
      </c>
      <c r="D173" s="105"/>
      <c r="E173" s="28">
        <v>0</v>
      </c>
      <c r="F173" s="44"/>
      <c r="G173" s="44"/>
      <c r="H173" s="44"/>
      <c r="I173" s="9"/>
    </row>
    <row r="174" spans="1:9" ht="24.75" customHeight="1">
      <c r="A174" s="108"/>
      <c r="B174" s="109"/>
      <c r="C174" s="104" t="s">
        <v>99</v>
      </c>
      <c r="D174" s="105"/>
      <c r="E174" s="28">
        <v>0</v>
      </c>
      <c r="F174" s="44"/>
      <c r="G174" s="44"/>
      <c r="H174" s="44"/>
      <c r="I174" s="9"/>
    </row>
    <row r="175" spans="1:9" ht="24.75" customHeight="1">
      <c r="A175" s="108"/>
      <c r="B175" s="109"/>
      <c r="C175" s="104" t="s">
        <v>100</v>
      </c>
      <c r="D175" s="105"/>
      <c r="E175" s="28">
        <v>0</v>
      </c>
      <c r="F175" s="44"/>
      <c r="G175" s="44"/>
      <c r="H175" s="44"/>
      <c r="I175" s="9"/>
    </row>
    <row r="176" spans="1:9" ht="24.75" customHeight="1">
      <c r="A176" s="108"/>
      <c r="B176" s="109"/>
      <c r="C176" s="104" t="s">
        <v>101</v>
      </c>
      <c r="D176" s="105"/>
      <c r="E176" s="28">
        <v>0</v>
      </c>
      <c r="F176" s="44"/>
      <c r="G176" s="44"/>
      <c r="H176" s="44"/>
      <c r="I176" s="9"/>
    </row>
    <row r="177" spans="1:9" ht="24.75" customHeight="1">
      <c r="A177" s="108"/>
      <c r="B177" s="109"/>
      <c r="C177" s="104" t="s">
        <v>102</v>
      </c>
      <c r="D177" s="105"/>
      <c r="E177" s="28">
        <v>0</v>
      </c>
      <c r="F177" s="44"/>
      <c r="G177" s="44"/>
      <c r="H177" s="44"/>
      <c r="I177" s="9"/>
    </row>
    <row r="178" spans="1:9" ht="24.75" customHeight="1">
      <c r="A178" s="108"/>
      <c r="B178" s="109"/>
      <c r="C178" s="104" t="s">
        <v>103</v>
      </c>
      <c r="D178" s="105"/>
      <c r="E178" s="28">
        <v>0</v>
      </c>
      <c r="F178" s="44"/>
      <c r="G178" s="44"/>
      <c r="H178" s="44"/>
      <c r="I178" s="9"/>
    </row>
    <row r="179" spans="1:9" ht="24.75" customHeight="1">
      <c r="A179" s="108"/>
      <c r="B179" s="109"/>
      <c r="C179" s="104" t="s">
        <v>104</v>
      </c>
      <c r="D179" s="105"/>
      <c r="E179" s="28">
        <v>0</v>
      </c>
      <c r="F179" s="44"/>
      <c r="G179" s="44"/>
      <c r="H179" s="44"/>
      <c r="I179" s="9"/>
    </row>
    <row r="180" spans="1:9" ht="24.75" customHeight="1">
      <c r="A180" s="108"/>
      <c r="B180" s="109"/>
      <c r="C180" s="104" t="s">
        <v>105</v>
      </c>
      <c r="D180" s="105"/>
      <c r="E180" s="28">
        <v>0</v>
      </c>
      <c r="F180" s="44"/>
      <c r="G180" s="44"/>
      <c r="H180" s="44"/>
      <c r="I180" s="9"/>
    </row>
    <row r="181" spans="1:9" ht="24.75" customHeight="1">
      <c r="A181" s="108"/>
      <c r="B181" s="109"/>
      <c r="C181" s="104" t="s">
        <v>106</v>
      </c>
      <c r="D181" s="105"/>
      <c r="E181" s="28">
        <v>0</v>
      </c>
      <c r="F181" s="44"/>
      <c r="G181" s="44"/>
      <c r="H181" s="44"/>
      <c r="I181" s="9"/>
    </row>
    <row r="182" spans="1:9" ht="24.75" customHeight="1">
      <c r="A182" s="108"/>
      <c r="B182" s="109"/>
      <c r="C182" s="148" t="s">
        <v>107</v>
      </c>
      <c r="D182" s="149"/>
      <c r="E182" s="42"/>
      <c r="F182" s="44"/>
      <c r="G182" s="44"/>
      <c r="H182" s="44"/>
      <c r="I182" s="9"/>
    </row>
    <row r="183" spans="1:9">
      <c r="A183" s="108"/>
      <c r="B183" s="109"/>
      <c r="C183" s="150" t="s">
        <v>111</v>
      </c>
      <c r="D183" s="151"/>
      <c r="E183" s="30">
        <v>0</v>
      </c>
      <c r="F183" s="44"/>
      <c r="G183" s="44"/>
      <c r="H183" s="44"/>
      <c r="I183" s="9"/>
    </row>
    <row r="184" spans="1:9" ht="24.75" customHeight="1">
      <c r="A184" s="108"/>
      <c r="B184" s="109"/>
      <c r="C184" s="104" t="s">
        <v>97</v>
      </c>
      <c r="D184" s="105"/>
      <c r="E184" s="30">
        <v>0</v>
      </c>
      <c r="F184" s="44"/>
      <c r="G184" s="44"/>
      <c r="H184" s="44"/>
      <c r="I184" s="9"/>
    </row>
    <row r="185" spans="1:9" ht="24.75" customHeight="1">
      <c r="A185" s="108"/>
      <c r="B185" s="109"/>
      <c r="C185" s="104" t="s">
        <v>98</v>
      </c>
      <c r="D185" s="105"/>
      <c r="E185" s="30">
        <v>0</v>
      </c>
      <c r="F185" s="44"/>
      <c r="G185" s="44"/>
      <c r="H185" s="44"/>
      <c r="I185" s="9"/>
    </row>
    <row r="186" spans="1:9" ht="24.75" customHeight="1">
      <c r="A186" s="108"/>
      <c r="B186" s="109"/>
      <c r="C186" s="104" t="s">
        <v>99</v>
      </c>
      <c r="D186" s="105"/>
      <c r="E186" s="30">
        <v>0</v>
      </c>
      <c r="F186" s="44"/>
      <c r="G186" s="44"/>
      <c r="H186" s="44"/>
      <c r="I186" s="9"/>
    </row>
    <row r="187" spans="1:9" ht="24.75" customHeight="1">
      <c r="A187" s="108"/>
      <c r="B187" s="109"/>
      <c r="C187" s="104" t="s">
        <v>100</v>
      </c>
      <c r="D187" s="105"/>
      <c r="E187" s="30">
        <v>0</v>
      </c>
      <c r="F187" s="44"/>
      <c r="G187" s="44"/>
      <c r="H187" s="44"/>
      <c r="I187" s="9"/>
    </row>
    <row r="188" spans="1:9" ht="24.75" customHeight="1">
      <c r="A188" s="110"/>
      <c r="B188" s="111"/>
      <c r="C188" s="104" t="s">
        <v>101</v>
      </c>
      <c r="D188" s="105"/>
      <c r="E188" s="30">
        <v>0</v>
      </c>
      <c r="F188" s="44"/>
      <c r="G188" s="44"/>
      <c r="H188" s="44"/>
      <c r="I188" s="9"/>
    </row>
    <row r="189" spans="1:9" ht="24.75" customHeight="1">
      <c r="A189" s="96" t="s">
        <v>109</v>
      </c>
      <c r="B189" s="152"/>
      <c r="C189" s="153"/>
      <c r="D189" s="154"/>
      <c r="E189" s="30">
        <f>C96</f>
        <v>0</v>
      </c>
      <c r="F189" s="44"/>
      <c r="G189" s="44"/>
      <c r="H189" s="44"/>
      <c r="I189" s="9"/>
    </row>
    <row r="190" spans="1:9" ht="24.75" customHeight="1">
      <c r="A190" s="145"/>
      <c r="B190" s="146"/>
      <c r="C190" s="147" t="s">
        <v>110</v>
      </c>
      <c r="D190" s="147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407" priority="51" operator="equal">
      <formula>0</formula>
    </cfRule>
  </conditionalFormatting>
  <conditionalFormatting sqref="C47:C55 C85 C95:C96 E144 E155:E162">
    <cfRule type="cellIs" dxfId="406" priority="50" operator="greaterThan">
      <formula>0</formula>
    </cfRule>
  </conditionalFormatting>
  <conditionalFormatting sqref="C57:C66">
    <cfRule type="cellIs" dxfId="405" priority="49" operator="equal">
      <formula>0</formula>
    </cfRule>
  </conditionalFormatting>
  <conditionalFormatting sqref="C57:C66">
    <cfRule type="cellIs" dxfId="404" priority="48" operator="greaterThan">
      <formula>0</formula>
    </cfRule>
  </conditionalFormatting>
  <conditionalFormatting sqref="C68:C69">
    <cfRule type="cellIs" dxfId="403" priority="47" operator="equal">
      <formula>0</formula>
    </cfRule>
  </conditionalFormatting>
  <conditionalFormatting sqref="C68:C69">
    <cfRule type="cellIs" dxfId="402" priority="46" operator="greaterThan">
      <formula>0</formula>
    </cfRule>
  </conditionalFormatting>
  <conditionalFormatting sqref="C75">
    <cfRule type="cellIs" dxfId="401" priority="45" operator="equal">
      <formula>0</formula>
    </cfRule>
  </conditionalFormatting>
  <conditionalFormatting sqref="C75">
    <cfRule type="cellIs" dxfId="400" priority="44" operator="greaterThan">
      <formula>0</formula>
    </cfRule>
  </conditionalFormatting>
  <conditionalFormatting sqref="C77">
    <cfRule type="cellIs" dxfId="399" priority="43" operator="equal">
      <formula>0</formula>
    </cfRule>
  </conditionalFormatting>
  <conditionalFormatting sqref="C77">
    <cfRule type="cellIs" dxfId="398" priority="42" operator="greaterThan">
      <formula>0</formula>
    </cfRule>
  </conditionalFormatting>
  <conditionalFormatting sqref="C87:C89">
    <cfRule type="cellIs" dxfId="397" priority="41" operator="equal">
      <formula>0</formula>
    </cfRule>
  </conditionalFormatting>
  <conditionalFormatting sqref="C87:C89">
    <cfRule type="cellIs" dxfId="396" priority="40" operator="greaterThan">
      <formula>0</formula>
    </cfRule>
  </conditionalFormatting>
  <conditionalFormatting sqref="E117 E128:E135">
    <cfRule type="cellIs" dxfId="395" priority="39" operator="equal">
      <formula>0</formula>
    </cfRule>
  </conditionalFormatting>
  <conditionalFormatting sqref="E117 E128:E135">
    <cfRule type="cellIs" dxfId="394" priority="38" operator="greaterThan">
      <formula>0</formula>
    </cfRule>
  </conditionalFormatting>
  <conditionalFormatting sqref="E136">
    <cfRule type="cellIs" dxfId="393" priority="37" operator="greaterThanOrEqual">
      <formula>0</formula>
    </cfRule>
  </conditionalFormatting>
  <conditionalFormatting sqref="E136">
    <cfRule type="cellIs" dxfId="392" priority="36" operator="lessThan">
      <formula>0</formula>
    </cfRule>
  </conditionalFormatting>
  <conditionalFormatting sqref="C70:C74">
    <cfRule type="cellIs" dxfId="391" priority="35" operator="equal">
      <formula>0</formula>
    </cfRule>
  </conditionalFormatting>
  <conditionalFormatting sqref="C70:C74">
    <cfRule type="cellIs" dxfId="390" priority="34" operator="greaterThan">
      <formula>0</formula>
    </cfRule>
  </conditionalFormatting>
  <conditionalFormatting sqref="C80:C84">
    <cfRule type="cellIs" dxfId="389" priority="33" operator="equal">
      <formula>0</formula>
    </cfRule>
  </conditionalFormatting>
  <conditionalFormatting sqref="C80:C84">
    <cfRule type="cellIs" dxfId="388" priority="32" operator="greaterThan">
      <formula>0</formula>
    </cfRule>
  </conditionalFormatting>
  <conditionalFormatting sqref="C92:C94">
    <cfRule type="cellIs" dxfId="387" priority="31" operator="equal">
      <formula>0</formula>
    </cfRule>
  </conditionalFormatting>
  <conditionalFormatting sqref="C92:C94">
    <cfRule type="cellIs" dxfId="386" priority="30" operator="greaterThan">
      <formula>0</formula>
    </cfRule>
  </conditionalFormatting>
  <conditionalFormatting sqref="C108:C109">
    <cfRule type="cellIs" dxfId="385" priority="29" operator="equal">
      <formula>0</formula>
    </cfRule>
  </conditionalFormatting>
  <conditionalFormatting sqref="C108:C109">
    <cfRule type="cellIs" dxfId="384" priority="28" operator="greaterThan">
      <formula>0</formula>
    </cfRule>
  </conditionalFormatting>
  <conditionalFormatting sqref="E144 E155:E162">
    <cfRule type="cellIs" dxfId="383" priority="27" operator="equal">
      <formula>0</formula>
    </cfRule>
  </conditionalFormatting>
  <conditionalFormatting sqref="E163">
    <cfRule type="cellIs" dxfId="382" priority="26" operator="greaterThanOrEqual">
      <formula>0</formula>
    </cfRule>
  </conditionalFormatting>
  <conditionalFormatting sqref="E163">
    <cfRule type="cellIs" dxfId="381" priority="25" operator="lessThan">
      <formula>0</formula>
    </cfRule>
  </conditionalFormatting>
  <conditionalFormatting sqref="E143">
    <cfRule type="cellIs" dxfId="380" priority="24" operator="greaterThanOrEqual">
      <formula>0</formula>
    </cfRule>
  </conditionalFormatting>
  <conditionalFormatting sqref="E143">
    <cfRule type="cellIs" dxfId="379" priority="23" operator="lessThan">
      <formula>0</formula>
    </cfRule>
  </conditionalFormatting>
  <conditionalFormatting sqref="E171 E182:E189">
    <cfRule type="cellIs" dxfId="378" priority="22" operator="equal">
      <formula>0</formula>
    </cfRule>
  </conditionalFormatting>
  <conditionalFormatting sqref="E171 E182:E189">
    <cfRule type="cellIs" dxfId="377" priority="21" operator="greaterThan">
      <formula>0</formula>
    </cfRule>
  </conditionalFormatting>
  <conditionalFormatting sqref="E190">
    <cfRule type="cellIs" dxfId="376" priority="20" operator="greaterThanOrEqual">
      <formula>0</formula>
    </cfRule>
  </conditionalFormatting>
  <conditionalFormatting sqref="E190">
    <cfRule type="cellIs" dxfId="375" priority="19" operator="lessThan">
      <formula>0</formula>
    </cfRule>
  </conditionalFormatting>
  <conditionalFormatting sqref="E170">
    <cfRule type="cellIs" dxfId="374" priority="18" operator="greaterThanOrEqual">
      <formula>0</formula>
    </cfRule>
  </conditionalFormatting>
  <conditionalFormatting sqref="E170">
    <cfRule type="cellIs" dxfId="373" priority="17" operator="lessThan">
      <formula>0</formula>
    </cfRule>
  </conditionalFormatting>
  <conditionalFormatting sqref="C5">
    <cfRule type="cellIs" dxfId="372" priority="16" operator="equal">
      <formula>0</formula>
    </cfRule>
  </conditionalFormatting>
  <conditionalFormatting sqref="C5">
    <cfRule type="cellIs" dxfId="371" priority="15" operator="greaterThan">
      <formula>0</formula>
    </cfRule>
  </conditionalFormatting>
  <conditionalFormatting sqref="C98:C107">
    <cfRule type="cellIs" dxfId="370" priority="14" operator="lessThan">
      <formula>0</formula>
    </cfRule>
  </conditionalFormatting>
  <conditionalFormatting sqref="C98:C107">
    <cfRule type="cellIs" dxfId="369" priority="13" operator="greaterThanOrEqual">
      <formula>0</formula>
    </cfRule>
  </conditionalFormatting>
  <conditionalFormatting sqref="E118:E127">
    <cfRule type="cellIs" dxfId="368" priority="12" operator="equal">
      <formula>0</formula>
    </cfRule>
  </conditionalFormatting>
  <conditionalFormatting sqref="E118:E127">
    <cfRule type="cellIs" dxfId="367" priority="11" operator="greaterThan">
      <formula>0</formula>
    </cfRule>
  </conditionalFormatting>
  <conditionalFormatting sqref="E145:E154">
    <cfRule type="cellIs" dxfId="366" priority="10" operator="equal">
      <formula>0</formula>
    </cfRule>
  </conditionalFormatting>
  <conditionalFormatting sqref="E145:E154">
    <cfRule type="cellIs" dxfId="365" priority="9" operator="greaterThan">
      <formula>0</formula>
    </cfRule>
  </conditionalFormatting>
  <conditionalFormatting sqref="E172:E181">
    <cfRule type="cellIs" dxfId="364" priority="8" operator="equal">
      <formula>0</formula>
    </cfRule>
  </conditionalFormatting>
  <conditionalFormatting sqref="E172:E181">
    <cfRule type="cellIs" dxfId="363" priority="7" operator="greaterThan">
      <formula>0</formula>
    </cfRule>
  </conditionalFormatting>
  <conditionalFormatting sqref="E116">
    <cfRule type="cellIs" dxfId="362" priority="6" operator="greaterThanOrEqual">
      <formula>0</formula>
    </cfRule>
  </conditionalFormatting>
  <conditionalFormatting sqref="E116">
    <cfRule type="cellIs" dxfId="361" priority="5" operator="lessThan">
      <formula>0</formula>
    </cfRule>
  </conditionalFormatting>
  <conditionalFormatting sqref="C78:C79">
    <cfRule type="cellIs" dxfId="360" priority="4" operator="equal">
      <formula>0</formula>
    </cfRule>
  </conditionalFormatting>
  <conditionalFormatting sqref="C78:C79">
    <cfRule type="cellIs" dxfId="359" priority="3" operator="greaterThan">
      <formula>0</formula>
    </cfRule>
  </conditionalFormatting>
  <conditionalFormatting sqref="C90:C91">
    <cfRule type="cellIs" dxfId="358" priority="2" operator="equal">
      <formula>0</formula>
    </cfRule>
  </conditionalFormatting>
  <conditionalFormatting sqref="C90:C91">
    <cfRule type="cellIs" dxfId="357" priority="1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50F9-E58B-48E7-B2C3-C3B422FBA5BC}">
  <dimension ref="A1:I193"/>
  <sheetViews>
    <sheetView topLeftCell="A9" workbookViewId="0">
      <selection activeCell="A34" sqref="A34:G40"/>
    </sheetView>
  </sheetViews>
  <sheetFormatPr defaultRowHeight="15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spans="1:9" ht="24.75" customHeight="1">
      <c r="A1" s="177" t="str">
        <f>"Forecasts For the Year " &amp; IF(Main!B2,TEXT(EDATE(Main!B3,27),"mmmm yyyy"),TEXT(Main!B3+((Main!B5-Main!B3)*27+27),"mmmm yyyy")) &amp; " to " &amp; IF(Main!B2,TEXT(EDATE(Main!B3,30)-1,"mmmm yyyy"),TEXT(Main!B3+((Main!B5-Main!B3)*30+29),"mmmm yyyy"))</f>
        <v>Forecasts For the Year July 2027 to October 2027</v>
      </c>
      <c r="B1" s="177"/>
      <c r="C1" s="177"/>
      <c r="D1" s="177"/>
      <c r="E1" s="177"/>
      <c r="F1" s="177"/>
      <c r="G1" s="177"/>
      <c r="H1" s="47"/>
      <c r="I1" s="47"/>
    </row>
    <row r="2" spans="1:9" ht="24.75" customHeight="1">
      <c r="A2" s="159" t="s">
        <v>31</v>
      </c>
      <c r="B2" s="48" t="s">
        <v>112</v>
      </c>
      <c r="C2" s="161" cm="1">
        <f t="array" aca="1" ref="C2" ca="1">INDIRECT("'" &amp; Main!B9 &amp; "'!$C$15")</f>
        <v>0</v>
      </c>
      <c r="D2" s="161"/>
      <c r="E2" s="161"/>
      <c r="F2" s="161"/>
      <c r="G2" s="161"/>
      <c r="H2" s="47"/>
      <c r="I2" s="47"/>
    </row>
    <row r="3" spans="1:9" ht="24.75" customHeight="1">
      <c r="A3" s="160"/>
      <c r="B3" s="41" t="s">
        <v>113</v>
      </c>
      <c r="C3" s="162">
        <f>E190</f>
        <v>0</v>
      </c>
      <c r="D3" s="162"/>
      <c r="E3" s="162"/>
      <c r="F3" s="162"/>
      <c r="G3" s="162"/>
      <c r="H3" s="47"/>
      <c r="I3" s="47"/>
    </row>
    <row r="4" spans="1:9" ht="24.75" customHeight="1">
      <c r="A4" s="174" t="s">
        <v>45</v>
      </c>
      <c r="B4" s="175"/>
      <c r="C4" s="163">
        <f ca="1">SUM(C2:G3)</f>
        <v>0</v>
      </c>
      <c r="D4" s="163"/>
      <c r="E4" s="163"/>
      <c r="F4" s="163"/>
      <c r="G4" s="163"/>
      <c r="H4" s="44"/>
      <c r="I4" s="9"/>
    </row>
    <row r="5" spans="1:9" ht="24.75" customHeight="1">
      <c r="A5" s="176" t="s">
        <v>114</v>
      </c>
      <c r="B5" s="176"/>
      <c r="C5" s="164">
        <f>C108</f>
        <v>0</v>
      </c>
      <c r="D5" s="165"/>
      <c r="E5" s="165"/>
      <c r="F5" s="165"/>
      <c r="G5" s="165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32" t="str">
        <f>IF(Main!B2,TEXT(EDATE(Main!B3,27),"dd mmmm yyyy"),TEXT(Main!B3+((Main!B5-Main!B3)*27+27),"dd mmmm yyyy")) &amp; " - " &amp; IF(Main!B2,TEXT(EDATE(Main!B3,28)-1,"dd mmmm yyyy"),TEXT(Main!B3+((Main!B5-Main!B3)*28+27),"dd mmmm yyyy")) &amp; " / " &amp; " (Revenue / Deferred Debts Or Expenses)"</f>
        <v>11 July 2027 - 10 August 2027 /  (Revenue / Deferred Debts Or Expenses)</v>
      </c>
      <c r="B8" s="133"/>
      <c r="C8" s="133"/>
      <c r="D8" s="133"/>
      <c r="E8" s="133"/>
      <c r="F8" s="133"/>
      <c r="G8" s="133"/>
      <c r="H8" s="44"/>
      <c r="I8" s="37"/>
    </row>
    <row r="9" spans="1:9" ht="24.75" customHeight="1">
      <c r="A9" s="81" t="s">
        <v>27</v>
      </c>
      <c r="B9" s="120" t="s">
        <v>46</v>
      </c>
      <c r="C9" s="120"/>
      <c r="D9" s="121" t="s">
        <v>47</v>
      </c>
      <c r="E9" s="121"/>
      <c r="F9" s="121" t="s">
        <v>48</v>
      </c>
      <c r="G9" s="121"/>
      <c r="H9" s="44"/>
      <c r="I9" s="9"/>
    </row>
    <row r="10" spans="1:9" ht="24.75" customHeight="1">
      <c r="A10" s="2" t="s">
        <v>115</v>
      </c>
      <c r="B10" s="122" t="s">
        <v>50</v>
      </c>
      <c r="C10" s="122"/>
      <c r="D10" s="122" t="s">
        <v>51</v>
      </c>
      <c r="E10" s="122"/>
      <c r="F10" s="123">
        <v>0</v>
      </c>
      <c r="G10" s="124"/>
      <c r="H10" s="44"/>
      <c r="I10" s="9"/>
    </row>
    <row r="11" spans="1:9" ht="24.75" customHeight="1">
      <c r="A11" s="2"/>
      <c r="B11" s="125" t="s">
        <v>40</v>
      </c>
      <c r="C11" s="126"/>
      <c r="D11" s="127"/>
      <c r="E11" s="128"/>
      <c r="F11" s="123">
        <v>0</v>
      </c>
      <c r="G11" s="124"/>
      <c r="H11" s="44"/>
      <c r="I11" s="9"/>
    </row>
    <row r="12" spans="1:9" ht="24.75" customHeight="1">
      <c r="A12" s="2"/>
      <c r="B12" s="125" t="s">
        <v>41</v>
      </c>
      <c r="C12" s="126"/>
      <c r="D12" s="127"/>
      <c r="E12" s="128"/>
      <c r="F12" s="123">
        <v>0</v>
      </c>
      <c r="G12" s="124"/>
      <c r="H12" s="44"/>
      <c r="I12" s="9"/>
    </row>
    <row r="13" spans="1:9" ht="24.75" customHeight="1">
      <c r="A13" s="2"/>
      <c r="B13" s="125" t="s">
        <v>42</v>
      </c>
      <c r="C13" s="126"/>
      <c r="D13" s="127"/>
      <c r="E13" s="128"/>
      <c r="F13" s="123">
        <v>0</v>
      </c>
      <c r="G13" s="124"/>
      <c r="H13" s="44"/>
      <c r="I13" s="9"/>
    </row>
    <row r="14" spans="1:9" ht="24.75" customHeight="1">
      <c r="A14" s="2"/>
      <c r="B14" s="125" t="s">
        <v>43</v>
      </c>
      <c r="C14" s="126"/>
      <c r="D14" s="127"/>
      <c r="E14" s="128"/>
      <c r="F14" s="123">
        <v>0</v>
      </c>
      <c r="G14" s="124"/>
      <c r="H14" s="44"/>
      <c r="I14" s="9"/>
    </row>
    <row r="15" spans="1:9" ht="24.75" customHeight="1">
      <c r="A15" s="2"/>
      <c r="B15" s="125" t="s">
        <v>44</v>
      </c>
      <c r="C15" s="126"/>
      <c r="D15" s="127"/>
      <c r="E15" s="128"/>
      <c r="F15" s="123">
        <v>0</v>
      </c>
      <c r="G15" s="124"/>
      <c r="H15" s="44"/>
      <c r="I15" s="9"/>
    </row>
    <row r="16" spans="1:9" ht="24.75" customHeight="1">
      <c r="A16" s="45"/>
      <c r="B16" s="166"/>
      <c r="C16" s="167"/>
      <c r="D16" s="116" t="s">
        <v>52</v>
      </c>
      <c r="E16" s="117"/>
      <c r="F16" s="118">
        <f>SUM(F10:G15)</f>
        <v>0</v>
      </c>
      <c r="G16" s="119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32" t="str">
        <f>IF(Main!B2,TEXT(EDATE(Main!B3,28),"dd mmmm yyyy"),TEXT(Main!B3+((Main!B5-Main!B3)*28+28),"dd mmmm yyyy")) &amp; " - " &amp; IF(Main!B2,TEXT(EDATE(Main!B3,29)-1,"dd mmmm yyyy"),TEXT(Main!B3+((Main!B5-Main!B3)*29+28),"dd mmmm yyyy")) &amp; " / " &amp; " (Revenue / Deferred Debts Or Expenses)"</f>
        <v>11 August 2027 - 10 September 2027 /  (Revenue / Deferred Debts Or Expenses)</v>
      </c>
      <c r="B20" s="133"/>
      <c r="C20" s="133"/>
      <c r="D20" s="133"/>
      <c r="E20" s="133"/>
      <c r="F20" s="133"/>
      <c r="G20" s="133"/>
      <c r="H20" s="44"/>
      <c r="I20" s="9"/>
    </row>
    <row r="21" spans="1:9" ht="24.75" customHeight="1">
      <c r="A21" s="81" t="s">
        <v>27</v>
      </c>
      <c r="B21" s="120" t="s">
        <v>46</v>
      </c>
      <c r="C21" s="120"/>
      <c r="D21" s="121" t="s">
        <v>47</v>
      </c>
      <c r="E21" s="121"/>
      <c r="F21" s="121" t="s">
        <v>48</v>
      </c>
      <c r="G21" s="121"/>
      <c r="H21" s="44"/>
      <c r="I21" s="9"/>
    </row>
    <row r="22" spans="1:9" ht="24.75" customHeight="1">
      <c r="A22" s="2" t="s">
        <v>116</v>
      </c>
      <c r="B22" s="122" t="s">
        <v>54</v>
      </c>
      <c r="C22" s="122"/>
      <c r="D22" s="122" t="s">
        <v>55</v>
      </c>
      <c r="E22" s="122"/>
      <c r="F22" s="123">
        <v>0</v>
      </c>
      <c r="G22" s="124"/>
      <c r="H22" s="44"/>
      <c r="I22" s="9"/>
    </row>
    <row r="23" spans="1:9" ht="24.75" customHeight="1">
      <c r="A23" s="2"/>
      <c r="B23" s="125" t="s">
        <v>40</v>
      </c>
      <c r="C23" s="126"/>
      <c r="D23" s="127"/>
      <c r="E23" s="128"/>
      <c r="F23" s="123">
        <v>0</v>
      </c>
      <c r="G23" s="124"/>
      <c r="H23" s="44"/>
      <c r="I23" s="9"/>
    </row>
    <row r="24" spans="1:9" ht="24.75" customHeight="1">
      <c r="A24" s="2"/>
      <c r="B24" s="125" t="s">
        <v>41</v>
      </c>
      <c r="C24" s="126"/>
      <c r="D24" s="127"/>
      <c r="E24" s="128"/>
      <c r="F24" s="123">
        <v>0</v>
      </c>
      <c r="G24" s="124"/>
      <c r="H24" s="44"/>
      <c r="I24" s="9"/>
    </row>
    <row r="25" spans="1:9" ht="24.75" customHeight="1">
      <c r="A25" s="2"/>
      <c r="B25" s="125" t="s">
        <v>42</v>
      </c>
      <c r="C25" s="126"/>
      <c r="D25" s="127"/>
      <c r="E25" s="128"/>
      <c r="F25" s="123">
        <v>0</v>
      </c>
      <c r="G25" s="124"/>
      <c r="H25" s="44"/>
      <c r="I25" s="9"/>
    </row>
    <row r="26" spans="1:9" ht="24.75" customHeight="1">
      <c r="A26" s="2"/>
      <c r="B26" s="125" t="s">
        <v>43</v>
      </c>
      <c r="C26" s="126"/>
      <c r="D26" s="127"/>
      <c r="E26" s="128"/>
      <c r="F26" s="123">
        <v>0</v>
      </c>
      <c r="G26" s="124"/>
      <c r="H26" s="44"/>
      <c r="I26" s="9"/>
    </row>
    <row r="27" spans="1:9" ht="24.75" customHeight="1">
      <c r="A27" s="2"/>
      <c r="B27" s="125" t="s">
        <v>44</v>
      </c>
      <c r="C27" s="126"/>
      <c r="D27" s="127"/>
      <c r="E27" s="128"/>
      <c r="F27" s="123">
        <v>0</v>
      </c>
      <c r="G27" s="124"/>
      <c r="H27" s="44"/>
      <c r="I27" s="9"/>
    </row>
    <row r="28" spans="1:9" ht="24.75" customHeight="1">
      <c r="A28" s="45"/>
      <c r="B28" s="166"/>
      <c r="C28" s="167"/>
      <c r="D28" s="116" t="s">
        <v>52</v>
      </c>
      <c r="E28" s="117"/>
      <c r="F28" s="118">
        <f>SUM(F22:G27)</f>
        <v>0</v>
      </c>
      <c r="G28" s="119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32" t="str">
        <f>IF(Main!B2,TEXT(EDATE(Main!B3,29),"dd mmmm yyyy"),TEXT(Main!B3+((Main!B5-Main!B3)*29+29),"dd mmmm yyyy")) &amp; " - " &amp; IF(Main!B2,TEXT(EDATE(Main!B3,30)-1,"dd mmmm yyyy"),TEXT(Main!B3+((Main!B5-Main!B3)*30+29),"dd mmmm yyyy")) &amp; " / " &amp; " (Revenue / Deferred Debts Or Expenses)"</f>
        <v>11 September 2027 - 10 October 2027 /  (Revenue / Deferred Debts Or Expenses)</v>
      </c>
      <c r="B32" s="133"/>
      <c r="C32" s="133"/>
      <c r="D32" s="133"/>
      <c r="E32" s="133"/>
      <c r="F32" s="133"/>
      <c r="G32" s="133"/>
      <c r="H32" s="44"/>
      <c r="I32" s="9"/>
    </row>
    <row r="33" spans="1:9" ht="24.75" customHeight="1">
      <c r="A33" s="81" t="s">
        <v>27</v>
      </c>
      <c r="B33" s="120" t="s">
        <v>46</v>
      </c>
      <c r="C33" s="120"/>
      <c r="D33" s="121" t="s">
        <v>47</v>
      </c>
      <c r="E33" s="121"/>
      <c r="F33" s="121" t="s">
        <v>48</v>
      </c>
      <c r="G33" s="121"/>
      <c r="H33" s="44"/>
      <c r="I33" s="9"/>
    </row>
    <row r="34" spans="1:9" ht="24.75" customHeight="1">
      <c r="A34" s="2" t="s">
        <v>117</v>
      </c>
      <c r="B34" s="122" t="s">
        <v>54</v>
      </c>
      <c r="C34" s="122"/>
      <c r="D34" s="122" t="s">
        <v>55</v>
      </c>
      <c r="E34" s="122"/>
      <c r="F34" s="123">
        <v>0</v>
      </c>
      <c r="G34" s="124"/>
      <c r="H34" s="44"/>
      <c r="I34" s="9"/>
    </row>
    <row r="35" spans="1:9" ht="24.75" customHeight="1">
      <c r="A35" s="2"/>
      <c r="B35" s="125" t="s">
        <v>40</v>
      </c>
      <c r="C35" s="126"/>
      <c r="D35" s="127"/>
      <c r="E35" s="128"/>
      <c r="F35" s="123">
        <v>0</v>
      </c>
      <c r="G35" s="124"/>
      <c r="H35" s="44"/>
      <c r="I35" s="9"/>
    </row>
    <row r="36" spans="1:9" ht="24.75" customHeight="1">
      <c r="A36" s="2"/>
      <c r="B36" s="125" t="s">
        <v>41</v>
      </c>
      <c r="C36" s="126"/>
      <c r="D36" s="127"/>
      <c r="E36" s="128"/>
      <c r="F36" s="123">
        <v>0</v>
      </c>
      <c r="G36" s="124"/>
      <c r="H36" s="44"/>
      <c r="I36" s="37"/>
    </row>
    <row r="37" spans="1:9" ht="24.75" customHeight="1">
      <c r="A37" s="2"/>
      <c r="B37" s="125" t="s">
        <v>42</v>
      </c>
      <c r="C37" s="126"/>
      <c r="D37" s="127"/>
      <c r="E37" s="128"/>
      <c r="F37" s="123">
        <v>0</v>
      </c>
      <c r="G37" s="124"/>
      <c r="H37" s="44"/>
      <c r="I37" s="9"/>
    </row>
    <row r="38" spans="1:9" ht="24.75" customHeight="1">
      <c r="A38" s="2"/>
      <c r="B38" s="125" t="s">
        <v>43</v>
      </c>
      <c r="C38" s="126"/>
      <c r="D38" s="127"/>
      <c r="E38" s="128"/>
      <c r="F38" s="123">
        <v>0</v>
      </c>
      <c r="G38" s="124"/>
      <c r="H38" s="44"/>
      <c r="I38" s="9"/>
    </row>
    <row r="39" spans="1:9" ht="24.75" customHeight="1">
      <c r="A39" s="2"/>
      <c r="B39" s="125" t="s">
        <v>44</v>
      </c>
      <c r="C39" s="126"/>
      <c r="D39" s="127"/>
      <c r="E39" s="128"/>
      <c r="F39" s="123">
        <v>0</v>
      </c>
      <c r="G39" s="124"/>
      <c r="H39" s="44"/>
      <c r="I39" s="9"/>
    </row>
    <row r="40" spans="1:9" ht="24.75" customHeight="1">
      <c r="A40" s="45"/>
      <c r="B40" s="166"/>
      <c r="C40" s="167"/>
      <c r="D40" s="116" t="s">
        <v>52</v>
      </c>
      <c r="E40" s="117"/>
      <c r="F40" s="118">
        <f>SUM(F34:G39)</f>
        <v>0</v>
      </c>
      <c r="G40" s="119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IF(Main!B2,TEXT(EDATE(Main!B3,27),"mmmm yyyy"),TEXT(Main!B3+((Main!B5-Main!B3)*27+27),"mmmm yyyy")) &amp; " to " &amp; IF(Main!B2,TEXT(EDATE(Main!B3,30)-1,"mmmm yyyy"),TEXT(Main!B3+((Main!B5-Main!B3)*30+29),"mmmm yyyy"))</f>
        <v>Fixed Expense For the Year July 2027 to October 2027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2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71" t="s">
        <v>57</v>
      </c>
      <c r="B46" s="172"/>
      <c r="C46" s="173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71" t="s">
        <v>62</v>
      </c>
      <c r="B56" s="172"/>
      <c r="C56" s="173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71" t="s">
        <v>67</v>
      </c>
      <c r="B67" s="172"/>
      <c r="C67" s="173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71" t="s">
        <v>72</v>
      </c>
      <c r="B76" s="172"/>
      <c r="C76" s="173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71" t="s">
        <v>77</v>
      </c>
      <c r="B86" s="172"/>
      <c r="C86" s="173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71" t="s">
        <v>86</v>
      </c>
      <c r="B97" s="172"/>
      <c r="C97" s="173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(Forecast_9!C98)+SUM(E118+E145+E172)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(Forecast_9!C99)+SUM(E119+E146+E173)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(Forecast_9!C100)+SUM(E120+E147+E174)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(Forecast_9!C101)+SUM(E121+E148+E175)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(Forecast_9!C102)+SUM(E122+E149+E176)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(Forecast_9!C103)+SUM(E123+E150+E177)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(Forecast_9!C104)+SUM(E124+E151+E178)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(Forecast_9!C105)+SUM(E125+E152+E179)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(Forecast_9!C106)+SUM(E126+E153+E180)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(Forecast_9!C107)+SUM(E127+E154+E181)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99" t="str">
        <f>"Debts Or Credits For the Comming " &amp; IF(Main!B2,TEXT(EDATE(Main!B3,27),"mmmm dd yyyy"),TEXT(Main!B3+((Main!B5-Main!B3)*27+27),"mmmm dd yyyy")) &amp; " to " &amp; IF(Main!B2,TEXT(EDATE(Main!B3,28)-1,"mmmm dd yyyy"),TEXT(Main!B3+((Main!B5-Main!B3)*28+27),"mmmm dd yyyy"))</f>
        <v>Debts Or Credits For the Comming July 11 2027 to August 10 2027</v>
      </c>
      <c r="B114" s="100"/>
      <c r="C114" s="100"/>
      <c r="D114" s="100"/>
      <c r="E114" s="101"/>
      <c r="F114" s="44"/>
      <c r="G114" s="44"/>
      <c r="H114" s="44"/>
      <c r="I114" s="9"/>
    </row>
    <row r="115" spans="1:9" ht="24.75" customHeight="1">
      <c r="A115" s="99" t="s">
        <v>94</v>
      </c>
      <c r="B115" s="101"/>
      <c r="C115" s="99" t="s">
        <v>47</v>
      </c>
      <c r="D115" s="101"/>
      <c r="E115" s="29" t="s">
        <v>48</v>
      </c>
      <c r="F115" s="44"/>
      <c r="G115" s="44"/>
      <c r="H115" s="44"/>
      <c r="I115" s="9"/>
    </row>
    <row r="116" spans="1:9" ht="24.75" customHeight="1">
      <c r="A116" s="96" t="str">
        <f>"Balance Brought Forward From " &amp; IF(Main!B2,TEXT(EDATE(Main!B3,27)-1,"mmmm yyyy"),TEXT(Main!B3+((Main!B5-Main!B3)*27+26),"mmmm yyyy"))</f>
        <v>Balance Brought Forward From July 2027</v>
      </c>
      <c r="B116" s="97"/>
      <c r="C116" s="158"/>
      <c r="D116" s="158"/>
      <c r="E116" s="51">
        <f>Forecast_9!E190</f>
        <v>0</v>
      </c>
      <c r="F116" s="44"/>
      <c r="G116" s="44"/>
      <c r="H116" s="44"/>
      <c r="I116" s="9"/>
    </row>
    <row r="117" spans="1:9" ht="24.75" customHeight="1">
      <c r="A117" s="106" t="s">
        <v>95</v>
      </c>
      <c r="B117" s="107"/>
      <c r="C117" s="157" t="s">
        <v>96</v>
      </c>
      <c r="D117" s="149"/>
      <c r="E117" s="42"/>
      <c r="F117" s="44"/>
      <c r="G117" s="44"/>
      <c r="H117" s="44"/>
      <c r="I117" s="9"/>
    </row>
    <row r="118" spans="1:9" ht="24.75" customHeight="1">
      <c r="A118" s="108"/>
      <c r="B118" s="109"/>
      <c r="C118" s="104" t="s">
        <v>97</v>
      </c>
      <c r="D118" s="105"/>
      <c r="E118" s="28">
        <v>0</v>
      </c>
      <c r="F118" s="44"/>
      <c r="G118" s="44"/>
      <c r="H118" s="44"/>
      <c r="I118" s="9"/>
    </row>
    <row r="119" spans="1:9" ht="24.75" customHeight="1">
      <c r="A119" s="108"/>
      <c r="B119" s="109"/>
      <c r="C119" s="104" t="s">
        <v>98</v>
      </c>
      <c r="D119" s="105"/>
      <c r="E119" s="28">
        <v>0</v>
      </c>
      <c r="F119" s="44"/>
      <c r="G119" s="44"/>
      <c r="H119" s="44"/>
      <c r="I119" s="9"/>
    </row>
    <row r="120" spans="1:9" ht="24.75" customHeight="1">
      <c r="A120" s="108"/>
      <c r="B120" s="109"/>
      <c r="C120" s="104" t="s">
        <v>99</v>
      </c>
      <c r="D120" s="105"/>
      <c r="E120" s="28">
        <v>0</v>
      </c>
      <c r="F120" s="44"/>
      <c r="G120" s="44"/>
      <c r="H120" s="44"/>
      <c r="I120" s="9"/>
    </row>
    <row r="121" spans="1:9" ht="24.75" customHeight="1">
      <c r="A121" s="108"/>
      <c r="B121" s="109"/>
      <c r="C121" s="104" t="s">
        <v>100</v>
      </c>
      <c r="D121" s="105"/>
      <c r="E121" s="28">
        <v>0</v>
      </c>
      <c r="F121" s="44"/>
      <c r="G121" s="44"/>
      <c r="H121" s="44"/>
      <c r="I121" s="9"/>
    </row>
    <row r="122" spans="1:9" ht="24.75" customHeight="1">
      <c r="A122" s="108"/>
      <c r="B122" s="109"/>
      <c r="C122" s="104" t="s">
        <v>101</v>
      </c>
      <c r="D122" s="105"/>
      <c r="E122" s="28">
        <v>0</v>
      </c>
      <c r="F122" s="44"/>
      <c r="G122" s="44"/>
      <c r="H122" s="44"/>
      <c r="I122" s="9"/>
    </row>
    <row r="123" spans="1:9" ht="24.75" customHeight="1">
      <c r="A123" s="108"/>
      <c r="B123" s="109"/>
      <c r="C123" s="104" t="s">
        <v>102</v>
      </c>
      <c r="D123" s="105"/>
      <c r="E123" s="28">
        <v>0</v>
      </c>
      <c r="F123" s="44"/>
      <c r="G123" s="44"/>
      <c r="H123" s="44"/>
      <c r="I123" s="9"/>
    </row>
    <row r="124" spans="1:9" ht="24.75" customHeight="1">
      <c r="A124" s="108"/>
      <c r="B124" s="109"/>
      <c r="C124" s="104" t="s">
        <v>103</v>
      </c>
      <c r="D124" s="105"/>
      <c r="E124" s="28">
        <v>0</v>
      </c>
      <c r="F124" s="44"/>
      <c r="G124" s="44"/>
      <c r="H124" s="44"/>
      <c r="I124" s="9"/>
    </row>
    <row r="125" spans="1:9" ht="24.75" customHeight="1">
      <c r="A125" s="108"/>
      <c r="B125" s="109"/>
      <c r="C125" s="104" t="s">
        <v>104</v>
      </c>
      <c r="D125" s="105"/>
      <c r="E125" s="28">
        <v>0</v>
      </c>
      <c r="F125" s="44"/>
      <c r="G125" s="44"/>
      <c r="H125" s="44"/>
      <c r="I125" s="9"/>
    </row>
    <row r="126" spans="1:9" ht="24.75" customHeight="1">
      <c r="A126" s="108"/>
      <c r="B126" s="109"/>
      <c r="C126" s="104" t="s">
        <v>105</v>
      </c>
      <c r="D126" s="105"/>
      <c r="E126" s="28">
        <v>0</v>
      </c>
      <c r="F126" s="44"/>
      <c r="G126" s="44"/>
      <c r="H126" s="44"/>
      <c r="I126" s="9"/>
    </row>
    <row r="127" spans="1:9" ht="24.75" customHeight="1">
      <c r="A127" s="108"/>
      <c r="B127" s="109"/>
      <c r="C127" s="104" t="s">
        <v>106</v>
      </c>
      <c r="D127" s="105"/>
      <c r="E127" s="28">
        <v>0</v>
      </c>
      <c r="F127" s="44"/>
      <c r="G127" s="44"/>
      <c r="H127" s="44"/>
      <c r="I127" s="9"/>
    </row>
    <row r="128" spans="1:9" ht="24.75" customHeight="1">
      <c r="A128" s="108"/>
      <c r="B128" s="109"/>
      <c r="C128" s="148" t="s">
        <v>107</v>
      </c>
      <c r="D128" s="149"/>
      <c r="E128" s="42"/>
      <c r="F128" s="44"/>
      <c r="G128" s="44"/>
      <c r="H128" s="44"/>
      <c r="I128" s="9"/>
    </row>
    <row r="129" spans="1:9" ht="24.75" customHeight="1">
      <c r="A129" s="108"/>
      <c r="B129" s="109"/>
      <c r="C129" s="150" t="s">
        <v>108</v>
      </c>
      <c r="D129" s="151"/>
      <c r="E129" s="30">
        <v>0</v>
      </c>
      <c r="F129" s="44"/>
      <c r="G129" s="44"/>
      <c r="H129" s="44"/>
      <c r="I129" s="9"/>
    </row>
    <row r="130" spans="1:9" ht="24.75" customHeight="1">
      <c r="A130" s="108"/>
      <c r="B130" s="109"/>
      <c r="C130" s="104" t="s">
        <v>97</v>
      </c>
      <c r="D130" s="105"/>
      <c r="E130" s="30">
        <v>0</v>
      </c>
      <c r="F130" s="44"/>
      <c r="G130" s="44"/>
      <c r="H130" s="44"/>
      <c r="I130" s="9"/>
    </row>
    <row r="131" spans="1:9" ht="24.75" customHeight="1">
      <c r="A131" s="108"/>
      <c r="B131" s="109"/>
      <c r="C131" s="104" t="s">
        <v>98</v>
      </c>
      <c r="D131" s="105"/>
      <c r="E131" s="30">
        <v>0</v>
      </c>
      <c r="F131" s="44"/>
      <c r="G131" s="44"/>
      <c r="H131" s="44"/>
      <c r="I131" s="9"/>
    </row>
    <row r="132" spans="1:9" ht="24.75" customHeight="1">
      <c r="A132" s="108"/>
      <c r="B132" s="109"/>
      <c r="C132" s="104" t="s">
        <v>99</v>
      </c>
      <c r="D132" s="105"/>
      <c r="E132" s="30">
        <v>0</v>
      </c>
      <c r="F132" s="44"/>
      <c r="G132" s="44"/>
      <c r="H132" s="44"/>
      <c r="I132" s="9"/>
    </row>
    <row r="133" spans="1:9" ht="24.75" customHeight="1">
      <c r="A133" s="108"/>
      <c r="B133" s="109"/>
      <c r="C133" s="104" t="s">
        <v>100</v>
      </c>
      <c r="D133" s="105"/>
      <c r="E133" s="30">
        <v>0</v>
      </c>
      <c r="F133" s="44"/>
      <c r="G133" s="44"/>
      <c r="H133" s="44"/>
      <c r="I133" s="9"/>
    </row>
    <row r="134" spans="1:9" ht="24.75" customHeight="1">
      <c r="A134" s="110"/>
      <c r="B134" s="111"/>
      <c r="C134" s="104" t="s">
        <v>101</v>
      </c>
      <c r="D134" s="105"/>
      <c r="E134" s="30">
        <v>0</v>
      </c>
      <c r="F134" s="44"/>
      <c r="G134" s="44"/>
      <c r="H134" s="44"/>
      <c r="I134" s="9"/>
    </row>
    <row r="135" spans="1:9" ht="24.75" customHeight="1">
      <c r="A135" s="96" t="s">
        <v>109</v>
      </c>
      <c r="B135" s="152"/>
      <c r="C135" s="153"/>
      <c r="D135" s="154"/>
      <c r="E135" s="30">
        <f>C96</f>
        <v>0</v>
      </c>
      <c r="F135" s="44"/>
      <c r="G135" s="44"/>
      <c r="H135" s="44"/>
      <c r="I135" s="9"/>
    </row>
    <row r="136" spans="1:9" ht="24.75" customHeight="1">
      <c r="A136" s="145"/>
      <c r="B136" s="146"/>
      <c r="C136" s="147" t="s">
        <v>110</v>
      </c>
      <c r="D136" s="147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99" t="str">
        <f>"Debts Or Credits For the Comming " &amp; IF(Main!B2,TEXT(EDATE(Main!B3,28),"mmmm dd yyyy"),TEXT(Main!B3+((Main!B5-Main!B3)*28+28),"dd mmmm yyyy")) &amp; " to " &amp;  IF(Main!B2,TEXT(EDATE(Main!B3,29)-1,"mmmm dd yyyy"),TEXT(Main!B3+((Main!B5-Main!B3)*29+28),"mmmm dd yyyy"))</f>
        <v>Debts Or Credits For the Comming August 11 2027 to September 10 2027</v>
      </c>
      <c r="B141" s="100"/>
      <c r="C141" s="100"/>
      <c r="D141" s="100"/>
      <c r="E141" s="101"/>
      <c r="F141" s="44"/>
      <c r="G141" s="44"/>
      <c r="H141" s="44"/>
      <c r="I141" s="9"/>
    </row>
    <row r="142" spans="1:9" ht="24.75" customHeight="1">
      <c r="A142" s="99" t="s">
        <v>94</v>
      </c>
      <c r="B142" s="101"/>
      <c r="C142" s="102" t="s">
        <v>47</v>
      </c>
      <c r="D142" s="103"/>
      <c r="E142" s="39" t="s">
        <v>48</v>
      </c>
      <c r="F142" s="44"/>
      <c r="G142" s="44"/>
      <c r="H142" s="44"/>
      <c r="I142" s="9"/>
    </row>
    <row r="143" spans="1:9" ht="24.75" customHeight="1">
      <c r="A143" s="96" t="str">
        <f>"Balance Brought Forward From " &amp; IF(Main!B2,TEXT(EDATE(Main!B3,28)-1,"mmmm yyyy"),TEXT(Main!B3+((Main!B5-Main!B3)*28+27),"mmmm yyyy"))</f>
        <v>Balance Brought Forward From August 2027</v>
      </c>
      <c r="B143" s="97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06" t="s">
        <v>95</v>
      </c>
      <c r="B144" s="107"/>
      <c r="C144" s="112" t="s">
        <v>96</v>
      </c>
      <c r="D144" s="113"/>
      <c r="E144" s="43"/>
      <c r="F144" s="44"/>
      <c r="G144" s="44"/>
      <c r="H144" s="44"/>
      <c r="I144" s="9"/>
    </row>
    <row r="145" spans="1:9" ht="24.75" customHeight="1">
      <c r="A145" s="108"/>
      <c r="B145" s="109"/>
      <c r="C145" s="104" t="s">
        <v>97</v>
      </c>
      <c r="D145" s="105"/>
      <c r="E145" s="28">
        <v>0</v>
      </c>
      <c r="F145" s="44"/>
      <c r="G145" s="44"/>
      <c r="H145" s="44"/>
      <c r="I145" s="9"/>
    </row>
    <row r="146" spans="1:9" ht="24.75" customHeight="1">
      <c r="A146" s="108"/>
      <c r="B146" s="109"/>
      <c r="C146" s="104" t="s">
        <v>98</v>
      </c>
      <c r="D146" s="105"/>
      <c r="E146" s="28">
        <v>0</v>
      </c>
      <c r="F146" s="44"/>
      <c r="G146" s="44"/>
      <c r="H146" s="44"/>
      <c r="I146" s="9"/>
    </row>
    <row r="147" spans="1:9" ht="24.75" customHeight="1">
      <c r="A147" s="108"/>
      <c r="B147" s="109"/>
      <c r="C147" s="104" t="s">
        <v>99</v>
      </c>
      <c r="D147" s="105"/>
      <c r="E147" s="28">
        <v>0</v>
      </c>
      <c r="F147" s="44"/>
      <c r="G147" s="44"/>
      <c r="H147" s="44"/>
      <c r="I147" s="9"/>
    </row>
    <row r="148" spans="1:9" ht="24.75" customHeight="1">
      <c r="A148" s="108"/>
      <c r="B148" s="109"/>
      <c r="C148" s="104" t="s">
        <v>100</v>
      </c>
      <c r="D148" s="105"/>
      <c r="E148" s="28">
        <v>0</v>
      </c>
      <c r="F148" s="44"/>
      <c r="G148" s="44"/>
      <c r="H148" s="44"/>
      <c r="I148" s="9"/>
    </row>
    <row r="149" spans="1:9" ht="24.75" customHeight="1">
      <c r="A149" s="108"/>
      <c r="B149" s="109"/>
      <c r="C149" s="104" t="s">
        <v>101</v>
      </c>
      <c r="D149" s="105"/>
      <c r="E149" s="28">
        <v>0</v>
      </c>
      <c r="F149" s="44"/>
      <c r="G149" s="44"/>
      <c r="H149" s="44"/>
      <c r="I149" s="9"/>
    </row>
    <row r="150" spans="1:9" ht="24.75" customHeight="1">
      <c r="A150" s="108"/>
      <c r="B150" s="109"/>
      <c r="C150" s="104" t="s">
        <v>102</v>
      </c>
      <c r="D150" s="105"/>
      <c r="E150" s="28">
        <v>0</v>
      </c>
      <c r="F150" s="44"/>
      <c r="G150" s="44"/>
      <c r="H150" s="44"/>
      <c r="I150" s="9"/>
    </row>
    <row r="151" spans="1:9" ht="24.75" customHeight="1">
      <c r="A151" s="108"/>
      <c r="B151" s="109"/>
      <c r="C151" s="104" t="s">
        <v>103</v>
      </c>
      <c r="D151" s="105"/>
      <c r="E151" s="28">
        <v>0</v>
      </c>
      <c r="F151" s="44"/>
      <c r="G151" s="44"/>
      <c r="H151" s="44"/>
      <c r="I151" s="9"/>
    </row>
    <row r="152" spans="1:9" ht="24.75" customHeight="1">
      <c r="A152" s="108"/>
      <c r="B152" s="109"/>
      <c r="C152" s="104" t="s">
        <v>104</v>
      </c>
      <c r="D152" s="105"/>
      <c r="E152" s="28">
        <v>0</v>
      </c>
      <c r="F152" s="44"/>
      <c r="G152" s="44"/>
      <c r="H152" s="44"/>
      <c r="I152" s="9"/>
    </row>
    <row r="153" spans="1:9" ht="24.75" customHeight="1">
      <c r="A153" s="108"/>
      <c r="B153" s="109"/>
      <c r="C153" s="104" t="s">
        <v>105</v>
      </c>
      <c r="D153" s="105"/>
      <c r="E153" s="28">
        <v>0</v>
      </c>
      <c r="F153" s="44"/>
      <c r="G153" s="44"/>
      <c r="H153" s="44"/>
      <c r="I153" s="9"/>
    </row>
    <row r="154" spans="1:9" ht="24.75" customHeight="1">
      <c r="A154" s="108"/>
      <c r="B154" s="109"/>
      <c r="C154" s="104" t="s">
        <v>106</v>
      </c>
      <c r="D154" s="105"/>
      <c r="E154" s="28">
        <v>0</v>
      </c>
      <c r="F154" s="44"/>
      <c r="G154" s="44"/>
      <c r="H154" s="44"/>
      <c r="I154" s="9"/>
    </row>
    <row r="155" spans="1:9" ht="24.75" customHeight="1">
      <c r="A155" s="108"/>
      <c r="B155" s="109"/>
      <c r="C155" s="148" t="s">
        <v>107</v>
      </c>
      <c r="D155" s="149"/>
      <c r="E155" s="42"/>
      <c r="F155" s="44"/>
      <c r="G155" s="44"/>
      <c r="H155" s="44"/>
      <c r="I155" s="9"/>
    </row>
    <row r="156" spans="1:9" ht="24.75" customHeight="1">
      <c r="A156" s="108"/>
      <c r="B156" s="109"/>
      <c r="C156" s="150" t="s">
        <v>111</v>
      </c>
      <c r="D156" s="151"/>
      <c r="E156" s="30">
        <v>0</v>
      </c>
      <c r="F156" s="44"/>
      <c r="G156" s="44"/>
      <c r="H156" s="44"/>
      <c r="I156" s="9"/>
    </row>
    <row r="157" spans="1:9" ht="24.75" customHeight="1">
      <c r="A157" s="108"/>
      <c r="B157" s="109"/>
      <c r="C157" s="104" t="s">
        <v>97</v>
      </c>
      <c r="D157" s="105"/>
      <c r="E157" s="30">
        <v>0</v>
      </c>
      <c r="F157" s="44"/>
      <c r="G157" s="44"/>
      <c r="H157" s="44"/>
      <c r="I157" s="9"/>
    </row>
    <row r="158" spans="1:9" ht="24.75" customHeight="1">
      <c r="A158" s="108"/>
      <c r="B158" s="109"/>
      <c r="C158" s="104" t="s">
        <v>98</v>
      </c>
      <c r="D158" s="105"/>
      <c r="E158" s="30">
        <v>0</v>
      </c>
      <c r="F158" s="44"/>
      <c r="G158" s="44"/>
      <c r="H158" s="44"/>
      <c r="I158" s="9"/>
    </row>
    <row r="159" spans="1:9" ht="24.75" customHeight="1">
      <c r="A159" s="108"/>
      <c r="B159" s="109"/>
      <c r="C159" s="104" t="s">
        <v>99</v>
      </c>
      <c r="D159" s="105"/>
      <c r="E159" s="30">
        <v>0</v>
      </c>
      <c r="F159" s="44"/>
      <c r="G159" s="44"/>
      <c r="H159" s="44"/>
      <c r="I159" s="9"/>
    </row>
    <row r="160" spans="1:9" ht="24.75" customHeight="1">
      <c r="A160" s="108"/>
      <c r="B160" s="109"/>
      <c r="C160" s="104" t="s">
        <v>100</v>
      </c>
      <c r="D160" s="105"/>
      <c r="E160" s="30">
        <v>0</v>
      </c>
      <c r="F160" s="44"/>
      <c r="G160" s="44"/>
      <c r="H160" s="44"/>
      <c r="I160" s="9"/>
    </row>
    <row r="161" spans="1:9" ht="24.75" customHeight="1">
      <c r="A161" s="110"/>
      <c r="B161" s="111"/>
      <c r="C161" s="104" t="s">
        <v>101</v>
      </c>
      <c r="D161" s="105"/>
      <c r="E161" s="30">
        <v>0</v>
      </c>
      <c r="F161" s="44"/>
      <c r="G161" s="44"/>
      <c r="H161" s="44"/>
      <c r="I161" s="9"/>
    </row>
    <row r="162" spans="1:9" ht="24.75" customHeight="1">
      <c r="A162" s="96" t="s">
        <v>109</v>
      </c>
      <c r="B162" s="152"/>
      <c r="C162" s="153"/>
      <c r="D162" s="154"/>
      <c r="E162" s="30">
        <f>C96</f>
        <v>0</v>
      </c>
      <c r="F162" s="44"/>
      <c r="G162" s="44"/>
      <c r="H162" s="44"/>
      <c r="I162" s="9"/>
    </row>
    <row r="163" spans="1:9" ht="24.75" customHeight="1">
      <c r="A163" s="145"/>
      <c r="B163" s="146"/>
      <c r="C163" s="147" t="s">
        <v>110</v>
      </c>
      <c r="D163" s="147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99" t="str">
        <f>"Debts Or Credits For the Comming " &amp; IF(Main!B2,TEXT(EDATE(Main!B3,29),"mmmm dd yyyy"),TEXT(Main!B3+((Main!B5-Main!B3)*29+29),"mmmm dd yyyy")) &amp; " to " &amp; IF(Main!B2,TEXT(EDATE(Main!B3,30)-1,"mmmm dd yyyy"),TEXT(Main!B3+((Main!B5-Main!B3)*30+29),"mmmm dd yyyy"))</f>
        <v>Debts Or Credits For the Comming September 11 2027 to October 10 2027</v>
      </c>
      <c r="B168" s="100"/>
      <c r="C168" s="100"/>
      <c r="D168" s="100"/>
      <c r="E168" s="101"/>
      <c r="F168" s="44"/>
      <c r="G168" s="44"/>
      <c r="H168" s="44"/>
      <c r="I168" s="9"/>
    </row>
    <row r="169" spans="1:9" ht="24.75" customHeight="1">
      <c r="A169" s="99" t="s">
        <v>94</v>
      </c>
      <c r="B169" s="101"/>
      <c r="C169" s="102" t="s">
        <v>47</v>
      </c>
      <c r="D169" s="103"/>
      <c r="E169" s="39" t="s">
        <v>48</v>
      </c>
      <c r="F169" s="44"/>
      <c r="G169" s="44"/>
      <c r="H169" s="44"/>
      <c r="I169" s="9"/>
    </row>
    <row r="170" spans="1:9" ht="24.75" customHeight="1">
      <c r="A170" s="96" t="str">
        <f>"Balance Brought Forward From " &amp;  IF(Main!B2,TEXT(EDATE(Main!B3,29)-1,"mmmm yyyy"),TEXT(Main!B3+((Main!B5-Main!B3)*29+28),"mmmm yyyy"))</f>
        <v>Balance Brought Forward From September 2027</v>
      </c>
      <c r="B170" s="97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06" t="s">
        <v>95</v>
      </c>
      <c r="B171" s="107"/>
      <c r="C171" s="112" t="s">
        <v>96</v>
      </c>
      <c r="D171" s="113"/>
      <c r="E171" s="43"/>
      <c r="F171" s="44"/>
      <c r="G171" s="44"/>
      <c r="H171" s="44"/>
      <c r="I171" s="9"/>
    </row>
    <row r="172" spans="1:9" ht="24.75" customHeight="1">
      <c r="A172" s="108"/>
      <c r="B172" s="109"/>
      <c r="C172" s="104" t="s">
        <v>97</v>
      </c>
      <c r="D172" s="105"/>
      <c r="E172" s="28">
        <v>0</v>
      </c>
      <c r="F172" s="44"/>
      <c r="G172" s="44"/>
      <c r="H172" s="44"/>
      <c r="I172" s="9"/>
    </row>
    <row r="173" spans="1:9" ht="24.75" customHeight="1">
      <c r="A173" s="108"/>
      <c r="B173" s="109"/>
      <c r="C173" s="104" t="s">
        <v>98</v>
      </c>
      <c r="D173" s="105"/>
      <c r="E173" s="28">
        <v>0</v>
      </c>
      <c r="F173" s="44"/>
      <c r="G173" s="44"/>
      <c r="H173" s="44"/>
      <c r="I173" s="9"/>
    </row>
    <row r="174" spans="1:9" ht="24.75" customHeight="1">
      <c r="A174" s="108"/>
      <c r="B174" s="109"/>
      <c r="C174" s="104" t="s">
        <v>99</v>
      </c>
      <c r="D174" s="105"/>
      <c r="E174" s="28">
        <v>0</v>
      </c>
      <c r="F174" s="44"/>
      <c r="G174" s="44"/>
      <c r="H174" s="44"/>
      <c r="I174" s="9"/>
    </row>
    <row r="175" spans="1:9" ht="24.75" customHeight="1">
      <c r="A175" s="108"/>
      <c r="B175" s="109"/>
      <c r="C175" s="104" t="s">
        <v>100</v>
      </c>
      <c r="D175" s="105"/>
      <c r="E175" s="28">
        <v>0</v>
      </c>
      <c r="F175" s="44"/>
      <c r="G175" s="44"/>
      <c r="H175" s="44"/>
      <c r="I175" s="9"/>
    </row>
    <row r="176" spans="1:9" ht="24.75" customHeight="1">
      <c r="A176" s="108"/>
      <c r="B176" s="109"/>
      <c r="C176" s="104" t="s">
        <v>101</v>
      </c>
      <c r="D176" s="105"/>
      <c r="E176" s="28">
        <v>0</v>
      </c>
      <c r="F176" s="44"/>
      <c r="G176" s="44"/>
      <c r="H176" s="44"/>
      <c r="I176" s="9"/>
    </row>
    <row r="177" spans="1:9" ht="24.75" customHeight="1">
      <c r="A177" s="108"/>
      <c r="B177" s="109"/>
      <c r="C177" s="104" t="s">
        <v>102</v>
      </c>
      <c r="D177" s="105"/>
      <c r="E177" s="28">
        <v>0</v>
      </c>
      <c r="F177" s="44"/>
      <c r="G177" s="44"/>
      <c r="H177" s="44"/>
      <c r="I177" s="9"/>
    </row>
    <row r="178" spans="1:9" ht="24.75" customHeight="1">
      <c r="A178" s="108"/>
      <c r="B178" s="109"/>
      <c r="C178" s="104" t="s">
        <v>103</v>
      </c>
      <c r="D178" s="105"/>
      <c r="E178" s="28">
        <v>0</v>
      </c>
      <c r="F178" s="44"/>
      <c r="G178" s="44"/>
      <c r="H178" s="44"/>
      <c r="I178" s="9"/>
    </row>
    <row r="179" spans="1:9" ht="24.75" customHeight="1">
      <c r="A179" s="108"/>
      <c r="B179" s="109"/>
      <c r="C179" s="104" t="s">
        <v>104</v>
      </c>
      <c r="D179" s="105"/>
      <c r="E179" s="28">
        <v>0</v>
      </c>
      <c r="F179" s="44"/>
      <c r="G179" s="44"/>
      <c r="H179" s="44"/>
      <c r="I179" s="9"/>
    </row>
    <row r="180" spans="1:9" ht="24.75" customHeight="1">
      <c r="A180" s="108"/>
      <c r="B180" s="109"/>
      <c r="C180" s="104" t="s">
        <v>105</v>
      </c>
      <c r="D180" s="105"/>
      <c r="E180" s="28">
        <v>0</v>
      </c>
      <c r="F180" s="44"/>
      <c r="G180" s="44"/>
      <c r="H180" s="44"/>
      <c r="I180" s="9"/>
    </row>
    <row r="181" spans="1:9" ht="24.75" customHeight="1">
      <c r="A181" s="108"/>
      <c r="B181" s="109"/>
      <c r="C181" s="104" t="s">
        <v>106</v>
      </c>
      <c r="D181" s="105"/>
      <c r="E181" s="28">
        <v>0</v>
      </c>
      <c r="F181" s="44"/>
      <c r="G181" s="44"/>
      <c r="H181" s="44"/>
      <c r="I181" s="9"/>
    </row>
    <row r="182" spans="1:9" ht="24.75" customHeight="1">
      <c r="A182" s="108"/>
      <c r="B182" s="109"/>
      <c r="C182" s="148" t="s">
        <v>107</v>
      </c>
      <c r="D182" s="149"/>
      <c r="E182" s="42"/>
      <c r="F182" s="44"/>
      <c r="G182" s="44"/>
      <c r="H182" s="44"/>
      <c r="I182" s="9"/>
    </row>
    <row r="183" spans="1:9" ht="24.75" customHeight="1">
      <c r="A183" s="108"/>
      <c r="B183" s="109"/>
      <c r="C183" s="150" t="s">
        <v>111</v>
      </c>
      <c r="D183" s="151"/>
      <c r="E183" s="30">
        <v>0</v>
      </c>
      <c r="F183" s="44"/>
      <c r="G183" s="44"/>
      <c r="H183" s="44"/>
      <c r="I183" s="9"/>
    </row>
    <row r="184" spans="1:9">
      <c r="A184" s="108"/>
      <c r="B184" s="109"/>
      <c r="C184" s="104" t="s">
        <v>97</v>
      </c>
      <c r="D184" s="105"/>
      <c r="E184" s="30">
        <v>0</v>
      </c>
      <c r="F184" s="44"/>
      <c r="G184" s="44"/>
      <c r="H184" s="44"/>
      <c r="I184" s="9"/>
    </row>
    <row r="185" spans="1:9" ht="24.75" customHeight="1">
      <c r="A185" s="108"/>
      <c r="B185" s="109"/>
      <c r="C185" s="104" t="s">
        <v>98</v>
      </c>
      <c r="D185" s="105"/>
      <c r="E185" s="30">
        <v>0</v>
      </c>
      <c r="F185" s="44"/>
      <c r="G185" s="44"/>
      <c r="H185" s="44"/>
      <c r="I185" s="9"/>
    </row>
    <row r="186" spans="1:9" ht="24.75" customHeight="1">
      <c r="A186" s="108"/>
      <c r="B186" s="109"/>
      <c r="C186" s="104" t="s">
        <v>99</v>
      </c>
      <c r="D186" s="105"/>
      <c r="E186" s="30">
        <v>0</v>
      </c>
      <c r="F186" s="44"/>
      <c r="G186" s="44"/>
      <c r="H186" s="44"/>
      <c r="I186" s="9"/>
    </row>
    <row r="187" spans="1:9" ht="24.75" customHeight="1">
      <c r="A187" s="108"/>
      <c r="B187" s="109"/>
      <c r="C187" s="104" t="s">
        <v>100</v>
      </c>
      <c r="D187" s="105"/>
      <c r="E187" s="30">
        <v>0</v>
      </c>
      <c r="F187" s="44"/>
      <c r="G187" s="44"/>
      <c r="H187" s="44"/>
      <c r="I187" s="9"/>
    </row>
    <row r="188" spans="1:9" ht="24.75" customHeight="1">
      <c r="A188" s="110"/>
      <c r="B188" s="111"/>
      <c r="C188" s="104" t="s">
        <v>101</v>
      </c>
      <c r="D188" s="105"/>
      <c r="E188" s="30">
        <v>0</v>
      </c>
      <c r="F188" s="44"/>
      <c r="G188" s="44"/>
      <c r="H188" s="44"/>
      <c r="I188" s="9"/>
    </row>
    <row r="189" spans="1:9" ht="24.75" customHeight="1">
      <c r="A189" s="96" t="s">
        <v>109</v>
      </c>
      <c r="B189" s="152"/>
      <c r="C189" s="153"/>
      <c r="D189" s="154"/>
      <c r="E189" s="30">
        <f>C96</f>
        <v>0</v>
      </c>
      <c r="F189" s="44"/>
      <c r="G189" s="44"/>
      <c r="H189" s="44"/>
      <c r="I189" s="9"/>
    </row>
    <row r="190" spans="1:9" ht="24.75" customHeight="1">
      <c r="A190" s="145"/>
      <c r="B190" s="146"/>
      <c r="C190" s="147" t="s">
        <v>110</v>
      </c>
      <c r="D190" s="147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356" priority="51" operator="equal">
      <formula>0</formula>
    </cfRule>
  </conditionalFormatting>
  <conditionalFormatting sqref="C47:C55 C85 C95:C96 E144 E155:E162">
    <cfRule type="cellIs" dxfId="355" priority="50" operator="greaterThan">
      <formula>0</formula>
    </cfRule>
  </conditionalFormatting>
  <conditionalFormatting sqref="C57:C66">
    <cfRule type="cellIs" dxfId="354" priority="49" operator="equal">
      <formula>0</formula>
    </cfRule>
  </conditionalFormatting>
  <conditionalFormatting sqref="C57:C66">
    <cfRule type="cellIs" dxfId="353" priority="48" operator="greaterThan">
      <formula>0</formula>
    </cfRule>
  </conditionalFormatting>
  <conditionalFormatting sqref="C68:C69">
    <cfRule type="cellIs" dxfId="352" priority="47" operator="equal">
      <formula>0</formula>
    </cfRule>
  </conditionalFormatting>
  <conditionalFormatting sqref="C68:C69">
    <cfRule type="cellIs" dxfId="351" priority="46" operator="greaterThan">
      <formula>0</formula>
    </cfRule>
  </conditionalFormatting>
  <conditionalFormatting sqref="C75">
    <cfRule type="cellIs" dxfId="350" priority="45" operator="equal">
      <formula>0</formula>
    </cfRule>
  </conditionalFormatting>
  <conditionalFormatting sqref="C75">
    <cfRule type="cellIs" dxfId="349" priority="44" operator="greaterThan">
      <formula>0</formula>
    </cfRule>
  </conditionalFormatting>
  <conditionalFormatting sqref="C77">
    <cfRule type="cellIs" dxfId="348" priority="43" operator="equal">
      <formula>0</formula>
    </cfRule>
  </conditionalFormatting>
  <conditionalFormatting sqref="C77">
    <cfRule type="cellIs" dxfId="347" priority="42" operator="greaterThan">
      <formula>0</formula>
    </cfRule>
  </conditionalFormatting>
  <conditionalFormatting sqref="C87:C89">
    <cfRule type="cellIs" dxfId="346" priority="41" operator="equal">
      <formula>0</formula>
    </cfRule>
  </conditionalFormatting>
  <conditionalFormatting sqref="C87:C89">
    <cfRule type="cellIs" dxfId="345" priority="40" operator="greaterThan">
      <formula>0</formula>
    </cfRule>
  </conditionalFormatting>
  <conditionalFormatting sqref="E117 E128:E135">
    <cfRule type="cellIs" dxfId="344" priority="39" operator="equal">
      <formula>0</formula>
    </cfRule>
  </conditionalFormatting>
  <conditionalFormatting sqref="E117 E128:E135">
    <cfRule type="cellIs" dxfId="343" priority="38" operator="greaterThan">
      <formula>0</formula>
    </cfRule>
  </conditionalFormatting>
  <conditionalFormatting sqref="E136">
    <cfRule type="cellIs" dxfId="342" priority="37" operator="greaterThanOrEqual">
      <formula>0</formula>
    </cfRule>
  </conditionalFormatting>
  <conditionalFormatting sqref="E136">
    <cfRule type="cellIs" dxfId="341" priority="36" operator="lessThan">
      <formula>0</formula>
    </cfRule>
  </conditionalFormatting>
  <conditionalFormatting sqref="C70:C74">
    <cfRule type="cellIs" dxfId="340" priority="35" operator="equal">
      <formula>0</formula>
    </cfRule>
  </conditionalFormatting>
  <conditionalFormatting sqref="C70:C74">
    <cfRule type="cellIs" dxfId="339" priority="34" operator="greaterThan">
      <formula>0</formula>
    </cfRule>
  </conditionalFormatting>
  <conditionalFormatting sqref="C80:C84">
    <cfRule type="cellIs" dxfId="338" priority="33" operator="equal">
      <formula>0</formula>
    </cfRule>
  </conditionalFormatting>
  <conditionalFormatting sqref="C80:C84">
    <cfRule type="cellIs" dxfId="337" priority="32" operator="greaterThan">
      <formula>0</formula>
    </cfRule>
  </conditionalFormatting>
  <conditionalFormatting sqref="C92:C94">
    <cfRule type="cellIs" dxfId="336" priority="31" operator="equal">
      <formula>0</formula>
    </cfRule>
  </conditionalFormatting>
  <conditionalFormatting sqref="C92:C94">
    <cfRule type="cellIs" dxfId="335" priority="30" operator="greaterThan">
      <formula>0</formula>
    </cfRule>
  </conditionalFormatting>
  <conditionalFormatting sqref="C108:C109">
    <cfRule type="cellIs" dxfId="334" priority="29" operator="equal">
      <formula>0</formula>
    </cfRule>
  </conditionalFormatting>
  <conditionalFormatting sqref="C108:C109">
    <cfRule type="cellIs" dxfId="333" priority="28" operator="greaterThan">
      <formula>0</formula>
    </cfRule>
  </conditionalFormatting>
  <conditionalFormatting sqref="E144 E155:E162">
    <cfRule type="cellIs" dxfId="332" priority="27" operator="equal">
      <formula>0</formula>
    </cfRule>
  </conditionalFormatting>
  <conditionalFormatting sqref="E163">
    <cfRule type="cellIs" dxfId="331" priority="26" operator="greaterThanOrEqual">
      <formula>0</formula>
    </cfRule>
  </conditionalFormatting>
  <conditionalFormatting sqref="E163">
    <cfRule type="cellIs" dxfId="330" priority="25" operator="lessThan">
      <formula>0</formula>
    </cfRule>
  </conditionalFormatting>
  <conditionalFormatting sqref="E143">
    <cfRule type="cellIs" dxfId="329" priority="24" operator="greaterThanOrEqual">
      <formula>0</formula>
    </cfRule>
  </conditionalFormatting>
  <conditionalFormatting sqref="E143">
    <cfRule type="cellIs" dxfId="328" priority="23" operator="lessThan">
      <formula>0</formula>
    </cfRule>
  </conditionalFormatting>
  <conditionalFormatting sqref="E171 E182:E189">
    <cfRule type="cellIs" dxfId="327" priority="22" operator="equal">
      <formula>0</formula>
    </cfRule>
  </conditionalFormatting>
  <conditionalFormatting sqref="E171 E182:E189">
    <cfRule type="cellIs" dxfId="326" priority="21" operator="greaterThan">
      <formula>0</formula>
    </cfRule>
  </conditionalFormatting>
  <conditionalFormatting sqref="E190">
    <cfRule type="cellIs" dxfId="325" priority="20" operator="greaterThanOrEqual">
      <formula>0</formula>
    </cfRule>
  </conditionalFormatting>
  <conditionalFormatting sqref="E190">
    <cfRule type="cellIs" dxfId="324" priority="19" operator="lessThan">
      <formula>0</formula>
    </cfRule>
  </conditionalFormatting>
  <conditionalFormatting sqref="E170">
    <cfRule type="cellIs" dxfId="323" priority="18" operator="greaterThanOrEqual">
      <formula>0</formula>
    </cfRule>
  </conditionalFormatting>
  <conditionalFormatting sqref="E170">
    <cfRule type="cellIs" dxfId="322" priority="17" operator="lessThan">
      <formula>0</formula>
    </cfRule>
  </conditionalFormatting>
  <conditionalFormatting sqref="C5">
    <cfRule type="cellIs" dxfId="321" priority="16" operator="equal">
      <formula>0</formula>
    </cfRule>
  </conditionalFormatting>
  <conditionalFormatting sqref="C5">
    <cfRule type="cellIs" dxfId="320" priority="15" operator="greaterThan">
      <formula>0</formula>
    </cfRule>
  </conditionalFormatting>
  <conditionalFormatting sqref="C98:C107">
    <cfRule type="cellIs" dxfId="319" priority="14" operator="lessThan">
      <formula>0</formula>
    </cfRule>
  </conditionalFormatting>
  <conditionalFormatting sqref="C98:C107">
    <cfRule type="cellIs" dxfId="318" priority="13" operator="greaterThanOrEqual">
      <formula>0</formula>
    </cfRule>
  </conditionalFormatting>
  <conditionalFormatting sqref="E118:E127">
    <cfRule type="cellIs" dxfId="317" priority="12" operator="equal">
      <formula>0</formula>
    </cfRule>
  </conditionalFormatting>
  <conditionalFormatting sqref="E118:E127">
    <cfRule type="cellIs" dxfId="316" priority="11" operator="greaterThan">
      <formula>0</formula>
    </cfRule>
  </conditionalFormatting>
  <conditionalFormatting sqref="E145:E154">
    <cfRule type="cellIs" dxfId="315" priority="10" operator="equal">
      <formula>0</formula>
    </cfRule>
  </conditionalFormatting>
  <conditionalFormatting sqref="E145:E154">
    <cfRule type="cellIs" dxfId="314" priority="9" operator="greaterThan">
      <formula>0</formula>
    </cfRule>
  </conditionalFormatting>
  <conditionalFormatting sqref="E172:E181">
    <cfRule type="cellIs" dxfId="313" priority="8" operator="equal">
      <formula>0</formula>
    </cfRule>
  </conditionalFormatting>
  <conditionalFormatting sqref="E172:E181">
    <cfRule type="cellIs" dxfId="312" priority="7" operator="greaterThan">
      <formula>0</formula>
    </cfRule>
  </conditionalFormatting>
  <conditionalFormatting sqref="E116">
    <cfRule type="cellIs" dxfId="311" priority="6" operator="greaterThanOrEqual">
      <formula>0</formula>
    </cfRule>
  </conditionalFormatting>
  <conditionalFormatting sqref="E116">
    <cfRule type="cellIs" dxfId="310" priority="5" operator="lessThan">
      <formula>0</formula>
    </cfRule>
  </conditionalFormatting>
  <conditionalFormatting sqref="C78:C79">
    <cfRule type="cellIs" dxfId="309" priority="4" operator="equal">
      <formula>0</formula>
    </cfRule>
  </conditionalFormatting>
  <conditionalFormatting sqref="C78:C79">
    <cfRule type="cellIs" dxfId="308" priority="3" operator="greaterThan">
      <formula>0</formula>
    </cfRule>
  </conditionalFormatting>
  <conditionalFormatting sqref="C90:C91">
    <cfRule type="cellIs" dxfId="307" priority="2" operator="equal">
      <formula>0</formula>
    </cfRule>
  </conditionalFormatting>
  <conditionalFormatting sqref="C90:C91">
    <cfRule type="cellIs" dxfId="306" priority="1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ABE1-ED79-40A7-958D-4E58DAAE3045}">
  <dimension ref="A1:I193"/>
  <sheetViews>
    <sheetView topLeftCell="A9" workbookViewId="0">
      <selection activeCell="H40" sqref="H40"/>
    </sheetView>
  </sheetViews>
  <sheetFormatPr defaultRowHeight="15"/>
  <cols>
    <col min="1" max="2" width="20.625" customWidth="1"/>
    <col min="3" max="3" width="30.25" customWidth="1"/>
    <col min="4" max="8" width="20.625" customWidth="1"/>
  </cols>
  <sheetData>
    <row r="1" spans="1:9" ht="24.75" customHeight="1">
      <c r="A1" s="177" t="str">
        <f>"Forecasts For the Year " &amp; IF(Main!B2,TEXT(EDATE(Main!B3,30),"mmmm yyyy"),TEXT(Main!B3+((Main!B5-Main!B3)*30+30),"mmmm yyyy")) &amp; " to " &amp; IF(Main!B2,TEXT(EDATE(Main!B3,33)-1,"mmmm yyyy"),TEXT(Main!B3+((Main!B5-Main!B3)*33+32),"mmmm yyyy"))</f>
        <v>Forecasts For the Year October 2027 to January 2028</v>
      </c>
      <c r="B1" s="177"/>
      <c r="C1" s="177"/>
      <c r="D1" s="177"/>
      <c r="E1" s="177"/>
      <c r="F1" s="177"/>
      <c r="G1" s="177"/>
      <c r="H1" s="47"/>
      <c r="I1" s="47"/>
    </row>
    <row r="2" spans="1:9" ht="24.75" customHeight="1">
      <c r="A2" s="159" t="s">
        <v>31</v>
      </c>
      <c r="B2" s="48" t="s">
        <v>112</v>
      </c>
      <c r="C2" s="161" cm="1">
        <f t="array" aca="1" ref="C2" ca="1">INDIRECT("'" &amp; Main!B9 &amp; "'!$C$15")</f>
        <v>0</v>
      </c>
      <c r="D2" s="161"/>
      <c r="E2" s="161"/>
      <c r="F2" s="161"/>
      <c r="G2" s="161"/>
      <c r="H2" s="47"/>
      <c r="I2" s="47"/>
    </row>
    <row r="3" spans="1:9" ht="24.75" customHeight="1">
      <c r="A3" s="160"/>
      <c r="B3" s="41" t="s">
        <v>113</v>
      </c>
      <c r="C3" s="162">
        <f>E190</f>
        <v>0</v>
      </c>
      <c r="D3" s="162"/>
      <c r="E3" s="162"/>
      <c r="F3" s="162"/>
      <c r="G3" s="162"/>
      <c r="H3" s="47"/>
      <c r="I3" s="47"/>
    </row>
    <row r="4" spans="1:9" ht="24.75" customHeight="1">
      <c r="A4" s="174" t="s">
        <v>45</v>
      </c>
      <c r="B4" s="175"/>
      <c r="C4" s="163">
        <f ca="1">SUM(C2:G3)</f>
        <v>0</v>
      </c>
      <c r="D4" s="163"/>
      <c r="E4" s="163"/>
      <c r="F4" s="163"/>
      <c r="G4" s="163"/>
      <c r="H4" s="44"/>
      <c r="I4" s="9"/>
    </row>
    <row r="5" spans="1:9" ht="24.75" customHeight="1">
      <c r="A5" s="176" t="s">
        <v>114</v>
      </c>
      <c r="B5" s="176"/>
      <c r="C5" s="164">
        <f>C108</f>
        <v>0</v>
      </c>
      <c r="D5" s="165"/>
      <c r="E5" s="165"/>
      <c r="F5" s="165"/>
      <c r="G5" s="165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32" t="str">
        <f>IF(Main!B2,TEXT(EDATE(Main!B3,30),"dd mmmm yyyy"),TEXT(Main!B3+((Main!B5-Main!B3)*30+30),"dd mmmm yyyy")) &amp; " - " &amp; IF(Main!B2,TEXT(EDATE(Main!B3,31)-1,"dd mmmm yyyy"),TEXT(Main!B3+((Main!B5-Main!B3)*31+30),"dd mmmm yyyy")) &amp; " / " &amp; " (Revenue / Deferred Debts Or Expenses)"</f>
        <v>11 October 2027 - 10 November 2027 /  (Revenue / Deferred Debts Or Expenses)</v>
      </c>
      <c r="B8" s="133"/>
      <c r="C8" s="133"/>
      <c r="D8" s="133"/>
      <c r="E8" s="133"/>
      <c r="F8" s="133"/>
      <c r="G8" s="133"/>
      <c r="H8" s="44"/>
      <c r="I8" s="37"/>
    </row>
    <row r="9" spans="1:9" ht="24.75" customHeight="1">
      <c r="A9" s="81" t="s">
        <v>27</v>
      </c>
      <c r="B9" s="120" t="s">
        <v>46</v>
      </c>
      <c r="C9" s="120"/>
      <c r="D9" s="121" t="s">
        <v>47</v>
      </c>
      <c r="E9" s="121"/>
      <c r="F9" s="121" t="s">
        <v>48</v>
      </c>
      <c r="G9" s="121"/>
      <c r="H9" s="44"/>
      <c r="I9" s="9"/>
    </row>
    <row r="10" spans="1:9" ht="24.75" customHeight="1">
      <c r="A10" s="2" t="s">
        <v>115</v>
      </c>
      <c r="B10" s="122" t="s">
        <v>50</v>
      </c>
      <c r="C10" s="122"/>
      <c r="D10" s="122" t="s">
        <v>51</v>
      </c>
      <c r="E10" s="122"/>
      <c r="F10" s="123">
        <v>0</v>
      </c>
      <c r="G10" s="124"/>
      <c r="H10" s="44"/>
      <c r="I10" s="9"/>
    </row>
    <row r="11" spans="1:9" ht="24.75" customHeight="1">
      <c r="A11" s="2"/>
      <c r="B11" s="125" t="s">
        <v>40</v>
      </c>
      <c r="C11" s="126"/>
      <c r="D11" s="127"/>
      <c r="E11" s="128"/>
      <c r="F11" s="123">
        <v>0</v>
      </c>
      <c r="G11" s="124"/>
      <c r="H11" s="44"/>
      <c r="I11" s="9"/>
    </row>
    <row r="12" spans="1:9" ht="24.75" customHeight="1">
      <c r="A12" s="2"/>
      <c r="B12" s="125" t="s">
        <v>41</v>
      </c>
      <c r="C12" s="126"/>
      <c r="D12" s="127"/>
      <c r="E12" s="128"/>
      <c r="F12" s="123">
        <v>0</v>
      </c>
      <c r="G12" s="124"/>
      <c r="H12" s="44"/>
      <c r="I12" s="9"/>
    </row>
    <row r="13" spans="1:9" ht="24.75" customHeight="1">
      <c r="A13" s="2"/>
      <c r="B13" s="125" t="s">
        <v>42</v>
      </c>
      <c r="C13" s="126"/>
      <c r="D13" s="127"/>
      <c r="E13" s="128"/>
      <c r="F13" s="123">
        <v>0</v>
      </c>
      <c r="G13" s="124"/>
      <c r="H13" s="44"/>
      <c r="I13" s="9"/>
    </row>
    <row r="14" spans="1:9" ht="24.75" customHeight="1">
      <c r="A14" s="2"/>
      <c r="B14" s="125" t="s">
        <v>43</v>
      </c>
      <c r="C14" s="126"/>
      <c r="D14" s="127"/>
      <c r="E14" s="128"/>
      <c r="F14" s="123">
        <v>0</v>
      </c>
      <c r="G14" s="124"/>
      <c r="H14" s="44"/>
      <c r="I14" s="9"/>
    </row>
    <row r="15" spans="1:9" ht="24.75" customHeight="1">
      <c r="A15" s="2"/>
      <c r="B15" s="125" t="s">
        <v>44</v>
      </c>
      <c r="C15" s="126"/>
      <c r="D15" s="127"/>
      <c r="E15" s="128"/>
      <c r="F15" s="123">
        <v>0</v>
      </c>
      <c r="G15" s="124"/>
      <c r="H15" s="44"/>
      <c r="I15" s="9"/>
    </row>
    <row r="16" spans="1:9" ht="24.75" customHeight="1">
      <c r="A16" s="45"/>
      <c r="B16" s="166"/>
      <c r="C16" s="167"/>
      <c r="D16" s="116" t="s">
        <v>52</v>
      </c>
      <c r="E16" s="117"/>
      <c r="F16" s="118">
        <f>SUM(F10:G15)</f>
        <v>0</v>
      </c>
      <c r="G16" s="119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32" t="str">
        <f>IF(Main!B2,TEXT(EDATE(Main!B3,31),"dd mmmm yyyy"),TEXT(Main!B3+((Main!B5-Main!B3)*31+31),"dd mmmm yyyy")) &amp; " - " &amp; IF(Main!B2,TEXT(EDATE(Main!B3,32)-1,"dd mmmm yyyy"),TEXT(Main!B3+((Main!B5-Main!B3)*32+31),"dd mmmm yyyy")) &amp; " / " &amp; " (Revenue / Deferred Debts Or Expenses)"</f>
        <v>11 November 2027 - 10 December 2027 /  (Revenue / Deferred Debts Or Expenses)</v>
      </c>
      <c r="B20" s="133"/>
      <c r="C20" s="133"/>
      <c r="D20" s="133"/>
      <c r="E20" s="133"/>
      <c r="F20" s="133"/>
      <c r="G20" s="133"/>
      <c r="H20" s="44"/>
      <c r="I20" s="9"/>
    </row>
    <row r="21" spans="1:9" ht="24.75" customHeight="1">
      <c r="A21" s="81" t="s">
        <v>27</v>
      </c>
      <c r="B21" s="120" t="s">
        <v>46</v>
      </c>
      <c r="C21" s="120"/>
      <c r="D21" s="121" t="s">
        <v>47</v>
      </c>
      <c r="E21" s="121"/>
      <c r="F21" s="121" t="s">
        <v>48</v>
      </c>
      <c r="G21" s="121"/>
      <c r="H21" s="44"/>
      <c r="I21" s="9"/>
    </row>
    <row r="22" spans="1:9" ht="24.75" customHeight="1">
      <c r="A22" s="2" t="s">
        <v>116</v>
      </c>
      <c r="B22" s="122" t="s">
        <v>54</v>
      </c>
      <c r="C22" s="122"/>
      <c r="D22" s="122" t="s">
        <v>55</v>
      </c>
      <c r="E22" s="122"/>
      <c r="F22" s="123">
        <v>0</v>
      </c>
      <c r="G22" s="124"/>
      <c r="H22" s="44"/>
      <c r="I22" s="9"/>
    </row>
    <row r="23" spans="1:9" ht="24.75" customHeight="1">
      <c r="A23" s="2"/>
      <c r="B23" s="125" t="s">
        <v>40</v>
      </c>
      <c r="C23" s="126"/>
      <c r="D23" s="127"/>
      <c r="E23" s="128"/>
      <c r="F23" s="123">
        <v>0</v>
      </c>
      <c r="G23" s="124"/>
      <c r="H23" s="44"/>
      <c r="I23" s="9"/>
    </row>
    <row r="24" spans="1:9" ht="24.75" customHeight="1">
      <c r="A24" s="2"/>
      <c r="B24" s="125" t="s">
        <v>41</v>
      </c>
      <c r="C24" s="126"/>
      <c r="D24" s="127"/>
      <c r="E24" s="128"/>
      <c r="F24" s="123">
        <v>0</v>
      </c>
      <c r="G24" s="124"/>
      <c r="H24" s="44"/>
      <c r="I24" s="9"/>
    </row>
    <row r="25" spans="1:9" ht="24.75" customHeight="1">
      <c r="A25" s="2"/>
      <c r="B25" s="125" t="s">
        <v>42</v>
      </c>
      <c r="C25" s="126"/>
      <c r="D25" s="127"/>
      <c r="E25" s="128"/>
      <c r="F25" s="123">
        <v>0</v>
      </c>
      <c r="G25" s="124"/>
      <c r="H25" s="44"/>
      <c r="I25" s="9"/>
    </row>
    <row r="26" spans="1:9" ht="24.75" customHeight="1">
      <c r="A26" s="2"/>
      <c r="B26" s="125" t="s">
        <v>43</v>
      </c>
      <c r="C26" s="126"/>
      <c r="D26" s="127"/>
      <c r="E26" s="128"/>
      <c r="F26" s="123">
        <v>0</v>
      </c>
      <c r="G26" s="124"/>
      <c r="H26" s="44"/>
      <c r="I26" s="9"/>
    </row>
    <row r="27" spans="1:9" ht="24.75" customHeight="1">
      <c r="A27" s="2"/>
      <c r="B27" s="125" t="s">
        <v>44</v>
      </c>
      <c r="C27" s="126"/>
      <c r="D27" s="127"/>
      <c r="E27" s="128"/>
      <c r="F27" s="123">
        <v>0</v>
      </c>
      <c r="G27" s="124"/>
      <c r="H27" s="44"/>
      <c r="I27" s="9"/>
    </row>
    <row r="28" spans="1:9" ht="24.75" customHeight="1">
      <c r="A28" s="45"/>
      <c r="B28" s="166"/>
      <c r="C28" s="167"/>
      <c r="D28" s="116" t="s">
        <v>52</v>
      </c>
      <c r="E28" s="117"/>
      <c r="F28" s="118">
        <f>SUM(F22:G27)</f>
        <v>0</v>
      </c>
      <c r="G28" s="119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32" t="str">
        <f>IF(Main!B2,TEXT(EDATE(Main!B3,32),"dd mmmm yyyy"),TEXT(Main!B3+((Main!B5-Main!B3)*32+32),"dd mmmm yyyy")) &amp; " - " &amp; IF(Main!B2,TEXT(EDATE(Main!B3,33)-1,"dd mmmm yyyy"),TEXT(Main!B3+((Main!B5-Main!B3)*33+32),"dd mmmm yyyy")) &amp; " / " &amp; " (Revenue / Deferred Debts Or Expenses)"</f>
        <v>11 December 2027 - 10 January 2028 /  (Revenue / Deferred Debts Or Expenses)</v>
      </c>
      <c r="B32" s="133"/>
      <c r="C32" s="133"/>
      <c r="D32" s="133"/>
      <c r="E32" s="133"/>
      <c r="F32" s="133"/>
      <c r="G32" s="133"/>
      <c r="H32" s="44"/>
      <c r="I32" s="9"/>
    </row>
    <row r="33" spans="1:9" ht="24.75" customHeight="1">
      <c r="A33" s="81" t="s">
        <v>27</v>
      </c>
      <c r="B33" s="120" t="s">
        <v>46</v>
      </c>
      <c r="C33" s="120"/>
      <c r="D33" s="121" t="s">
        <v>47</v>
      </c>
      <c r="E33" s="121"/>
      <c r="F33" s="121" t="s">
        <v>48</v>
      </c>
      <c r="G33" s="121"/>
      <c r="H33" s="44"/>
      <c r="I33" s="9"/>
    </row>
    <row r="34" spans="1:9" ht="24.75" customHeight="1">
      <c r="A34" s="2" t="s">
        <v>117</v>
      </c>
      <c r="B34" s="122" t="s">
        <v>54</v>
      </c>
      <c r="C34" s="122"/>
      <c r="D34" s="122" t="s">
        <v>55</v>
      </c>
      <c r="E34" s="122"/>
      <c r="F34" s="123">
        <v>0</v>
      </c>
      <c r="G34" s="124"/>
      <c r="H34" s="44"/>
      <c r="I34" s="9"/>
    </row>
    <row r="35" spans="1:9" ht="24.75" customHeight="1">
      <c r="A35" s="2"/>
      <c r="B35" s="125" t="s">
        <v>40</v>
      </c>
      <c r="C35" s="126"/>
      <c r="D35" s="127"/>
      <c r="E35" s="128"/>
      <c r="F35" s="123">
        <v>0</v>
      </c>
      <c r="G35" s="124"/>
      <c r="H35" s="44"/>
      <c r="I35" s="9"/>
    </row>
    <row r="36" spans="1:9" ht="24.75" customHeight="1">
      <c r="A36" s="2"/>
      <c r="B36" s="125" t="s">
        <v>41</v>
      </c>
      <c r="C36" s="126"/>
      <c r="D36" s="127"/>
      <c r="E36" s="128"/>
      <c r="F36" s="123">
        <v>0</v>
      </c>
      <c r="G36" s="124"/>
      <c r="H36" s="44"/>
      <c r="I36" s="37"/>
    </row>
    <row r="37" spans="1:9" ht="24.75" customHeight="1">
      <c r="A37" s="2"/>
      <c r="B37" s="125" t="s">
        <v>42</v>
      </c>
      <c r="C37" s="126"/>
      <c r="D37" s="127"/>
      <c r="E37" s="128"/>
      <c r="F37" s="123">
        <v>0</v>
      </c>
      <c r="G37" s="124"/>
      <c r="H37" s="44"/>
      <c r="I37" s="9"/>
    </row>
    <row r="38" spans="1:9" ht="24.75" customHeight="1">
      <c r="A38" s="2"/>
      <c r="B38" s="125" t="s">
        <v>43</v>
      </c>
      <c r="C38" s="126"/>
      <c r="D38" s="127"/>
      <c r="E38" s="128"/>
      <c r="F38" s="123">
        <v>0</v>
      </c>
      <c r="G38" s="124"/>
      <c r="H38" s="44"/>
      <c r="I38" s="9"/>
    </row>
    <row r="39" spans="1:9" ht="24.75" customHeight="1">
      <c r="A39" s="2"/>
      <c r="B39" s="125" t="s">
        <v>44</v>
      </c>
      <c r="C39" s="126"/>
      <c r="D39" s="127"/>
      <c r="E39" s="128"/>
      <c r="F39" s="123">
        <v>0</v>
      </c>
      <c r="G39" s="124"/>
      <c r="H39" s="44"/>
      <c r="I39" s="9"/>
    </row>
    <row r="40" spans="1:9" ht="24.75" customHeight="1">
      <c r="A40" s="45"/>
      <c r="B40" s="166"/>
      <c r="C40" s="167"/>
      <c r="D40" s="116" t="s">
        <v>52</v>
      </c>
      <c r="E40" s="117"/>
      <c r="F40" s="118">
        <f>SUM(F34:G39)</f>
        <v>0</v>
      </c>
      <c r="G40" s="119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IF(Main!B2,TEXT(EDATE(Main!B3,30),"mmmm yyyy"),TEXT(Main!B3+((Main!B5-Main!B3)*30+30),"mmmm yyyy")) &amp; " to " &amp; IF(Main!B2,TEXT(EDATE(Main!B3,33)-1,"mmmm yyyy"),TEXT(Main!B3+((Main!B5-Main!B3)*33+32),"mmmm yyyy"))</f>
        <v>Fixed Expense For the Year October 2027 to January 2028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2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71" t="s">
        <v>57</v>
      </c>
      <c r="B46" s="172"/>
      <c r="C46" s="173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71" t="s">
        <v>62</v>
      </c>
      <c r="B56" s="172"/>
      <c r="C56" s="173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71" t="s">
        <v>67</v>
      </c>
      <c r="B67" s="172"/>
      <c r="C67" s="173"/>
      <c r="D67" s="44"/>
      <c r="E67" s="44"/>
      <c r="F67" s="44"/>
      <c r="G67" s="44"/>
      <c r="H67" s="44"/>
      <c r="I67" s="9"/>
    </row>
    <row r="68" spans="1:9" ht="55.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71" t="s">
        <v>72</v>
      </c>
      <c r="B76" s="172"/>
      <c r="C76" s="173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71" t="s">
        <v>77</v>
      </c>
      <c r="B86" s="172"/>
      <c r="C86" s="173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71" t="s">
        <v>86</v>
      </c>
      <c r="B97" s="172"/>
      <c r="C97" s="173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(Forecast_10!C98)+SUM(E118+E145+E172)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(Forecast_10!C99)+SUM(E119+E146+E173)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(Forecast_10!C100)+SUM(E120+E147+E174)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(Forecast_10!C101)+SUM(E121+E148+E175)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(Forecast_10!C102)+SUM(E122+E149+E176)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(Forecast_10!C103)+SUM(E123+E150+E177)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(Forecast_10!C104)+SUM(E124+E151+E178)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(Forecast_10!C105)+SUM(E125+E152+E179)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(Forecast_10!C106)+SUM(E126+E153+E180)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(Forecast_10!C107)+SUM(E127+E154+E181)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99" t="str">
        <f>"Debts Or Credits For the Comming " &amp; IF(Main!B2,TEXT(EDATE(Main!B3,30),"mmmm dd yyyy"),TEXT(Main!B3+((Main!B5-Main!B3)*30+30),"mmmm dd yyyy")) &amp; " to " &amp; IF(Main!B2,TEXT(EDATE(Main!B3,31)-1,"mmmm dd yyyy"),TEXT(Main!B3+((Main!B5-Main!B3)*31+30),"mmmm dd yyyy"))</f>
        <v>Debts Or Credits For the Comming October 11 2027 to November 10 2027</v>
      </c>
      <c r="B114" s="100"/>
      <c r="C114" s="100"/>
      <c r="D114" s="100"/>
      <c r="E114" s="101"/>
      <c r="F114" s="44"/>
      <c r="G114" s="44"/>
      <c r="H114" s="44"/>
      <c r="I114" s="9"/>
    </row>
    <row r="115" spans="1:9" ht="24.75" customHeight="1">
      <c r="A115" s="99" t="s">
        <v>94</v>
      </c>
      <c r="B115" s="101"/>
      <c r="C115" s="99" t="s">
        <v>47</v>
      </c>
      <c r="D115" s="101"/>
      <c r="E115" s="29" t="s">
        <v>48</v>
      </c>
      <c r="F115" s="44"/>
      <c r="G115" s="44"/>
      <c r="H115" s="44"/>
      <c r="I115" s="9"/>
    </row>
    <row r="116" spans="1:9" ht="24.75" customHeight="1">
      <c r="A116" s="96" t="str">
        <f>"Balance Brought Forward From " &amp; IF(Main!B2,TEXT(EDATE(Main!B3,30)-1,"mmmm yyyy"),TEXT(Main!B3+((Main!B5-Main!B3)*30+29),"mmmm yyyy"))</f>
        <v>Balance Brought Forward From October 2027</v>
      </c>
      <c r="B116" s="97"/>
      <c r="C116" s="158"/>
      <c r="D116" s="158"/>
      <c r="E116" s="51">
        <f>Forecast_10!E190</f>
        <v>0</v>
      </c>
      <c r="F116" s="44"/>
      <c r="G116" s="44"/>
      <c r="H116" s="44"/>
      <c r="I116" s="9"/>
    </row>
    <row r="117" spans="1:9" ht="24.75" customHeight="1">
      <c r="A117" s="106" t="s">
        <v>95</v>
      </c>
      <c r="B117" s="107"/>
      <c r="C117" s="157" t="s">
        <v>96</v>
      </c>
      <c r="D117" s="149"/>
      <c r="E117" s="42"/>
      <c r="F117" s="44"/>
      <c r="G117" s="44"/>
      <c r="H117" s="44"/>
      <c r="I117" s="9"/>
    </row>
    <row r="118" spans="1:9" ht="24.75" customHeight="1">
      <c r="A118" s="108"/>
      <c r="B118" s="109"/>
      <c r="C118" s="104" t="s">
        <v>97</v>
      </c>
      <c r="D118" s="105"/>
      <c r="E118" s="28">
        <v>0</v>
      </c>
      <c r="F118" s="44"/>
      <c r="G118" s="44"/>
      <c r="H118" s="44"/>
      <c r="I118" s="9"/>
    </row>
    <row r="119" spans="1:9" ht="24.75" customHeight="1">
      <c r="A119" s="108"/>
      <c r="B119" s="109"/>
      <c r="C119" s="104" t="s">
        <v>98</v>
      </c>
      <c r="D119" s="105"/>
      <c r="E119" s="28">
        <v>0</v>
      </c>
      <c r="F119" s="44"/>
      <c r="G119" s="44"/>
      <c r="H119" s="44"/>
      <c r="I119" s="9"/>
    </row>
    <row r="120" spans="1:9" ht="24.75" customHeight="1">
      <c r="A120" s="108"/>
      <c r="B120" s="109"/>
      <c r="C120" s="104" t="s">
        <v>99</v>
      </c>
      <c r="D120" s="105"/>
      <c r="E120" s="28">
        <v>0</v>
      </c>
      <c r="F120" s="44"/>
      <c r="G120" s="44"/>
      <c r="H120" s="44"/>
      <c r="I120" s="9"/>
    </row>
    <row r="121" spans="1:9" ht="24.75" customHeight="1">
      <c r="A121" s="108"/>
      <c r="B121" s="109"/>
      <c r="C121" s="104" t="s">
        <v>100</v>
      </c>
      <c r="D121" s="105"/>
      <c r="E121" s="28">
        <v>0</v>
      </c>
      <c r="F121" s="44"/>
      <c r="G121" s="44"/>
      <c r="H121" s="44"/>
      <c r="I121" s="9"/>
    </row>
    <row r="122" spans="1:9" ht="24.75" customHeight="1">
      <c r="A122" s="108"/>
      <c r="B122" s="109"/>
      <c r="C122" s="104" t="s">
        <v>101</v>
      </c>
      <c r="D122" s="105"/>
      <c r="E122" s="28">
        <v>0</v>
      </c>
      <c r="F122" s="44"/>
      <c r="G122" s="44"/>
      <c r="H122" s="44"/>
      <c r="I122" s="9"/>
    </row>
    <row r="123" spans="1:9" ht="24.75" customHeight="1">
      <c r="A123" s="108"/>
      <c r="B123" s="109"/>
      <c r="C123" s="104" t="s">
        <v>102</v>
      </c>
      <c r="D123" s="105"/>
      <c r="E123" s="28">
        <v>0</v>
      </c>
      <c r="F123" s="44"/>
      <c r="G123" s="44"/>
      <c r="H123" s="44"/>
      <c r="I123" s="9"/>
    </row>
    <row r="124" spans="1:9" ht="24.75" customHeight="1">
      <c r="A124" s="108"/>
      <c r="B124" s="109"/>
      <c r="C124" s="104" t="s">
        <v>103</v>
      </c>
      <c r="D124" s="105"/>
      <c r="E124" s="28">
        <v>0</v>
      </c>
      <c r="F124" s="44"/>
      <c r="G124" s="44"/>
      <c r="H124" s="44"/>
      <c r="I124" s="9"/>
    </row>
    <row r="125" spans="1:9" ht="24.75" customHeight="1">
      <c r="A125" s="108"/>
      <c r="B125" s="109"/>
      <c r="C125" s="104" t="s">
        <v>104</v>
      </c>
      <c r="D125" s="105"/>
      <c r="E125" s="28">
        <v>0</v>
      </c>
      <c r="F125" s="44"/>
      <c r="G125" s="44"/>
      <c r="H125" s="44"/>
      <c r="I125" s="9"/>
    </row>
    <row r="126" spans="1:9" ht="24.75" customHeight="1">
      <c r="A126" s="108"/>
      <c r="B126" s="109"/>
      <c r="C126" s="104" t="s">
        <v>105</v>
      </c>
      <c r="D126" s="105"/>
      <c r="E126" s="28">
        <v>0</v>
      </c>
      <c r="F126" s="44"/>
      <c r="G126" s="44"/>
      <c r="H126" s="44"/>
      <c r="I126" s="9"/>
    </row>
    <row r="127" spans="1:9" ht="24.75" customHeight="1">
      <c r="A127" s="108"/>
      <c r="B127" s="109"/>
      <c r="C127" s="104" t="s">
        <v>106</v>
      </c>
      <c r="D127" s="105"/>
      <c r="E127" s="28">
        <v>0</v>
      </c>
      <c r="F127" s="44"/>
      <c r="G127" s="44"/>
      <c r="H127" s="44"/>
      <c r="I127" s="9"/>
    </row>
    <row r="128" spans="1:9" ht="24.75" customHeight="1">
      <c r="A128" s="108"/>
      <c r="B128" s="109"/>
      <c r="C128" s="148" t="s">
        <v>107</v>
      </c>
      <c r="D128" s="149"/>
      <c r="E128" s="42"/>
      <c r="F128" s="44"/>
      <c r="G128" s="44"/>
      <c r="H128" s="44"/>
      <c r="I128" s="9"/>
    </row>
    <row r="129" spans="1:9" ht="24.75" customHeight="1">
      <c r="A129" s="108"/>
      <c r="B129" s="109"/>
      <c r="C129" s="150" t="s">
        <v>108</v>
      </c>
      <c r="D129" s="151"/>
      <c r="E129" s="30">
        <v>0</v>
      </c>
      <c r="F129" s="44"/>
      <c r="G129" s="44"/>
      <c r="H129" s="44"/>
      <c r="I129" s="9"/>
    </row>
    <row r="130" spans="1:9" ht="24.75" customHeight="1">
      <c r="A130" s="108"/>
      <c r="B130" s="109"/>
      <c r="C130" s="104" t="s">
        <v>97</v>
      </c>
      <c r="D130" s="105"/>
      <c r="E130" s="30">
        <v>0</v>
      </c>
      <c r="F130" s="44"/>
      <c r="G130" s="44"/>
      <c r="H130" s="44"/>
      <c r="I130" s="9"/>
    </row>
    <row r="131" spans="1:9" ht="24.75" customHeight="1">
      <c r="A131" s="108"/>
      <c r="B131" s="109"/>
      <c r="C131" s="104" t="s">
        <v>98</v>
      </c>
      <c r="D131" s="105"/>
      <c r="E131" s="30">
        <v>0</v>
      </c>
      <c r="F131" s="44"/>
      <c r="G131" s="44"/>
      <c r="H131" s="44"/>
      <c r="I131" s="9"/>
    </row>
    <row r="132" spans="1:9" ht="24.75" customHeight="1">
      <c r="A132" s="108"/>
      <c r="B132" s="109"/>
      <c r="C132" s="104" t="s">
        <v>99</v>
      </c>
      <c r="D132" s="105"/>
      <c r="E132" s="30">
        <v>0</v>
      </c>
      <c r="F132" s="44"/>
      <c r="G132" s="44"/>
      <c r="H132" s="44"/>
      <c r="I132" s="9"/>
    </row>
    <row r="133" spans="1:9" ht="24.75" customHeight="1">
      <c r="A133" s="108"/>
      <c r="B133" s="109"/>
      <c r="C133" s="104" t="s">
        <v>100</v>
      </c>
      <c r="D133" s="105"/>
      <c r="E133" s="30">
        <v>0</v>
      </c>
      <c r="F133" s="44"/>
      <c r="G133" s="44"/>
      <c r="H133" s="44"/>
      <c r="I133" s="9"/>
    </row>
    <row r="134" spans="1:9" ht="24.75" customHeight="1">
      <c r="A134" s="110"/>
      <c r="B134" s="111"/>
      <c r="C134" s="104" t="s">
        <v>101</v>
      </c>
      <c r="D134" s="105"/>
      <c r="E134" s="30">
        <v>0</v>
      </c>
      <c r="F134" s="44"/>
      <c r="G134" s="44"/>
      <c r="H134" s="44"/>
      <c r="I134" s="9"/>
    </row>
    <row r="135" spans="1:9" ht="24.75" customHeight="1">
      <c r="A135" s="96" t="s">
        <v>109</v>
      </c>
      <c r="B135" s="152"/>
      <c r="C135" s="153"/>
      <c r="D135" s="154"/>
      <c r="E135" s="30">
        <f>C96</f>
        <v>0</v>
      </c>
      <c r="F135" s="44"/>
      <c r="G135" s="44"/>
      <c r="H135" s="44"/>
      <c r="I135" s="9"/>
    </row>
    <row r="136" spans="1:9" ht="24.75" customHeight="1">
      <c r="A136" s="145"/>
      <c r="B136" s="146"/>
      <c r="C136" s="147" t="s">
        <v>110</v>
      </c>
      <c r="D136" s="147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99" t="str">
        <f>"Debts Or Credits For the Comming " &amp; IF(Main!B2,TEXT(EDATE(Main!B3,31),"mmmm dd yyyy"),TEXT(Main!B3+((Main!B5-Main!B3)*31+31),"dd mmmm yyyy")) &amp; " to " &amp;  IF(Main!B2,TEXT(EDATE(Main!B3,32)-1,"mmmm dd yyyy"),TEXT(Main!B3+((Main!B5-Main!B3)*32+31),"mmmm dd yyyy"))</f>
        <v>Debts Or Credits For the Comming November 11 2027 to December 10 2027</v>
      </c>
      <c r="B141" s="100"/>
      <c r="C141" s="100"/>
      <c r="D141" s="100"/>
      <c r="E141" s="101"/>
      <c r="F141" s="44"/>
      <c r="G141" s="44"/>
      <c r="H141" s="44"/>
      <c r="I141" s="9"/>
    </row>
    <row r="142" spans="1:9" ht="24.75" customHeight="1">
      <c r="A142" s="99" t="s">
        <v>94</v>
      </c>
      <c r="B142" s="101"/>
      <c r="C142" s="102" t="s">
        <v>47</v>
      </c>
      <c r="D142" s="103"/>
      <c r="E142" s="39" t="s">
        <v>48</v>
      </c>
      <c r="F142" s="44"/>
      <c r="G142" s="44"/>
      <c r="H142" s="44"/>
      <c r="I142" s="9"/>
    </row>
    <row r="143" spans="1:9" ht="24.75" customHeight="1">
      <c r="A143" s="96" t="str">
        <f>"Balance Brought Forward From " &amp; IF(Main!B2,TEXT(EDATE(Main!B3,31)-1,"mmmm yyyy"),TEXT(Main!B3+((Main!B5-Main!B3)*31+30),"mmmm yyyy"))</f>
        <v>Balance Brought Forward From November 2027</v>
      </c>
      <c r="B143" s="97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06" t="s">
        <v>95</v>
      </c>
      <c r="B144" s="107"/>
      <c r="C144" s="112" t="s">
        <v>96</v>
      </c>
      <c r="D144" s="113"/>
      <c r="E144" s="43"/>
      <c r="F144" s="44"/>
      <c r="G144" s="44"/>
      <c r="H144" s="44"/>
      <c r="I144" s="9"/>
    </row>
    <row r="145" spans="1:9" ht="24.75" customHeight="1">
      <c r="A145" s="108"/>
      <c r="B145" s="109"/>
      <c r="C145" s="104" t="s">
        <v>97</v>
      </c>
      <c r="D145" s="105"/>
      <c r="E145" s="28">
        <v>0</v>
      </c>
      <c r="F145" s="44"/>
      <c r="G145" s="44"/>
      <c r="H145" s="44"/>
      <c r="I145" s="9"/>
    </row>
    <row r="146" spans="1:9" ht="24.75" customHeight="1">
      <c r="A146" s="108"/>
      <c r="B146" s="109"/>
      <c r="C146" s="104" t="s">
        <v>98</v>
      </c>
      <c r="D146" s="105"/>
      <c r="E146" s="28">
        <v>0</v>
      </c>
      <c r="F146" s="44"/>
      <c r="G146" s="44"/>
      <c r="H146" s="44"/>
      <c r="I146" s="9"/>
    </row>
    <row r="147" spans="1:9" ht="24.75" customHeight="1">
      <c r="A147" s="108"/>
      <c r="B147" s="109"/>
      <c r="C147" s="104" t="s">
        <v>99</v>
      </c>
      <c r="D147" s="105"/>
      <c r="E147" s="28">
        <v>0</v>
      </c>
      <c r="F147" s="44"/>
      <c r="G147" s="44"/>
      <c r="H147" s="44"/>
      <c r="I147" s="9"/>
    </row>
    <row r="148" spans="1:9" ht="24.75" customHeight="1">
      <c r="A148" s="108"/>
      <c r="B148" s="109"/>
      <c r="C148" s="104" t="s">
        <v>100</v>
      </c>
      <c r="D148" s="105"/>
      <c r="E148" s="28">
        <v>0</v>
      </c>
      <c r="F148" s="44"/>
      <c r="G148" s="44"/>
      <c r="H148" s="44"/>
      <c r="I148" s="9"/>
    </row>
    <row r="149" spans="1:9" ht="24.75" customHeight="1">
      <c r="A149" s="108"/>
      <c r="B149" s="109"/>
      <c r="C149" s="104" t="s">
        <v>101</v>
      </c>
      <c r="D149" s="105"/>
      <c r="E149" s="28">
        <v>0</v>
      </c>
      <c r="F149" s="44"/>
      <c r="G149" s="44"/>
      <c r="H149" s="44"/>
      <c r="I149" s="9"/>
    </row>
    <row r="150" spans="1:9" ht="24.75" customHeight="1">
      <c r="A150" s="108"/>
      <c r="B150" s="109"/>
      <c r="C150" s="104" t="s">
        <v>102</v>
      </c>
      <c r="D150" s="105"/>
      <c r="E150" s="28">
        <v>0</v>
      </c>
      <c r="F150" s="44"/>
      <c r="G150" s="44"/>
      <c r="H150" s="44"/>
      <c r="I150" s="9"/>
    </row>
    <row r="151" spans="1:9" ht="24.75" customHeight="1">
      <c r="A151" s="108"/>
      <c r="B151" s="109"/>
      <c r="C151" s="104" t="s">
        <v>103</v>
      </c>
      <c r="D151" s="105"/>
      <c r="E151" s="28">
        <v>0</v>
      </c>
      <c r="F151" s="44"/>
      <c r="G151" s="44"/>
      <c r="H151" s="44"/>
      <c r="I151" s="9"/>
    </row>
    <row r="152" spans="1:9" ht="24.75" customHeight="1">
      <c r="A152" s="108"/>
      <c r="B152" s="109"/>
      <c r="C152" s="104" t="s">
        <v>104</v>
      </c>
      <c r="D152" s="105"/>
      <c r="E152" s="28">
        <v>0</v>
      </c>
      <c r="F152" s="44"/>
      <c r="G152" s="44"/>
      <c r="H152" s="44"/>
      <c r="I152" s="9"/>
    </row>
    <row r="153" spans="1:9" ht="24.75" customHeight="1">
      <c r="A153" s="108"/>
      <c r="B153" s="109"/>
      <c r="C153" s="104" t="s">
        <v>105</v>
      </c>
      <c r="D153" s="105"/>
      <c r="E153" s="28">
        <v>0</v>
      </c>
      <c r="F153" s="44"/>
      <c r="G153" s="44"/>
      <c r="H153" s="44"/>
      <c r="I153" s="9"/>
    </row>
    <row r="154" spans="1:9" ht="24.75" customHeight="1">
      <c r="A154" s="108"/>
      <c r="B154" s="109"/>
      <c r="C154" s="104" t="s">
        <v>106</v>
      </c>
      <c r="D154" s="105"/>
      <c r="E154" s="28">
        <v>0</v>
      </c>
      <c r="F154" s="44"/>
      <c r="G154" s="44"/>
      <c r="H154" s="44"/>
      <c r="I154" s="9"/>
    </row>
    <row r="155" spans="1:9" ht="24.75" customHeight="1">
      <c r="A155" s="108"/>
      <c r="B155" s="109"/>
      <c r="C155" s="148" t="s">
        <v>107</v>
      </c>
      <c r="D155" s="149"/>
      <c r="E155" s="42"/>
      <c r="F155" s="44"/>
      <c r="G155" s="44"/>
      <c r="H155" s="44"/>
      <c r="I155" s="9"/>
    </row>
    <row r="156" spans="1:9" ht="24.75" customHeight="1">
      <c r="A156" s="108"/>
      <c r="B156" s="109"/>
      <c r="C156" s="150" t="s">
        <v>111</v>
      </c>
      <c r="D156" s="151"/>
      <c r="E156" s="30">
        <v>0</v>
      </c>
      <c r="F156" s="44"/>
      <c r="G156" s="44"/>
      <c r="H156" s="44"/>
      <c r="I156" s="9"/>
    </row>
    <row r="157" spans="1:9" ht="24.75" customHeight="1">
      <c r="A157" s="108"/>
      <c r="B157" s="109"/>
      <c r="C157" s="104" t="s">
        <v>97</v>
      </c>
      <c r="D157" s="105"/>
      <c r="E157" s="30">
        <v>0</v>
      </c>
      <c r="F157" s="44"/>
      <c r="G157" s="44"/>
      <c r="H157" s="44"/>
      <c r="I157" s="9"/>
    </row>
    <row r="158" spans="1:9" ht="24.75" customHeight="1">
      <c r="A158" s="108"/>
      <c r="B158" s="109"/>
      <c r="C158" s="104" t="s">
        <v>98</v>
      </c>
      <c r="D158" s="105"/>
      <c r="E158" s="30">
        <v>0</v>
      </c>
      <c r="F158" s="44"/>
      <c r="G158" s="44"/>
      <c r="H158" s="44"/>
      <c r="I158" s="9"/>
    </row>
    <row r="159" spans="1:9" ht="24.75" customHeight="1">
      <c r="A159" s="108"/>
      <c r="B159" s="109"/>
      <c r="C159" s="104" t="s">
        <v>99</v>
      </c>
      <c r="D159" s="105"/>
      <c r="E159" s="30">
        <v>0</v>
      </c>
      <c r="F159" s="44"/>
      <c r="G159" s="44"/>
      <c r="H159" s="44"/>
      <c r="I159" s="9"/>
    </row>
    <row r="160" spans="1:9" ht="24.75" customHeight="1">
      <c r="A160" s="108"/>
      <c r="B160" s="109"/>
      <c r="C160" s="104" t="s">
        <v>100</v>
      </c>
      <c r="D160" s="105"/>
      <c r="E160" s="30">
        <v>0</v>
      </c>
      <c r="F160" s="44"/>
      <c r="G160" s="44"/>
      <c r="H160" s="44"/>
      <c r="I160" s="9"/>
    </row>
    <row r="161" spans="1:9" ht="24.75" customHeight="1">
      <c r="A161" s="110"/>
      <c r="B161" s="111"/>
      <c r="C161" s="104" t="s">
        <v>101</v>
      </c>
      <c r="D161" s="105"/>
      <c r="E161" s="30">
        <v>0</v>
      </c>
      <c r="F161" s="44"/>
      <c r="G161" s="44"/>
      <c r="H161" s="44"/>
      <c r="I161" s="9"/>
    </row>
    <row r="162" spans="1:9" ht="24.75" customHeight="1">
      <c r="A162" s="96" t="s">
        <v>109</v>
      </c>
      <c r="B162" s="152"/>
      <c r="C162" s="153"/>
      <c r="D162" s="154"/>
      <c r="E162" s="30">
        <f>C96</f>
        <v>0</v>
      </c>
      <c r="F162" s="44"/>
      <c r="G162" s="44"/>
      <c r="H162" s="44"/>
      <c r="I162" s="9"/>
    </row>
    <row r="163" spans="1:9" ht="24.75" customHeight="1">
      <c r="A163" s="145"/>
      <c r="B163" s="146"/>
      <c r="C163" s="147" t="s">
        <v>110</v>
      </c>
      <c r="D163" s="147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99" t="str">
        <f>"Debts Or Credits For the Comming " &amp; IF(Main!B2,TEXT(EDATE(Main!B3,32),"mmmm dd yyyy"),TEXT(Main!B3+((Main!B5-Main!B3)*32+32),"mmmm dd yyyy")) &amp; " to " &amp; IF(Main!B2,TEXT(EDATE(Main!B3,33)-1,"mmmm dd yyyy"),TEXT(Main!B3+((Main!B5-Main!B3)*33+32),"mmmm dd yyyy"))</f>
        <v>Debts Or Credits For the Comming December 11 2027 to January 10 2028</v>
      </c>
      <c r="B168" s="100"/>
      <c r="C168" s="100"/>
      <c r="D168" s="100"/>
      <c r="E168" s="101"/>
      <c r="F168" s="44"/>
      <c r="G168" s="44"/>
      <c r="H168" s="44"/>
      <c r="I168" s="9"/>
    </row>
    <row r="169" spans="1:9" ht="24.75" customHeight="1">
      <c r="A169" s="99" t="s">
        <v>94</v>
      </c>
      <c r="B169" s="101"/>
      <c r="C169" s="102" t="s">
        <v>47</v>
      </c>
      <c r="D169" s="103"/>
      <c r="E169" s="39" t="s">
        <v>48</v>
      </c>
      <c r="F169" s="44"/>
      <c r="G169" s="44"/>
      <c r="H169" s="44"/>
      <c r="I169" s="9"/>
    </row>
    <row r="170" spans="1:9" ht="24.75" customHeight="1">
      <c r="A170" s="96" t="str">
        <f>"Balance Brought Forward From " &amp;  IF(Main!B2,TEXT(EDATE(Main!B3,32)-1,"mmmm yyyy"),TEXT(Main!B3+((Main!B5-Main!B3)*32+31),"mmmm yyyy"))</f>
        <v>Balance Brought Forward From December 2027</v>
      </c>
      <c r="B170" s="97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06" t="s">
        <v>95</v>
      </c>
      <c r="B171" s="107"/>
      <c r="C171" s="112" t="s">
        <v>96</v>
      </c>
      <c r="D171" s="113"/>
      <c r="E171" s="43"/>
      <c r="F171" s="44"/>
      <c r="G171" s="44"/>
      <c r="H171" s="44"/>
      <c r="I171" s="9"/>
    </row>
    <row r="172" spans="1:9" ht="24.75" customHeight="1">
      <c r="A172" s="108"/>
      <c r="B172" s="109"/>
      <c r="C172" s="104" t="s">
        <v>97</v>
      </c>
      <c r="D172" s="105"/>
      <c r="E172" s="28">
        <v>0</v>
      </c>
      <c r="F172" s="44"/>
      <c r="G172" s="44"/>
      <c r="H172" s="44"/>
      <c r="I172" s="9"/>
    </row>
    <row r="173" spans="1:9" ht="24.75" customHeight="1">
      <c r="A173" s="108"/>
      <c r="B173" s="109"/>
      <c r="C173" s="104" t="s">
        <v>98</v>
      </c>
      <c r="D173" s="105"/>
      <c r="E173" s="28">
        <v>0</v>
      </c>
      <c r="F173" s="44"/>
      <c r="G173" s="44"/>
      <c r="H173" s="44"/>
      <c r="I173" s="9"/>
    </row>
    <row r="174" spans="1:9" ht="24.75" customHeight="1">
      <c r="A174" s="108"/>
      <c r="B174" s="109"/>
      <c r="C174" s="104" t="s">
        <v>99</v>
      </c>
      <c r="D174" s="105"/>
      <c r="E174" s="28">
        <v>0</v>
      </c>
      <c r="F174" s="44"/>
      <c r="G174" s="44"/>
      <c r="H174" s="44"/>
      <c r="I174" s="9"/>
    </row>
    <row r="175" spans="1:9" ht="24.75" customHeight="1">
      <c r="A175" s="108"/>
      <c r="B175" s="109"/>
      <c r="C175" s="104" t="s">
        <v>100</v>
      </c>
      <c r="D175" s="105"/>
      <c r="E175" s="28">
        <v>0</v>
      </c>
      <c r="F175" s="44"/>
      <c r="G175" s="44"/>
      <c r="H175" s="44"/>
      <c r="I175" s="9"/>
    </row>
    <row r="176" spans="1:9" ht="24.75" customHeight="1">
      <c r="A176" s="108"/>
      <c r="B176" s="109"/>
      <c r="C176" s="104" t="s">
        <v>101</v>
      </c>
      <c r="D176" s="105"/>
      <c r="E176" s="28">
        <v>0</v>
      </c>
      <c r="F176" s="44"/>
      <c r="G176" s="44"/>
      <c r="H176" s="44"/>
      <c r="I176" s="9"/>
    </row>
    <row r="177" spans="1:9" ht="24.75" customHeight="1">
      <c r="A177" s="108"/>
      <c r="B177" s="109"/>
      <c r="C177" s="104" t="s">
        <v>102</v>
      </c>
      <c r="D177" s="105"/>
      <c r="E177" s="28">
        <v>0</v>
      </c>
      <c r="F177" s="44"/>
      <c r="G177" s="44"/>
      <c r="H177" s="44"/>
      <c r="I177" s="9"/>
    </row>
    <row r="178" spans="1:9" ht="24.75" customHeight="1">
      <c r="A178" s="108"/>
      <c r="B178" s="109"/>
      <c r="C178" s="104" t="s">
        <v>103</v>
      </c>
      <c r="D178" s="105"/>
      <c r="E178" s="28">
        <v>0</v>
      </c>
      <c r="F178" s="44"/>
      <c r="G178" s="44"/>
      <c r="H178" s="44"/>
      <c r="I178" s="9"/>
    </row>
    <row r="179" spans="1:9" ht="24.75" customHeight="1">
      <c r="A179" s="108"/>
      <c r="B179" s="109"/>
      <c r="C179" s="104" t="s">
        <v>104</v>
      </c>
      <c r="D179" s="105"/>
      <c r="E179" s="28">
        <v>0</v>
      </c>
      <c r="F179" s="44"/>
      <c r="G179" s="44"/>
      <c r="H179" s="44"/>
      <c r="I179" s="9"/>
    </row>
    <row r="180" spans="1:9" ht="24.75" customHeight="1">
      <c r="A180" s="108"/>
      <c r="B180" s="109"/>
      <c r="C180" s="104" t="s">
        <v>105</v>
      </c>
      <c r="D180" s="105"/>
      <c r="E180" s="28">
        <v>0</v>
      </c>
      <c r="F180" s="44"/>
      <c r="G180" s="44"/>
      <c r="H180" s="44"/>
      <c r="I180" s="9"/>
    </row>
    <row r="181" spans="1:9" ht="24.75" customHeight="1">
      <c r="A181" s="108"/>
      <c r="B181" s="109"/>
      <c r="C181" s="104" t="s">
        <v>106</v>
      </c>
      <c r="D181" s="105"/>
      <c r="E181" s="28">
        <v>0</v>
      </c>
      <c r="F181" s="44"/>
      <c r="G181" s="44"/>
      <c r="H181" s="44"/>
      <c r="I181" s="9"/>
    </row>
    <row r="182" spans="1:9" ht="24.75" customHeight="1">
      <c r="A182" s="108"/>
      <c r="B182" s="109"/>
      <c r="C182" s="148" t="s">
        <v>107</v>
      </c>
      <c r="D182" s="149"/>
      <c r="E182" s="42"/>
      <c r="F182" s="44"/>
      <c r="G182" s="44"/>
      <c r="H182" s="44"/>
      <c r="I182" s="9"/>
    </row>
    <row r="183" spans="1:9" ht="24.75" customHeight="1">
      <c r="A183" s="108"/>
      <c r="B183" s="109"/>
      <c r="C183" s="150" t="s">
        <v>111</v>
      </c>
      <c r="D183" s="151"/>
      <c r="E183" s="30">
        <v>0</v>
      </c>
      <c r="F183" s="44"/>
      <c r="G183" s="44"/>
      <c r="H183" s="44"/>
      <c r="I183" s="9"/>
    </row>
    <row r="184" spans="1:9" ht="24.75" customHeight="1">
      <c r="A184" s="108"/>
      <c r="B184" s="109"/>
      <c r="C184" s="104" t="s">
        <v>97</v>
      </c>
      <c r="D184" s="105"/>
      <c r="E184" s="30">
        <v>0</v>
      </c>
      <c r="F184" s="44"/>
      <c r="G184" s="44"/>
      <c r="H184" s="44"/>
      <c r="I184" s="9"/>
    </row>
    <row r="185" spans="1:9" ht="24.75" customHeight="1">
      <c r="A185" s="108"/>
      <c r="B185" s="109"/>
      <c r="C185" s="104" t="s">
        <v>98</v>
      </c>
      <c r="D185" s="105"/>
      <c r="E185" s="30">
        <v>0</v>
      </c>
      <c r="F185" s="44"/>
      <c r="G185" s="44"/>
      <c r="H185" s="44"/>
      <c r="I185" s="9"/>
    </row>
    <row r="186" spans="1:9" ht="24.75" customHeight="1">
      <c r="A186" s="108"/>
      <c r="B186" s="109"/>
      <c r="C186" s="104" t="s">
        <v>99</v>
      </c>
      <c r="D186" s="105"/>
      <c r="E186" s="30">
        <v>0</v>
      </c>
      <c r="F186" s="44"/>
      <c r="G186" s="44"/>
      <c r="H186" s="44"/>
      <c r="I186" s="9"/>
    </row>
    <row r="187" spans="1:9" ht="24.75" customHeight="1">
      <c r="A187" s="108"/>
      <c r="B187" s="109"/>
      <c r="C187" s="104" t="s">
        <v>100</v>
      </c>
      <c r="D187" s="105"/>
      <c r="E187" s="30">
        <v>0</v>
      </c>
      <c r="F187" s="44"/>
      <c r="G187" s="44"/>
      <c r="H187" s="44"/>
      <c r="I187" s="9"/>
    </row>
    <row r="188" spans="1:9" ht="24.75" customHeight="1">
      <c r="A188" s="110"/>
      <c r="B188" s="111"/>
      <c r="C188" s="104" t="s">
        <v>101</v>
      </c>
      <c r="D188" s="105"/>
      <c r="E188" s="30">
        <v>0</v>
      </c>
      <c r="F188" s="44"/>
      <c r="G188" s="44"/>
      <c r="H188" s="44"/>
      <c r="I188" s="9"/>
    </row>
    <row r="189" spans="1:9" ht="24.75" customHeight="1">
      <c r="A189" s="96" t="s">
        <v>109</v>
      </c>
      <c r="B189" s="152"/>
      <c r="C189" s="153"/>
      <c r="D189" s="154"/>
      <c r="E189" s="30">
        <f>C96</f>
        <v>0</v>
      </c>
      <c r="F189" s="44"/>
      <c r="G189" s="44"/>
      <c r="H189" s="44"/>
      <c r="I189" s="9"/>
    </row>
    <row r="190" spans="1:9">
      <c r="A190" s="145"/>
      <c r="B190" s="146"/>
      <c r="C190" s="147" t="s">
        <v>110</v>
      </c>
      <c r="D190" s="147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305" priority="51" operator="equal">
      <formula>0</formula>
    </cfRule>
  </conditionalFormatting>
  <conditionalFormatting sqref="C47:C55 C85 C95:C96 E144 E155:E162">
    <cfRule type="cellIs" dxfId="304" priority="50" operator="greaterThan">
      <formula>0</formula>
    </cfRule>
  </conditionalFormatting>
  <conditionalFormatting sqref="C57:C66">
    <cfRule type="cellIs" dxfId="303" priority="49" operator="equal">
      <formula>0</formula>
    </cfRule>
  </conditionalFormatting>
  <conditionalFormatting sqref="C57:C66">
    <cfRule type="cellIs" dxfId="302" priority="48" operator="greaterThan">
      <formula>0</formula>
    </cfRule>
  </conditionalFormatting>
  <conditionalFormatting sqref="C68:C69">
    <cfRule type="cellIs" dxfId="301" priority="47" operator="equal">
      <formula>0</formula>
    </cfRule>
  </conditionalFormatting>
  <conditionalFormatting sqref="C68:C69">
    <cfRule type="cellIs" dxfId="300" priority="46" operator="greaterThan">
      <formula>0</formula>
    </cfRule>
  </conditionalFormatting>
  <conditionalFormatting sqref="C75">
    <cfRule type="cellIs" dxfId="299" priority="45" operator="equal">
      <formula>0</formula>
    </cfRule>
  </conditionalFormatting>
  <conditionalFormatting sqref="C75">
    <cfRule type="cellIs" dxfId="298" priority="44" operator="greaterThan">
      <formula>0</formula>
    </cfRule>
  </conditionalFormatting>
  <conditionalFormatting sqref="C77">
    <cfRule type="cellIs" dxfId="297" priority="43" operator="equal">
      <formula>0</formula>
    </cfRule>
  </conditionalFormatting>
  <conditionalFormatting sqref="C77">
    <cfRule type="cellIs" dxfId="296" priority="42" operator="greaterThan">
      <formula>0</formula>
    </cfRule>
  </conditionalFormatting>
  <conditionalFormatting sqref="C87:C89">
    <cfRule type="cellIs" dxfId="295" priority="41" operator="equal">
      <formula>0</formula>
    </cfRule>
  </conditionalFormatting>
  <conditionalFormatting sqref="C87:C89">
    <cfRule type="cellIs" dxfId="294" priority="40" operator="greaterThan">
      <formula>0</formula>
    </cfRule>
  </conditionalFormatting>
  <conditionalFormatting sqref="E117 E128:E135">
    <cfRule type="cellIs" dxfId="293" priority="39" operator="equal">
      <formula>0</formula>
    </cfRule>
  </conditionalFormatting>
  <conditionalFormatting sqref="E117 E128:E135">
    <cfRule type="cellIs" dxfId="292" priority="38" operator="greaterThan">
      <formula>0</formula>
    </cfRule>
  </conditionalFormatting>
  <conditionalFormatting sqref="E136">
    <cfRule type="cellIs" dxfId="291" priority="37" operator="greaterThanOrEqual">
      <formula>0</formula>
    </cfRule>
  </conditionalFormatting>
  <conditionalFormatting sqref="E136">
    <cfRule type="cellIs" dxfId="290" priority="36" operator="lessThan">
      <formula>0</formula>
    </cfRule>
  </conditionalFormatting>
  <conditionalFormatting sqref="C70:C74">
    <cfRule type="cellIs" dxfId="289" priority="35" operator="equal">
      <formula>0</formula>
    </cfRule>
  </conditionalFormatting>
  <conditionalFormatting sqref="C70:C74">
    <cfRule type="cellIs" dxfId="288" priority="34" operator="greaterThan">
      <formula>0</formula>
    </cfRule>
  </conditionalFormatting>
  <conditionalFormatting sqref="C80:C84">
    <cfRule type="cellIs" dxfId="287" priority="33" operator="equal">
      <formula>0</formula>
    </cfRule>
  </conditionalFormatting>
  <conditionalFormatting sqref="C80:C84">
    <cfRule type="cellIs" dxfId="286" priority="32" operator="greaterThan">
      <formula>0</formula>
    </cfRule>
  </conditionalFormatting>
  <conditionalFormatting sqref="C92:C94">
    <cfRule type="cellIs" dxfId="285" priority="31" operator="equal">
      <formula>0</formula>
    </cfRule>
  </conditionalFormatting>
  <conditionalFormatting sqref="C92:C94">
    <cfRule type="cellIs" dxfId="284" priority="30" operator="greaterThan">
      <formula>0</formula>
    </cfRule>
  </conditionalFormatting>
  <conditionalFormatting sqref="C108:C109">
    <cfRule type="cellIs" dxfId="283" priority="29" operator="equal">
      <formula>0</formula>
    </cfRule>
  </conditionalFormatting>
  <conditionalFormatting sqref="C108:C109">
    <cfRule type="cellIs" dxfId="282" priority="28" operator="greaterThan">
      <formula>0</formula>
    </cfRule>
  </conditionalFormatting>
  <conditionalFormatting sqref="E144 E155:E162">
    <cfRule type="cellIs" dxfId="281" priority="27" operator="equal">
      <formula>0</formula>
    </cfRule>
  </conditionalFormatting>
  <conditionalFormatting sqref="E163">
    <cfRule type="cellIs" dxfId="280" priority="26" operator="greaterThanOrEqual">
      <formula>0</formula>
    </cfRule>
  </conditionalFormatting>
  <conditionalFormatting sqref="E163">
    <cfRule type="cellIs" dxfId="279" priority="25" operator="lessThan">
      <formula>0</formula>
    </cfRule>
  </conditionalFormatting>
  <conditionalFormatting sqref="E143">
    <cfRule type="cellIs" dxfId="278" priority="24" operator="greaterThanOrEqual">
      <formula>0</formula>
    </cfRule>
  </conditionalFormatting>
  <conditionalFormatting sqref="E143">
    <cfRule type="cellIs" dxfId="277" priority="23" operator="lessThan">
      <formula>0</formula>
    </cfRule>
  </conditionalFormatting>
  <conditionalFormatting sqref="E171 E182:E189">
    <cfRule type="cellIs" dxfId="276" priority="22" operator="equal">
      <formula>0</formula>
    </cfRule>
  </conditionalFormatting>
  <conditionalFormatting sqref="E171 E182:E189">
    <cfRule type="cellIs" dxfId="275" priority="21" operator="greaterThan">
      <formula>0</formula>
    </cfRule>
  </conditionalFormatting>
  <conditionalFormatting sqref="E190">
    <cfRule type="cellIs" dxfId="274" priority="20" operator="greaterThanOrEqual">
      <formula>0</formula>
    </cfRule>
  </conditionalFormatting>
  <conditionalFormatting sqref="E190">
    <cfRule type="cellIs" dxfId="273" priority="19" operator="lessThan">
      <formula>0</formula>
    </cfRule>
  </conditionalFormatting>
  <conditionalFormatting sqref="E170">
    <cfRule type="cellIs" dxfId="272" priority="18" operator="greaterThanOrEqual">
      <formula>0</formula>
    </cfRule>
  </conditionalFormatting>
  <conditionalFormatting sqref="E170">
    <cfRule type="cellIs" dxfId="271" priority="17" operator="lessThan">
      <formula>0</formula>
    </cfRule>
  </conditionalFormatting>
  <conditionalFormatting sqref="C5">
    <cfRule type="cellIs" dxfId="270" priority="16" operator="equal">
      <formula>0</formula>
    </cfRule>
  </conditionalFormatting>
  <conditionalFormatting sqref="C5">
    <cfRule type="cellIs" dxfId="269" priority="15" operator="greaterThan">
      <formula>0</formula>
    </cfRule>
  </conditionalFormatting>
  <conditionalFormatting sqref="C98:C107">
    <cfRule type="cellIs" dxfId="268" priority="14" operator="lessThan">
      <formula>0</formula>
    </cfRule>
  </conditionalFormatting>
  <conditionalFormatting sqref="C98:C107">
    <cfRule type="cellIs" dxfId="267" priority="13" operator="greaterThanOrEqual">
      <formula>0</formula>
    </cfRule>
  </conditionalFormatting>
  <conditionalFormatting sqref="E118:E127">
    <cfRule type="cellIs" dxfId="266" priority="12" operator="equal">
      <formula>0</formula>
    </cfRule>
  </conditionalFormatting>
  <conditionalFormatting sqref="E118:E127">
    <cfRule type="cellIs" dxfId="265" priority="11" operator="greaterThan">
      <formula>0</formula>
    </cfRule>
  </conditionalFormatting>
  <conditionalFormatting sqref="E145:E154">
    <cfRule type="cellIs" dxfId="264" priority="10" operator="equal">
      <formula>0</formula>
    </cfRule>
  </conditionalFormatting>
  <conditionalFormatting sqref="E145:E154">
    <cfRule type="cellIs" dxfId="263" priority="9" operator="greaterThan">
      <formula>0</formula>
    </cfRule>
  </conditionalFormatting>
  <conditionalFormatting sqref="E172:E181">
    <cfRule type="cellIs" dxfId="262" priority="8" operator="equal">
      <formula>0</formula>
    </cfRule>
  </conditionalFormatting>
  <conditionalFormatting sqref="E172:E181">
    <cfRule type="cellIs" dxfId="261" priority="7" operator="greaterThan">
      <formula>0</formula>
    </cfRule>
  </conditionalFormatting>
  <conditionalFormatting sqref="E116">
    <cfRule type="cellIs" dxfId="260" priority="6" operator="greaterThanOrEqual">
      <formula>0</formula>
    </cfRule>
  </conditionalFormatting>
  <conditionalFormatting sqref="E116">
    <cfRule type="cellIs" dxfId="259" priority="5" operator="lessThan">
      <formula>0</formula>
    </cfRule>
  </conditionalFormatting>
  <conditionalFormatting sqref="C78:C79">
    <cfRule type="cellIs" dxfId="258" priority="4" operator="equal">
      <formula>0</formula>
    </cfRule>
  </conditionalFormatting>
  <conditionalFormatting sqref="C78:C79">
    <cfRule type="cellIs" dxfId="257" priority="3" operator="greaterThan">
      <formula>0</formula>
    </cfRule>
  </conditionalFormatting>
  <conditionalFormatting sqref="C90:C91">
    <cfRule type="cellIs" dxfId="256" priority="2" operator="equal">
      <formula>0</formula>
    </cfRule>
  </conditionalFormatting>
  <conditionalFormatting sqref="C90:C91">
    <cfRule type="cellIs" dxfId="255" priority="1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5D1C-A1EA-4FDF-B055-77B4FFDAC151}">
  <dimension ref="A1:I193"/>
  <sheetViews>
    <sheetView topLeftCell="A9" workbookViewId="0">
      <selection activeCell="I33" sqref="I33"/>
    </sheetView>
  </sheetViews>
  <sheetFormatPr defaultRowHeight="15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spans="1:9" ht="24.75" customHeight="1">
      <c r="A1" s="177" t="str">
        <f>"Forecasts For the Year " &amp; IF(Main!B2,TEXT(EDATE(Main!B3,33),"mmmm yyyy"),TEXT(Main!B3+((Main!B5-Main!B3)*33+33),"mmmm yyyy")) &amp; " to " &amp; IF(Main!B2,TEXT(EDATE(Main!B3,36)-1,"mmmm yyyy"),TEXT(Main!B3+((Main!B5-Main!B3)*36+35),"mmmm yyyy"))</f>
        <v>Forecasts For the Year January 2028 to April 2028</v>
      </c>
      <c r="B1" s="177"/>
      <c r="C1" s="177"/>
      <c r="D1" s="177"/>
      <c r="E1" s="177"/>
      <c r="F1" s="177"/>
      <c r="G1" s="177"/>
      <c r="H1" s="47"/>
      <c r="I1" s="47"/>
    </row>
    <row r="2" spans="1:9" ht="24.75" customHeight="1">
      <c r="A2" s="159" t="s">
        <v>31</v>
      </c>
      <c r="B2" s="48" t="s">
        <v>112</v>
      </c>
      <c r="C2" s="161" cm="1">
        <f t="array" aca="1" ref="C2" ca="1">INDIRECT("'" &amp; Main!B9 &amp; "'!$C$15")</f>
        <v>0</v>
      </c>
      <c r="D2" s="161"/>
      <c r="E2" s="161"/>
      <c r="F2" s="161"/>
      <c r="G2" s="161"/>
      <c r="H2" s="47"/>
      <c r="I2" s="47"/>
    </row>
    <row r="3" spans="1:9" ht="24.75" customHeight="1">
      <c r="A3" s="160"/>
      <c r="B3" s="41" t="s">
        <v>113</v>
      </c>
      <c r="C3" s="162">
        <f>E190</f>
        <v>0</v>
      </c>
      <c r="D3" s="162"/>
      <c r="E3" s="162"/>
      <c r="F3" s="162"/>
      <c r="G3" s="162"/>
      <c r="H3" s="47"/>
      <c r="I3" s="47"/>
    </row>
    <row r="4" spans="1:9" ht="24.75" customHeight="1">
      <c r="A4" s="174" t="s">
        <v>45</v>
      </c>
      <c r="B4" s="175"/>
      <c r="C4" s="163">
        <f ca="1">SUM(C2:G3)</f>
        <v>0</v>
      </c>
      <c r="D4" s="163"/>
      <c r="E4" s="163"/>
      <c r="F4" s="163"/>
      <c r="G4" s="163"/>
      <c r="H4" s="44"/>
      <c r="I4" s="9"/>
    </row>
    <row r="5" spans="1:9" ht="24.75" customHeight="1">
      <c r="A5" s="176" t="s">
        <v>114</v>
      </c>
      <c r="B5" s="176"/>
      <c r="C5" s="164">
        <f>C108</f>
        <v>0</v>
      </c>
      <c r="D5" s="165"/>
      <c r="E5" s="165"/>
      <c r="F5" s="165"/>
      <c r="G5" s="165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32" t="str">
        <f>IF(Main!B2,TEXT(EDATE(Main!B3,33),"dd mmmm yyyy"),TEXT(Main!B3+((Main!B5-Main!B3)*33+33),"dd mmmm yyyy")) &amp; " - " &amp; IF(Main!B2,TEXT(EDATE(Main!B3,34)-1,"dd mmmm yyyy"),TEXT(Main!B3+((Main!B5-Main!B3)*34+33),"dd mmmm yyyy")) &amp; " / " &amp; " (Revenue / Deferred Debts Or Expenses)"</f>
        <v>11 January 2028 - 10 February 2028 /  (Revenue / Deferred Debts Or Expenses)</v>
      </c>
      <c r="B8" s="133"/>
      <c r="C8" s="133"/>
      <c r="D8" s="133"/>
      <c r="E8" s="133"/>
      <c r="F8" s="133"/>
      <c r="G8" s="133"/>
      <c r="H8" s="44"/>
      <c r="I8" s="37"/>
    </row>
    <row r="9" spans="1:9" ht="24.75" customHeight="1">
      <c r="A9" s="81" t="s">
        <v>27</v>
      </c>
      <c r="B9" s="120" t="s">
        <v>46</v>
      </c>
      <c r="C9" s="120"/>
      <c r="D9" s="121" t="s">
        <v>47</v>
      </c>
      <c r="E9" s="121"/>
      <c r="F9" s="121" t="s">
        <v>48</v>
      </c>
      <c r="G9" s="121"/>
      <c r="H9" s="44"/>
      <c r="I9" s="9"/>
    </row>
    <row r="10" spans="1:9" ht="24.75" customHeight="1">
      <c r="A10" s="2" t="s">
        <v>115</v>
      </c>
      <c r="B10" s="122" t="s">
        <v>50</v>
      </c>
      <c r="C10" s="122"/>
      <c r="D10" s="122" t="s">
        <v>51</v>
      </c>
      <c r="E10" s="122"/>
      <c r="F10" s="123">
        <v>0</v>
      </c>
      <c r="G10" s="124"/>
      <c r="H10" s="44"/>
      <c r="I10" s="9"/>
    </row>
    <row r="11" spans="1:9" ht="24.75" customHeight="1">
      <c r="A11" s="2"/>
      <c r="B11" s="125" t="s">
        <v>40</v>
      </c>
      <c r="C11" s="126"/>
      <c r="D11" s="127"/>
      <c r="E11" s="128"/>
      <c r="F11" s="123">
        <v>0</v>
      </c>
      <c r="G11" s="124"/>
      <c r="H11" s="44"/>
      <c r="I11" s="9"/>
    </row>
    <row r="12" spans="1:9" ht="24.75" customHeight="1">
      <c r="A12" s="2"/>
      <c r="B12" s="125" t="s">
        <v>41</v>
      </c>
      <c r="C12" s="126"/>
      <c r="D12" s="127"/>
      <c r="E12" s="128"/>
      <c r="F12" s="123">
        <v>0</v>
      </c>
      <c r="G12" s="124"/>
      <c r="H12" s="44"/>
      <c r="I12" s="9"/>
    </row>
    <row r="13" spans="1:9" ht="24.75" customHeight="1">
      <c r="A13" s="2"/>
      <c r="B13" s="125" t="s">
        <v>42</v>
      </c>
      <c r="C13" s="126"/>
      <c r="D13" s="127"/>
      <c r="E13" s="128"/>
      <c r="F13" s="123">
        <v>0</v>
      </c>
      <c r="G13" s="124"/>
      <c r="H13" s="44"/>
      <c r="I13" s="9"/>
    </row>
    <row r="14" spans="1:9" ht="24.75" customHeight="1">
      <c r="A14" s="2"/>
      <c r="B14" s="125" t="s">
        <v>43</v>
      </c>
      <c r="C14" s="126"/>
      <c r="D14" s="127"/>
      <c r="E14" s="128"/>
      <c r="F14" s="123">
        <v>0</v>
      </c>
      <c r="G14" s="124"/>
      <c r="H14" s="44"/>
      <c r="I14" s="9"/>
    </row>
    <row r="15" spans="1:9" ht="24.75" customHeight="1">
      <c r="A15" s="2"/>
      <c r="B15" s="125" t="s">
        <v>44</v>
      </c>
      <c r="C15" s="126"/>
      <c r="D15" s="127"/>
      <c r="E15" s="128"/>
      <c r="F15" s="123">
        <v>0</v>
      </c>
      <c r="G15" s="124"/>
      <c r="H15" s="44"/>
      <c r="I15" s="9"/>
    </row>
    <row r="16" spans="1:9" ht="24.75" customHeight="1">
      <c r="A16" s="45"/>
      <c r="B16" s="166"/>
      <c r="C16" s="167"/>
      <c r="D16" s="116" t="s">
        <v>52</v>
      </c>
      <c r="E16" s="117"/>
      <c r="F16" s="118">
        <f>SUM(F10:G15)</f>
        <v>0</v>
      </c>
      <c r="G16" s="119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32" t="str">
        <f>IF(Main!B2,TEXT(EDATE(Main!B3,34),"dd mmmm yyyy"),TEXT(Main!B3+((Main!B5-Main!B3)*34+34),"dd mmmm yyyy")) &amp; " - " &amp; IF(Main!B2,TEXT(EDATE(Main!B3,35)-1,"dd mmmm yyyy"),TEXT(Main!B3+((Main!B5-Main!B3)*35+34),"dd mmmm yyyy")) &amp; " / " &amp; " (Revenue / Deferred Debts Or Expenses)"</f>
        <v>11 February 2028 - 10 March 2028 /  (Revenue / Deferred Debts Or Expenses)</v>
      </c>
      <c r="B20" s="133"/>
      <c r="C20" s="133"/>
      <c r="D20" s="133"/>
      <c r="E20" s="133"/>
      <c r="F20" s="133"/>
      <c r="G20" s="133"/>
      <c r="H20" s="44"/>
      <c r="I20" s="9"/>
    </row>
    <row r="21" spans="1:9" ht="24.75" customHeight="1">
      <c r="A21" s="81" t="s">
        <v>27</v>
      </c>
      <c r="B21" s="120" t="s">
        <v>46</v>
      </c>
      <c r="C21" s="120"/>
      <c r="D21" s="121" t="s">
        <v>47</v>
      </c>
      <c r="E21" s="121"/>
      <c r="F21" s="121" t="s">
        <v>48</v>
      </c>
      <c r="G21" s="121"/>
      <c r="H21" s="44"/>
      <c r="I21" s="9"/>
    </row>
    <row r="22" spans="1:9" ht="24.75" customHeight="1">
      <c r="A22" s="2" t="s">
        <v>116</v>
      </c>
      <c r="B22" s="122" t="s">
        <v>54</v>
      </c>
      <c r="C22" s="122"/>
      <c r="D22" s="122" t="s">
        <v>55</v>
      </c>
      <c r="E22" s="122"/>
      <c r="F22" s="123">
        <v>0</v>
      </c>
      <c r="G22" s="124"/>
      <c r="H22" s="44"/>
      <c r="I22" s="9"/>
    </row>
    <row r="23" spans="1:9" ht="24.75" customHeight="1">
      <c r="A23" s="2"/>
      <c r="B23" s="125" t="s">
        <v>40</v>
      </c>
      <c r="C23" s="126"/>
      <c r="D23" s="127"/>
      <c r="E23" s="128"/>
      <c r="F23" s="123">
        <v>0</v>
      </c>
      <c r="G23" s="124"/>
      <c r="H23" s="44"/>
      <c r="I23" s="9"/>
    </row>
    <row r="24" spans="1:9" ht="24.75" customHeight="1">
      <c r="A24" s="2"/>
      <c r="B24" s="125" t="s">
        <v>41</v>
      </c>
      <c r="C24" s="126"/>
      <c r="D24" s="127"/>
      <c r="E24" s="128"/>
      <c r="F24" s="123">
        <v>0</v>
      </c>
      <c r="G24" s="124"/>
      <c r="H24" s="44"/>
      <c r="I24" s="9"/>
    </row>
    <row r="25" spans="1:9" ht="24.75" customHeight="1">
      <c r="A25" s="2"/>
      <c r="B25" s="125" t="s">
        <v>42</v>
      </c>
      <c r="C25" s="126"/>
      <c r="D25" s="127"/>
      <c r="E25" s="128"/>
      <c r="F25" s="123">
        <v>0</v>
      </c>
      <c r="G25" s="124"/>
      <c r="H25" s="44"/>
      <c r="I25" s="9"/>
    </row>
    <row r="26" spans="1:9" ht="24.75" customHeight="1">
      <c r="A26" s="2"/>
      <c r="B26" s="125" t="s">
        <v>43</v>
      </c>
      <c r="C26" s="126"/>
      <c r="D26" s="127"/>
      <c r="E26" s="128"/>
      <c r="F26" s="123">
        <v>0</v>
      </c>
      <c r="G26" s="124"/>
      <c r="H26" s="44"/>
      <c r="I26" s="9"/>
    </row>
    <row r="27" spans="1:9" ht="24.75" customHeight="1">
      <c r="A27" s="2"/>
      <c r="B27" s="125" t="s">
        <v>44</v>
      </c>
      <c r="C27" s="126"/>
      <c r="D27" s="127"/>
      <c r="E27" s="128"/>
      <c r="F27" s="123">
        <v>0</v>
      </c>
      <c r="G27" s="124"/>
      <c r="H27" s="44"/>
      <c r="I27" s="9"/>
    </row>
    <row r="28" spans="1:9" ht="24.75" customHeight="1">
      <c r="A28" s="45"/>
      <c r="B28" s="166"/>
      <c r="C28" s="167"/>
      <c r="D28" s="116" t="s">
        <v>52</v>
      </c>
      <c r="E28" s="117"/>
      <c r="F28" s="118">
        <f>SUM(F22:G27)</f>
        <v>0</v>
      </c>
      <c r="G28" s="119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32" t="str">
        <f>IF(Main!B2,TEXT(EDATE(Main!B3,35),"dd mmmm yyyy"),TEXT(Main!B3+((Main!B5-Main!B3)*35+35),"dd mmmm yyyy")) &amp; " - " &amp; IF(Main!B2,TEXT(EDATE(Main!B3,36)-1,"dd mmmm yyyy"),TEXT(Main!B3+((Main!B5-Main!B3)*36+35),"dd mmmm yyyy")) &amp; " / " &amp; " (Revenue / Deferred Debts Or Expenses)"</f>
        <v>11 March 2028 - 10 April 2028 /  (Revenue / Deferred Debts Or Expenses)</v>
      </c>
      <c r="B32" s="133"/>
      <c r="C32" s="133"/>
      <c r="D32" s="133"/>
      <c r="E32" s="133"/>
      <c r="F32" s="133"/>
      <c r="G32" s="133"/>
      <c r="H32" s="44"/>
      <c r="I32" s="9"/>
    </row>
    <row r="33" spans="1:9" ht="24.75" customHeight="1">
      <c r="A33" s="81" t="s">
        <v>27</v>
      </c>
      <c r="B33" s="120" t="s">
        <v>46</v>
      </c>
      <c r="C33" s="120"/>
      <c r="D33" s="121" t="s">
        <v>47</v>
      </c>
      <c r="E33" s="121"/>
      <c r="F33" s="121" t="s">
        <v>48</v>
      </c>
      <c r="G33" s="121"/>
      <c r="H33" s="44"/>
      <c r="I33" s="9"/>
    </row>
    <row r="34" spans="1:9" ht="24.75" customHeight="1">
      <c r="A34" s="2" t="s">
        <v>117</v>
      </c>
      <c r="B34" s="122" t="s">
        <v>54</v>
      </c>
      <c r="C34" s="122"/>
      <c r="D34" s="122" t="s">
        <v>55</v>
      </c>
      <c r="E34" s="122"/>
      <c r="F34" s="123">
        <v>0</v>
      </c>
      <c r="G34" s="124"/>
      <c r="H34" s="44"/>
      <c r="I34" s="9"/>
    </row>
    <row r="35" spans="1:9" ht="24.75" customHeight="1">
      <c r="A35" s="2"/>
      <c r="B35" s="125" t="s">
        <v>40</v>
      </c>
      <c r="C35" s="126"/>
      <c r="D35" s="127"/>
      <c r="E35" s="128"/>
      <c r="F35" s="123">
        <v>0</v>
      </c>
      <c r="G35" s="124"/>
      <c r="H35" s="44"/>
      <c r="I35" s="9"/>
    </row>
    <row r="36" spans="1:9" ht="24.75" customHeight="1">
      <c r="A36" s="2"/>
      <c r="B36" s="125" t="s">
        <v>41</v>
      </c>
      <c r="C36" s="126"/>
      <c r="D36" s="127"/>
      <c r="E36" s="128"/>
      <c r="F36" s="123">
        <v>0</v>
      </c>
      <c r="G36" s="124"/>
      <c r="H36" s="44"/>
      <c r="I36" s="37"/>
    </row>
    <row r="37" spans="1:9" ht="24.75" customHeight="1">
      <c r="A37" s="2"/>
      <c r="B37" s="125" t="s">
        <v>42</v>
      </c>
      <c r="C37" s="126"/>
      <c r="D37" s="127"/>
      <c r="E37" s="128"/>
      <c r="F37" s="123">
        <v>0</v>
      </c>
      <c r="G37" s="124"/>
      <c r="H37" s="44"/>
      <c r="I37" s="9"/>
    </row>
    <row r="38" spans="1:9" ht="24.75" customHeight="1">
      <c r="A38" s="2"/>
      <c r="B38" s="125" t="s">
        <v>43</v>
      </c>
      <c r="C38" s="126"/>
      <c r="D38" s="127"/>
      <c r="E38" s="128"/>
      <c r="F38" s="123">
        <v>0</v>
      </c>
      <c r="G38" s="124"/>
      <c r="H38" s="44"/>
      <c r="I38" s="9"/>
    </row>
    <row r="39" spans="1:9" ht="24.75" customHeight="1">
      <c r="A39" s="2"/>
      <c r="B39" s="125" t="s">
        <v>44</v>
      </c>
      <c r="C39" s="126"/>
      <c r="D39" s="127"/>
      <c r="E39" s="128"/>
      <c r="F39" s="123">
        <v>0</v>
      </c>
      <c r="G39" s="124"/>
      <c r="H39" s="44"/>
      <c r="I39" s="9"/>
    </row>
    <row r="40" spans="1:9" ht="24.75" customHeight="1">
      <c r="A40" s="45"/>
      <c r="B40" s="166"/>
      <c r="C40" s="167"/>
      <c r="D40" s="116" t="s">
        <v>52</v>
      </c>
      <c r="E40" s="117"/>
      <c r="F40" s="118">
        <f>SUM(F34:G39)</f>
        <v>0</v>
      </c>
      <c r="G40" s="119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IF(Main!B2,TEXT(EDATE(Main!B3,33),"mmmm yyyy"),TEXT(Main!B3+((Main!B5-Main!B3)*33+33),"mmmm yyyy")) &amp; " to " &amp; IF(Main!B2,TEXT(EDATE(Main!B3,36)-1,"mmmm yyyy"),TEXT(Main!B3+((Main!B5-Main!B3)*36+35),"mmmm yyyy"))</f>
        <v>Fixed Expense For the Year January 2028 to April 2028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2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71" t="s">
        <v>57</v>
      </c>
      <c r="B46" s="172"/>
      <c r="C46" s="173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71" t="s">
        <v>62</v>
      </c>
      <c r="B56" s="172"/>
      <c r="C56" s="173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71" t="s">
        <v>67</v>
      </c>
      <c r="B67" s="172"/>
      <c r="C67" s="173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71" t="s">
        <v>72</v>
      </c>
      <c r="B76" s="172"/>
      <c r="C76" s="173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71" t="s">
        <v>77</v>
      </c>
      <c r="B86" s="172"/>
      <c r="C86" s="173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71" t="s">
        <v>86</v>
      </c>
      <c r="B97" s="172"/>
      <c r="C97" s="173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(Forecast_11!C98)+SUM(E118+E145+E172)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(Forecast_11!C99)+SUM(E119+E146+E173)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(Forecast_11!C100)+SUM(E120+E147+E174)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(Forecast_11!C101)+SUM(E121+E148+E175)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(Forecast_11!C102)+SUM(E122+E149+E176)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(Forecast_11!C103)+SUM(E123+E150+E177)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(Forecast_11!C104)+SUM(E124+E151+E178)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(Forecast_11!C105)+SUM(E125+E152+E179)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(Forecast_11!C106)+SUM(E126+E153+E180)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(Forecast_11!C107)+SUM(E127+E154+E181)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99" t="str">
        <f>"Debts Or Credits For the Comming " &amp; IF(Main!B2,TEXT(EDATE(Main!B3,33),"mmmm dd yyyy"),TEXT(Main!B3+((Main!B5-Main!B3)*33+33),"mmmm dd yyyy")) &amp; " to " &amp; IF(Main!B2,TEXT(EDATE(Main!B3,34)-1,"mmmm dd yyyy"),TEXT(Main!B3+((Main!B5-Main!B3)*34+33),"mmmm dd yyyy"))</f>
        <v>Debts Or Credits For the Comming January 11 2028 to February 10 2028</v>
      </c>
      <c r="B114" s="100"/>
      <c r="C114" s="100"/>
      <c r="D114" s="100"/>
      <c r="E114" s="101"/>
      <c r="F114" s="44"/>
      <c r="G114" s="44"/>
      <c r="H114" s="44"/>
      <c r="I114" s="9"/>
    </row>
    <row r="115" spans="1:9" ht="24.75" customHeight="1">
      <c r="A115" s="99" t="s">
        <v>94</v>
      </c>
      <c r="B115" s="101"/>
      <c r="C115" s="99" t="s">
        <v>47</v>
      </c>
      <c r="D115" s="101"/>
      <c r="E115" s="29" t="s">
        <v>48</v>
      </c>
      <c r="F115" s="44"/>
      <c r="G115" s="44"/>
      <c r="H115" s="44"/>
      <c r="I115" s="9"/>
    </row>
    <row r="116" spans="1:9" ht="24.75" customHeight="1">
      <c r="A116" s="96" t="str">
        <f>"Balance Brought Forward From " &amp; IF(Main!B2,TEXT(EDATE(Main!B3,33)-1,"mmmm yyyy"),TEXT(Main!B3+((Main!B5-Main!B3)*33+32),"mmmm yyyy"))</f>
        <v>Balance Brought Forward From January 2028</v>
      </c>
      <c r="B116" s="97"/>
      <c r="C116" s="158"/>
      <c r="D116" s="158"/>
      <c r="E116" s="51">
        <f>Forecast_11!E190</f>
        <v>0</v>
      </c>
      <c r="F116" s="44"/>
      <c r="G116" s="44"/>
      <c r="H116" s="44"/>
      <c r="I116" s="9"/>
    </row>
    <row r="117" spans="1:9" ht="24.75" customHeight="1">
      <c r="A117" s="106" t="s">
        <v>95</v>
      </c>
      <c r="B117" s="107"/>
      <c r="C117" s="157" t="s">
        <v>96</v>
      </c>
      <c r="D117" s="149"/>
      <c r="E117" s="42"/>
      <c r="F117" s="44"/>
      <c r="G117" s="44"/>
      <c r="H117" s="44"/>
      <c r="I117" s="9"/>
    </row>
    <row r="118" spans="1:9" ht="24.75" customHeight="1">
      <c r="A118" s="108"/>
      <c r="B118" s="109"/>
      <c r="C118" s="104" t="s">
        <v>97</v>
      </c>
      <c r="D118" s="105"/>
      <c r="E118" s="28">
        <v>0</v>
      </c>
      <c r="F118" s="44"/>
      <c r="G118" s="44"/>
      <c r="H118" s="44"/>
      <c r="I118" s="9"/>
    </row>
    <row r="119" spans="1:9" ht="24.75" customHeight="1">
      <c r="A119" s="108"/>
      <c r="B119" s="109"/>
      <c r="C119" s="104" t="s">
        <v>98</v>
      </c>
      <c r="D119" s="105"/>
      <c r="E119" s="28">
        <v>0</v>
      </c>
      <c r="F119" s="44"/>
      <c r="G119" s="44"/>
      <c r="H119" s="44"/>
      <c r="I119" s="9"/>
    </row>
    <row r="120" spans="1:9" ht="24.75" customHeight="1">
      <c r="A120" s="108"/>
      <c r="B120" s="109"/>
      <c r="C120" s="104" t="s">
        <v>99</v>
      </c>
      <c r="D120" s="105"/>
      <c r="E120" s="28">
        <v>0</v>
      </c>
      <c r="F120" s="44"/>
      <c r="G120" s="44"/>
      <c r="H120" s="44"/>
      <c r="I120" s="9"/>
    </row>
    <row r="121" spans="1:9" ht="24.75" customHeight="1">
      <c r="A121" s="108"/>
      <c r="B121" s="109"/>
      <c r="C121" s="104" t="s">
        <v>100</v>
      </c>
      <c r="D121" s="105"/>
      <c r="E121" s="28">
        <v>0</v>
      </c>
      <c r="F121" s="44"/>
      <c r="G121" s="44"/>
      <c r="H121" s="44"/>
      <c r="I121" s="9"/>
    </row>
    <row r="122" spans="1:9" ht="24.75" customHeight="1">
      <c r="A122" s="108"/>
      <c r="B122" s="109"/>
      <c r="C122" s="104" t="s">
        <v>101</v>
      </c>
      <c r="D122" s="105"/>
      <c r="E122" s="28">
        <v>0</v>
      </c>
      <c r="F122" s="44"/>
      <c r="G122" s="44"/>
      <c r="H122" s="44"/>
      <c r="I122" s="9"/>
    </row>
    <row r="123" spans="1:9" ht="24.75" customHeight="1">
      <c r="A123" s="108"/>
      <c r="B123" s="109"/>
      <c r="C123" s="104" t="s">
        <v>102</v>
      </c>
      <c r="D123" s="105"/>
      <c r="E123" s="28">
        <v>0</v>
      </c>
      <c r="F123" s="44"/>
      <c r="G123" s="44"/>
      <c r="H123" s="44"/>
      <c r="I123" s="9"/>
    </row>
    <row r="124" spans="1:9" ht="24.75" customHeight="1">
      <c r="A124" s="108"/>
      <c r="B124" s="109"/>
      <c r="C124" s="104" t="s">
        <v>103</v>
      </c>
      <c r="D124" s="105"/>
      <c r="E124" s="28">
        <v>0</v>
      </c>
      <c r="F124" s="44"/>
      <c r="G124" s="44"/>
      <c r="H124" s="44"/>
      <c r="I124" s="9"/>
    </row>
    <row r="125" spans="1:9" ht="24.75" customHeight="1">
      <c r="A125" s="108"/>
      <c r="B125" s="109"/>
      <c r="C125" s="104" t="s">
        <v>104</v>
      </c>
      <c r="D125" s="105"/>
      <c r="E125" s="28">
        <v>0</v>
      </c>
      <c r="F125" s="44"/>
      <c r="G125" s="44"/>
      <c r="H125" s="44"/>
      <c r="I125" s="9"/>
    </row>
    <row r="126" spans="1:9" ht="24.75" customHeight="1">
      <c r="A126" s="108"/>
      <c r="B126" s="109"/>
      <c r="C126" s="104" t="s">
        <v>105</v>
      </c>
      <c r="D126" s="105"/>
      <c r="E126" s="28">
        <v>0</v>
      </c>
      <c r="F126" s="44"/>
      <c r="G126" s="44"/>
      <c r="H126" s="44"/>
      <c r="I126" s="9"/>
    </row>
    <row r="127" spans="1:9" ht="24.75" customHeight="1">
      <c r="A127" s="108"/>
      <c r="B127" s="109"/>
      <c r="C127" s="104" t="s">
        <v>106</v>
      </c>
      <c r="D127" s="105"/>
      <c r="E127" s="28">
        <v>0</v>
      </c>
      <c r="F127" s="44"/>
      <c r="G127" s="44"/>
      <c r="H127" s="44"/>
      <c r="I127" s="9"/>
    </row>
    <row r="128" spans="1:9" ht="24.75" customHeight="1">
      <c r="A128" s="108"/>
      <c r="B128" s="109"/>
      <c r="C128" s="148" t="s">
        <v>107</v>
      </c>
      <c r="D128" s="149"/>
      <c r="E128" s="42"/>
      <c r="F128" s="44"/>
      <c r="G128" s="44"/>
      <c r="H128" s="44"/>
      <c r="I128" s="9"/>
    </row>
    <row r="129" spans="1:9" ht="24.75" customHeight="1">
      <c r="A129" s="108"/>
      <c r="B129" s="109"/>
      <c r="C129" s="150" t="s">
        <v>108</v>
      </c>
      <c r="D129" s="151"/>
      <c r="E129" s="30">
        <v>0</v>
      </c>
      <c r="F129" s="44"/>
      <c r="G129" s="44"/>
      <c r="H129" s="44"/>
      <c r="I129" s="9"/>
    </row>
    <row r="130" spans="1:9" ht="24.75" customHeight="1">
      <c r="A130" s="108"/>
      <c r="B130" s="109"/>
      <c r="C130" s="104" t="s">
        <v>97</v>
      </c>
      <c r="D130" s="105"/>
      <c r="E130" s="30">
        <v>0</v>
      </c>
      <c r="F130" s="44"/>
      <c r="G130" s="44"/>
      <c r="H130" s="44"/>
      <c r="I130" s="9"/>
    </row>
    <row r="131" spans="1:9" ht="24.75" customHeight="1">
      <c r="A131" s="108"/>
      <c r="B131" s="109"/>
      <c r="C131" s="104" t="s">
        <v>98</v>
      </c>
      <c r="D131" s="105"/>
      <c r="E131" s="30">
        <v>0</v>
      </c>
      <c r="F131" s="44"/>
      <c r="G131" s="44"/>
      <c r="H131" s="44"/>
      <c r="I131" s="9"/>
    </row>
    <row r="132" spans="1:9" ht="24.75" customHeight="1">
      <c r="A132" s="108"/>
      <c r="B132" s="109"/>
      <c r="C132" s="104" t="s">
        <v>99</v>
      </c>
      <c r="D132" s="105"/>
      <c r="E132" s="30">
        <v>0</v>
      </c>
      <c r="F132" s="44"/>
      <c r="G132" s="44"/>
      <c r="H132" s="44"/>
      <c r="I132" s="9"/>
    </row>
    <row r="133" spans="1:9" ht="24.75" customHeight="1">
      <c r="A133" s="108"/>
      <c r="B133" s="109"/>
      <c r="C133" s="104" t="s">
        <v>100</v>
      </c>
      <c r="D133" s="105"/>
      <c r="E133" s="30">
        <v>0</v>
      </c>
      <c r="F133" s="44"/>
      <c r="G133" s="44"/>
      <c r="H133" s="44"/>
      <c r="I133" s="9"/>
    </row>
    <row r="134" spans="1:9" ht="24.75" customHeight="1">
      <c r="A134" s="110"/>
      <c r="B134" s="111"/>
      <c r="C134" s="104" t="s">
        <v>101</v>
      </c>
      <c r="D134" s="105"/>
      <c r="E134" s="30">
        <v>0</v>
      </c>
      <c r="F134" s="44"/>
      <c r="G134" s="44"/>
      <c r="H134" s="44"/>
      <c r="I134" s="9"/>
    </row>
    <row r="135" spans="1:9" ht="24.75" customHeight="1">
      <c r="A135" s="96" t="s">
        <v>109</v>
      </c>
      <c r="B135" s="152"/>
      <c r="C135" s="153"/>
      <c r="D135" s="154"/>
      <c r="E135" s="30">
        <f>C96</f>
        <v>0</v>
      </c>
      <c r="F135" s="44"/>
      <c r="G135" s="44"/>
      <c r="H135" s="44"/>
      <c r="I135" s="9"/>
    </row>
    <row r="136" spans="1:9" ht="24.75" customHeight="1">
      <c r="A136" s="145"/>
      <c r="B136" s="146"/>
      <c r="C136" s="147" t="s">
        <v>110</v>
      </c>
      <c r="D136" s="147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99" t="str">
        <f>"Debts Or Credits For the Comming " &amp; IF(Main!B2,TEXT(EDATE(Main!B3,34),"mmmm dd yyyy"),TEXT(Main!B3+((Main!B5-Main!B3)*34+34),"dd mmmm yyyy")) &amp; " to " &amp;  IF(Main!B2,TEXT(EDATE(Main!B3,35)-1,"mmmm dd yyyy"),TEXT(Main!B3+((Main!B5-Main!B3)*35+34),"mmmm dd yyyy"))</f>
        <v>Debts Or Credits For the Comming February 11 2028 to March 10 2028</v>
      </c>
      <c r="B141" s="100"/>
      <c r="C141" s="100"/>
      <c r="D141" s="100"/>
      <c r="E141" s="101"/>
      <c r="F141" s="44"/>
      <c r="G141" s="44"/>
      <c r="H141" s="44"/>
      <c r="I141" s="9"/>
    </row>
    <row r="142" spans="1:9" ht="24.75" customHeight="1">
      <c r="A142" s="99" t="s">
        <v>94</v>
      </c>
      <c r="B142" s="101"/>
      <c r="C142" s="102" t="s">
        <v>47</v>
      </c>
      <c r="D142" s="103"/>
      <c r="E142" s="39" t="s">
        <v>48</v>
      </c>
      <c r="F142" s="44"/>
      <c r="G142" s="44"/>
      <c r="H142" s="44"/>
      <c r="I142" s="9"/>
    </row>
    <row r="143" spans="1:9" ht="24.75" customHeight="1">
      <c r="A143" s="96" t="str">
        <f>"Balance Brought Forward From " &amp; IF(Main!B2,TEXT(EDATE(Main!B3,34)-1,"mmmm yyyy"),TEXT(Main!B3+((Main!B5-Main!B3)*34+33),"mmmm yyyy"))</f>
        <v>Balance Brought Forward From February 2028</v>
      </c>
      <c r="B143" s="97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06" t="s">
        <v>95</v>
      </c>
      <c r="B144" s="107"/>
      <c r="C144" s="112" t="s">
        <v>96</v>
      </c>
      <c r="D144" s="113"/>
      <c r="E144" s="43"/>
      <c r="F144" s="44"/>
      <c r="G144" s="44"/>
      <c r="H144" s="44"/>
      <c r="I144" s="9"/>
    </row>
    <row r="145" spans="1:9" ht="24.75" customHeight="1">
      <c r="A145" s="108"/>
      <c r="B145" s="109"/>
      <c r="C145" s="104" t="s">
        <v>97</v>
      </c>
      <c r="D145" s="105"/>
      <c r="E145" s="28">
        <v>0</v>
      </c>
      <c r="F145" s="44"/>
      <c r="G145" s="44"/>
      <c r="H145" s="44"/>
      <c r="I145" s="9"/>
    </row>
    <row r="146" spans="1:9" ht="24.75" customHeight="1">
      <c r="A146" s="108"/>
      <c r="B146" s="109"/>
      <c r="C146" s="104" t="s">
        <v>98</v>
      </c>
      <c r="D146" s="105"/>
      <c r="E146" s="28">
        <v>0</v>
      </c>
      <c r="F146" s="44"/>
      <c r="G146" s="44"/>
      <c r="H146" s="44"/>
      <c r="I146" s="9"/>
    </row>
    <row r="147" spans="1:9" ht="24.75" customHeight="1">
      <c r="A147" s="108"/>
      <c r="B147" s="109"/>
      <c r="C147" s="104" t="s">
        <v>99</v>
      </c>
      <c r="D147" s="105"/>
      <c r="E147" s="28">
        <v>0</v>
      </c>
      <c r="F147" s="44"/>
      <c r="G147" s="44"/>
      <c r="H147" s="44"/>
      <c r="I147" s="9"/>
    </row>
    <row r="148" spans="1:9" ht="24.75" customHeight="1">
      <c r="A148" s="108"/>
      <c r="B148" s="109"/>
      <c r="C148" s="104" t="s">
        <v>100</v>
      </c>
      <c r="D148" s="105"/>
      <c r="E148" s="28">
        <v>0</v>
      </c>
      <c r="F148" s="44"/>
      <c r="G148" s="44"/>
      <c r="H148" s="44"/>
      <c r="I148" s="9"/>
    </row>
    <row r="149" spans="1:9" ht="24.75" customHeight="1">
      <c r="A149" s="108"/>
      <c r="B149" s="109"/>
      <c r="C149" s="104" t="s">
        <v>101</v>
      </c>
      <c r="D149" s="105"/>
      <c r="E149" s="28">
        <v>0</v>
      </c>
      <c r="F149" s="44"/>
      <c r="G149" s="44"/>
      <c r="H149" s="44"/>
      <c r="I149" s="9"/>
    </row>
    <row r="150" spans="1:9" ht="24.75" customHeight="1">
      <c r="A150" s="108"/>
      <c r="B150" s="109"/>
      <c r="C150" s="104" t="s">
        <v>102</v>
      </c>
      <c r="D150" s="105"/>
      <c r="E150" s="28">
        <v>0</v>
      </c>
      <c r="F150" s="44"/>
      <c r="G150" s="44"/>
      <c r="H150" s="44"/>
      <c r="I150" s="9"/>
    </row>
    <row r="151" spans="1:9" ht="24.75" customHeight="1">
      <c r="A151" s="108"/>
      <c r="B151" s="109"/>
      <c r="C151" s="104" t="s">
        <v>103</v>
      </c>
      <c r="D151" s="105"/>
      <c r="E151" s="28">
        <v>0</v>
      </c>
      <c r="F151" s="44"/>
      <c r="G151" s="44"/>
      <c r="H151" s="44"/>
      <c r="I151" s="9"/>
    </row>
    <row r="152" spans="1:9" ht="24.75" customHeight="1">
      <c r="A152" s="108"/>
      <c r="B152" s="109"/>
      <c r="C152" s="104" t="s">
        <v>104</v>
      </c>
      <c r="D152" s="105"/>
      <c r="E152" s="28">
        <v>0</v>
      </c>
      <c r="F152" s="44"/>
      <c r="G152" s="44"/>
      <c r="H152" s="44"/>
      <c r="I152" s="9"/>
    </row>
    <row r="153" spans="1:9" ht="24.75" customHeight="1">
      <c r="A153" s="108"/>
      <c r="B153" s="109"/>
      <c r="C153" s="104" t="s">
        <v>105</v>
      </c>
      <c r="D153" s="105"/>
      <c r="E153" s="28">
        <v>0</v>
      </c>
      <c r="F153" s="44"/>
      <c r="G153" s="44"/>
      <c r="H153" s="44"/>
      <c r="I153" s="9"/>
    </row>
    <row r="154" spans="1:9" ht="24.75" customHeight="1">
      <c r="A154" s="108"/>
      <c r="B154" s="109"/>
      <c r="C154" s="104" t="s">
        <v>106</v>
      </c>
      <c r="D154" s="105"/>
      <c r="E154" s="28">
        <v>0</v>
      </c>
      <c r="F154" s="44"/>
      <c r="G154" s="44"/>
      <c r="H154" s="44"/>
      <c r="I154" s="9"/>
    </row>
    <row r="155" spans="1:9" ht="24.75" customHeight="1">
      <c r="A155" s="108"/>
      <c r="B155" s="109"/>
      <c r="C155" s="148" t="s">
        <v>107</v>
      </c>
      <c r="D155" s="149"/>
      <c r="E155" s="42"/>
      <c r="F155" s="44"/>
      <c r="G155" s="44"/>
      <c r="H155" s="44"/>
      <c r="I155" s="9"/>
    </row>
    <row r="156" spans="1:9" ht="24.75" customHeight="1">
      <c r="A156" s="108"/>
      <c r="B156" s="109"/>
      <c r="C156" s="150" t="s">
        <v>111</v>
      </c>
      <c r="D156" s="151"/>
      <c r="E156" s="30">
        <v>0</v>
      </c>
      <c r="F156" s="44"/>
      <c r="G156" s="44"/>
      <c r="H156" s="44"/>
      <c r="I156" s="9"/>
    </row>
    <row r="157" spans="1:9" ht="24.75" customHeight="1">
      <c r="A157" s="108"/>
      <c r="B157" s="109"/>
      <c r="C157" s="104" t="s">
        <v>97</v>
      </c>
      <c r="D157" s="105"/>
      <c r="E157" s="30">
        <v>0</v>
      </c>
      <c r="F157" s="44"/>
      <c r="G157" s="44"/>
      <c r="H157" s="44"/>
      <c r="I157" s="9"/>
    </row>
    <row r="158" spans="1:9" ht="24.75" customHeight="1">
      <c r="A158" s="108"/>
      <c r="B158" s="109"/>
      <c r="C158" s="104" t="s">
        <v>98</v>
      </c>
      <c r="D158" s="105"/>
      <c r="E158" s="30">
        <v>0</v>
      </c>
      <c r="F158" s="44"/>
      <c r="G158" s="44"/>
      <c r="H158" s="44"/>
      <c r="I158" s="9"/>
    </row>
    <row r="159" spans="1:9" ht="24.75" customHeight="1">
      <c r="A159" s="108"/>
      <c r="B159" s="109"/>
      <c r="C159" s="104" t="s">
        <v>99</v>
      </c>
      <c r="D159" s="105"/>
      <c r="E159" s="30">
        <v>0</v>
      </c>
      <c r="F159" s="44"/>
      <c r="G159" s="44"/>
      <c r="H159" s="44"/>
      <c r="I159" s="9"/>
    </row>
    <row r="160" spans="1:9" ht="24.75" customHeight="1">
      <c r="A160" s="108"/>
      <c r="B160" s="109"/>
      <c r="C160" s="104" t="s">
        <v>100</v>
      </c>
      <c r="D160" s="105"/>
      <c r="E160" s="30">
        <v>0</v>
      </c>
      <c r="F160" s="44"/>
      <c r="G160" s="44"/>
      <c r="H160" s="44"/>
      <c r="I160" s="9"/>
    </row>
    <row r="161" spans="1:9" ht="24.75" customHeight="1">
      <c r="A161" s="110"/>
      <c r="B161" s="111"/>
      <c r="C161" s="104" t="s">
        <v>101</v>
      </c>
      <c r="D161" s="105"/>
      <c r="E161" s="30">
        <v>0</v>
      </c>
      <c r="F161" s="44"/>
      <c r="G161" s="44"/>
      <c r="H161" s="44"/>
      <c r="I161" s="9"/>
    </row>
    <row r="162" spans="1:9" ht="24.75" customHeight="1">
      <c r="A162" s="96" t="s">
        <v>109</v>
      </c>
      <c r="B162" s="152"/>
      <c r="C162" s="153"/>
      <c r="D162" s="154"/>
      <c r="E162" s="30">
        <f>C96</f>
        <v>0</v>
      </c>
      <c r="F162" s="44"/>
      <c r="G162" s="44"/>
      <c r="H162" s="44"/>
      <c r="I162" s="9"/>
    </row>
    <row r="163" spans="1:9" ht="24.75" customHeight="1">
      <c r="A163" s="145"/>
      <c r="B163" s="146"/>
      <c r="C163" s="147" t="s">
        <v>110</v>
      </c>
      <c r="D163" s="147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99" t="str">
        <f>"Debts Or Credits For the Comming " &amp; IF(Main!B2,TEXT(EDATE(Main!B3,35),"mmmm dd yyyy"),TEXT(Main!B3+((Main!B5-Main!B3)*35+35),"mmmm dd yyyy")) &amp; " to " &amp; IF(Main!B2,TEXT(EDATE(Main!B3,36)-1,"mmmm dd yyyy"),TEXT(Main!B3+((Main!B5-Main!B3)*36+35),"mmmm dd yyyy"))</f>
        <v>Debts Or Credits For the Comming March 11 2028 to April 10 2028</v>
      </c>
      <c r="B168" s="100"/>
      <c r="C168" s="100"/>
      <c r="D168" s="100"/>
      <c r="E168" s="101"/>
      <c r="F168" s="44"/>
      <c r="G168" s="44"/>
      <c r="H168" s="44"/>
      <c r="I168" s="9"/>
    </row>
    <row r="169" spans="1:9" ht="24.75" customHeight="1">
      <c r="A169" s="99" t="s">
        <v>94</v>
      </c>
      <c r="B169" s="101"/>
      <c r="C169" s="102" t="s">
        <v>47</v>
      </c>
      <c r="D169" s="103"/>
      <c r="E169" s="39" t="s">
        <v>48</v>
      </c>
      <c r="F169" s="44"/>
      <c r="G169" s="44"/>
      <c r="H169" s="44"/>
      <c r="I169" s="9"/>
    </row>
    <row r="170" spans="1:9" ht="24.75" customHeight="1">
      <c r="A170" s="96" t="str">
        <f>"Balance Brought Forward From " &amp;  IF(Main!B2,TEXT(EDATE(Main!B3,35)-1,"mmmm yyyy"),TEXT(Main!B3+((Main!B5-Main!B3)*35+34),"mmmm yyyy"))</f>
        <v>Balance Brought Forward From March 2028</v>
      </c>
      <c r="B170" s="97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06" t="s">
        <v>95</v>
      </c>
      <c r="B171" s="107"/>
      <c r="C171" s="112" t="s">
        <v>96</v>
      </c>
      <c r="D171" s="113"/>
      <c r="E171" s="43"/>
      <c r="F171" s="44"/>
      <c r="G171" s="44"/>
      <c r="H171" s="44"/>
      <c r="I171" s="9"/>
    </row>
    <row r="172" spans="1:9" ht="24.75" customHeight="1">
      <c r="A172" s="108"/>
      <c r="B172" s="109"/>
      <c r="C172" s="104" t="s">
        <v>97</v>
      </c>
      <c r="D172" s="105"/>
      <c r="E172" s="28">
        <v>0</v>
      </c>
      <c r="F172" s="44"/>
      <c r="G172" s="44"/>
      <c r="H172" s="44"/>
      <c r="I172" s="9"/>
    </row>
    <row r="173" spans="1:9" ht="24.75" customHeight="1">
      <c r="A173" s="108"/>
      <c r="B173" s="109"/>
      <c r="C173" s="104" t="s">
        <v>98</v>
      </c>
      <c r="D173" s="105"/>
      <c r="E173" s="28">
        <v>0</v>
      </c>
      <c r="F173" s="44"/>
      <c r="G173" s="44"/>
      <c r="H173" s="44"/>
      <c r="I173" s="9"/>
    </row>
    <row r="174" spans="1:9" ht="24.75" customHeight="1">
      <c r="A174" s="108"/>
      <c r="B174" s="109"/>
      <c r="C174" s="104" t="s">
        <v>99</v>
      </c>
      <c r="D174" s="105"/>
      <c r="E174" s="28">
        <v>0</v>
      </c>
      <c r="F174" s="44"/>
      <c r="G174" s="44"/>
      <c r="H174" s="44"/>
      <c r="I174" s="9"/>
    </row>
    <row r="175" spans="1:9" ht="24.75" customHeight="1">
      <c r="A175" s="108"/>
      <c r="B175" s="109"/>
      <c r="C175" s="104" t="s">
        <v>100</v>
      </c>
      <c r="D175" s="105"/>
      <c r="E175" s="28">
        <v>0</v>
      </c>
      <c r="F175" s="44"/>
      <c r="G175" s="44"/>
      <c r="H175" s="44"/>
      <c r="I175" s="9"/>
    </row>
    <row r="176" spans="1:9" ht="24.75" customHeight="1">
      <c r="A176" s="108"/>
      <c r="B176" s="109"/>
      <c r="C176" s="104" t="s">
        <v>101</v>
      </c>
      <c r="D176" s="105"/>
      <c r="E176" s="28">
        <v>0</v>
      </c>
      <c r="F176" s="44"/>
      <c r="G176" s="44"/>
      <c r="H176" s="44"/>
      <c r="I176" s="9"/>
    </row>
    <row r="177" spans="1:9" ht="24.75" customHeight="1">
      <c r="A177" s="108"/>
      <c r="B177" s="109"/>
      <c r="C177" s="104" t="s">
        <v>102</v>
      </c>
      <c r="D177" s="105"/>
      <c r="E177" s="28">
        <v>0</v>
      </c>
      <c r="F177" s="44"/>
      <c r="G177" s="44"/>
      <c r="H177" s="44"/>
      <c r="I177" s="9"/>
    </row>
    <row r="178" spans="1:9" ht="24.75" customHeight="1">
      <c r="A178" s="108"/>
      <c r="B178" s="109"/>
      <c r="C178" s="104" t="s">
        <v>103</v>
      </c>
      <c r="D178" s="105"/>
      <c r="E178" s="28">
        <v>0</v>
      </c>
      <c r="F178" s="44"/>
      <c r="G178" s="44"/>
      <c r="H178" s="44"/>
      <c r="I178" s="9"/>
    </row>
    <row r="179" spans="1:9" ht="24.75" customHeight="1">
      <c r="A179" s="108"/>
      <c r="B179" s="109"/>
      <c r="C179" s="104" t="s">
        <v>104</v>
      </c>
      <c r="D179" s="105"/>
      <c r="E179" s="28">
        <v>0</v>
      </c>
      <c r="F179" s="44"/>
      <c r="G179" s="44"/>
      <c r="H179" s="44"/>
      <c r="I179" s="9"/>
    </row>
    <row r="180" spans="1:9" ht="24.75" customHeight="1">
      <c r="A180" s="108"/>
      <c r="B180" s="109"/>
      <c r="C180" s="104" t="s">
        <v>105</v>
      </c>
      <c r="D180" s="105"/>
      <c r="E180" s="28">
        <v>0</v>
      </c>
      <c r="F180" s="44"/>
      <c r="G180" s="44"/>
      <c r="H180" s="44"/>
      <c r="I180" s="9"/>
    </row>
    <row r="181" spans="1:9" ht="24.75" customHeight="1">
      <c r="A181" s="108"/>
      <c r="B181" s="109"/>
      <c r="C181" s="104" t="s">
        <v>106</v>
      </c>
      <c r="D181" s="105"/>
      <c r="E181" s="28">
        <v>0</v>
      </c>
      <c r="F181" s="44"/>
      <c r="G181" s="44"/>
      <c r="H181" s="44"/>
      <c r="I181" s="9"/>
    </row>
    <row r="182" spans="1:9" ht="24.75" customHeight="1">
      <c r="A182" s="108"/>
      <c r="B182" s="109"/>
      <c r="C182" s="148" t="s">
        <v>107</v>
      </c>
      <c r="D182" s="149"/>
      <c r="E182" s="42"/>
      <c r="F182" s="44"/>
      <c r="G182" s="44"/>
      <c r="H182" s="44"/>
      <c r="I182" s="9"/>
    </row>
    <row r="183" spans="1:9" ht="24.75" customHeight="1">
      <c r="A183" s="108"/>
      <c r="B183" s="109"/>
      <c r="C183" s="150" t="s">
        <v>111</v>
      </c>
      <c r="D183" s="151"/>
      <c r="E183" s="30">
        <v>0</v>
      </c>
      <c r="F183" s="44"/>
      <c r="G183" s="44"/>
      <c r="H183" s="44"/>
      <c r="I183" s="9"/>
    </row>
    <row r="184" spans="1:9" ht="24.75" customHeight="1">
      <c r="A184" s="108"/>
      <c r="B184" s="109"/>
      <c r="C184" s="104" t="s">
        <v>97</v>
      </c>
      <c r="D184" s="105"/>
      <c r="E184" s="30">
        <v>0</v>
      </c>
      <c r="F184" s="44"/>
      <c r="G184" s="44"/>
      <c r="H184" s="44"/>
      <c r="I184" s="9"/>
    </row>
    <row r="185" spans="1:9" ht="24.75" customHeight="1">
      <c r="A185" s="108"/>
      <c r="B185" s="109"/>
      <c r="C185" s="104" t="s">
        <v>98</v>
      </c>
      <c r="D185" s="105"/>
      <c r="E185" s="30">
        <v>0</v>
      </c>
      <c r="F185" s="44"/>
      <c r="G185" s="44"/>
      <c r="H185" s="44"/>
      <c r="I185" s="9"/>
    </row>
    <row r="186" spans="1:9" ht="24.75" customHeight="1">
      <c r="A186" s="108"/>
      <c r="B186" s="109"/>
      <c r="C186" s="104" t="s">
        <v>99</v>
      </c>
      <c r="D186" s="105"/>
      <c r="E186" s="30">
        <v>0</v>
      </c>
      <c r="F186" s="44"/>
      <c r="G186" s="44"/>
      <c r="H186" s="44"/>
      <c r="I186" s="9"/>
    </row>
    <row r="187" spans="1:9" ht="24.75" customHeight="1">
      <c r="A187" s="108"/>
      <c r="B187" s="109"/>
      <c r="C187" s="104" t="s">
        <v>100</v>
      </c>
      <c r="D187" s="105"/>
      <c r="E187" s="30">
        <v>0</v>
      </c>
      <c r="F187" s="44"/>
      <c r="G187" s="44"/>
      <c r="H187" s="44"/>
      <c r="I187" s="9"/>
    </row>
    <row r="188" spans="1:9" ht="24.75" customHeight="1">
      <c r="A188" s="110"/>
      <c r="B188" s="111"/>
      <c r="C188" s="104" t="s">
        <v>101</v>
      </c>
      <c r="D188" s="105"/>
      <c r="E188" s="30">
        <v>0</v>
      </c>
      <c r="F188" s="44"/>
      <c r="G188" s="44"/>
      <c r="H188" s="44"/>
      <c r="I188" s="9"/>
    </row>
    <row r="189" spans="1:9" ht="24.75" customHeight="1">
      <c r="A189" s="96" t="s">
        <v>109</v>
      </c>
      <c r="B189" s="152"/>
      <c r="C189" s="153"/>
      <c r="D189" s="154"/>
      <c r="E189" s="30">
        <f>C96</f>
        <v>0</v>
      </c>
      <c r="F189" s="44"/>
      <c r="G189" s="44"/>
      <c r="H189" s="44"/>
      <c r="I189" s="9"/>
    </row>
    <row r="190" spans="1:9" ht="24.75" customHeight="1">
      <c r="A190" s="145"/>
      <c r="B190" s="146"/>
      <c r="C190" s="147" t="s">
        <v>110</v>
      </c>
      <c r="D190" s="147"/>
      <c r="E190" s="40">
        <f>(F40+E170)-(SUM(E172:E181)+SUM(E183:E189))</f>
        <v>0</v>
      </c>
      <c r="F190" s="44"/>
      <c r="G190" s="44"/>
      <c r="H190" s="44"/>
      <c r="I190" s="9"/>
    </row>
    <row r="191" spans="1:9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 ht="24.75" customHeight="1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67:C74" name="F3"/>
    <protectedRange sqref="A76:C84" name="F4"/>
    <protectedRange sqref="A56:C65" name="F2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254" priority="51" operator="equal">
      <formula>0</formula>
    </cfRule>
  </conditionalFormatting>
  <conditionalFormatting sqref="C47:C55 C85 C95:C96 E144 E155:E162">
    <cfRule type="cellIs" dxfId="253" priority="50" operator="greaterThan">
      <formula>0</formula>
    </cfRule>
  </conditionalFormatting>
  <conditionalFormatting sqref="C57:C66">
    <cfRule type="cellIs" dxfId="252" priority="49" operator="equal">
      <formula>0</formula>
    </cfRule>
  </conditionalFormatting>
  <conditionalFormatting sqref="C57:C66">
    <cfRule type="cellIs" dxfId="251" priority="48" operator="greaterThan">
      <formula>0</formula>
    </cfRule>
  </conditionalFormatting>
  <conditionalFormatting sqref="C68:C69">
    <cfRule type="cellIs" dxfId="250" priority="47" operator="equal">
      <formula>0</formula>
    </cfRule>
  </conditionalFormatting>
  <conditionalFormatting sqref="C68:C69">
    <cfRule type="cellIs" dxfId="249" priority="46" operator="greaterThan">
      <formula>0</formula>
    </cfRule>
  </conditionalFormatting>
  <conditionalFormatting sqref="C75">
    <cfRule type="cellIs" dxfId="248" priority="45" operator="equal">
      <formula>0</formula>
    </cfRule>
  </conditionalFormatting>
  <conditionalFormatting sqref="C75">
    <cfRule type="cellIs" dxfId="247" priority="44" operator="greaterThan">
      <formula>0</formula>
    </cfRule>
  </conditionalFormatting>
  <conditionalFormatting sqref="C77">
    <cfRule type="cellIs" dxfId="246" priority="43" operator="equal">
      <formula>0</formula>
    </cfRule>
  </conditionalFormatting>
  <conditionalFormatting sqref="C77">
    <cfRule type="cellIs" dxfId="245" priority="42" operator="greaterThan">
      <formula>0</formula>
    </cfRule>
  </conditionalFormatting>
  <conditionalFormatting sqref="C87:C89">
    <cfRule type="cellIs" dxfId="244" priority="41" operator="equal">
      <formula>0</formula>
    </cfRule>
  </conditionalFormatting>
  <conditionalFormatting sqref="C87:C89">
    <cfRule type="cellIs" dxfId="243" priority="40" operator="greaterThan">
      <formula>0</formula>
    </cfRule>
  </conditionalFormatting>
  <conditionalFormatting sqref="E117 E128:E135">
    <cfRule type="cellIs" dxfId="242" priority="39" operator="equal">
      <formula>0</formula>
    </cfRule>
  </conditionalFormatting>
  <conditionalFormatting sqref="E117 E128:E135">
    <cfRule type="cellIs" dxfId="241" priority="38" operator="greaterThan">
      <formula>0</formula>
    </cfRule>
  </conditionalFormatting>
  <conditionalFormatting sqref="E136">
    <cfRule type="cellIs" dxfId="240" priority="37" operator="greaterThanOrEqual">
      <formula>0</formula>
    </cfRule>
  </conditionalFormatting>
  <conditionalFormatting sqref="E136">
    <cfRule type="cellIs" dxfId="239" priority="36" operator="lessThan">
      <formula>0</formula>
    </cfRule>
  </conditionalFormatting>
  <conditionalFormatting sqref="C70:C74">
    <cfRule type="cellIs" dxfId="238" priority="35" operator="equal">
      <formula>0</formula>
    </cfRule>
  </conditionalFormatting>
  <conditionalFormatting sqref="C70:C74">
    <cfRule type="cellIs" dxfId="237" priority="34" operator="greaterThan">
      <formula>0</formula>
    </cfRule>
  </conditionalFormatting>
  <conditionalFormatting sqref="C80:C84">
    <cfRule type="cellIs" dxfId="236" priority="33" operator="equal">
      <formula>0</formula>
    </cfRule>
  </conditionalFormatting>
  <conditionalFormatting sqref="C80:C84">
    <cfRule type="cellIs" dxfId="235" priority="32" operator="greaterThan">
      <formula>0</formula>
    </cfRule>
  </conditionalFormatting>
  <conditionalFormatting sqref="C92:C94">
    <cfRule type="cellIs" dxfId="234" priority="31" operator="equal">
      <formula>0</formula>
    </cfRule>
  </conditionalFormatting>
  <conditionalFormatting sqref="C92:C94">
    <cfRule type="cellIs" dxfId="233" priority="30" operator="greaterThan">
      <formula>0</formula>
    </cfRule>
  </conditionalFormatting>
  <conditionalFormatting sqref="C108:C109">
    <cfRule type="cellIs" dxfId="232" priority="29" operator="equal">
      <formula>0</formula>
    </cfRule>
  </conditionalFormatting>
  <conditionalFormatting sqref="C108:C109">
    <cfRule type="cellIs" dxfId="231" priority="28" operator="greaterThan">
      <formula>0</formula>
    </cfRule>
  </conditionalFormatting>
  <conditionalFormatting sqref="E144 E155:E162">
    <cfRule type="cellIs" dxfId="230" priority="27" operator="equal">
      <formula>0</formula>
    </cfRule>
  </conditionalFormatting>
  <conditionalFormatting sqref="E163">
    <cfRule type="cellIs" dxfId="229" priority="26" operator="greaterThanOrEqual">
      <formula>0</formula>
    </cfRule>
  </conditionalFormatting>
  <conditionalFormatting sqref="E163">
    <cfRule type="cellIs" dxfId="228" priority="25" operator="lessThan">
      <formula>0</formula>
    </cfRule>
  </conditionalFormatting>
  <conditionalFormatting sqref="E143">
    <cfRule type="cellIs" dxfId="227" priority="24" operator="greaterThanOrEqual">
      <formula>0</formula>
    </cfRule>
  </conditionalFormatting>
  <conditionalFormatting sqref="E143">
    <cfRule type="cellIs" dxfId="226" priority="23" operator="lessThan">
      <formula>0</formula>
    </cfRule>
  </conditionalFormatting>
  <conditionalFormatting sqref="E171 E182:E189">
    <cfRule type="cellIs" dxfId="225" priority="22" operator="equal">
      <formula>0</formula>
    </cfRule>
  </conditionalFormatting>
  <conditionalFormatting sqref="E171 E182:E189">
    <cfRule type="cellIs" dxfId="224" priority="21" operator="greaterThan">
      <formula>0</formula>
    </cfRule>
  </conditionalFormatting>
  <conditionalFormatting sqref="E190">
    <cfRule type="cellIs" dxfId="223" priority="20" operator="greaterThanOrEqual">
      <formula>0</formula>
    </cfRule>
  </conditionalFormatting>
  <conditionalFormatting sqref="E190">
    <cfRule type="cellIs" dxfId="222" priority="19" operator="lessThan">
      <formula>0</formula>
    </cfRule>
  </conditionalFormatting>
  <conditionalFormatting sqref="E170">
    <cfRule type="cellIs" dxfId="221" priority="18" operator="greaterThanOrEqual">
      <formula>0</formula>
    </cfRule>
  </conditionalFormatting>
  <conditionalFormatting sqref="E170">
    <cfRule type="cellIs" dxfId="220" priority="17" operator="lessThan">
      <formula>0</formula>
    </cfRule>
  </conditionalFormatting>
  <conditionalFormatting sqref="C5">
    <cfRule type="cellIs" dxfId="219" priority="16" operator="equal">
      <formula>0</formula>
    </cfRule>
  </conditionalFormatting>
  <conditionalFormatting sqref="C5">
    <cfRule type="cellIs" dxfId="218" priority="15" operator="greaterThan">
      <formula>0</formula>
    </cfRule>
  </conditionalFormatting>
  <conditionalFormatting sqref="C98:C107">
    <cfRule type="cellIs" dxfId="217" priority="14" operator="lessThan">
      <formula>0</formula>
    </cfRule>
  </conditionalFormatting>
  <conditionalFormatting sqref="C98:C107">
    <cfRule type="cellIs" dxfId="216" priority="13" operator="greaterThanOrEqual">
      <formula>0</formula>
    </cfRule>
  </conditionalFormatting>
  <conditionalFormatting sqref="E118:E127">
    <cfRule type="cellIs" dxfId="215" priority="12" operator="equal">
      <formula>0</formula>
    </cfRule>
  </conditionalFormatting>
  <conditionalFormatting sqref="E118:E127">
    <cfRule type="cellIs" dxfId="214" priority="11" operator="greaterThan">
      <formula>0</formula>
    </cfRule>
  </conditionalFormatting>
  <conditionalFormatting sqref="E145:E154">
    <cfRule type="cellIs" dxfId="213" priority="10" operator="equal">
      <formula>0</formula>
    </cfRule>
  </conditionalFormatting>
  <conditionalFormatting sqref="E145:E154">
    <cfRule type="cellIs" dxfId="212" priority="9" operator="greaterThan">
      <formula>0</formula>
    </cfRule>
  </conditionalFormatting>
  <conditionalFormatting sqref="E172:E181">
    <cfRule type="cellIs" dxfId="211" priority="8" operator="equal">
      <formula>0</formula>
    </cfRule>
  </conditionalFormatting>
  <conditionalFormatting sqref="E172:E181">
    <cfRule type="cellIs" dxfId="210" priority="7" operator="greaterThan">
      <formula>0</formula>
    </cfRule>
  </conditionalFormatting>
  <conditionalFormatting sqref="E116">
    <cfRule type="cellIs" dxfId="209" priority="6" operator="greaterThanOrEqual">
      <formula>0</formula>
    </cfRule>
  </conditionalFormatting>
  <conditionalFormatting sqref="E116">
    <cfRule type="cellIs" dxfId="208" priority="5" operator="lessThan">
      <formula>0</formula>
    </cfRule>
  </conditionalFormatting>
  <conditionalFormatting sqref="C78:C79">
    <cfRule type="cellIs" dxfId="207" priority="4" operator="equal">
      <formula>0</formula>
    </cfRule>
  </conditionalFormatting>
  <conditionalFormatting sqref="C78:C79">
    <cfRule type="cellIs" dxfId="206" priority="3" operator="greaterThan">
      <formula>0</formula>
    </cfRule>
  </conditionalFormatting>
  <conditionalFormatting sqref="C90:C91">
    <cfRule type="cellIs" dxfId="205" priority="2" operator="equal">
      <formula>0</formula>
    </cfRule>
  </conditionalFormatting>
  <conditionalFormatting sqref="C90:C91">
    <cfRule type="cellIs" dxfId="204" priority="1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3470-7D0F-49B7-A05A-4A71D50C16FE}">
  <dimension ref="A1:I194"/>
  <sheetViews>
    <sheetView topLeftCell="A9" workbookViewId="0">
      <selection activeCell="I40" sqref="I40"/>
    </sheetView>
  </sheetViews>
  <sheetFormatPr defaultRowHeight="15"/>
  <cols>
    <col min="1" max="2" width="20.625" customWidth="1"/>
    <col min="3" max="3" width="28.75" customWidth="1"/>
    <col min="4" max="8" width="20.625" customWidth="1"/>
  </cols>
  <sheetData>
    <row r="1" spans="1:9" ht="24.75" customHeight="1">
      <c r="A1" s="177" t="str">
        <f>"Forecasts For the Year " &amp; IF(Main!B2,TEXT(EDATE(Main!B3,36),"mmmm yyyy"),TEXT(Main!B3+((Main!B5-Main!B3)*36+36),"mmmm yyyy")) &amp; " to " &amp; IF(Main!B2,TEXT(EDATE(Main!B3,39)-1,"mmmm yyyy"),TEXT(Main!B3+((Main!B5-Main!B3)*39+38),"mmmm yyyy"))</f>
        <v>Forecasts For the Year April 2028 to July 2028</v>
      </c>
      <c r="B1" s="177"/>
      <c r="C1" s="177"/>
      <c r="D1" s="177"/>
      <c r="E1" s="177"/>
      <c r="F1" s="177"/>
      <c r="G1" s="177"/>
      <c r="H1" s="47"/>
      <c r="I1" s="47"/>
    </row>
    <row r="2" spans="1:9" ht="24.75" customHeight="1">
      <c r="A2" s="159" t="s">
        <v>31</v>
      </c>
      <c r="B2" s="48" t="s">
        <v>112</v>
      </c>
      <c r="C2" s="161" cm="1">
        <f t="array" aca="1" ref="C2" ca="1">INDIRECT("'" &amp; Main!B9 &amp; "'!$C$15")</f>
        <v>0</v>
      </c>
      <c r="D2" s="161"/>
      <c r="E2" s="161"/>
      <c r="F2" s="161"/>
      <c r="G2" s="161"/>
      <c r="H2" s="47"/>
      <c r="I2" s="47"/>
    </row>
    <row r="3" spans="1:9" ht="24.75" customHeight="1">
      <c r="A3" s="160"/>
      <c r="B3" s="41" t="s">
        <v>113</v>
      </c>
      <c r="C3" s="162">
        <f>E190</f>
        <v>0</v>
      </c>
      <c r="D3" s="162"/>
      <c r="E3" s="162"/>
      <c r="F3" s="162"/>
      <c r="G3" s="162"/>
      <c r="H3" s="47"/>
      <c r="I3" s="47"/>
    </row>
    <row r="4" spans="1:9" ht="24.75" customHeight="1">
      <c r="A4" s="174" t="s">
        <v>45</v>
      </c>
      <c r="B4" s="175"/>
      <c r="C4" s="163">
        <f ca="1">SUM(C2:G3)</f>
        <v>0</v>
      </c>
      <c r="D4" s="163"/>
      <c r="E4" s="163"/>
      <c r="F4" s="163"/>
      <c r="G4" s="163"/>
      <c r="H4" s="44"/>
      <c r="I4" s="9"/>
    </row>
    <row r="5" spans="1:9" ht="24.75" customHeight="1">
      <c r="A5" s="176" t="s">
        <v>114</v>
      </c>
      <c r="B5" s="176"/>
      <c r="C5" s="164">
        <f>C108</f>
        <v>0</v>
      </c>
      <c r="D5" s="165"/>
      <c r="E5" s="165"/>
      <c r="F5" s="165"/>
      <c r="G5" s="165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32" t="str">
        <f>IF(Main!B2,TEXT(EDATE(Main!B3,36),"dd mmmm yyyy"),TEXT(Main!B3+((Main!B5-Main!B3)*36+36),"dd mmmm yyyy")) &amp; " - " &amp; IF(Main!B2,TEXT(EDATE(Main!B3,37)-1,"dd mmmm yyyy"),TEXT(Main!B3+((Main!B5-Main!B3)*37+36),"dd mmmm yyyy")) &amp; " / " &amp; " (Revenue / Deferred Debts Or Expenses)"</f>
        <v>11 April 2028 - 10 May 2028 /  (Revenue / Deferred Debts Or Expenses)</v>
      </c>
      <c r="B8" s="133"/>
      <c r="C8" s="133"/>
      <c r="D8" s="133"/>
      <c r="E8" s="133"/>
      <c r="F8" s="133"/>
      <c r="G8" s="133"/>
      <c r="H8" s="44"/>
      <c r="I8" s="37"/>
    </row>
    <row r="9" spans="1:9" ht="24.75" customHeight="1">
      <c r="A9" s="81" t="s">
        <v>27</v>
      </c>
      <c r="B9" s="120" t="s">
        <v>46</v>
      </c>
      <c r="C9" s="120"/>
      <c r="D9" s="121" t="s">
        <v>47</v>
      </c>
      <c r="E9" s="121"/>
      <c r="F9" s="121" t="s">
        <v>48</v>
      </c>
      <c r="G9" s="121"/>
      <c r="H9" s="44"/>
      <c r="I9" s="9"/>
    </row>
    <row r="10" spans="1:9" ht="24.75" customHeight="1">
      <c r="A10" s="2" t="s">
        <v>115</v>
      </c>
      <c r="B10" s="122" t="s">
        <v>50</v>
      </c>
      <c r="C10" s="122"/>
      <c r="D10" s="122" t="s">
        <v>51</v>
      </c>
      <c r="E10" s="122"/>
      <c r="F10" s="123">
        <v>0</v>
      </c>
      <c r="G10" s="124"/>
      <c r="H10" s="44"/>
      <c r="I10" s="9"/>
    </row>
    <row r="11" spans="1:9" ht="24.75" customHeight="1">
      <c r="A11" s="2"/>
      <c r="B11" s="125" t="s">
        <v>40</v>
      </c>
      <c r="C11" s="126"/>
      <c r="D11" s="127"/>
      <c r="E11" s="128"/>
      <c r="F11" s="123">
        <v>0</v>
      </c>
      <c r="G11" s="124"/>
      <c r="H11" s="44"/>
      <c r="I11" s="9"/>
    </row>
    <row r="12" spans="1:9" ht="24.75" customHeight="1">
      <c r="A12" s="2"/>
      <c r="B12" s="125" t="s">
        <v>41</v>
      </c>
      <c r="C12" s="126"/>
      <c r="D12" s="127"/>
      <c r="E12" s="128"/>
      <c r="F12" s="123">
        <v>0</v>
      </c>
      <c r="G12" s="124"/>
      <c r="H12" s="44"/>
      <c r="I12" s="9"/>
    </row>
    <row r="13" spans="1:9" ht="24.75" customHeight="1">
      <c r="A13" s="2"/>
      <c r="B13" s="125" t="s">
        <v>42</v>
      </c>
      <c r="C13" s="126"/>
      <c r="D13" s="127"/>
      <c r="E13" s="128"/>
      <c r="F13" s="123">
        <v>0</v>
      </c>
      <c r="G13" s="124"/>
      <c r="H13" s="44"/>
      <c r="I13" s="9"/>
    </row>
    <row r="14" spans="1:9" ht="24.75" customHeight="1">
      <c r="A14" s="2"/>
      <c r="B14" s="125" t="s">
        <v>43</v>
      </c>
      <c r="C14" s="126"/>
      <c r="D14" s="127"/>
      <c r="E14" s="128"/>
      <c r="F14" s="123">
        <v>0</v>
      </c>
      <c r="G14" s="124"/>
      <c r="H14" s="44"/>
      <c r="I14" s="9"/>
    </row>
    <row r="15" spans="1:9" ht="24.75" customHeight="1">
      <c r="A15" s="2"/>
      <c r="B15" s="125" t="s">
        <v>44</v>
      </c>
      <c r="C15" s="126"/>
      <c r="D15" s="127"/>
      <c r="E15" s="128"/>
      <c r="F15" s="123">
        <v>0</v>
      </c>
      <c r="G15" s="124"/>
      <c r="H15" s="44"/>
      <c r="I15" s="9"/>
    </row>
    <row r="16" spans="1:9" ht="24.75" customHeight="1">
      <c r="A16" s="45"/>
      <c r="B16" s="166"/>
      <c r="C16" s="167"/>
      <c r="D16" s="116" t="s">
        <v>52</v>
      </c>
      <c r="E16" s="117"/>
      <c r="F16" s="118">
        <f>SUM(F10:G15)</f>
        <v>0</v>
      </c>
      <c r="G16" s="119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32" t="str">
        <f>IF(Main!B2,TEXT(EDATE(Main!B3,37),"dd mmmm yyyy"),TEXT(Main!B3+((Main!B5-Main!B3)*37+37),"dd mmmm yyyy")) &amp; " - " &amp; IF(Main!B2,TEXT(EDATE(Main!B3,38)-1,"dd mmmm yyyy"),TEXT(Main!B3+((Main!B5-Main!B3)*38+37),"dd mmmm yyyy")) &amp; " / " &amp; " (Revenue / Deferred Debts Or Expenses)"</f>
        <v>11 May 2028 - 10 June 2028 /  (Revenue / Deferred Debts Or Expenses)</v>
      </c>
      <c r="B20" s="133"/>
      <c r="C20" s="133"/>
      <c r="D20" s="133"/>
      <c r="E20" s="133"/>
      <c r="F20" s="133"/>
      <c r="G20" s="133"/>
      <c r="H20" s="44"/>
      <c r="I20" s="9"/>
    </row>
    <row r="21" spans="1:9" ht="24.75" customHeight="1">
      <c r="A21" s="81" t="s">
        <v>27</v>
      </c>
      <c r="B21" s="120" t="s">
        <v>46</v>
      </c>
      <c r="C21" s="120"/>
      <c r="D21" s="121" t="s">
        <v>47</v>
      </c>
      <c r="E21" s="121"/>
      <c r="F21" s="121" t="s">
        <v>48</v>
      </c>
      <c r="G21" s="121"/>
      <c r="H21" s="44"/>
      <c r="I21" s="9"/>
    </row>
    <row r="22" spans="1:9" ht="24.75" customHeight="1">
      <c r="A22" s="2" t="s">
        <v>116</v>
      </c>
      <c r="B22" s="122" t="s">
        <v>54</v>
      </c>
      <c r="C22" s="122"/>
      <c r="D22" s="122" t="s">
        <v>55</v>
      </c>
      <c r="E22" s="122"/>
      <c r="F22" s="123">
        <v>0</v>
      </c>
      <c r="G22" s="124"/>
      <c r="H22" s="44"/>
      <c r="I22" s="9"/>
    </row>
    <row r="23" spans="1:9" ht="24.75" customHeight="1">
      <c r="A23" s="2"/>
      <c r="B23" s="125" t="s">
        <v>40</v>
      </c>
      <c r="C23" s="126"/>
      <c r="D23" s="127"/>
      <c r="E23" s="128"/>
      <c r="F23" s="123">
        <v>0</v>
      </c>
      <c r="G23" s="124"/>
      <c r="H23" s="44"/>
      <c r="I23" s="9"/>
    </row>
    <row r="24" spans="1:9" ht="24.75" customHeight="1">
      <c r="A24" s="2"/>
      <c r="B24" s="125" t="s">
        <v>41</v>
      </c>
      <c r="C24" s="126"/>
      <c r="D24" s="127"/>
      <c r="E24" s="128"/>
      <c r="F24" s="123">
        <v>0</v>
      </c>
      <c r="G24" s="124"/>
      <c r="H24" s="44"/>
      <c r="I24" s="9"/>
    </row>
    <row r="25" spans="1:9" ht="24.75" customHeight="1">
      <c r="A25" s="2"/>
      <c r="B25" s="125" t="s">
        <v>42</v>
      </c>
      <c r="C25" s="126"/>
      <c r="D25" s="127"/>
      <c r="E25" s="128"/>
      <c r="F25" s="123">
        <v>0</v>
      </c>
      <c r="G25" s="124"/>
      <c r="H25" s="44"/>
      <c r="I25" s="9"/>
    </row>
    <row r="26" spans="1:9" ht="24.75" customHeight="1">
      <c r="A26" s="2"/>
      <c r="B26" s="125" t="s">
        <v>43</v>
      </c>
      <c r="C26" s="126"/>
      <c r="D26" s="127"/>
      <c r="E26" s="128"/>
      <c r="F26" s="123">
        <v>0</v>
      </c>
      <c r="G26" s="124"/>
      <c r="H26" s="44"/>
      <c r="I26" s="9"/>
    </row>
    <row r="27" spans="1:9" ht="24.75" customHeight="1">
      <c r="A27" s="2"/>
      <c r="B27" s="125" t="s">
        <v>44</v>
      </c>
      <c r="C27" s="126"/>
      <c r="D27" s="127"/>
      <c r="E27" s="128"/>
      <c r="F27" s="123">
        <v>0</v>
      </c>
      <c r="G27" s="124"/>
      <c r="H27" s="44"/>
      <c r="I27" s="9"/>
    </row>
    <row r="28" spans="1:9" ht="24.75" customHeight="1">
      <c r="A28" s="45"/>
      <c r="B28" s="166"/>
      <c r="C28" s="167"/>
      <c r="D28" s="116" t="s">
        <v>52</v>
      </c>
      <c r="E28" s="117"/>
      <c r="F28" s="118">
        <f>SUM(F22:G27)</f>
        <v>0</v>
      </c>
      <c r="G28" s="119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32" t="str">
        <f>IF(Main!B2,TEXT(EDATE(Main!B3,38),"dd mmmm yyyy"),TEXT(Main!B3+((Main!B5-Main!B3)*38+38),"dd mmmm yyyy")) &amp; " - " &amp; IF(Main!B2,TEXT(EDATE(Main!B3,39)-1,"dd mmmm yyyy"),TEXT(Main!B3+((Main!B5-Main!B3)*39+38),"dd mmmm yyyy")) &amp; " / " &amp; " (Revenue / Deferred Debts Or Expenses)"</f>
        <v>11 June 2028 - 10 July 2028 /  (Revenue / Deferred Debts Or Expenses)</v>
      </c>
      <c r="B32" s="133"/>
      <c r="C32" s="133"/>
      <c r="D32" s="133"/>
      <c r="E32" s="133"/>
      <c r="F32" s="133"/>
      <c r="G32" s="133"/>
      <c r="H32" s="44"/>
      <c r="I32" s="9"/>
    </row>
    <row r="33" spans="1:9" ht="24.75" customHeight="1">
      <c r="A33" s="81" t="s">
        <v>27</v>
      </c>
      <c r="B33" s="120" t="s">
        <v>46</v>
      </c>
      <c r="C33" s="120"/>
      <c r="D33" s="121" t="s">
        <v>47</v>
      </c>
      <c r="E33" s="121"/>
      <c r="F33" s="121" t="s">
        <v>48</v>
      </c>
      <c r="G33" s="121"/>
      <c r="H33" s="44"/>
      <c r="I33" s="9"/>
    </row>
    <row r="34" spans="1:9" ht="24.75" customHeight="1">
      <c r="A34" s="2" t="s">
        <v>117</v>
      </c>
      <c r="B34" s="122" t="s">
        <v>54</v>
      </c>
      <c r="C34" s="122"/>
      <c r="D34" s="122" t="s">
        <v>55</v>
      </c>
      <c r="E34" s="122"/>
      <c r="F34" s="123">
        <v>0</v>
      </c>
      <c r="G34" s="124"/>
      <c r="H34" s="44"/>
      <c r="I34" s="9"/>
    </row>
    <row r="35" spans="1:9" ht="24.75" customHeight="1">
      <c r="A35" s="2"/>
      <c r="B35" s="125" t="s">
        <v>40</v>
      </c>
      <c r="C35" s="126"/>
      <c r="D35" s="127"/>
      <c r="E35" s="128"/>
      <c r="F35" s="123">
        <v>0</v>
      </c>
      <c r="G35" s="124"/>
      <c r="H35" s="44"/>
      <c r="I35" s="9"/>
    </row>
    <row r="36" spans="1:9" ht="24.75" customHeight="1">
      <c r="A36" s="2"/>
      <c r="B36" s="125" t="s">
        <v>41</v>
      </c>
      <c r="C36" s="126"/>
      <c r="D36" s="127"/>
      <c r="E36" s="128"/>
      <c r="F36" s="123">
        <v>0</v>
      </c>
      <c r="G36" s="124"/>
      <c r="H36" s="44"/>
      <c r="I36" s="37"/>
    </row>
    <row r="37" spans="1:9" ht="24.75" customHeight="1">
      <c r="A37" s="2"/>
      <c r="B37" s="125" t="s">
        <v>42</v>
      </c>
      <c r="C37" s="126"/>
      <c r="D37" s="127"/>
      <c r="E37" s="128"/>
      <c r="F37" s="123">
        <v>0</v>
      </c>
      <c r="G37" s="124"/>
      <c r="H37" s="44"/>
      <c r="I37" s="9"/>
    </row>
    <row r="38" spans="1:9" ht="24.75" customHeight="1">
      <c r="A38" s="2"/>
      <c r="B38" s="125" t="s">
        <v>43</v>
      </c>
      <c r="C38" s="126"/>
      <c r="D38" s="127"/>
      <c r="E38" s="128"/>
      <c r="F38" s="123">
        <v>0</v>
      </c>
      <c r="G38" s="124"/>
      <c r="H38" s="44"/>
      <c r="I38" s="9"/>
    </row>
    <row r="39" spans="1:9" ht="24.75" customHeight="1">
      <c r="A39" s="2"/>
      <c r="B39" s="125" t="s">
        <v>44</v>
      </c>
      <c r="C39" s="126"/>
      <c r="D39" s="127"/>
      <c r="E39" s="128"/>
      <c r="F39" s="123">
        <v>0</v>
      </c>
      <c r="G39" s="124"/>
      <c r="H39" s="44"/>
      <c r="I39" s="9"/>
    </row>
    <row r="40" spans="1:9" ht="24.75" customHeight="1">
      <c r="A40" s="45"/>
      <c r="B40" s="166"/>
      <c r="C40" s="167"/>
      <c r="D40" s="116" t="s">
        <v>52</v>
      </c>
      <c r="E40" s="117"/>
      <c r="F40" s="118">
        <f>SUM(F34:G39)</f>
        <v>0</v>
      </c>
      <c r="G40" s="119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IF(Main!B2,TEXT(EDATE(Main!B3,36),"mmmm yyyy"),TEXT(Main!B3+((Main!B5-Main!B3)*36+36),"mmmm yyyy")) &amp; " to " &amp; IF(Main!B2,TEXT(EDATE(Main!B3,39)-1,"mmmm yyyy"),TEXT(Main!B3+((Main!B5-Main!B3)*39+38),"mmmm yyyy"))</f>
        <v>Fixed Expense For the Year April 2028 to July 2028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2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71" t="s">
        <v>57</v>
      </c>
      <c r="B46" s="172"/>
      <c r="C46" s="173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71" t="s">
        <v>62</v>
      </c>
      <c r="B56" s="172"/>
      <c r="C56" s="173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71" t="s">
        <v>67</v>
      </c>
      <c r="B67" s="172"/>
      <c r="C67" s="173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71" t="s">
        <v>72</v>
      </c>
      <c r="B76" s="172"/>
      <c r="C76" s="173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71" t="s">
        <v>77</v>
      </c>
      <c r="B86" s="172"/>
      <c r="C86" s="173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71" t="s">
        <v>86</v>
      </c>
      <c r="B97" s="172"/>
      <c r="C97" s="173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(Forecast_12!C98)+SUM(E118+E145+E172)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(Forecast_12!C99)+SUM(E119+E146+E173)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(Forecast_12!C100)+SUM(E120+E147+E174)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(Forecast_12!C101)+SUM(E121+E148+E175)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(Forecast_12!C102)+SUM(E122+E149+E176)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(Forecast_12!C103)+SUM(E123+E150+E177)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(Forecast_12!C104)+SUM(E124+E151+E178)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(Forecast_12!C105)+SUM(E125+E152+E179)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(Forecast_12!C106)+SUM(E126+E153+E180)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(Forecast_12!C107)+SUM(E127+E154+E181)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99" t="str">
        <f>"Debts Or Credits For the Comming " &amp; IF(Main!B2,TEXT(EDATE(Main!B3,36),"mmmm dd yyyy"),TEXT(Main!B3+((Main!B5-Main!B3)*36+36),"mmmm dd yyyy")) &amp; " to " &amp; IF(Main!B2,TEXT(EDATE(Main!B3,37)-1,"mmmm dd yyyy"),TEXT(Main!B3+((Main!B5-Main!B3)*37+36),"mmmm dd yyyy"))</f>
        <v>Debts Or Credits For the Comming April 11 2028 to May 10 2028</v>
      </c>
      <c r="B114" s="100"/>
      <c r="C114" s="100"/>
      <c r="D114" s="100"/>
      <c r="E114" s="101"/>
      <c r="F114" s="44"/>
      <c r="G114" s="44"/>
      <c r="H114" s="44"/>
      <c r="I114" s="9"/>
    </row>
    <row r="115" spans="1:9" ht="24.75" customHeight="1">
      <c r="A115" s="99" t="s">
        <v>94</v>
      </c>
      <c r="B115" s="101"/>
      <c r="C115" s="99" t="s">
        <v>47</v>
      </c>
      <c r="D115" s="101"/>
      <c r="E115" s="29" t="s">
        <v>48</v>
      </c>
      <c r="F115" s="44"/>
      <c r="G115" s="44"/>
      <c r="H115" s="44"/>
      <c r="I115" s="9"/>
    </row>
    <row r="116" spans="1:9" ht="24.75" customHeight="1">
      <c r="A116" s="96" t="str">
        <f>"Balance Brought Forward From " &amp; IF(Main!B2,TEXT(EDATE(Main!B3,37)-1,"mmmm yyyy"),TEXT(Main!B3+((Main!B5-Main!B3)*37+36),"mmmm yyyy"))</f>
        <v>Balance Brought Forward From May 2028</v>
      </c>
      <c r="B116" s="97"/>
      <c r="C116" s="158"/>
      <c r="D116" s="158"/>
      <c r="E116" s="51">
        <f>Forecast_12!E190</f>
        <v>0</v>
      </c>
      <c r="F116" s="44"/>
      <c r="G116" s="44"/>
      <c r="H116" s="44"/>
      <c r="I116" s="9"/>
    </row>
    <row r="117" spans="1:9" ht="24.75" customHeight="1">
      <c r="A117" s="106" t="s">
        <v>95</v>
      </c>
      <c r="B117" s="107"/>
      <c r="C117" s="157" t="s">
        <v>96</v>
      </c>
      <c r="D117" s="149"/>
      <c r="E117" s="42"/>
      <c r="F117" s="44"/>
      <c r="G117" s="44"/>
      <c r="H117" s="44"/>
      <c r="I117" s="9"/>
    </row>
    <row r="118" spans="1:9" ht="24.75" customHeight="1">
      <c r="A118" s="108"/>
      <c r="B118" s="109"/>
      <c r="C118" s="104" t="s">
        <v>97</v>
      </c>
      <c r="D118" s="105"/>
      <c r="E118" s="28">
        <v>0</v>
      </c>
      <c r="F118" s="44"/>
      <c r="G118" s="44"/>
      <c r="H118" s="44"/>
      <c r="I118" s="9"/>
    </row>
    <row r="119" spans="1:9" ht="24.75" customHeight="1">
      <c r="A119" s="108"/>
      <c r="B119" s="109"/>
      <c r="C119" s="104" t="s">
        <v>98</v>
      </c>
      <c r="D119" s="105"/>
      <c r="E119" s="28">
        <v>0</v>
      </c>
      <c r="F119" s="44"/>
      <c r="G119" s="44"/>
      <c r="H119" s="44"/>
      <c r="I119" s="9"/>
    </row>
    <row r="120" spans="1:9" ht="24.75" customHeight="1">
      <c r="A120" s="108"/>
      <c r="B120" s="109"/>
      <c r="C120" s="104" t="s">
        <v>99</v>
      </c>
      <c r="D120" s="105"/>
      <c r="E120" s="28">
        <v>0</v>
      </c>
      <c r="F120" s="44"/>
      <c r="G120" s="44"/>
      <c r="H120" s="44"/>
      <c r="I120" s="9"/>
    </row>
    <row r="121" spans="1:9" ht="24.75" customHeight="1">
      <c r="A121" s="108"/>
      <c r="B121" s="109"/>
      <c r="C121" s="104" t="s">
        <v>100</v>
      </c>
      <c r="D121" s="105"/>
      <c r="E121" s="28">
        <v>0</v>
      </c>
      <c r="F121" s="44"/>
      <c r="G121" s="44"/>
      <c r="H121" s="44"/>
      <c r="I121" s="9"/>
    </row>
    <row r="122" spans="1:9" ht="24.75" customHeight="1">
      <c r="A122" s="108"/>
      <c r="B122" s="109"/>
      <c r="C122" s="104" t="s">
        <v>101</v>
      </c>
      <c r="D122" s="105"/>
      <c r="E122" s="28">
        <v>0</v>
      </c>
      <c r="F122" s="44"/>
      <c r="G122" s="44"/>
      <c r="H122" s="44"/>
      <c r="I122" s="9"/>
    </row>
    <row r="123" spans="1:9" ht="24.75" customHeight="1">
      <c r="A123" s="108"/>
      <c r="B123" s="109"/>
      <c r="C123" s="104" t="s">
        <v>102</v>
      </c>
      <c r="D123" s="105"/>
      <c r="E123" s="28">
        <v>0</v>
      </c>
      <c r="F123" s="44"/>
      <c r="G123" s="44"/>
      <c r="H123" s="44"/>
      <c r="I123" s="9"/>
    </row>
    <row r="124" spans="1:9" ht="24.75" customHeight="1">
      <c r="A124" s="108"/>
      <c r="B124" s="109"/>
      <c r="C124" s="104" t="s">
        <v>103</v>
      </c>
      <c r="D124" s="105"/>
      <c r="E124" s="28">
        <v>0</v>
      </c>
      <c r="F124" s="44"/>
      <c r="G124" s="44"/>
      <c r="H124" s="44"/>
      <c r="I124" s="9"/>
    </row>
    <row r="125" spans="1:9" ht="24.75" customHeight="1">
      <c r="A125" s="108"/>
      <c r="B125" s="109"/>
      <c r="C125" s="104" t="s">
        <v>104</v>
      </c>
      <c r="D125" s="105"/>
      <c r="E125" s="28">
        <v>0</v>
      </c>
      <c r="F125" s="44"/>
      <c r="G125" s="44"/>
      <c r="H125" s="44"/>
      <c r="I125" s="9"/>
    </row>
    <row r="126" spans="1:9" ht="24.75" customHeight="1">
      <c r="A126" s="108"/>
      <c r="B126" s="109"/>
      <c r="C126" s="104" t="s">
        <v>105</v>
      </c>
      <c r="D126" s="105"/>
      <c r="E126" s="28">
        <v>0</v>
      </c>
      <c r="F126" s="44"/>
      <c r="G126" s="44"/>
      <c r="H126" s="44"/>
      <c r="I126" s="9"/>
    </row>
    <row r="127" spans="1:9" ht="24.75" customHeight="1">
      <c r="A127" s="108"/>
      <c r="B127" s="109"/>
      <c r="C127" s="104" t="s">
        <v>106</v>
      </c>
      <c r="D127" s="105"/>
      <c r="E127" s="28">
        <v>0</v>
      </c>
      <c r="F127" s="44"/>
      <c r="G127" s="44"/>
      <c r="H127" s="44"/>
      <c r="I127" s="9"/>
    </row>
    <row r="128" spans="1:9" ht="24.75" customHeight="1">
      <c r="A128" s="108"/>
      <c r="B128" s="109"/>
      <c r="C128" s="148" t="s">
        <v>107</v>
      </c>
      <c r="D128" s="149"/>
      <c r="E128" s="42"/>
      <c r="F128" s="44"/>
      <c r="G128" s="44"/>
      <c r="H128" s="44"/>
      <c r="I128" s="9"/>
    </row>
    <row r="129" spans="1:9" ht="24.75" customHeight="1">
      <c r="A129" s="108"/>
      <c r="B129" s="109"/>
      <c r="C129" s="150" t="s">
        <v>108</v>
      </c>
      <c r="D129" s="151"/>
      <c r="E129" s="30">
        <v>0</v>
      </c>
      <c r="F129" s="44"/>
      <c r="G129" s="44"/>
      <c r="H129" s="44"/>
      <c r="I129" s="9"/>
    </row>
    <row r="130" spans="1:9" ht="24.75" customHeight="1">
      <c r="A130" s="108"/>
      <c r="B130" s="109"/>
      <c r="C130" s="104" t="s">
        <v>97</v>
      </c>
      <c r="D130" s="105"/>
      <c r="E130" s="30">
        <v>0</v>
      </c>
      <c r="F130" s="44"/>
      <c r="G130" s="44"/>
      <c r="H130" s="44"/>
      <c r="I130" s="9"/>
    </row>
    <row r="131" spans="1:9" ht="24.75" customHeight="1">
      <c r="A131" s="108"/>
      <c r="B131" s="109"/>
      <c r="C131" s="104" t="s">
        <v>98</v>
      </c>
      <c r="D131" s="105"/>
      <c r="E131" s="30">
        <v>0</v>
      </c>
      <c r="F131" s="44"/>
      <c r="G131" s="44"/>
      <c r="H131" s="44"/>
      <c r="I131" s="9"/>
    </row>
    <row r="132" spans="1:9" ht="24.75" customHeight="1">
      <c r="A132" s="108"/>
      <c r="B132" s="109"/>
      <c r="C132" s="104" t="s">
        <v>99</v>
      </c>
      <c r="D132" s="105"/>
      <c r="E132" s="30">
        <v>0</v>
      </c>
      <c r="F132" s="44"/>
      <c r="G132" s="44"/>
      <c r="H132" s="44"/>
      <c r="I132" s="9"/>
    </row>
    <row r="133" spans="1:9" ht="24.75" customHeight="1">
      <c r="A133" s="108"/>
      <c r="B133" s="109"/>
      <c r="C133" s="104" t="s">
        <v>100</v>
      </c>
      <c r="D133" s="105"/>
      <c r="E133" s="30">
        <v>0</v>
      </c>
      <c r="F133" s="44"/>
      <c r="G133" s="44"/>
      <c r="H133" s="44"/>
      <c r="I133" s="9"/>
    </row>
    <row r="134" spans="1:9" ht="24.75" customHeight="1">
      <c r="A134" s="110"/>
      <c r="B134" s="111"/>
      <c r="C134" s="104" t="s">
        <v>101</v>
      </c>
      <c r="D134" s="105"/>
      <c r="E134" s="30">
        <v>0</v>
      </c>
      <c r="F134" s="44"/>
      <c r="G134" s="44"/>
      <c r="H134" s="44"/>
      <c r="I134" s="9"/>
    </row>
    <row r="135" spans="1:9" ht="24.75" customHeight="1">
      <c r="A135" s="96" t="s">
        <v>109</v>
      </c>
      <c r="B135" s="152"/>
      <c r="C135" s="153"/>
      <c r="D135" s="154"/>
      <c r="E135" s="30">
        <f>C96</f>
        <v>0</v>
      </c>
      <c r="F135" s="44"/>
      <c r="G135" s="44"/>
      <c r="H135" s="44"/>
      <c r="I135" s="9"/>
    </row>
    <row r="136" spans="1:9" ht="24.75" customHeight="1">
      <c r="A136" s="145"/>
      <c r="B136" s="146"/>
      <c r="C136" s="147" t="s">
        <v>110</v>
      </c>
      <c r="D136" s="147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99" t="str">
        <f>"Debts Or Credits For the Comming " &amp; IF(Main!B2,TEXT(EDATE(Main!B3,37),"mmmm dd yyyy"),TEXT(Main!B3+((Main!B5-Main!B3)*37+37),"dd mmmm yyyy")) &amp; " to " &amp;  IF(Main!B2,TEXT(EDATE(Main!B3,38)-1,"mmmm dd yyyy"),TEXT(Main!B3+((Main!B5-Main!B3)*38+37),"mmmm dd yyyy"))</f>
        <v>Debts Or Credits For the Comming May 11 2028 to June 10 2028</v>
      </c>
      <c r="B141" s="100"/>
      <c r="C141" s="100"/>
      <c r="D141" s="100"/>
      <c r="E141" s="101"/>
      <c r="F141" s="44"/>
      <c r="G141" s="44"/>
      <c r="H141" s="44"/>
      <c r="I141" s="9"/>
    </row>
    <row r="142" spans="1:9" ht="24.75" customHeight="1">
      <c r="A142" s="99" t="s">
        <v>94</v>
      </c>
      <c r="B142" s="101"/>
      <c r="C142" s="102" t="s">
        <v>47</v>
      </c>
      <c r="D142" s="103"/>
      <c r="E142" s="39" t="s">
        <v>48</v>
      </c>
      <c r="F142" s="44"/>
      <c r="G142" s="44"/>
      <c r="H142" s="44"/>
      <c r="I142" s="9"/>
    </row>
    <row r="143" spans="1:9" ht="24.75" customHeight="1">
      <c r="A143" s="96" t="str">
        <f>"Balance Brought Forward From " &amp; IF(Main!B2,TEXT(EDATE(Main!B3,37)-1,"mmmm yyyy"),TEXT(Main!B3+((Main!B5-Main!B3)*37+36),"mmmm yyyy"))</f>
        <v>Balance Brought Forward From May 2028</v>
      </c>
      <c r="B143" s="97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06" t="s">
        <v>95</v>
      </c>
      <c r="B144" s="107"/>
      <c r="C144" s="112" t="s">
        <v>96</v>
      </c>
      <c r="D144" s="113"/>
      <c r="E144" s="43"/>
      <c r="F144" s="44"/>
      <c r="G144" s="44"/>
      <c r="H144" s="44"/>
      <c r="I144" s="9"/>
    </row>
    <row r="145" spans="1:9" ht="24.75" customHeight="1">
      <c r="A145" s="108"/>
      <c r="B145" s="109"/>
      <c r="C145" s="104" t="s">
        <v>97</v>
      </c>
      <c r="D145" s="105"/>
      <c r="E145" s="28">
        <v>0</v>
      </c>
      <c r="F145" s="44"/>
      <c r="G145" s="44"/>
      <c r="H145" s="44"/>
      <c r="I145" s="9"/>
    </row>
    <row r="146" spans="1:9" ht="24.75" customHeight="1">
      <c r="A146" s="108"/>
      <c r="B146" s="109"/>
      <c r="C146" s="104" t="s">
        <v>98</v>
      </c>
      <c r="D146" s="105"/>
      <c r="E146" s="28">
        <v>0</v>
      </c>
      <c r="F146" s="44"/>
      <c r="G146" s="44"/>
      <c r="H146" s="44"/>
      <c r="I146" s="9"/>
    </row>
    <row r="147" spans="1:9" ht="24.75" customHeight="1">
      <c r="A147" s="108"/>
      <c r="B147" s="109"/>
      <c r="C147" s="104" t="s">
        <v>99</v>
      </c>
      <c r="D147" s="105"/>
      <c r="E147" s="28">
        <v>0</v>
      </c>
      <c r="F147" s="44"/>
      <c r="G147" s="44"/>
      <c r="H147" s="44"/>
      <c r="I147" s="9"/>
    </row>
    <row r="148" spans="1:9" ht="24.75" customHeight="1">
      <c r="A148" s="108"/>
      <c r="B148" s="109"/>
      <c r="C148" s="104" t="s">
        <v>100</v>
      </c>
      <c r="D148" s="105"/>
      <c r="E148" s="28">
        <v>0</v>
      </c>
      <c r="F148" s="44"/>
      <c r="G148" s="44"/>
      <c r="H148" s="44"/>
      <c r="I148" s="9"/>
    </row>
    <row r="149" spans="1:9" ht="24.75" customHeight="1">
      <c r="A149" s="108"/>
      <c r="B149" s="109"/>
      <c r="C149" s="104" t="s">
        <v>101</v>
      </c>
      <c r="D149" s="105"/>
      <c r="E149" s="28">
        <v>0</v>
      </c>
      <c r="F149" s="44"/>
      <c r="G149" s="44"/>
      <c r="H149" s="44"/>
      <c r="I149" s="9"/>
    </row>
    <row r="150" spans="1:9" ht="24.75" customHeight="1">
      <c r="A150" s="108"/>
      <c r="B150" s="109"/>
      <c r="C150" s="104" t="s">
        <v>102</v>
      </c>
      <c r="D150" s="105"/>
      <c r="E150" s="28">
        <v>0</v>
      </c>
      <c r="F150" s="44"/>
      <c r="G150" s="44"/>
      <c r="H150" s="44"/>
      <c r="I150" s="9"/>
    </row>
    <row r="151" spans="1:9" ht="24.75" customHeight="1">
      <c r="A151" s="108"/>
      <c r="B151" s="109"/>
      <c r="C151" s="104" t="s">
        <v>103</v>
      </c>
      <c r="D151" s="105"/>
      <c r="E151" s="28">
        <v>0</v>
      </c>
      <c r="F151" s="44"/>
      <c r="G151" s="44"/>
      <c r="H151" s="44"/>
      <c r="I151" s="9"/>
    </row>
    <row r="152" spans="1:9" ht="24.75" customHeight="1">
      <c r="A152" s="108"/>
      <c r="B152" s="109"/>
      <c r="C152" s="104" t="s">
        <v>104</v>
      </c>
      <c r="D152" s="105"/>
      <c r="E152" s="28">
        <v>0</v>
      </c>
      <c r="F152" s="44"/>
      <c r="G152" s="44"/>
      <c r="H152" s="44"/>
      <c r="I152" s="9"/>
    </row>
    <row r="153" spans="1:9" ht="24.75" customHeight="1">
      <c r="A153" s="108"/>
      <c r="B153" s="109"/>
      <c r="C153" s="104" t="s">
        <v>105</v>
      </c>
      <c r="D153" s="105"/>
      <c r="E153" s="28">
        <v>0</v>
      </c>
      <c r="F153" s="44"/>
      <c r="G153" s="44"/>
      <c r="H153" s="44"/>
      <c r="I153" s="9"/>
    </row>
    <row r="154" spans="1:9" ht="24.75" customHeight="1">
      <c r="A154" s="108"/>
      <c r="B154" s="109"/>
      <c r="C154" s="104" t="s">
        <v>106</v>
      </c>
      <c r="D154" s="105"/>
      <c r="E154" s="28">
        <v>0</v>
      </c>
      <c r="F154" s="44"/>
      <c r="G154" s="44"/>
      <c r="H154" s="44"/>
      <c r="I154" s="9"/>
    </row>
    <row r="155" spans="1:9" ht="24.75" customHeight="1">
      <c r="A155" s="108"/>
      <c r="B155" s="109"/>
      <c r="C155" s="148" t="s">
        <v>107</v>
      </c>
      <c r="D155" s="149"/>
      <c r="E155" s="42"/>
      <c r="F155" s="44"/>
      <c r="G155" s="44"/>
      <c r="H155" s="44"/>
      <c r="I155" s="9"/>
    </row>
    <row r="156" spans="1:9" ht="24.75" customHeight="1">
      <c r="A156" s="108"/>
      <c r="B156" s="109"/>
      <c r="C156" s="150" t="s">
        <v>111</v>
      </c>
      <c r="D156" s="151"/>
      <c r="E156" s="30">
        <v>0</v>
      </c>
      <c r="F156" s="44"/>
      <c r="G156" s="44"/>
      <c r="H156" s="44"/>
      <c r="I156" s="9"/>
    </row>
    <row r="157" spans="1:9" ht="24.75" customHeight="1">
      <c r="A157" s="108"/>
      <c r="B157" s="109"/>
      <c r="C157" s="104" t="s">
        <v>97</v>
      </c>
      <c r="D157" s="105"/>
      <c r="E157" s="30">
        <v>0</v>
      </c>
      <c r="F157" s="44"/>
      <c r="G157" s="44"/>
      <c r="H157" s="44"/>
      <c r="I157" s="9"/>
    </row>
    <row r="158" spans="1:9" ht="24.75" customHeight="1">
      <c r="A158" s="108"/>
      <c r="B158" s="109"/>
      <c r="C158" s="104" t="s">
        <v>98</v>
      </c>
      <c r="D158" s="105"/>
      <c r="E158" s="30">
        <v>0</v>
      </c>
      <c r="F158" s="44"/>
      <c r="G158" s="44"/>
      <c r="H158" s="44"/>
      <c r="I158" s="9"/>
    </row>
    <row r="159" spans="1:9" ht="24.75" customHeight="1">
      <c r="A159" s="108"/>
      <c r="B159" s="109"/>
      <c r="C159" s="104" t="s">
        <v>99</v>
      </c>
      <c r="D159" s="105"/>
      <c r="E159" s="30">
        <v>0</v>
      </c>
      <c r="F159" s="44"/>
      <c r="G159" s="44"/>
      <c r="H159" s="44"/>
      <c r="I159" s="9"/>
    </row>
    <row r="160" spans="1:9" ht="24.75" customHeight="1">
      <c r="A160" s="108"/>
      <c r="B160" s="109"/>
      <c r="C160" s="104" t="s">
        <v>100</v>
      </c>
      <c r="D160" s="105"/>
      <c r="E160" s="30">
        <v>0</v>
      </c>
      <c r="F160" s="44"/>
      <c r="G160" s="44"/>
      <c r="H160" s="44"/>
      <c r="I160" s="9"/>
    </row>
    <row r="161" spans="1:9" ht="24.75" customHeight="1">
      <c r="A161" s="110"/>
      <c r="B161" s="111"/>
      <c r="C161" s="104" t="s">
        <v>101</v>
      </c>
      <c r="D161" s="105"/>
      <c r="E161" s="30">
        <v>0</v>
      </c>
      <c r="F161" s="44"/>
      <c r="G161" s="44"/>
      <c r="H161" s="44"/>
      <c r="I161" s="9"/>
    </row>
    <row r="162" spans="1:9" ht="24.75" customHeight="1">
      <c r="A162" s="96" t="s">
        <v>109</v>
      </c>
      <c r="B162" s="152"/>
      <c r="C162" s="153"/>
      <c r="D162" s="154"/>
      <c r="E162" s="30">
        <f>C96</f>
        <v>0</v>
      </c>
      <c r="F162" s="44"/>
      <c r="G162" s="44"/>
      <c r="H162" s="44"/>
      <c r="I162" s="9"/>
    </row>
    <row r="163" spans="1:9" ht="24.75" customHeight="1">
      <c r="A163" s="145"/>
      <c r="B163" s="146"/>
      <c r="C163" s="147" t="s">
        <v>110</v>
      </c>
      <c r="D163" s="147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99" t="str">
        <f>"Debts Or Credits For the Comming " &amp; IF(Main!B2,TEXT(EDATE(Main!B3,38),"mmmm dd yyyy"),TEXT(Main!B3+((Main!B5-Main!B3)*38+38),"mmmm dd yyyy")) &amp; " to " &amp; IF(Main!B2,TEXT(EDATE(Main!B3,39)-1,"mmmm dd yyyy"),TEXT(Main!B3+((Main!B5-Main!B3)*39+38),"mmmm dd yyyy"))</f>
        <v>Debts Or Credits For the Comming June 11 2028 to July 10 2028</v>
      </c>
      <c r="B168" s="100"/>
      <c r="C168" s="100"/>
      <c r="D168" s="100"/>
      <c r="E168" s="101"/>
      <c r="F168" s="44"/>
      <c r="G168" s="44"/>
      <c r="H168" s="44"/>
      <c r="I168" s="9"/>
    </row>
    <row r="169" spans="1:9" ht="24.75" customHeight="1">
      <c r="A169" s="99" t="s">
        <v>94</v>
      </c>
      <c r="B169" s="101"/>
      <c r="C169" s="102" t="s">
        <v>47</v>
      </c>
      <c r="D169" s="103"/>
      <c r="E169" s="39" t="s">
        <v>48</v>
      </c>
      <c r="F169" s="44"/>
      <c r="G169" s="44"/>
      <c r="H169" s="44"/>
      <c r="I169" s="9"/>
    </row>
    <row r="170" spans="1:9" ht="24.75" customHeight="1">
      <c r="A170" s="96" t="str">
        <f>"Balance Brought Forward From " &amp;  IF(Main!B2,TEXT(EDATE(Main!B3,38)-1,"mmmm yyyy"),TEXT(Main!B3+((Main!B5-Main!B3)*38+37),"mmmm yyyy"))</f>
        <v>Balance Brought Forward From June 2028</v>
      </c>
      <c r="B170" s="97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06" t="s">
        <v>95</v>
      </c>
      <c r="B171" s="107"/>
      <c r="C171" s="112" t="s">
        <v>96</v>
      </c>
      <c r="D171" s="113"/>
      <c r="E171" s="43"/>
      <c r="F171" s="44"/>
      <c r="G171" s="44"/>
      <c r="H171" s="44"/>
      <c r="I171" s="9"/>
    </row>
    <row r="172" spans="1:9" ht="24.75" customHeight="1">
      <c r="A172" s="108"/>
      <c r="B172" s="109"/>
      <c r="C172" s="104" t="s">
        <v>97</v>
      </c>
      <c r="D172" s="105"/>
      <c r="E172" s="28">
        <v>0</v>
      </c>
      <c r="F172" s="44"/>
      <c r="G172" s="44"/>
      <c r="H172" s="44"/>
      <c r="I172" s="9"/>
    </row>
    <row r="173" spans="1:9" ht="24.75" customHeight="1">
      <c r="A173" s="108"/>
      <c r="B173" s="109"/>
      <c r="C173" s="104" t="s">
        <v>98</v>
      </c>
      <c r="D173" s="105"/>
      <c r="E173" s="28">
        <v>0</v>
      </c>
      <c r="F173" s="44"/>
      <c r="G173" s="44"/>
      <c r="H173" s="44"/>
      <c r="I173" s="9"/>
    </row>
    <row r="174" spans="1:9" ht="24.75" customHeight="1">
      <c r="A174" s="108"/>
      <c r="B174" s="109"/>
      <c r="C174" s="104" t="s">
        <v>99</v>
      </c>
      <c r="D174" s="105"/>
      <c r="E174" s="28">
        <v>0</v>
      </c>
      <c r="F174" s="44"/>
      <c r="G174" s="44"/>
      <c r="H174" s="44"/>
      <c r="I174" s="9"/>
    </row>
    <row r="175" spans="1:9" ht="24.75" customHeight="1">
      <c r="A175" s="108"/>
      <c r="B175" s="109"/>
      <c r="C175" s="104" t="s">
        <v>100</v>
      </c>
      <c r="D175" s="105"/>
      <c r="E175" s="28">
        <v>0</v>
      </c>
      <c r="F175" s="44"/>
      <c r="G175" s="44"/>
      <c r="H175" s="44"/>
      <c r="I175" s="9"/>
    </row>
    <row r="176" spans="1:9" ht="24.75" customHeight="1">
      <c r="A176" s="108"/>
      <c r="B176" s="109"/>
      <c r="C176" s="104" t="s">
        <v>101</v>
      </c>
      <c r="D176" s="105"/>
      <c r="E176" s="28">
        <v>0</v>
      </c>
      <c r="F176" s="44"/>
      <c r="G176" s="44"/>
      <c r="H176" s="44"/>
      <c r="I176" s="9"/>
    </row>
    <row r="177" spans="1:9" ht="24.75" customHeight="1">
      <c r="A177" s="108"/>
      <c r="B177" s="109"/>
      <c r="C177" s="104" t="s">
        <v>102</v>
      </c>
      <c r="D177" s="105"/>
      <c r="E177" s="28">
        <v>0</v>
      </c>
      <c r="F177" s="44"/>
      <c r="G177" s="44"/>
      <c r="H177" s="44"/>
      <c r="I177" s="9"/>
    </row>
    <row r="178" spans="1:9" ht="24.75" customHeight="1">
      <c r="A178" s="108"/>
      <c r="B178" s="109"/>
      <c r="C178" s="104" t="s">
        <v>103</v>
      </c>
      <c r="D178" s="105"/>
      <c r="E178" s="28">
        <v>0</v>
      </c>
      <c r="F178" s="44"/>
      <c r="G178" s="44"/>
      <c r="H178" s="44"/>
      <c r="I178" s="9"/>
    </row>
    <row r="179" spans="1:9" ht="24.75" customHeight="1">
      <c r="A179" s="108"/>
      <c r="B179" s="109"/>
      <c r="C179" s="104" t="s">
        <v>104</v>
      </c>
      <c r="D179" s="105"/>
      <c r="E179" s="28">
        <v>0</v>
      </c>
      <c r="F179" s="44"/>
      <c r="G179" s="44"/>
      <c r="H179" s="44"/>
      <c r="I179" s="9"/>
    </row>
    <row r="180" spans="1:9" ht="24.75" customHeight="1">
      <c r="A180" s="108"/>
      <c r="B180" s="109"/>
      <c r="C180" s="104" t="s">
        <v>105</v>
      </c>
      <c r="D180" s="105"/>
      <c r="E180" s="28">
        <v>0</v>
      </c>
      <c r="F180" s="44"/>
      <c r="G180" s="44"/>
      <c r="H180" s="44"/>
      <c r="I180" s="9"/>
    </row>
    <row r="181" spans="1:9" ht="24.75" customHeight="1">
      <c r="A181" s="108"/>
      <c r="B181" s="109"/>
      <c r="C181" s="104" t="s">
        <v>106</v>
      </c>
      <c r="D181" s="105"/>
      <c r="E181" s="28">
        <v>0</v>
      </c>
      <c r="F181" s="44"/>
      <c r="G181" s="44"/>
      <c r="H181" s="44"/>
      <c r="I181" s="9"/>
    </row>
    <row r="182" spans="1:9" ht="24.75" customHeight="1">
      <c r="A182" s="108"/>
      <c r="B182" s="109"/>
      <c r="C182" s="148" t="s">
        <v>107</v>
      </c>
      <c r="D182" s="149"/>
      <c r="E182" s="42"/>
      <c r="F182" s="44"/>
      <c r="G182" s="44"/>
      <c r="H182" s="44"/>
      <c r="I182" s="9"/>
    </row>
    <row r="183" spans="1:9" ht="24.75" customHeight="1">
      <c r="A183" s="108"/>
      <c r="B183" s="109"/>
      <c r="C183" s="150" t="s">
        <v>111</v>
      </c>
      <c r="D183" s="151"/>
      <c r="E183" s="30">
        <v>0</v>
      </c>
      <c r="F183" s="44"/>
      <c r="G183" s="44"/>
      <c r="H183" s="44"/>
      <c r="I183" s="9"/>
    </row>
    <row r="184" spans="1:9" ht="24.75" customHeight="1">
      <c r="A184" s="108"/>
      <c r="B184" s="109"/>
      <c r="C184" s="104" t="s">
        <v>97</v>
      </c>
      <c r="D184" s="105"/>
      <c r="E184" s="30">
        <v>0</v>
      </c>
      <c r="F184" s="44"/>
      <c r="G184" s="44"/>
      <c r="H184" s="44"/>
      <c r="I184" s="9"/>
    </row>
    <row r="185" spans="1:9" ht="24.75" customHeight="1">
      <c r="A185" s="108"/>
      <c r="B185" s="109"/>
      <c r="C185" s="104" t="s">
        <v>98</v>
      </c>
      <c r="D185" s="105"/>
      <c r="E185" s="30">
        <v>0</v>
      </c>
      <c r="F185" s="44"/>
      <c r="G185" s="44"/>
      <c r="H185" s="44"/>
      <c r="I185" s="9"/>
    </row>
    <row r="186" spans="1:9" ht="24.75" customHeight="1">
      <c r="A186" s="108"/>
      <c r="B186" s="109"/>
      <c r="C186" s="104" t="s">
        <v>99</v>
      </c>
      <c r="D186" s="105"/>
      <c r="E186" s="30">
        <v>0</v>
      </c>
      <c r="F186" s="44"/>
      <c r="G186" s="44"/>
      <c r="H186" s="44"/>
      <c r="I186" s="9"/>
    </row>
    <row r="187" spans="1:9" ht="24.75" customHeight="1">
      <c r="A187" s="108"/>
      <c r="B187" s="109"/>
      <c r="C187" s="104" t="s">
        <v>100</v>
      </c>
      <c r="D187" s="105"/>
      <c r="E187" s="30">
        <v>0</v>
      </c>
      <c r="F187" s="44"/>
      <c r="G187" s="44"/>
      <c r="H187" s="44"/>
      <c r="I187" s="9"/>
    </row>
    <row r="188" spans="1:9" ht="24.75" customHeight="1">
      <c r="A188" s="110"/>
      <c r="B188" s="111"/>
      <c r="C188" s="104" t="s">
        <v>101</v>
      </c>
      <c r="D188" s="105"/>
      <c r="E188" s="30">
        <v>0</v>
      </c>
      <c r="F188" s="44"/>
      <c r="G188" s="44"/>
      <c r="H188" s="44"/>
      <c r="I188" s="9"/>
    </row>
    <row r="189" spans="1:9" ht="24.75" customHeight="1">
      <c r="A189" s="96" t="s">
        <v>109</v>
      </c>
      <c r="B189" s="152"/>
      <c r="C189" s="153"/>
      <c r="D189" s="154"/>
      <c r="E189" s="30">
        <f>C96</f>
        <v>0</v>
      </c>
      <c r="F189" s="44"/>
      <c r="G189" s="44"/>
      <c r="H189" s="44"/>
      <c r="I189" s="9"/>
    </row>
    <row r="190" spans="1:9">
      <c r="A190" s="145"/>
      <c r="B190" s="146"/>
      <c r="C190" s="147" t="s">
        <v>110</v>
      </c>
      <c r="D190" s="147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 ht="24.75" customHeight="1">
      <c r="A193" s="47"/>
      <c r="B193" s="47"/>
      <c r="C193" s="47"/>
      <c r="D193" s="47"/>
      <c r="E193" s="47"/>
      <c r="F193" s="47"/>
      <c r="G193" s="47"/>
      <c r="H193" s="47"/>
      <c r="I193" s="47"/>
    </row>
    <row r="194" spans="1:9" ht="24.75" customHeight="1"/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76:C84" name="F3"/>
    <protectedRange sqref="A86:C94" name="F5"/>
    <protectedRange sqref="C117:E134" name="E1"/>
    <protectedRange sqref="C144:E161" name="E2"/>
    <protectedRange sqref="C171:E188" name="E3"/>
    <protectedRange sqref="A68:C74" name="F4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203" priority="51" operator="equal">
      <formula>0</formula>
    </cfRule>
  </conditionalFormatting>
  <conditionalFormatting sqref="C47:C55 C85 C95:C96 E144 E155:E162">
    <cfRule type="cellIs" dxfId="202" priority="50" operator="greaterThan">
      <formula>0</formula>
    </cfRule>
  </conditionalFormatting>
  <conditionalFormatting sqref="C57:C66">
    <cfRule type="cellIs" dxfId="201" priority="49" operator="equal">
      <formula>0</formula>
    </cfRule>
  </conditionalFormatting>
  <conditionalFormatting sqref="C57:C66">
    <cfRule type="cellIs" dxfId="200" priority="48" operator="greaterThan">
      <formula>0</formula>
    </cfRule>
  </conditionalFormatting>
  <conditionalFormatting sqref="C68:C69">
    <cfRule type="cellIs" dxfId="199" priority="47" operator="equal">
      <formula>0</formula>
    </cfRule>
  </conditionalFormatting>
  <conditionalFormatting sqref="C68:C69">
    <cfRule type="cellIs" dxfId="198" priority="46" operator="greaterThan">
      <formula>0</formula>
    </cfRule>
  </conditionalFormatting>
  <conditionalFormatting sqref="C75">
    <cfRule type="cellIs" dxfId="197" priority="45" operator="equal">
      <formula>0</formula>
    </cfRule>
  </conditionalFormatting>
  <conditionalFormatting sqref="C75">
    <cfRule type="cellIs" dxfId="196" priority="44" operator="greaterThan">
      <formula>0</formula>
    </cfRule>
  </conditionalFormatting>
  <conditionalFormatting sqref="C77">
    <cfRule type="cellIs" dxfId="195" priority="43" operator="equal">
      <formula>0</formula>
    </cfRule>
  </conditionalFormatting>
  <conditionalFormatting sqref="C77">
    <cfRule type="cellIs" dxfId="194" priority="42" operator="greaterThan">
      <formula>0</formula>
    </cfRule>
  </conditionalFormatting>
  <conditionalFormatting sqref="C87:C89">
    <cfRule type="cellIs" dxfId="193" priority="41" operator="equal">
      <formula>0</formula>
    </cfRule>
  </conditionalFormatting>
  <conditionalFormatting sqref="C87:C89">
    <cfRule type="cellIs" dxfId="192" priority="40" operator="greaterThan">
      <formula>0</formula>
    </cfRule>
  </conditionalFormatting>
  <conditionalFormatting sqref="E117 E128:E135">
    <cfRule type="cellIs" dxfId="191" priority="39" operator="equal">
      <formula>0</formula>
    </cfRule>
  </conditionalFormatting>
  <conditionalFormatting sqref="E117 E128:E135">
    <cfRule type="cellIs" dxfId="190" priority="38" operator="greaterThan">
      <formula>0</formula>
    </cfRule>
  </conditionalFormatting>
  <conditionalFormatting sqref="E136">
    <cfRule type="cellIs" dxfId="189" priority="37" operator="greaterThanOrEqual">
      <formula>0</formula>
    </cfRule>
  </conditionalFormatting>
  <conditionalFormatting sqref="E136">
    <cfRule type="cellIs" dxfId="188" priority="36" operator="lessThan">
      <formula>0</formula>
    </cfRule>
  </conditionalFormatting>
  <conditionalFormatting sqref="C70:C74">
    <cfRule type="cellIs" dxfId="187" priority="35" operator="equal">
      <formula>0</formula>
    </cfRule>
  </conditionalFormatting>
  <conditionalFormatting sqref="C70:C74">
    <cfRule type="cellIs" dxfId="186" priority="34" operator="greaterThan">
      <formula>0</formula>
    </cfRule>
  </conditionalFormatting>
  <conditionalFormatting sqref="C80:C84">
    <cfRule type="cellIs" dxfId="185" priority="33" operator="equal">
      <formula>0</formula>
    </cfRule>
  </conditionalFormatting>
  <conditionalFormatting sqref="C80:C84">
    <cfRule type="cellIs" dxfId="184" priority="32" operator="greaterThan">
      <formula>0</formula>
    </cfRule>
  </conditionalFormatting>
  <conditionalFormatting sqref="C92:C94">
    <cfRule type="cellIs" dxfId="183" priority="31" operator="equal">
      <formula>0</formula>
    </cfRule>
  </conditionalFormatting>
  <conditionalFormatting sqref="C92:C94">
    <cfRule type="cellIs" dxfId="182" priority="30" operator="greaterThan">
      <formula>0</formula>
    </cfRule>
  </conditionalFormatting>
  <conditionalFormatting sqref="C108:C109">
    <cfRule type="cellIs" dxfId="181" priority="29" operator="equal">
      <formula>0</formula>
    </cfRule>
  </conditionalFormatting>
  <conditionalFormatting sqref="C108:C109">
    <cfRule type="cellIs" dxfId="180" priority="28" operator="greaterThan">
      <formula>0</formula>
    </cfRule>
  </conditionalFormatting>
  <conditionalFormatting sqref="E144 E155:E162">
    <cfRule type="cellIs" dxfId="179" priority="27" operator="equal">
      <formula>0</formula>
    </cfRule>
  </conditionalFormatting>
  <conditionalFormatting sqref="E163">
    <cfRule type="cellIs" dxfId="178" priority="26" operator="greaterThanOrEqual">
      <formula>0</formula>
    </cfRule>
  </conditionalFormatting>
  <conditionalFormatting sqref="E163">
    <cfRule type="cellIs" dxfId="177" priority="25" operator="lessThan">
      <formula>0</formula>
    </cfRule>
  </conditionalFormatting>
  <conditionalFormatting sqref="E143">
    <cfRule type="cellIs" dxfId="176" priority="24" operator="greaterThanOrEqual">
      <formula>0</formula>
    </cfRule>
  </conditionalFormatting>
  <conditionalFormatting sqref="E143">
    <cfRule type="cellIs" dxfId="175" priority="23" operator="lessThan">
      <formula>0</formula>
    </cfRule>
  </conditionalFormatting>
  <conditionalFormatting sqref="E171 E182:E189">
    <cfRule type="cellIs" dxfId="174" priority="22" operator="equal">
      <formula>0</formula>
    </cfRule>
  </conditionalFormatting>
  <conditionalFormatting sqref="E171 E182:E189">
    <cfRule type="cellIs" dxfId="173" priority="21" operator="greaterThan">
      <formula>0</formula>
    </cfRule>
  </conditionalFormatting>
  <conditionalFormatting sqref="E190">
    <cfRule type="cellIs" dxfId="172" priority="20" operator="greaterThanOrEqual">
      <formula>0</formula>
    </cfRule>
  </conditionalFormatting>
  <conditionalFormatting sqref="E190">
    <cfRule type="cellIs" dxfId="171" priority="19" operator="lessThan">
      <formula>0</formula>
    </cfRule>
  </conditionalFormatting>
  <conditionalFormatting sqref="E170">
    <cfRule type="cellIs" dxfId="170" priority="18" operator="greaterThanOrEqual">
      <formula>0</formula>
    </cfRule>
  </conditionalFormatting>
  <conditionalFormatting sqref="E170">
    <cfRule type="cellIs" dxfId="169" priority="17" operator="lessThan">
      <formula>0</formula>
    </cfRule>
  </conditionalFormatting>
  <conditionalFormatting sqref="C5">
    <cfRule type="cellIs" dxfId="168" priority="16" operator="equal">
      <formula>0</formula>
    </cfRule>
  </conditionalFormatting>
  <conditionalFormatting sqref="C5">
    <cfRule type="cellIs" dxfId="167" priority="15" operator="greaterThan">
      <formula>0</formula>
    </cfRule>
  </conditionalFormatting>
  <conditionalFormatting sqref="C98:C107">
    <cfRule type="cellIs" dxfId="166" priority="14" operator="lessThan">
      <formula>0</formula>
    </cfRule>
  </conditionalFormatting>
  <conditionalFormatting sqref="C98:C107">
    <cfRule type="cellIs" dxfId="165" priority="13" operator="greaterThanOrEqual">
      <formula>0</formula>
    </cfRule>
  </conditionalFormatting>
  <conditionalFormatting sqref="E118:E127">
    <cfRule type="cellIs" dxfId="164" priority="12" operator="equal">
      <formula>0</formula>
    </cfRule>
  </conditionalFormatting>
  <conditionalFormatting sqref="E118:E127">
    <cfRule type="cellIs" dxfId="163" priority="11" operator="greaterThan">
      <formula>0</formula>
    </cfRule>
  </conditionalFormatting>
  <conditionalFormatting sqref="E145:E154">
    <cfRule type="cellIs" dxfId="162" priority="10" operator="equal">
      <formula>0</formula>
    </cfRule>
  </conditionalFormatting>
  <conditionalFormatting sqref="E145:E154">
    <cfRule type="cellIs" dxfId="161" priority="9" operator="greaterThan">
      <formula>0</formula>
    </cfRule>
  </conditionalFormatting>
  <conditionalFormatting sqref="E172:E181">
    <cfRule type="cellIs" dxfId="160" priority="8" operator="equal">
      <formula>0</formula>
    </cfRule>
  </conditionalFormatting>
  <conditionalFormatting sqref="E172:E181">
    <cfRule type="cellIs" dxfId="159" priority="7" operator="greaterThan">
      <formula>0</formula>
    </cfRule>
  </conditionalFormatting>
  <conditionalFormatting sqref="E116">
    <cfRule type="cellIs" dxfId="158" priority="6" operator="greaterThanOrEqual">
      <formula>0</formula>
    </cfRule>
  </conditionalFormatting>
  <conditionalFormatting sqref="E116">
    <cfRule type="cellIs" dxfId="157" priority="5" operator="lessThan">
      <formula>0</formula>
    </cfRule>
  </conditionalFormatting>
  <conditionalFormatting sqref="C78:C79">
    <cfRule type="cellIs" dxfId="156" priority="4" operator="equal">
      <formula>0</formula>
    </cfRule>
  </conditionalFormatting>
  <conditionalFormatting sqref="C78:C79">
    <cfRule type="cellIs" dxfId="155" priority="3" operator="greaterThan">
      <formula>0</formula>
    </cfRule>
  </conditionalFormatting>
  <conditionalFormatting sqref="C90:C91">
    <cfRule type="cellIs" dxfId="154" priority="2" operator="equal">
      <formula>0</formula>
    </cfRule>
  </conditionalFormatting>
  <conditionalFormatting sqref="C90:C91">
    <cfRule type="cellIs" dxfId="153" priority="1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BC2C-F2EB-411B-940E-2EFD2713E71D}">
  <dimension ref="A1:I193"/>
  <sheetViews>
    <sheetView topLeftCell="A9" workbookViewId="0">
      <selection activeCell="A22" sqref="A22:G28"/>
    </sheetView>
  </sheetViews>
  <sheetFormatPr defaultRowHeight="15"/>
  <cols>
    <col min="1" max="2" width="20.625" customWidth="1"/>
    <col min="3" max="3" width="35.25" customWidth="1"/>
    <col min="4" max="9" width="20.625" customWidth="1"/>
  </cols>
  <sheetData>
    <row r="1" spans="1:9" ht="24.75" customHeight="1">
      <c r="A1" s="177" t="str">
        <f>"Forecasts For the Year " &amp; IF(Main!B2,TEXT(EDATE(Main!B3,39),"mmmm yyyy"),TEXT(Main!B3+((Main!B5-Main!B3)*39+39),"mmmm yyyy")) &amp; " to " &amp; IF(Main!B2,TEXT(EDATE(Main!B3,42)-1,"mmmm yyyy"),TEXT(Main!B3+((Main!B5-Main!B3)*42+41),"mmmm yyyy"))</f>
        <v>Forecasts For the Year July 2028 to October 2028</v>
      </c>
      <c r="B1" s="177"/>
      <c r="C1" s="177"/>
      <c r="D1" s="177"/>
      <c r="E1" s="177"/>
      <c r="F1" s="177"/>
      <c r="G1" s="177"/>
      <c r="H1" s="47"/>
      <c r="I1" s="47"/>
    </row>
    <row r="2" spans="1:9" ht="24.75" customHeight="1">
      <c r="A2" s="159" t="s">
        <v>31</v>
      </c>
      <c r="B2" s="48" t="s">
        <v>112</v>
      </c>
      <c r="C2" s="161" cm="1">
        <f t="array" aca="1" ref="C2" ca="1">INDIRECT("'" &amp; Main!B9 &amp; "'!$C$15")</f>
        <v>0</v>
      </c>
      <c r="D2" s="161"/>
      <c r="E2" s="161"/>
      <c r="F2" s="161"/>
      <c r="G2" s="161"/>
      <c r="H2" s="47"/>
      <c r="I2" s="47"/>
    </row>
    <row r="3" spans="1:9" ht="24.75" customHeight="1">
      <c r="A3" s="160"/>
      <c r="B3" s="41" t="s">
        <v>113</v>
      </c>
      <c r="C3" s="162">
        <f>E190</f>
        <v>0</v>
      </c>
      <c r="D3" s="162"/>
      <c r="E3" s="162"/>
      <c r="F3" s="162"/>
      <c r="G3" s="162"/>
      <c r="H3" s="47"/>
      <c r="I3" s="47"/>
    </row>
    <row r="4" spans="1:9" ht="24.75" customHeight="1">
      <c r="A4" s="174" t="s">
        <v>45</v>
      </c>
      <c r="B4" s="175"/>
      <c r="C4" s="163">
        <f ca="1">SUM(C2:G3)</f>
        <v>0</v>
      </c>
      <c r="D4" s="163"/>
      <c r="E4" s="163"/>
      <c r="F4" s="163"/>
      <c r="G4" s="163"/>
      <c r="H4" s="44"/>
      <c r="I4" s="9"/>
    </row>
    <row r="5" spans="1:9" ht="24.75" customHeight="1">
      <c r="A5" s="176" t="s">
        <v>114</v>
      </c>
      <c r="B5" s="176"/>
      <c r="C5" s="164">
        <f>C108</f>
        <v>0</v>
      </c>
      <c r="D5" s="165"/>
      <c r="E5" s="165"/>
      <c r="F5" s="165"/>
      <c r="G5" s="165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32" t="str">
        <f>IF(Main!B2,TEXT(EDATE(Main!B3,39),"dd mmmm yyyy"),TEXT(Main!B3+((Main!B5-Main!B3)*39+39),"dd mmmm yyyy")) &amp; " - " &amp; IF(Main!B2,TEXT(EDATE(Main!B3,40)-1,"dd mmmm yyyy"),TEXT(Main!B3+((Main!B5-Main!B3)*40+39),"dd mmmm yyyy")) &amp; " / " &amp; " (Revenue / Deferred Debts Or Expenses)"</f>
        <v>11 July 2028 - 10 August 2028 /  (Revenue / Deferred Debts Or Expenses)</v>
      </c>
      <c r="B8" s="133"/>
      <c r="C8" s="133"/>
      <c r="D8" s="133"/>
      <c r="E8" s="133"/>
      <c r="F8" s="133"/>
      <c r="G8" s="133"/>
      <c r="H8" s="44"/>
      <c r="I8" s="37"/>
    </row>
    <row r="9" spans="1:9" ht="24.75" customHeight="1">
      <c r="A9" s="81" t="s">
        <v>27</v>
      </c>
      <c r="B9" s="120" t="s">
        <v>46</v>
      </c>
      <c r="C9" s="120"/>
      <c r="D9" s="121" t="s">
        <v>47</v>
      </c>
      <c r="E9" s="121"/>
      <c r="F9" s="121" t="s">
        <v>48</v>
      </c>
      <c r="G9" s="121"/>
      <c r="H9" s="44"/>
      <c r="I9" s="9"/>
    </row>
    <row r="10" spans="1:9" ht="24.75" customHeight="1">
      <c r="A10" s="2" t="s">
        <v>115</v>
      </c>
      <c r="B10" s="122" t="s">
        <v>50</v>
      </c>
      <c r="C10" s="122"/>
      <c r="D10" s="122" t="s">
        <v>51</v>
      </c>
      <c r="E10" s="122"/>
      <c r="F10" s="123">
        <v>0</v>
      </c>
      <c r="G10" s="124"/>
      <c r="H10" s="44"/>
      <c r="I10" s="9"/>
    </row>
    <row r="11" spans="1:9" ht="24.75" customHeight="1">
      <c r="A11" s="2"/>
      <c r="B11" s="125" t="s">
        <v>40</v>
      </c>
      <c r="C11" s="126"/>
      <c r="D11" s="127"/>
      <c r="E11" s="128"/>
      <c r="F11" s="123">
        <v>0</v>
      </c>
      <c r="G11" s="124"/>
      <c r="H11" s="44"/>
      <c r="I11" s="9"/>
    </row>
    <row r="12" spans="1:9" ht="24.75" customHeight="1">
      <c r="A12" s="2"/>
      <c r="B12" s="125" t="s">
        <v>41</v>
      </c>
      <c r="C12" s="126"/>
      <c r="D12" s="127"/>
      <c r="E12" s="128"/>
      <c r="F12" s="123">
        <v>0</v>
      </c>
      <c r="G12" s="124"/>
      <c r="H12" s="44"/>
      <c r="I12" s="9"/>
    </row>
    <row r="13" spans="1:9" ht="24.75" customHeight="1">
      <c r="A13" s="2"/>
      <c r="B13" s="125" t="s">
        <v>42</v>
      </c>
      <c r="C13" s="126"/>
      <c r="D13" s="127"/>
      <c r="E13" s="128"/>
      <c r="F13" s="123">
        <v>0</v>
      </c>
      <c r="G13" s="124"/>
      <c r="H13" s="44"/>
      <c r="I13" s="9"/>
    </row>
    <row r="14" spans="1:9" ht="24.75" customHeight="1">
      <c r="A14" s="2"/>
      <c r="B14" s="125" t="s">
        <v>43</v>
      </c>
      <c r="C14" s="126"/>
      <c r="D14" s="127"/>
      <c r="E14" s="128"/>
      <c r="F14" s="123">
        <v>0</v>
      </c>
      <c r="G14" s="124"/>
      <c r="H14" s="44"/>
      <c r="I14" s="9"/>
    </row>
    <row r="15" spans="1:9" ht="24.75" customHeight="1">
      <c r="A15" s="2"/>
      <c r="B15" s="125" t="s">
        <v>44</v>
      </c>
      <c r="C15" s="126"/>
      <c r="D15" s="127"/>
      <c r="E15" s="128"/>
      <c r="F15" s="123">
        <v>0</v>
      </c>
      <c r="G15" s="124"/>
      <c r="H15" s="44"/>
      <c r="I15" s="9"/>
    </row>
    <row r="16" spans="1:9" ht="24.75" customHeight="1">
      <c r="A16" s="45"/>
      <c r="B16" s="166"/>
      <c r="C16" s="167"/>
      <c r="D16" s="116" t="s">
        <v>52</v>
      </c>
      <c r="E16" s="117"/>
      <c r="F16" s="118">
        <f>SUM(F10:G15)</f>
        <v>0</v>
      </c>
      <c r="G16" s="119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32" t="str">
        <f>IF(Main!B2,TEXT(EDATE(Main!B3,40),"dd mmmm yyyy"),TEXT(Main!B3+((Main!B5-Main!B3)*40+40),"dd mmmm yyyy")) &amp; " - " &amp; IF(Main!B2,TEXT(EDATE(Main!B3,41)-1,"dd mmmm yyyy"),TEXT(Main!B3+((Main!B5-Main!B3)*41+40),"dd mmmm yyyy")) &amp; " / " &amp; " (Revenue / Deferred Debts Or Expenses)"</f>
        <v>11 August 2028 - 10 September 2028 /  (Revenue / Deferred Debts Or Expenses)</v>
      </c>
      <c r="B20" s="133"/>
      <c r="C20" s="133"/>
      <c r="D20" s="133"/>
      <c r="E20" s="133"/>
      <c r="F20" s="133"/>
      <c r="G20" s="133"/>
      <c r="H20" s="44"/>
      <c r="I20" s="9"/>
    </row>
    <row r="21" spans="1:9" ht="24.75" customHeight="1">
      <c r="A21" s="81" t="s">
        <v>27</v>
      </c>
      <c r="B21" s="120" t="s">
        <v>46</v>
      </c>
      <c r="C21" s="120"/>
      <c r="D21" s="121" t="s">
        <v>47</v>
      </c>
      <c r="E21" s="121"/>
      <c r="F21" s="121" t="s">
        <v>48</v>
      </c>
      <c r="G21" s="121"/>
      <c r="H21" s="44"/>
      <c r="I21" s="9"/>
    </row>
    <row r="22" spans="1:9" ht="24.75" customHeight="1">
      <c r="A22" s="2" t="s">
        <v>116</v>
      </c>
      <c r="B22" s="122" t="s">
        <v>54</v>
      </c>
      <c r="C22" s="122"/>
      <c r="D22" s="122" t="s">
        <v>55</v>
      </c>
      <c r="E22" s="122"/>
      <c r="F22" s="123">
        <v>0</v>
      </c>
      <c r="G22" s="124"/>
      <c r="H22" s="44"/>
      <c r="I22" s="9"/>
    </row>
    <row r="23" spans="1:9" ht="24.75" customHeight="1">
      <c r="A23" s="2"/>
      <c r="B23" s="125" t="s">
        <v>40</v>
      </c>
      <c r="C23" s="126"/>
      <c r="D23" s="127"/>
      <c r="E23" s="128"/>
      <c r="F23" s="123">
        <v>0</v>
      </c>
      <c r="G23" s="124"/>
      <c r="H23" s="44"/>
      <c r="I23" s="9"/>
    </row>
    <row r="24" spans="1:9" ht="24.75" customHeight="1">
      <c r="A24" s="2"/>
      <c r="B24" s="125" t="s">
        <v>41</v>
      </c>
      <c r="C24" s="126"/>
      <c r="D24" s="127"/>
      <c r="E24" s="128"/>
      <c r="F24" s="123">
        <v>0</v>
      </c>
      <c r="G24" s="124"/>
      <c r="H24" s="44"/>
      <c r="I24" s="9"/>
    </row>
    <row r="25" spans="1:9" ht="24.75" customHeight="1">
      <c r="A25" s="2"/>
      <c r="B25" s="125" t="s">
        <v>42</v>
      </c>
      <c r="C25" s="126"/>
      <c r="D25" s="127"/>
      <c r="E25" s="128"/>
      <c r="F25" s="123">
        <v>0</v>
      </c>
      <c r="G25" s="124"/>
      <c r="H25" s="44"/>
      <c r="I25" s="9"/>
    </row>
    <row r="26" spans="1:9" ht="24.75" customHeight="1">
      <c r="A26" s="2"/>
      <c r="B26" s="125" t="s">
        <v>43</v>
      </c>
      <c r="C26" s="126"/>
      <c r="D26" s="127"/>
      <c r="E26" s="128"/>
      <c r="F26" s="123">
        <v>0</v>
      </c>
      <c r="G26" s="124"/>
      <c r="H26" s="44"/>
      <c r="I26" s="9"/>
    </row>
    <row r="27" spans="1:9" ht="24.75" customHeight="1">
      <c r="A27" s="2"/>
      <c r="B27" s="125" t="s">
        <v>44</v>
      </c>
      <c r="C27" s="126"/>
      <c r="D27" s="127"/>
      <c r="E27" s="128"/>
      <c r="F27" s="123">
        <v>0</v>
      </c>
      <c r="G27" s="124"/>
      <c r="H27" s="44"/>
      <c r="I27" s="9"/>
    </row>
    <row r="28" spans="1:9" ht="24.75" customHeight="1">
      <c r="A28" s="45"/>
      <c r="B28" s="166"/>
      <c r="C28" s="167"/>
      <c r="D28" s="116" t="s">
        <v>52</v>
      </c>
      <c r="E28" s="117"/>
      <c r="F28" s="118">
        <f>SUM(F22:G27)</f>
        <v>0</v>
      </c>
      <c r="G28" s="119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32" t="str">
        <f>IF(Main!B2,TEXT(EDATE(Main!B3,41),"dd mmmm yyyy"),TEXT(Main!B3+((Main!B5-Main!B3)*41+41),"dd mmmm yyyy")) &amp; " - " &amp; IF(Main!B2,TEXT(EDATE(Main!B3,42)-1,"dd mmmm yyyy"),TEXT(Main!B3+((Main!B5-Main!B3)*42+41),"dd mmmm yyyy")) &amp; " / " &amp; " (Revenue / Deferred Debts Or Expenses)"</f>
        <v>11 September 2028 - 10 October 2028 /  (Revenue / Deferred Debts Or Expenses)</v>
      </c>
      <c r="B32" s="133"/>
      <c r="C32" s="133"/>
      <c r="D32" s="133"/>
      <c r="E32" s="133"/>
      <c r="F32" s="133"/>
      <c r="G32" s="133"/>
      <c r="H32" s="44"/>
      <c r="I32" s="9"/>
    </row>
    <row r="33" spans="1:9" ht="24.75" customHeight="1">
      <c r="A33" s="81" t="s">
        <v>27</v>
      </c>
      <c r="B33" s="120" t="s">
        <v>46</v>
      </c>
      <c r="C33" s="120"/>
      <c r="D33" s="121" t="s">
        <v>47</v>
      </c>
      <c r="E33" s="121"/>
      <c r="F33" s="121" t="s">
        <v>48</v>
      </c>
      <c r="G33" s="121"/>
      <c r="H33" s="44"/>
      <c r="I33" s="9"/>
    </row>
    <row r="34" spans="1:9" ht="24.75" customHeight="1">
      <c r="A34" s="2" t="s">
        <v>117</v>
      </c>
      <c r="B34" s="122" t="s">
        <v>54</v>
      </c>
      <c r="C34" s="122"/>
      <c r="D34" s="122" t="s">
        <v>55</v>
      </c>
      <c r="E34" s="122"/>
      <c r="F34" s="123">
        <v>0</v>
      </c>
      <c r="G34" s="124"/>
      <c r="H34" s="44"/>
      <c r="I34" s="9"/>
    </row>
    <row r="35" spans="1:9" ht="24.75" customHeight="1">
      <c r="A35" s="2"/>
      <c r="B35" s="125" t="s">
        <v>40</v>
      </c>
      <c r="C35" s="126"/>
      <c r="D35" s="127"/>
      <c r="E35" s="128"/>
      <c r="F35" s="123">
        <v>0</v>
      </c>
      <c r="G35" s="124"/>
      <c r="H35" s="44"/>
      <c r="I35" s="9"/>
    </row>
    <row r="36" spans="1:9" ht="24.75" customHeight="1">
      <c r="A36" s="2"/>
      <c r="B36" s="125" t="s">
        <v>41</v>
      </c>
      <c r="C36" s="126"/>
      <c r="D36" s="127"/>
      <c r="E36" s="128"/>
      <c r="F36" s="123">
        <v>0</v>
      </c>
      <c r="G36" s="124"/>
      <c r="H36" s="44"/>
      <c r="I36" s="37"/>
    </row>
    <row r="37" spans="1:9" ht="24.75" customHeight="1">
      <c r="A37" s="2"/>
      <c r="B37" s="125" t="s">
        <v>42</v>
      </c>
      <c r="C37" s="126"/>
      <c r="D37" s="127"/>
      <c r="E37" s="128"/>
      <c r="F37" s="123">
        <v>0</v>
      </c>
      <c r="G37" s="124"/>
      <c r="H37" s="44"/>
      <c r="I37" s="9"/>
    </row>
    <row r="38" spans="1:9" ht="24.75" customHeight="1">
      <c r="A38" s="2"/>
      <c r="B38" s="125" t="s">
        <v>43</v>
      </c>
      <c r="C38" s="126"/>
      <c r="D38" s="127"/>
      <c r="E38" s="128"/>
      <c r="F38" s="123">
        <v>0</v>
      </c>
      <c r="G38" s="124"/>
      <c r="H38" s="44"/>
      <c r="I38" s="9"/>
    </row>
    <row r="39" spans="1:9" ht="24.75" customHeight="1">
      <c r="A39" s="2"/>
      <c r="B39" s="125" t="s">
        <v>44</v>
      </c>
      <c r="C39" s="126"/>
      <c r="D39" s="127"/>
      <c r="E39" s="128"/>
      <c r="F39" s="123">
        <v>0</v>
      </c>
      <c r="G39" s="124"/>
      <c r="H39" s="44"/>
      <c r="I39" s="9"/>
    </row>
    <row r="40" spans="1:9" ht="24.75" customHeight="1">
      <c r="A40" s="45"/>
      <c r="B40" s="166"/>
      <c r="C40" s="167"/>
      <c r="D40" s="116" t="s">
        <v>52</v>
      </c>
      <c r="E40" s="117"/>
      <c r="F40" s="118">
        <f>SUM(F34:G39)</f>
        <v>0</v>
      </c>
      <c r="G40" s="119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IF(Main!B2,TEXT(EDATE(Main!B3,39),"mmmm yyyy"),TEXT(Main!B3+((Main!B5-Main!B3)*39+39),"mmmm yyyy")) &amp; " to " &amp; IF(Main!B2,TEXT(EDATE(Main!B3,42)-1,"mmmm yyyy"),TEXT(Main!B3+((Main!B5-Main!B3)*42+41),"mmmm yyyy"))</f>
        <v>Fixed Expense For the Year July 2028 to October 2028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2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71" t="s">
        <v>57</v>
      </c>
      <c r="B46" s="172"/>
      <c r="C46" s="173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71" t="s">
        <v>62</v>
      </c>
      <c r="B56" s="172"/>
      <c r="C56" s="173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71" t="s">
        <v>67</v>
      </c>
      <c r="B67" s="172"/>
      <c r="C67" s="173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71" t="s">
        <v>72</v>
      </c>
      <c r="B76" s="172"/>
      <c r="C76" s="173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71" t="s">
        <v>77</v>
      </c>
      <c r="B86" s="172"/>
      <c r="C86" s="173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71" t="s">
        <v>86</v>
      </c>
      <c r="B97" s="172"/>
      <c r="C97" s="173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(Forecast_13!C98)+SUM(E118+E145+E172)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(Forecast_13!C99)+SUM(E119+E146+E173)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(Forecast_13!C100)+SUM(E120+E147+E174)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(Forecast_13!C101)+SUM(E121+E148+E175)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(Forecast_13!C102)+SUM(E122+E149+E176)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(Forecast_13!C103)+SUM(E123+E150+E177)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(Forecast_13!C104)+SUM(E124+E151+E178)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(Forecast_13!C105)+SUM(E125+E152+E179)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(Forecast_13!C106)+SUM(E126+E153+E180)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(Forecast_13!C107)+SUM(E127+E154+E181)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99" t="str">
        <f>"Debts Or Credits For the Comming " &amp; IF(Main!B2,TEXT(EDATE(Main!B3,39),"mmmm dd yyyy"),TEXT(Main!B3+((Main!B5-Main!B3)*39+39),"mmmm dd yyyy")) &amp; " to " &amp; IF(Main!B2,TEXT(EDATE(Main!B3,40)-1,"mmmm dd yyyy"),TEXT(Main!B3+((Main!B5-Main!B3)*40+39),"mmmm dd yyyy"))</f>
        <v>Debts Or Credits For the Comming July 11 2028 to August 10 2028</v>
      </c>
      <c r="B114" s="100"/>
      <c r="C114" s="100"/>
      <c r="D114" s="100"/>
      <c r="E114" s="101"/>
      <c r="F114" s="44"/>
      <c r="G114" s="44"/>
      <c r="H114" s="44"/>
      <c r="I114" s="9"/>
    </row>
    <row r="115" spans="1:9" ht="24.75" customHeight="1">
      <c r="A115" s="99" t="s">
        <v>94</v>
      </c>
      <c r="B115" s="101"/>
      <c r="C115" s="99" t="s">
        <v>47</v>
      </c>
      <c r="D115" s="101"/>
      <c r="E115" s="29" t="s">
        <v>48</v>
      </c>
      <c r="F115" s="44"/>
      <c r="G115" s="44"/>
      <c r="H115" s="44"/>
      <c r="I115" s="9"/>
    </row>
    <row r="116" spans="1:9" ht="24.75" customHeight="1">
      <c r="A116" s="96" t="str">
        <f>"Balance Brought Forward From " &amp; IF(Main!B2,TEXT(EDATE(Main!B3,39)-1,"mmmm yyyy"),TEXT(Main!B3+((Main!B5-Main!B3)*39+38),"mmmm yyyy"))</f>
        <v>Balance Brought Forward From July 2028</v>
      </c>
      <c r="B116" s="97"/>
      <c r="C116" s="158"/>
      <c r="D116" s="158"/>
      <c r="E116" s="51">
        <f>Forecast_13!E190</f>
        <v>0</v>
      </c>
      <c r="F116" s="44"/>
      <c r="G116" s="44"/>
      <c r="H116" s="44"/>
      <c r="I116" s="9"/>
    </row>
    <row r="117" spans="1:9" ht="24.75" customHeight="1">
      <c r="A117" s="106" t="s">
        <v>95</v>
      </c>
      <c r="B117" s="107"/>
      <c r="C117" s="157" t="s">
        <v>96</v>
      </c>
      <c r="D117" s="149"/>
      <c r="E117" s="42"/>
      <c r="F117" s="44"/>
      <c r="G117" s="44"/>
      <c r="H117" s="44"/>
      <c r="I117" s="9"/>
    </row>
    <row r="118" spans="1:9" ht="24.75" customHeight="1">
      <c r="A118" s="108"/>
      <c r="B118" s="109"/>
      <c r="C118" s="104" t="s">
        <v>97</v>
      </c>
      <c r="D118" s="105"/>
      <c r="E118" s="28">
        <v>0</v>
      </c>
      <c r="F118" s="44"/>
      <c r="G118" s="44"/>
      <c r="H118" s="44"/>
      <c r="I118" s="9"/>
    </row>
    <row r="119" spans="1:9" ht="24.75" customHeight="1">
      <c r="A119" s="108"/>
      <c r="B119" s="109"/>
      <c r="C119" s="104" t="s">
        <v>98</v>
      </c>
      <c r="D119" s="105"/>
      <c r="E119" s="28">
        <v>0</v>
      </c>
      <c r="F119" s="44"/>
      <c r="G119" s="44"/>
      <c r="H119" s="44"/>
      <c r="I119" s="9"/>
    </row>
    <row r="120" spans="1:9" ht="24.75" customHeight="1">
      <c r="A120" s="108"/>
      <c r="B120" s="109"/>
      <c r="C120" s="104" t="s">
        <v>99</v>
      </c>
      <c r="D120" s="105"/>
      <c r="E120" s="28">
        <v>0</v>
      </c>
      <c r="F120" s="44"/>
      <c r="G120" s="44"/>
      <c r="H120" s="44"/>
      <c r="I120" s="9"/>
    </row>
    <row r="121" spans="1:9" ht="24.75" customHeight="1">
      <c r="A121" s="108"/>
      <c r="B121" s="109"/>
      <c r="C121" s="104" t="s">
        <v>100</v>
      </c>
      <c r="D121" s="105"/>
      <c r="E121" s="28">
        <v>0</v>
      </c>
      <c r="F121" s="44"/>
      <c r="G121" s="44"/>
      <c r="H121" s="44"/>
      <c r="I121" s="9"/>
    </row>
    <row r="122" spans="1:9" ht="24.75" customHeight="1">
      <c r="A122" s="108"/>
      <c r="B122" s="109"/>
      <c r="C122" s="104" t="s">
        <v>101</v>
      </c>
      <c r="D122" s="105"/>
      <c r="E122" s="28">
        <v>0</v>
      </c>
      <c r="F122" s="44"/>
      <c r="G122" s="44"/>
      <c r="H122" s="44"/>
      <c r="I122" s="9"/>
    </row>
    <row r="123" spans="1:9" ht="24.75" customHeight="1">
      <c r="A123" s="108"/>
      <c r="B123" s="109"/>
      <c r="C123" s="104" t="s">
        <v>102</v>
      </c>
      <c r="D123" s="105"/>
      <c r="E123" s="28">
        <v>0</v>
      </c>
      <c r="F123" s="44"/>
      <c r="G123" s="44"/>
      <c r="H123" s="44"/>
      <c r="I123" s="9"/>
    </row>
    <row r="124" spans="1:9" ht="24.75" customHeight="1">
      <c r="A124" s="108"/>
      <c r="B124" s="109"/>
      <c r="C124" s="104" t="s">
        <v>103</v>
      </c>
      <c r="D124" s="105"/>
      <c r="E124" s="28">
        <v>0</v>
      </c>
      <c r="F124" s="44"/>
      <c r="G124" s="44"/>
      <c r="H124" s="44"/>
      <c r="I124" s="9"/>
    </row>
    <row r="125" spans="1:9" ht="24.75" customHeight="1">
      <c r="A125" s="108"/>
      <c r="B125" s="109"/>
      <c r="C125" s="104" t="s">
        <v>104</v>
      </c>
      <c r="D125" s="105"/>
      <c r="E125" s="28">
        <v>0</v>
      </c>
      <c r="F125" s="44"/>
      <c r="G125" s="44"/>
      <c r="H125" s="44"/>
      <c r="I125" s="9"/>
    </row>
    <row r="126" spans="1:9" ht="24.75" customHeight="1">
      <c r="A126" s="108"/>
      <c r="B126" s="109"/>
      <c r="C126" s="104" t="s">
        <v>105</v>
      </c>
      <c r="D126" s="105"/>
      <c r="E126" s="28">
        <v>0</v>
      </c>
      <c r="F126" s="44"/>
      <c r="G126" s="44"/>
      <c r="H126" s="44"/>
      <c r="I126" s="9"/>
    </row>
    <row r="127" spans="1:9" ht="24.75" customHeight="1">
      <c r="A127" s="108"/>
      <c r="B127" s="109"/>
      <c r="C127" s="104" t="s">
        <v>106</v>
      </c>
      <c r="D127" s="105"/>
      <c r="E127" s="28">
        <v>0</v>
      </c>
      <c r="F127" s="44"/>
      <c r="G127" s="44"/>
      <c r="H127" s="44"/>
      <c r="I127" s="9"/>
    </row>
    <row r="128" spans="1:9" ht="24.75" customHeight="1">
      <c r="A128" s="108"/>
      <c r="B128" s="109"/>
      <c r="C128" s="148" t="s">
        <v>107</v>
      </c>
      <c r="D128" s="149"/>
      <c r="E128" s="42"/>
      <c r="F128" s="44"/>
      <c r="G128" s="44"/>
      <c r="H128" s="44"/>
      <c r="I128" s="9"/>
    </row>
    <row r="129" spans="1:9" ht="24.75" customHeight="1">
      <c r="A129" s="108"/>
      <c r="B129" s="109"/>
      <c r="C129" s="150" t="s">
        <v>108</v>
      </c>
      <c r="D129" s="151"/>
      <c r="E129" s="30">
        <v>0</v>
      </c>
      <c r="F129" s="44"/>
      <c r="G129" s="44"/>
      <c r="H129" s="44"/>
      <c r="I129" s="9"/>
    </row>
    <row r="130" spans="1:9" ht="24.75" customHeight="1">
      <c r="A130" s="108"/>
      <c r="B130" s="109"/>
      <c r="C130" s="104" t="s">
        <v>97</v>
      </c>
      <c r="D130" s="105"/>
      <c r="E130" s="30">
        <v>0</v>
      </c>
      <c r="F130" s="44"/>
      <c r="G130" s="44"/>
      <c r="H130" s="44"/>
      <c r="I130" s="9"/>
    </row>
    <row r="131" spans="1:9" ht="24.75" customHeight="1">
      <c r="A131" s="108"/>
      <c r="B131" s="109"/>
      <c r="C131" s="104" t="s">
        <v>98</v>
      </c>
      <c r="D131" s="105"/>
      <c r="E131" s="30">
        <v>0</v>
      </c>
      <c r="F131" s="44"/>
      <c r="G131" s="44"/>
      <c r="H131" s="44"/>
      <c r="I131" s="9"/>
    </row>
    <row r="132" spans="1:9" ht="24.75" customHeight="1">
      <c r="A132" s="108"/>
      <c r="B132" s="109"/>
      <c r="C132" s="104" t="s">
        <v>99</v>
      </c>
      <c r="D132" s="105"/>
      <c r="E132" s="30">
        <v>0</v>
      </c>
      <c r="F132" s="44"/>
      <c r="G132" s="44"/>
      <c r="H132" s="44"/>
      <c r="I132" s="9"/>
    </row>
    <row r="133" spans="1:9" ht="24.75" customHeight="1">
      <c r="A133" s="108"/>
      <c r="B133" s="109"/>
      <c r="C133" s="104" t="s">
        <v>100</v>
      </c>
      <c r="D133" s="105"/>
      <c r="E133" s="30">
        <v>0</v>
      </c>
      <c r="F133" s="44"/>
      <c r="G133" s="44"/>
      <c r="H133" s="44"/>
      <c r="I133" s="9"/>
    </row>
    <row r="134" spans="1:9" ht="24.75" customHeight="1">
      <c r="A134" s="110"/>
      <c r="B134" s="111"/>
      <c r="C134" s="104" t="s">
        <v>101</v>
      </c>
      <c r="D134" s="105"/>
      <c r="E134" s="30">
        <v>0</v>
      </c>
      <c r="F134" s="44"/>
      <c r="G134" s="44"/>
      <c r="H134" s="44"/>
      <c r="I134" s="9"/>
    </row>
    <row r="135" spans="1:9" ht="24.75" customHeight="1">
      <c r="A135" s="96" t="s">
        <v>109</v>
      </c>
      <c r="B135" s="152"/>
      <c r="C135" s="153"/>
      <c r="D135" s="154"/>
      <c r="E135" s="30">
        <f>C96</f>
        <v>0</v>
      </c>
      <c r="F135" s="44"/>
      <c r="G135" s="44"/>
      <c r="H135" s="44"/>
      <c r="I135" s="9"/>
    </row>
    <row r="136" spans="1:9" ht="24.75" customHeight="1">
      <c r="A136" s="145"/>
      <c r="B136" s="146"/>
      <c r="C136" s="147" t="s">
        <v>110</v>
      </c>
      <c r="D136" s="147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99" t="str">
        <f>"Debts Or Credits For the Comming " &amp; IF(Main!B2,TEXT(EDATE(Main!B3,40),"mmmm dd yyyy"),TEXT(Main!B3+((Main!B5-Main!B3)*40+40),"dd mmmm yyyy")) &amp; " to " &amp;  IF(Main!B2,TEXT(EDATE(Main!B3,41)-1,"mmmm dd yyyy"),TEXT(Main!B3+((Main!B5-Main!B3)*41+40),"mmmm dd yyyy"))</f>
        <v>Debts Or Credits For the Comming August 11 2028 to September 10 2028</v>
      </c>
      <c r="B141" s="100"/>
      <c r="C141" s="100"/>
      <c r="D141" s="100"/>
      <c r="E141" s="101"/>
      <c r="F141" s="44"/>
      <c r="G141" s="44"/>
      <c r="H141" s="44"/>
      <c r="I141" s="9"/>
    </row>
    <row r="142" spans="1:9" ht="24.75" customHeight="1">
      <c r="A142" s="99" t="s">
        <v>94</v>
      </c>
      <c r="B142" s="101"/>
      <c r="C142" s="102" t="s">
        <v>47</v>
      </c>
      <c r="D142" s="103"/>
      <c r="E142" s="39" t="s">
        <v>48</v>
      </c>
      <c r="F142" s="44"/>
      <c r="G142" s="44"/>
      <c r="H142" s="44"/>
      <c r="I142" s="9"/>
    </row>
    <row r="143" spans="1:9" ht="24.75" customHeight="1">
      <c r="A143" s="96" t="str">
        <f>"Balance Brought Forward From " &amp; IF(Main!B2,TEXT(EDATE(Main!B3,40)-1,"mmmm yyyy"),TEXT(Main!B3+((Main!B5-Main!B3)*40+39),"mmmm yyyy"))</f>
        <v>Balance Brought Forward From August 2028</v>
      </c>
      <c r="B143" s="97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06" t="s">
        <v>95</v>
      </c>
      <c r="B144" s="107"/>
      <c r="C144" s="112" t="s">
        <v>96</v>
      </c>
      <c r="D144" s="113"/>
      <c r="E144" s="43"/>
      <c r="F144" s="44"/>
      <c r="G144" s="44"/>
      <c r="H144" s="44"/>
      <c r="I144" s="9"/>
    </row>
    <row r="145" spans="1:9" ht="24.75" customHeight="1">
      <c r="A145" s="108"/>
      <c r="B145" s="109"/>
      <c r="C145" s="104" t="s">
        <v>97</v>
      </c>
      <c r="D145" s="105"/>
      <c r="E145" s="28">
        <v>0</v>
      </c>
      <c r="F145" s="44"/>
      <c r="G145" s="44"/>
      <c r="H145" s="44"/>
      <c r="I145" s="9"/>
    </row>
    <row r="146" spans="1:9" ht="24.75" customHeight="1">
      <c r="A146" s="108"/>
      <c r="B146" s="109"/>
      <c r="C146" s="104" t="s">
        <v>98</v>
      </c>
      <c r="D146" s="105"/>
      <c r="E146" s="28">
        <v>0</v>
      </c>
      <c r="F146" s="44"/>
      <c r="G146" s="44"/>
      <c r="H146" s="44"/>
      <c r="I146" s="9"/>
    </row>
    <row r="147" spans="1:9" ht="24.75" customHeight="1">
      <c r="A147" s="108"/>
      <c r="B147" s="109"/>
      <c r="C147" s="104" t="s">
        <v>99</v>
      </c>
      <c r="D147" s="105"/>
      <c r="E147" s="28">
        <v>0</v>
      </c>
      <c r="F147" s="44"/>
      <c r="G147" s="44"/>
      <c r="H147" s="44"/>
      <c r="I147" s="9"/>
    </row>
    <row r="148" spans="1:9" ht="24.75" customHeight="1">
      <c r="A148" s="108"/>
      <c r="B148" s="109"/>
      <c r="C148" s="104" t="s">
        <v>100</v>
      </c>
      <c r="D148" s="105"/>
      <c r="E148" s="28">
        <v>0</v>
      </c>
      <c r="F148" s="44"/>
      <c r="G148" s="44"/>
      <c r="H148" s="44"/>
      <c r="I148" s="9"/>
    </row>
    <row r="149" spans="1:9" ht="24.75" customHeight="1">
      <c r="A149" s="108"/>
      <c r="B149" s="109"/>
      <c r="C149" s="104" t="s">
        <v>101</v>
      </c>
      <c r="D149" s="105"/>
      <c r="E149" s="28">
        <v>0</v>
      </c>
      <c r="F149" s="44"/>
      <c r="G149" s="44"/>
      <c r="H149" s="44"/>
      <c r="I149" s="9"/>
    </row>
    <row r="150" spans="1:9" ht="24.75" customHeight="1">
      <c r="A150" s="108"/>
      <c r="B150" s="109"/>
      <c r="C150" s="104" t="s">
        <v>102</v>
      </c>
      <c r="D150" s="105"/>
      <c r="E150" s="28">
        <v>0</v>
      </c>
      <c r="F150" s="44"/>
      <c r="G150" s="44"/>
      <c r="H150" s="44"/>
      <c r="I150" s="9"/>
    </row>
    <row r="151" spans="1:9" ht="24.75" customHeight="1">
      <c r="A151" s="108"/>
      <c r="B151" s="109"/>
      <c r="C151" s="104" t="s">
        <v>103</v>
      </c>
      <c r="D151" s="105"/>
      <c r="E151" s="28">
        <v>0</v>
      </c>
      <c r="F151" s="44"/>
      <c r="G151" s="44"/>
      <c r="H151" s="44"/>
      <c r="I151" s="9"/>
    </row>
    <row r="152" spans="1:9" ht="24.75" customHeight="1">
      <c r="A152" s="108"/>
      <c r="B152" s="109"/>
      <c r="C152" s="104" t="s">
        <v>104</v>
      </c>
      <c r="D152" s="105"/>
      <c r="E152" s="28">
        <v>0</v>
      </c>
      <c r="F152" s="44"/>
      <c r="G152" s="44"/>
      <c r="H152" s="44"/>
      <c r="I152" s="9"/>
    </row>
    <row r="153" spans="1:9" ht="24.75" customHeight="1">
      <c r="A153" s="108"/>
      <c r="B153" s="109"/>
      <c r="C153" s="104" t="s">
        <v>105</v>
      </c>
      <c r="D153" s="105"/>
      <c r="E153" s="28">
        <v>0</v>
      </c>
      <c r="F153" s="44"/>
      <c r="G153" s="44"/>
      <c r="H153" s="44"/>
      <c r="I153" s="9"/>
    </row>
    <row r="154" spans="1:9" ht="24.75" customHeight="1">
      <c r="A154" s="108"/>
      <c r="B154" s="109"/>
      <c r="C154" s="104" t="s">
        <v>106</v>
      </c>
      <c r="D154" s="105"/>
      <c r="E154" s="28">
        <v>0</v>
      </c>
      <c r="F154" s="44"/>
      <c r="G154" s="44"/>
      <c r="H154" s="44"/>
      <c r="I154" s="9"/>
    </row>
    <row r="155" spans="1:9" ht="24.75" customHeight="1">
      <c r="A155" s="108"/>
      <c r="B155" s="109"/>
      <c r="C155" s="148" t="s">
        <v>107</v>
      </c>
      <c r="D155" s="149"/>
      <c r="E155" s="42"/>
      <c r="F155" s="44"/>
      <c r="G155" s="44"/>
      <c r="H155" s="44"/>
      <c r="I155" s="9"/>
    </row>
    <row r="156" spans="1:9" ht="24.75" customHeight="1">
      <c r="A156" s="108"/>
      <c r="B156" s="109"/>
      <c r="C156" s="150" t="s">
        <v>111</v>
      </c>
      <c r="D156" s="151"/>
      <c r="E156" s="30">
        <v>0</v>
      </c>
      <c r="F156" s="44"/>
      <c r="G156" s="44"/>
      <c r="H156" s="44"/>
      <c r="I156" s="9"/>
    </row>
    <row r="157" spans="1:9" ht="24.75" customHeight="1">
      <c r="A157" s="108"/>
      <c r="B157" s="109"/>
      <c r="C157" s="104" t="s">
        <v>97</v>
      </c>
      <c r="D157" s="105"/>
      <c r="E157" s="30">
        <v>0</v>
      </c>
      <c r="F157" s="44"/>
      <c r="G157" s="44"/>
      <c r="H157" s="44"/>
      <c r="I157" s="9"/>
    </row>
    <row r="158" spans="1:9" ht="24.75" customHeight="1">
      <c r="A158" s="108"/>
      <c r="B158" s="109"/>
      <c r="C158" s="104" t="s">
        <v>98</v>
      </c>
      <c r="D158" s="105"/>
      <c r="E158" s="30">
        <v>0</v>
      </c>
      <c r="F158" s="44"/>
      <c r="G158" s="44"/>
      <c r="H158" s="44"/>
      <c r="I158" s="9"/>
    </row>
    <row r="159" spans="1:9" ht="24.75" customHeight="1">
      <c r="A159" s="108"/>
      <c r="B159" s="109"/>
      <c r="C159" s="104" t="s">
        <v>99</v>
      </c>
      <c r="D159" s="105"/>
      <c r="E159" s="30">
        <v>0</v>
      </c>
      <c r="F159" s="44"/>
      <c r="G159" s="44"/>
      <c r="H159" s="44"/>
      <c r="I159" s="9"/>
    </row>
    <row r="160" spans="1:9" ht="24.75" customHeight="1">
      <c r="A160" s="108"/>
      <c r="B160" s="109"/>
      <c r="C160" s="104" t="s">
        <v>100</v>
      </c>
      <c r="D160" s="105"/>
      <c r="E160" s="30">
        <v>0</v>
      </c>
      <c r="F160" s="44"/>
      <c r="G160" s="44"/>
      <c r="H160" s="44"/>
      <c r="I160" s="9"/>
    </row>
    <row r="161" spans="1:9" ht="24.75" customHeight="1">
      <c r="A161" s="110"/>
      <c r="B161" s="111"/>
      <c r="C161" s="104" t="s">
        <v>101</v>
      </c>
      <c r="D161" s="105"/>
      <c r="E161" s="30">
        <v>0</v>
      </c>
      <c r="F161" s="44"/>
      <c r="G161" s="44"/>
      <c r="H161" s="44"/>
      <c r="I161" s="9"/>
    </row>
    <row r="162" spans="1:9" ht="24.75" customHeight="1">
      <c r="A162" s="96" t="s">
        <v>109</v>
      </c>
      <c r="B162" s="152"/>
      <c r="C162" s="153"/>
      <c r="D162" s="154"/>
      <c r="E162" s="30">
        <f>C96</f>
        <v>0</v>
      </c>
      <c r="F162" s="44"/>
      <c r="G162" s="44"/>
      <c r="H162" s="44"/>
      <c r="I162" s="9"/>
    </row>
    <row r="163" spans="1:9" ht="24.75" customHeight="1">
      <c r="A163" s="145"/>
      <c r="B163" s="146"/>
      <c r="C163" s="147" t="s">
        <v>110</v>
      </c>
      <c r="D163" s="147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99" t="str">
        <f>"Debts Or Credits For the Comming " &amp; IF(Main!B2,TEXT(EDATE(Main!B3,41),"mmmm dd yyyy"),TEXT(Main!B3+((Main!B5-Main!B3)*41+41),"mmmm dd yyyy")) &amp; " to " &amp; IF(Main!B2,TEXT(EDATE(Main!B3,42)-1,"mmmm dd yyyy"),TEXT(Main!B3+((Main!B5-Main!B3)*42+41),"mmmm dd yyyy"))</f>
        <v>Debts Or Credits For the Comming September 11 2028 to October 10 2028</v>
      </c>
      <c r="B168" s="100"/>
      <c r="C168" s="100"/>
      <c r="D168" s="100"/>
      <c r="E168" s="101"/>
      <c r="F168" s="44"/>
      <c r="G168" s="44"/>
      <c r="H168" s="44"/>
      <c r="I168" s="9"/>
    </row>
    <row r="169" spans="1:9" ht="24.75" customHeight="1">
      <c r="A169" s="99" t="s">
        <v>94</v>
      </c>
      <c r="B169" s="101"/>
      <c r="C169" s="102" t="s">
        <v>47</v>
      </c>
      <c r="D169" s="103"/>
      <c r="E169" s="39" t="s">
        <v>48</v>
      </c>
      <c r="F169" s="44"/>
      <c r="G169" s="44"/>
      <c r="H169" s="44"/>
      <c r="I169" s="9"/>
    </row>
    <row r="170" spans="1:9" ht="24.75" customHeight="1">
      <c r="A170" s="96" t="str">
        <f>"Balance Brought Forward From " &amp;  IF(Main!B2,TEXT(EDATE(Main!B3,41)-1,"mmmm yyyy"),TEXT(Main!B3+((Main!B5-Main!B3)*41+40),"mmmm yyyy"))</f>
        <v>Balance Brought Forward From September 2028</v>
      </c>
      <c r="B170" s="97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06" t="s">
        <v>95</v>
      </c>
      <c r="B171" s="107"/>
      <c r="C171" s="112" t="s">
        <v>96</v>
      </c>
      <c r="D171" s="113"/>
      <c r="E171" s="43"/>
      <c r="F171" s="44"/>
      <c r="G171" s="44"/>
      <c r="H171" s="44"/>
      <c r="I171" s="9"/>
    </row>
    <row r="172" spans="1:9" ht="24.75" customHeight="1">
      <c r="A172" s="108"/>
      <c r="B172" s="109"/>
      <c r="C172" s="104" t="s">
        <v>97</v>
      </c>
      <c r="D172" s="105"/>
      <c r="E172" s="28">
        <v>0</v>
      </c>
      <c r="F172" s="44"/>
      <c r="G172" s="44"/>
      <c r="H172" s="44"/>
      <c r="I172" s="9"/>
    </row>
    <row r="173" spans="1:9" ht="24.75" customHeight="1">
      <c r="A173" s="108"/>
      <c r="B173" s="109"/>
      <c r="C173" s="104" t="s">
        <v>98</v>
      </c>
      <c r="D173" s="105"/>
      <c r="E173" s="28">
        <v>0</v>
      </c>
      <c r="F173" s="44"/>
      <c r="G173" s="44"/>
      <c r="H173" s="44"/>
      <c r="I173" s="9"/>
    </row>
    <row r="174" spans="1:9" ht="24.75" customHeight="1">
      <c r="A174" s="108"/>
      <c r="B174" s="109"/>
      <c r="C174" s="104" t="s">
        <v>99</v>
      </c>
      <c r="D174" s="105"/>
      <c r="E174" s="28">
        <v>0</v>
      </c>
      <c r="F174" s="44"/>
      <c r="G174" s="44"/>
      <c r="H174" s="44"/>
      <c r="I174" s="9"/>
    </row>
    <row r="175" spans="1:9" ht="24.75" customHeight="1">
      <c r="A175" s="108"/>
      <c r="B175" s="109"/>
      <c r="C175" s="104" t="s">
        <v>100</v>
      </c>
      <c r="D175" s="105"/>
      <c r="E175" s="28">
        <v>0</v>
      </c>
      <c r="F175" s="44"/>
      <c r="G175" s="44"/>
      <c r="H175" s="44"/>
      <c r="I175" s="9"/>
    </row>
    <row r="176" spans="1:9" ht="24.75" customHeight="1">
      <c r="A176" s="108"/>
      <c r="B176" s="109"/>
      <c r="C176" s="104" t="s">
        <v>101</v>
      </c>
      <c r="D176" s="105"/>
      <c r="E176" s="28">
        <v>0</v>
      </c>
      <c r="F176" s="44"/>
      <c r="G176" s="44"/>
      <c r="H176" s="44"/>
      <c r="I176" s="9"/>
    </row>
    <row r="177" spans="1:9" ht="24.75" customHeight="1">
      <c r="A177" s="108"/>
      <c r="B177" s="109"/>
      <c r="C177" s="104" t="s">
        <v>102</v>
      </c>
      <c r="D177" s="105"/>
      <c r="E177" s="28">
        <v>0</v>
      </c>
      <c r="F177" s="44"/>
      <c r="G177" s="44"/>
      <c r="H177" s="44"/>
      <c r="I177" s="9"/>
    </row>
    <row r="178" spans="1:9" ht="24.75" customHeight="1">
      <c r="A178" s="108"/>
      <c r="B178" s="109"/>
      <c r="C178" s="104" t="s">
        <v>103</v>
      </c>
      <c r="D178" s="105"/>
      <c r="E178" s="28">
        <v>0</v>
      </c>
      <c r="F178" s="44"/>
      <c r="G178" s="44"/>
      <c r="H178" s="44"/>
      <c r="I178" s="9"/>
    </row>
    <row r="179" spans="1:9" ht="24.75" customHeight="1">
      <c r="A179" s="108"/>
      <c r="B179" s="109"/>
      <c r="C179" s="104" t="s">
        <v>104</v>
      </c>
      <c r="D179" s="105"/>
      <c r="E179" s="28">
        <v>0</v>
      </c>
      <c r="F179" s="44"/>
      <c r="G179" s="44"/>
      <c r="H179" s="44"/>
      <c r="I179" s="9"/>
    </row>
    <row r="180" spans="1:9" ht="24.75" customHeight="1">
      <c r="A180" s="108"/>
      <c r="B180" s="109"/>
      <c r="C180" s="104" t="s">
        <v>105</v>
      </c>
      <c r="D180" s="105"/>
      <c r="E180" s="28">
        <v>0</v>
      </c>
      <c r="F180" s="44"/>
      <c r="G180" s="44"/>
      <c r="H180" s="44"/>
      <c r="I180" s="9"/>
    </row>
    <row r="181" spans="1:9" ht="24.75" customHeight="1">
      <c r="A181" s="108"/>
      <c r="B181" s="109"/>
      <c r="C181" s="104" t="s">
        <v>106</v>
      </c>
      <c r="D181" s="105"/>
      <c r="E181" s="28">
        <v>0</v>
      </c>
      <c r="F181" s="44"/>
      <c r="G181" s="44"/>
      <c r="H181" s="44"/>
      <c r="I181" s="9"/>
    </row>
    <row r="182" spans="1:9" ht="24.75" customHeight="1">
      <c r="A182" s="108"/>
      <c r="B182" s="109"/>
      <c r="C182" s="148" t="s">
        <v>107</v>
      </c>
      <c r="D182" s="149"/>
      <c r="E182" s="42"/>
      <c r="F182" s="44"/>
      <c r="G182" s="44"/>
      <c r="H182" s="44"/>
      <c r="I182" s="9"/>
    </row>
    <row r="183" spans="1:9" ht="24.75" customHeight="1">
      <c r="A183" s="108"/>
      <c r="B183" s="109"/>
      <c r="C183" s="150" t="s">
        <v>111</v>
      </c>
      <c r="D183" s="151"/>
      <c r="E183" s="30">
        <v>0</v>
      </c>
      <c r="F183" s="44"/>
      <c r="G183" s="44"/>
      <c r="H183" s="44"/>
      <c r="I183" s="9"/>
    </row>
    <row r="184" spans="1:9" ht="24.75" customHeight="1">
      <c r="A184" s="108"/>
      <c r="B184" s="109"/>
      <c r="C184" s="104" t="s">
        <v>97</v>
      </c>
      <c r="D184" s="105"/>
      <c r="E184" s="30">
        <v>0</v>
      </c>
      <c r="F184" s="44"/>
      <c r="G184" s="44"/>
      <c r="H184" s="44"/>
      <c r="I184" s="9"/>
    </row>
    <row r="185" spans="1:9" ht="24.75" customHeight="1">
      <c r="A185" s="108"/>
      <c r="B185" s="109"/>
      <c r="C185" s="104" t="s">
        <v>98</v>
      </c>
      <c r="D185" s="105"/>
      <c r="E185" s="30">
        <v>0</v>
      </c>
      <c r="F185" s="44"/>
      <c r="G185" s="44"/>
      <c r="H185" s="44"/>
      <c r="I185" s="9"/>
    </row>
    <row r="186" spans="1:9" ht="24.75" customHeight="1">
      <c r="A186" s="108"/>
      <c r="B186" s="109"/>
      <c r="C186" s="104" t="s">
        <v>99</v>
      </c>
      <c r="D186" s="105"/>
      <c r="E186" s="30">
        <v>0</v>
      </c>
      <c r="F186" s="44"/>
      <c r="G186" s="44"/>
      <c r="H186" s="44"/>
      <c r="I186" s="9"/>
    </row>
    <row r="187" spans="1:9" ht="24.75" customHeight="1">
      <c r="A187" s="108"/>
      <c r="B187" s="109"/>
      <c r="C187" s="104" t="s">
        <v>100</v>
      </c>
      <c r="D187" s="105"/>
      <c r="E187" s="30">
        <v>0</v>
      </c>
      <c r="F187" s="44"/>
      <c r="G187" s="44"/>
      <c r="H187" s="44"/>
      <c r="I187" s="9"/>
    </row>
    <row r="188" spans="1:9" ht="24.75" customHeight="1">
      <c r="A188" s="110"/>
      <c r="B188" s="111"/>
      <c r="C188" s="104" t="s">
        <v>101</v>
      </c>
      <c r="D188" s="105"/>
      <c r="E188" s="30">
        <v>0</v>
      </c>
      <c r="F188" s="44"/>
      <c r="G188" s="44"/>
      <c r="H188" s="44"/>
      <c r="I188" s="9"/>
    </row>
    <row r="189" spans="1:9" ht="24.75" customHeight="1">
      <c r="A189" s="96" t="s">
        <v>109</v>
      </c>
      <c r="B189" s="152"/>
      <c r="C189" s="153"/>
      <c r="D189" s="154"/>
      <c r="E189" s="30">
        <f>C96</f>
        <v>0</v>
      </c>
      <c r="F189" s="44"/>
      <c r="G189" s="44"/>
      <c r="H189" s="44"/>
      <c r="I189" s="9"/>
    </row>
    <row r="190" spans="1:9" ht="24.75" customHeight="1">
      <c r="A190" s="145"/>
      <c r="B190" s="146"/>
      <c r="C190" s="147" t="s">
        <v>110</v>
      </c>
      <c r="D190" s="147"/>
      <c r="E190" s="40">
        <f>(F40+E170)-(SUM(E172:E181)+SUM(E183:E189))</f>
        <v>0</v>
      </c>
      <c r="F190" s="44"/>
      <c r="G190" s="44"/>
      <c r="H190" s="44"/>
      <c r="I190" s="9"/>
    </row>
    <row r="191" spans="1:9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 ht="24.75" customHeight="1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A117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152" priority="51" operator="equal">
      <formula>0</formula>
    </cfRule>
  </conditionalFormatting>
  <conditionalFormatting sqref="C47:C55 C85 C95:C96 E144 E155:E162">
    <cfRule type="cellIs" dxfId="151" priority="50" operator="greaterThan">
      <formula>0</formula>
    </cfRule>
  </conditionalFormatting>
  <conditionalFormatting sqref="C57:C66">
    <cfRule type="cellIs" dxfId="150" priority="49" operator="equal">
      <formula>0</formula>
    </cfRule>
  </conditionalFormatting>
  <conditionalFormatting sqref="C57:C66">
    <cfRule type="cellIs" dxfId="149" priority="48" operator="greaterThan">
      <formula>0</formula>
    </cfRule>
  </conditionalFormatting>
  <conditionalFormatting sqref="C68:C69">
    <cfRule type="cellIs" dxfId="148" priority="47" operator="equal">
      <formula>0</formula>
    </cfRule>
  </conditionalFormatting>
  <conditionalFormatting sqref="C68:C69">
    <cfRule type="cellIs" dxfId="147" priority="46" operator="greaterThan">
      <formula>0</formula>
    </cfRule>
  </conditionalFormatting>
  <conditionalFormatting sqref="C75">
    <cfRule type="cellIs" dxfId="146" priority="45" operator="equal">
      <formula>0</formula>
    </cfRule>
  </conditionalFormatting>
  <conditionalFormatting sqref="C75">
    <cfRule type="cellIs" dxfId="145" priority="44" operator="greaterThan">
      <formula>0</formula>
    </cfRule>
  </conditionalFormatting>
  <conditionalFormatting sqref="C77">
    <cfRule type="cellIs" dxfId="144" priority="43" operator="equal">
      <formula>0</formula>
    </cfRule>
  </conditionalFormatting>
  <conditionalFormatting sqref="C77">
    <cfRule type="cellIs" dxfId="143" priority="42" operator="greaterThan">
      <formula>0</formula>
    </cfRule>
  </conditionalFormatting>
  <conditionalFormatting sqref="C87:C89">
    <cfRule type="cellIs" dxfId="142" priority="41" operator="equal">
      <formula>0</formula>
    </cfRule>
  </conditionalFormatting>
  <conditionalFormatting sqref="C87:C89">
    <cfRule type="cellIs" dxfId="141" priority="40" operator="greaterThan">
      <formula>0</formula>
    </cfRule>
  </conditionalFormatting>
  <conditionalFormatting sqref="E117 E128:E135">
    <cfRule type="cellIs" dxfId="140" priority="39" operator="equal">
      <formula>0</formula>
    </cfRule>
  </conditionalFormatting>
  <conditionalFormatting sqref="E117 E128:E135">
    <cfRule type="cellIs" dxfId="139" priority="38" operator="greaterThan">
      <formula>0</formula>
    </cfRule>
  </conditionalFormatting>
  <conditionalFormatting sqref="E136">
    <cfRule type="cellIs" dxfId="138" priority="37" operator="greaterThanOrEqual">
      <formula>0</formula>
    </cfRule>
  </conditionalFormatting>
  <conditionalFormatting sqref="E136">
    <cfRule type="cellIs" dxfId="137" priority="36" operator="lessThan">
      <formula>0</formula>
    </cfRule>
  </conditionalFormatting>
  <conditionalFormatting sqref="C70:C74">
    <cfRule type="cellIs" dxfId="136" priority="35" operator="equal">
      <formula>0</formula>
    </cfRule>
  </conditionalFormatting>
  <conditionalFormatting sqref="C70:C74">
    <cfRule type="cellIs" dxfId="135" priority="34" operator="greaterThan">
      <formula>0</formula>
    </cfRule>
  </conditionalFormatting>
  <conditionalFormatting sqref="C80:C84">
    <cfRule type="cellIs" dxfId="134" priority="33" operator="equal">
      <formula>0</formula>
    </cfRule>
  </conditionalFormatting>
  <conditionalFormatting sqref="C80:C84">
    <cfRule type="cellIs" dxfId="133" priority="32" operator="greaterThan">
      <formula>0</formula>
    </cfRule>
  </conditionalFormatting>
  <conditionalFormatting sqref="C92:C94">
    <cfRule type="cellIs" dxfId="132" priority="31" operator="equal">
      <formula>0</formula>
    </cfRule>
  </conditionalFormatting>
  <conditionalFormatting sqref="C92:C94">
    <cfRule type="cellIs" dxfId="131" priority="30" operator="greaterThan">
      <formula>0</formula>
    </cfRule>
  </conditionalFormatting>
  <conditionalFormatting sqref="C108:C109">
    <cfRule type="cellIs" dxfId="130" priority="29" operator="equal">
      <formula>0</formula>
    </cfRule>
  </conditionalFormatting>
  <conditionalFormatting sqref="C108:C109">
    <cfRule type="cellIs" dxfId="129" priority="28" operator="greaterThan">
      <formula>0</formula>
    </cfRule>
  </conditionalFormatting>
  <conditionalFormatting sqref="E144 E155:E162">
    <cfRule type="cellIs" dxfId="128" priority="27" operator="equal">
      <formula>0</formula>
    </cfRule>
  </conditionalFormatting>
  <conditionalFormatting sqref="E163">
    <cfRule type="cellIs" dxfId="127" priority="26" operator="greaterThanOrEqual">
      <formula>0</formula>
    </cfRule>
  </conditionalFormatting>
  <conditionalFormatting sqref="E163">
    <cfRule type="cellIs" dxfId="126" priority="25" operator="lessThan">
      <formula>0</formula>
    </cfRule>
  </conditionalFormatting>
  <conditionalFormatting sqref="E143">
    <cfRule type="cellIs" dxfId="125" priority="24" operator="greaterThanOrEqual">
      <formula>0</formula>
    </cfRule>
  </conditionalFormatting>
  <conditionalFormatting sqref="E143">
    <cfRule type="cellIs" dxfId="124" priority="23" operator="lessThan">
      <formula>0</formula>
    </cfRule>
  </conditionalFormatting>
  <conditionalFormatting sqref="E171 E182:E189">
    <cfRule type="cellIs" dxfId="123" priority="22" operator="equal">
      <formula>0</formula>
    </cfRule>
  </conditionalFormatting>
  <conditionalFormatting sqref="E171 E182:E189">
    <cfRule type="cellIs" dxfId="122" priority="21" operator="greaterThan">
      <formula>0</formula>
    </cfRule>
  </conditionalFormatting>
  <conditionalFormatting sqref="E190">
    <cfRule type="cellIs" dxfId="121" priority="20" operator="greaterThanOrEqual">
      <formula>0</formula>
    </cfRule>
  </conditionalFormatting>
  <conditionalFormatting sqref="E190">
    <cfRule type="cellIs" dxfId="120" priority="19" operator="lessThan">
      <formula>0</formula>
    </cfRule>
  </conditionalFormatting>
  <conditionalFormatting sqref="E170">
    <cfRule type="cellIs" dxfId="119" priority="18" operator="greaterThanOrEqual">
      <formula>0</formula>
    </cfRule>
  </conditionalFormatting>
  <conditionalFormatting sqref="E170">
    <cfRule type="cellIs" dxfId="118" priority="17" operator="lessThan">
      <formula>0</formula>
    </cfRule>
  </conditionalFormatting>
  <conditionalFormatting sqref="C5">
    <cfRule type="cellIs" dxfId="117" priority="16" operator="equal">
      <formula>0</formula>
    </cfRule>
  </conditionalFormatting>
  <conditionalFormatting sqref="C5">
    <cfRule type="cellIs" dxfId="116" priority="15" operator="greaterThan">
      <formula>0</formula>
    </cfRule>
  </conditionalFormatting>
  <conditionalFormatting sqref="C98:C107">
    <cfRule type="cellIs" dxfId="115" priority="14" operator="lessThan">
      <formula>0</formula>
    </cfRule>
  </conditionalFormatting>
  <conditionalFormatting sqref="C98:C107">
    <cfRule type="cellIs" dxfId="114" priority="13" operator="greaterThanOrEqual">
      <formula>0</formula>
    </cfRule>
  </conditionalFormatting>
  <conditionalFormatting sqref="E118:E127">
    <cfRule type="cellIs" dxfId="113" priority="12" operator="equal">
      <formula>0</formula>
    </cfRule>
  </conditionalFormatting>
  <conditionalFormatting sqref="E118:E127">
    <cfRule type="cellIs" dxfId="112" priority="11" operator="greaterThan">
      <formula>0</formula>
    </cfRule>
  </conditionalFormatting>
  <conditionalFormatting sqref="E145:E154">
    <cfRule type="cellIs" dxfId="111" priority="10" operator="equal">
      <formula>0</formula>
    </cfRule>
  </conditionalFormatting>
  <conditionalFormatting sqref="E145:E154">
    <cfRule type="cellIs" dxfId="110" priority="9" operator="greaterThan">
      <formula>0</formula>
    </cfRule>
  </conditionalFormatting>
  <conditionalFormatting sqref="E172:E181">
    <cfRule type="cellIs" dxfId="109" priority="8" operator="equal">
      <formula>0</formula>
    </cfRule>
  </conditionalFormatting>
  <conditionalFormatting sqref="E172:E181">
    <cfRule type="cellIs" dxfId="108" priority="7" operator="greaterThan">
      <formula>0</formula>
    </cfRule>
  </conditionalFormatting>
  <conditionalFormatting sqref="E116">
    <cfRule type="cellIs" dxfId="107" priority="6" operator="greaterThanOrEqual">
      <formula>0</formula>
    </cfRule>
  </conditionalFormatting>
  <conditionalFormatting sqref="E116">
    <cfRule type="cellIs" dxfId="106" priority="5" operator="lessThan">
      <formula>0</formula>
    </cfRule>
  </conditionalFormatting>
  <conditionalFormatting sqref="C78:C79">
    <cfRule type="cellIs" dxfId="105" priority="4" operator="equal">
      <formula>0</formula>
    </cfRule>
  </conditionalFormatting>
  <conditionalFormatting sqref="C78:C79">
    <cfRule type="cellIs" dxfId="104" priority="3" operator="greaterThan">
      <formula>0</formula>
    </cfRule>
  </conditionalFormatting>
  <conditionalFormatting sqref="C90:C91">
    <cfRule type="cellIs" dxfId="103" priority="2" operator="equal">
      <formula>0</formula>
    </cfRule>
  </conditionalFormatting>
  <conditionalFormatting sqref="C90:C91">
    <cfRule type="cellIs" dxfId="102" priority="1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5ECD-1234-4154-84AE-122A6F6A70C2}">
  <dimension ref="A1:I193"/>
  <sheetViews>
    <sheetView topLeftCell="A33" workbookViewId="0">
      <selection activeCell="F45" sqref="F45"/>
    </sheetView>
  </sheetViews>
  <sheetFormatPr defaultRowHeight="15"/>
  <cols>
    <col min="1" max="2" width="20.625" customWidth="1"/>
    <col min="3" max="3" width="24.75" customWidth="1"/>
    <col min="4" max="8" width="20.625" customWidth="1"/>
  </cols>
  <sheetData>
    <row r="1" spans="1:9" ht="24.75" customHeight="1">
      <c r="A1" s="177" t="str">
        <f>"Forecasts For the Year " &amp; IF(Main!B2,TEXT(EDATE(Main!B3,42),"mmmm yyyy"),TEXT(Main!B3+((Main!B5-Main!B3)*42+42),"mmmm yyyy")) &amp; " to " &amp; IF(Main!B2,TEXT(EDATE(Main!B3,45)-1,"mmmm yyyy"),TEXT(Main!B3+((Main!B5-Main!B3)*45+44),"mmmm yyyy"))</f>
        <v>Forecasts For the Year October 2028 to January 2029</v>
      </c>
      <c r="B1" s="177"/>
      <c r="C1" s="177"/>
      <c r="D1" s="177"/>
      <c r="E1" s="177"/>
      <c r="F1" s="177"/>
      <c r="G1" s="177"/>
      <c r="H1" s="47"/>
      <c r="I1" s="47"/>
    </row>
    <row r="2" spans="1:9" ht="24.75" customHeight="1">
      <c r="A2" s="159" t="s">
        <v>31</v>
      </c>
      <c r="B2" s="48" t="s">
        <v>112</v>
      </c>
      <c r="C2" s="161" cm="1">
        <f t="array" aca="1" ref="C2" ca="1">INDIRECT("'" &amp; Main!B9 &amp; "'!$C$15")</f>
        <v>0</v>
      </c>
      <c r="D2" s="161"/>
      <c r="E2" s="161"/>
      <c r="F2" s="161"/>
      <c r="G2" s="161"/>
      <c r="H2" s="47"/>
      <c r="I2" s="47"/>
    </row>
    <row r="3" spans="1:9" ht="24.75" customHeight="1">
      <c r="A3" s="160"/>
      <c r="B3" s="41" t="s">
        <v>113</v>
      </c>
      <c r="C3" s="162">
        <f>E190</f>
        <v>0</v>
      </c>
      <c r="D3" s="162"/>
      <c r="E3" s="162"/>
      <c r="F3" s="162"/>
      <c r="G3" s="162"/>
      <c r="H3" s="47"/>
      <c r="I3" s="47"/>
    </row>
    <row r="4" spans="1:9" ht="24.75" customHeight="1">
      <c r="A4" s="174" t="s">
        <v>45</v>
      </c>
      <c r="B4" s="175"/>
      <c r="C4" s="163">
        <f ca="1">SUM(C2:G3)</f>
        <v>0</v>
      </c>
      <c r="D4" s="163"/>
      <c r="E4" s="163"/>
      <c r="F4" s="163"/>
      <c r="G4" s="163"/>
      <c r="H4" s="44"/>
      <c r="I4" s="9"/>
    </row>
    <row r="5" spans="1:9" ht="24.75" customHeight="1">
      <c r="A5" s="176" t="s">
        <v>114</v>
      </c>
      <c r="B5" s="176"/>
      <c r="C5" s="164">
        <f>C108</f>
        <v>0</v>
      </c>
      <c r="D5" s="165"/>
      <c r="E5" s="165"/>
      <c r="F5" s="165"/>
      <c r="G5" s="165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32" t="str">
        <f>IF(Main!B2,TEXT(EDATE(Main!B3,42),"dd mmmm yyyy"),TEXT(Main!B3+((Main!B5-Main!B3)*42+42),"dd mmmm yyyy")) &amp; " - " &amp; IF(Main!B2,TEXT(EDATE(Main!B3,43)-1,"dd mmmm yyyy"),TEXT(Main!B3+((Main!B5-Main!B3)*43+42),"dd mmmm yyyy")) &amp; " / " &amp; " (Revenue / Deferred Debts Or Expenses)"</f>
        <v>11 October 2028 - 10 November 2028 /  (Revenue / Deferred Debts Or Expenses)</v>
      </c>
      <c r="B8" s="133"/>
      <c r="C8" s="133"/>
      <c r="D8" s="133"/>
      <c r="E8" s="133"/>
      <c r="F8" s="133"/>
      <c r="G8" s="133"/>
      <c r="H8" s="44"/>
      <c r="I8" s="37"/>
    </row>
    <row r="9" spans="1:9" ht="24.75" customHeight="1">
      <c r="A9" s="81" t="s">
        <v>27</v>
      </c>
      <c r="B9" s="120" t="s">
        <v>46</v>
      </c>
      <c r="C9" s="120"/>
      <c r="D9" s="121" t="s">
        <v>47</v>
      </c>
      <c r="E9" s="121"/>
      <c r="F9" s="121" t="s">
        <v>48</v>
      </c>
      <c r="G9" s="121"/>
      <c r="H9" s="44"/>
      <c r="I9" s="9"/>
    </row>
    <row r="10" spans="1:9" ht="24.75" customHeight="1">
      <c r="A10" s="2" t="s">
        <v>115</v>
      </c>
      <c r="B10" s="122" t="s">
        <v>50</v>
      </c>
      <c r="C10" s="122"/>
      <c r="D10" s="122" t="s">
        <v>51</v>
      </c>
      <c r="E10" s="122"/>
      <c r="F10" s="123">
        <v>0</v>
      </c>
      <c r="G10" s="124"/>
      <c r="H10" s="44"/>
      <c r="I10" s="9"/>
    </row>
    <row r="11" spans="1:9" ht="24.75" customHeight="1">
      <c r="A11" s="2"/>
      <c r="B11" s="125" t="s">
        <v>40</v>
      </c>
      <c r="C11" s="126"/>
      <c r="D11" s="127"/>
      <c r="E11" s="128"/>
      <c r="F11" s="123">
        <v>0</v>
      </c>
      <c r="G11" s="124"/>
      <c r="H11" s="44"/>
      <c r="I11" s="9"/>
    </row>
    <row r="12" spans="1:9" ht="24.75" customHeight="1">
      <c r="A12" s="2"/>
      <c r="B12" s="125" t="s">
        <v>41</v>
      </c>
      <c r="C12" s="126"/>
      <c r="D12" s="127"/>
      <c r="E12" s="128"/>
      <c r="F12" s="123">
        <v>0</v>
      </c>
      <c r="G12" s="124"/>
      <c r="H12" s="44"/>
      <c r="I12" s="9"/>
    </row>
    <row r="13" spans="1:9" ht="24.75" customHeight="1">
      <c r="A13" s="2"/>
      <c r="B13" s="125" t="s">
        <v>42</v>
      </c>
      <c r="C13" s="126"/>
      <c r="D13" s="127"/>
      <c r="E13" s="128"/>
      <c r="F13" s="123">
        <v>0</v>
      </c>
      <c r="G13" s="124"/>
      <c r="H13" s="44"/>
      <c r="I13" s="9"/>
    </row>
    <row r="14" spans="1:9" ht="24.75" customHeight="1">
      <c r="A14" s="2"/>
      <c r="B14" s="125" t="s">
        <v>43</v>
      </c>
      <c r="C14" s="126"/>
      <c r="D14" s="127"/>
      <c r="E14" s="128"/>
      <c r="F14" s="123">
        <v>0</v>
      </c>
      <c r="G14" s="124"/>
      <c r="H14" s="44"/>
      <c r="I14" s="9"/>
    </row>
    <row r="15" spans="1:9" ht="24.75" customHeight="1">
      <c r="A15" s="2"/>
      <c r="B15" s="125" t="s">
        <v>44</v>
      </c>
      <c r="C15" s="126"/>
      <c r="D15" s="127"/>
      <c r="E15" s="128"/>
      <c r="F15" s="123">
        <v>0</v>
      </c>
      <c r="G15" s="124"/>
      <c r="H15" s="44"/>
      <c r="I15" s="9"/>
    </row>
    <row r="16" spans="1:9" ht="24.75" customHeight="1">
      <c r="A16" s="45"/>
      <c r="B16" s="166"/>
      <c r="C16" s="167"/>
      <c r="D16" s="116" t="s">
        <v>52</v>
      </c>
      <c r="E16" s="117"/>
      <c r="F16" s="118">
        <f>SUM(F10:G15)</f>
        <v>0</v>
      </c>
      <c r="G16" s="119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32" t="str">
        <f>IF(Main!B2,TEXT(EDATE(Main!B3,43),"dd mmmm yyyy"),TEXT(Main!B3+((Main!B5-Main!B3)*43+43),"dd mmmm yyyy")) &amp; " - " &amp; IF(Main!B2,TEXT(EDATE(Main!B3,44)-1,"dd mmmm yyyy"),TEXT(Main!B3+((Main!B5-Main!B3)*44+43),"dd mmmm yyyy")) &amp; " / " &amp; " (Revenue / Deferred Debts Or Expenses)"</f>
        <v>11 November 2028 - 10 December 2028 /  (Revenue / Deferred Debts Or Expenses)</v>
      </c>
      <c r="B20" s="133"/>
      <c r="C20" s="133"/>
      <c r="D20" s="133"/>
      <c r="E20" s="133"/>
      <c r="F20" s="133"/>
      <c r="G20" s="133"/>
      <c r="H20" s="44"/>
      <c r="I20" s="9"/>
    </row>
    <row r="21" spans="1:9" ht="24.75" customHeight="1">
      <c r="A21" s="81" t="s">
        <v>27</v>
      </c>
      <c r="B21" s="120" t="s">
        <v>46</v>
      </c>
      <c r="C21" s="120"/>
      <c r="D21" s="121" t="s">
        <v>47</v>
      </c>
      <c r="E21" s="121"/>
      <c r="F21" s="121" t="s">
        <v>48</v>
      </c>
      <c r="G21" s="121"/>
      <c r="H21" s="44"/>
      <c r="I21" s="9"/>
    </row>
    <row r="22" spans="1:9" ht="24.75" customHeight="1">
      <c r="A22" s="2" t="s">
        <v>116</v>
      </c>
      <c r="B22" s="122" t="s">
        <v>54</v>
      </c>
      <c r="C22" s="122"/>
      <c r="D22" s="122" t="s">
        <v>55</v>
      </c>
      <c r="E22" s="122"/>
      <c r="F22" s="123">
        <v>0</v>
      </c>
      <c r="G22" s="124"/>
      <c r="H22" s="44"/>
      <c r="I22" s="9"/>
    </row>
    <row r="23" spans="1:9" ht="24.75" customHeight="1">
      <c r="A23" s="2"/>
      <c r="B23" s="125" t="s">
        <v>40</v>
      </c>
      <c r="C23" s="126"/>
      <c r="D23" s="127"/>
      <c r="E23" s="128"/>
      <c r="F23" s="123">
        <v>0</v>
      </c>
      <c r="G23" s="124"/>
      <c r="H23" s="44"/>
      <c r="I23" s="9"/>
    </row>
    <row r="24" spans="1:9" ht="24.75" customHeight="1">
      <c r="A24" s="2"/>
      <c r="B24" s="125" t="s">
        <v>41</v>
      </c>
      <c r="C24" s="126"/>
      <c r="D24" s="127"/>
      <c r="E24" s="128"/>
      <c r="F24" s="123">
        <v>0</v>
      </c>
      <c r="G24" s="124"/>
      <c r="H24" s="44"/>
      <c r="I24" s="9"/>
    </row>
    <row r="25" spans="1:9" ht="24.75" customHeight="1">
      <c r="A25" s="2"/>
      <c r="B25" s="125" t="s">
        <v>42</v>
      </c>
      <c r="C25" s="126"/>
      <c r="D25" s="127"/>
      <c r="E25" s="128"/>
      <c r="F25" s="123">
        <v>0</v>
      </c>
      <c r="G25" s="124"/>
      <c r="H25" s="44"/>
      <c r="I25" s="9"/>
    </row>
    <row r="26" spans="1:9" ht="24.75" customHeight="1">
      <c r="A26" s="2"/>
      <c r="B26" s="125" t="s">
        <v>43</v>
      </c>
      <c r="C26" s="126"/>
      <c r="D26" s="127"/>
      <c r="E26" s="128"/>
      <c r="F26" s="123">
        <v>0</v>
      </c>
      <c r="G26" s="124"/>
      <c r="H26" s="44"/>
      <c r="I26" s="9"/>
    </row>
    <row r="27" spans="1:9" ht="24.75" customHeight="1">
      <c r="A27" s="2"/>
      <c r="B27" s="125" t="s">
        <v>44</v>
      </c>
      <c r="C27" s="126"/>
      <c r="D27" s="127"/>
      <c r="E27" s="128"/>
      <c r="F27" s="123">
        <v>0</v>
      </c>
      <c r="G27" s="124"/>
      <c r="H27" s="44"/>
      <c r="I27" s="9"/>
    </row>
    <row r="28" spans="1:9" ht="24.75" customHeight="1">
      <c r="A28" s="45"/>
      <c r="B28" s="166"/>
      <c r="C28" s="167"/>
      <c r="D28" s="116" t="s">
        <v>52</v>
      </c>
      <c r="E28" s="117"/>
      <c r="F28" s="118">
        <f>SUM(F22:G27)</f>
        <v>0</v>
      </c>
      <c r="G28" s="119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32" t="str">
        <f>IF(Main!B2,TEXT(EDATE(Main!B3,44),"dd mmmm yyyy"),TEXT(Main!B3+((Main!B5-Main!B3)*44+44),"dd mmmm yyyy")) &amp; " - " &amp; IF(Main!B2,TEXT(EDATE(Main!B3,45)-1,"dd mmmm yyyy"),TEXT(Main!B3+((Main!B5-Main!B3)*45+44),"dd mmmm yyyy")) &amp; " / " &amp; " (Revenue / Deferred Debts Or Expenses)"</f>
        <v>11 December 2028 - 10 January 2029 /  (Revenue / Deferred Debts Or Expenses)</v>
      </c>
      <c r="B32" s="133"/>
      <c r="C32" s="133"/>
      <c r="D32" s="133"/>
      <c r="E32" s="133"/>
      <c r="F32" s="133"/>
      <c r="G32" s="133"/>
      <c r="H32" s="44"/>
      <c r="I32" s="9"/>
    </row>
    <row r="33" spans="1:9" ht="24.75" customHeight="1">
      <c r="A33" s="81" t="s">
        <v>27</v>
      </c>
      <c r="B33" s="120" t="s">
        <v>46</v>
      </c>
      <c r="C33" s="120"/>
      <c r="D33" s="121" t="s">
        <v>47</v>
      </c>
      <c r="E33" s="121"/>
      <c r="F33" s="121" t="s">
        <v>48</v>
      </c>
      <c r="G33" s="121"/>
      <c r="H33" s="44"/>
      <c r="I33" s="9"/>
    </row>
    <row r="34" spans="1:9" ht="24.75" customHeight="1">
      <c r="A34" s="2" t="s">
        <v>117</v>
      </c>
      <c r="B34" s="122" t="s">
        <v>54</v>
      </c>
      <c r="C34" s="122"/>
      <c r="D34" s="122" t="s">
        <v>55</v>
      </c>
      <c r="E34" s="122"/>
      <c r="F34" s="123">
        <v>0</v>
      </c>
      <c r="G34" s="124"/>
      <c r="H34" s="44"/>
      <c r="I34" s="9"/>
    </row>
    <row r="35" spans="1:9" ht="24.75" customHeight="1">
      <c r="A35" s="2"/>
      <c r="B35" s="125" t="s">
        <v>40</v>
      </c>
      <c r="C35" s="126"/>
      <c r="D35" s="127"/>
      <c r="E35" s="128"/>
      <c r="F35" s="123">
        <v>0</v>
      </c>
      <c r="G35" s="124"/>
      <c r="H35" s="44"/>
      <c r="I35" s="9"/>
    </row>
    <row r="36" spans="1:9" ht="24.75" customHeight="1">
      <c r="A36" s="2"/>
      <c r="B36" s="125" t="s">
        <v>41</v>
      </c>
      <c r="C36" s="126"/>
      <c r="D36" s="127"/>
      <c r="E36" s="128"/>
      <c r="F36" s="123">
        <v>0</v>
      </c>
      <c r="G36" s="124"/>
      <c r="H36" s="44"/>
      <c r="I36" s="37"/>
    </row>
    <row r="37" spans="1:9" ht="24.75" customHeight="1">
      <c r="A37" s="2"/>
      <c r="B37" s="125" t="s">
        <v>42</v>
      </c>
      <c r="C37" s="126"/>
      <c r="D37" s="127"/>
      <c r="E37" s="128"/>
      <c r="F37" s="123">
        <v>0</v>
      </c>
      <c r="G37" s="124"/>
      <c r="H37" s="44"/>
      <c r="I37" s="9"/>
    </row>
    <row r="38" spans="1:9" ht="24.75" customHeight="1">
      <c r="A38" s="2"/>
      <c r="B38" s="125" t="s">
        <v>43</v>
      </c>
      <c r="C38" s="126"/>
      <c r="D38" s="127"/>
      <c r="E38" s="128"/>
      <c r="F38" s="123">
        <v>0</v>
      </c>
      <c r="G38" s="124"/>
      <c r="H38" s="44"/>
      <c r="I38" s="9"/>
    </row>
    <row r="39" spans="1:9" ht="24.75" customHeight="1">
      <c r="A39" s="2"/>
      <c r="B39" s="125" t="s">
        <v>44</v>
      </c>
      <c r="C39" s="126"/>
      <c r="D39" s="127"/>
      <c r="E39" s="128"/>
      <c r="F39" s="123">
        <v>0</v>
      </c>
      <c r="G39" s="124"/>
      <c r="H39" s="44"/>
      <c r="I39" s="9"/>
    </row>
    <row r="40" spans="1:9" ht="24.75" customHeight="1">
      <c r="A40" s="45"/>
      <c r="B40" s="166"/>
      <c r="C40" s="167"/>
      <c r="D40" s="116" t="s">
        <v>52</v>
      </c>
      <c r="E40" s="117"/>
      <c r="F40" s="118">
        <f>SUM(F34:G39)</f>
        <v>0</v>
      </c>
      <c r="G40" s="119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IF(Main!B2,TEXT(EDATE(Main!B3,42),"mmmm yyyy"),TEXT(Main!B3+((Main!B5-Main!B3)*42+42),"mmmm yyyy")) &amp; " to " &amp; IF(Main!B2,TEXT(EDATE(Main!B3,45)-1,"mmmm yyyy"),TEXT(Main!B3+((Main!B5-Main!B3)*45+44),"mmmm yyyy"))</f>
        <v>Fixed Expense For the Year October 2028 to January 2029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2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71" t="s">
        <v>57</v>
      </c>
      <c r="B46" s="172"/>
      <c r="C46" s="173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71" t="s">
        <v>62</v>
      </c>
      <c r="B56" s="172"/>
      <c r="C56" s="173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71" t="s">
        <v>67</v>
      </c>
      <c r="B67" s="172"/>
      <c r="C67" s="173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71" t="s">
        <v>72</v>
      </c>
      <c r="B76" s="172"/>
      <c r="C76" s="173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71" t="s">
        <v>77</v>
      </c>
      <c r="B86" s="172"/>
      <c r="C86" s="173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71" t="s">
        <v>86</v>
      </c>
      <c r="B97" s="172"/>
      <c r="C97" s="173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(Forecast_14!C98)+SUM(E118+E145+E172)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(Forecast_14!C99)+SUM(E119+E146+E173)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(Forecast_14!C100)+SUM(E120+E147+E174)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(Forecast_14!C101)+SUM(E121+E148+E175)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(Forecast_14!C102)+SUM(E122+E149+E176)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(Forecast_14!C103)+SUM(E123+E150+E177)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(Forecast_14!C104)+SUM(E124+E151+E178)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(Forecast_14!C105)+SUM(E125+E152+E179)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(Forecast_14!C106)+SUM(E126+E153+E180)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(Forecast_14!C107)+SUM(E127+E154+E181)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99" t="str">
        <f>"Debts Or Credits For the Comming " &amp; IF(Main!B2,TEXT(EDATE(Main!B3,42),"mmmm dd yyyy"),TEXT(Main!B3+((Main!B5-Main!B3)*42+42),"mmmm dd yyyy")) &amp; " to " &amp; IF(Main!B2,TEXT(EDATE(Main!B3,43)-1,"mmmm dd yyyy"),TEXT(Main!B3+((Main!B5-Main!B3)*43+42),"mmmm dd yyyy"))</f>
        <v>Debts Or Credits For the Comming October 11 2028 to November 10 2028</v>
      </c>
      <c r="B114" s="100"/>
      <c r="C114" s="100"/>
      <c r="D114" s="100"/>
      <c r="E114" s="101"/>
      <c r="F114" s="44"/>
      <c r="G114" s="44"/>
      <c r="H114" s="44"/>
      <c r="I114" s="9"/>
    </row>
    <row r="115" spans="1:9" ht="24.75" customHeight="1">
      <c r="A115" s="99" t="s">
        <v>94</v>
      </c>
      <c r="B115" s="101"/>
      <c r="C115" s="99" t="s">
        <v>47</v>
      </c>
      <c r="D115" s="101"/>
      <c r="E115" s="29" t="s">
        <v>48</v>
      </c>
      <c r="F115" s="44"/>
      <c r="G115" s="44"/>
      <c r="H115" s="44"/>
      <c r="I115" s="9"/>
    </row>
    <row r="116" spans="1:9" ht="24.75" customHeight="1">
      <c r="A116" s="96" t="str">
        <f>"Balance Brought Forward From " &amp; IF(Main!B2,TEXT(EDATE(Main!B3,42)-1,"mmmm yyyy"),TEXT(Main!B3+((Main!B5-Main!B3)*42+41),"mmmm yyyy"))</f>
        <v>Balance Brought Forward From October 2028</v>
      </c>
      <c r="B116" s="97"/>
      <c r="C116" s="158"/>
      <c r="D116" s="158"/>
      <c r="E116" s="51">
        <f>Forecast_14!E190</f>
        <v>0</v>
      </c>
      <c r="F116" s="44"/>
      <c r="G116" s="44"/>
      <c r="H116" s="44"/>
      <c r="I116" s="9"/>
    </row>
    <row r="117" spans="1:9" ht="24.75" customHeight="1">
      <c r="A117" s="106" t="s">
        <v>95</v>
      </c>
      <c r="B117" s="107"/>
      <c r="C117" s="157" t="s">
        <v>96</v>
      </c>
      <c r="D117" s="149"/>
      <c r="E117" s="42"/>
      <c r="F117" s="44"/>
      <c r="G117" s="44"/>
      <c r="H117" s="44"/>
      <c r="I117" s="9"/>
    </row>
    <row r="118" spans="1:9" ht="24.75" customHeight="1">
      <c r="A118" s="108"/>
      <c r="B118" s="109"/>
      <c r="C118" s="104" t="s">
        <v>97</v>
      </c>
      <c r="D118" s="105"/>
      <c r="E118" s="28">
        <v>0</v>
      </c>
      <c r="F118" s="44"/>
      <c r="G118" s="44"/>
      <c r="H118" s="44"/>
      <c r="I118" s="9"/>
    </row>
    <row r="119" spans="1:9" ht="24.75" customHeight="1">
      <c r="A119" s="108"/>
      <c r="B119" s="109"/>
      <c r="C119" s="104" t="s">
        <v>98</v>
      </c>
      <c r="D119" s="105"/>
      <c r="E119" s="28">
        <v>0</v>
      </c>
      <c r="F119" s="44"/>
      <c r="G119" s="44"/>
      <c r="H119" s="44"/>
      <c r="I119" s="9"/>
    </row>
    <row r="120" spans="1:9" ht="24.75" customHeight="1">
      <c r="A120" s="108"/>
      <c r="B120" s="109"/>
      <c r="C120" s="104" t="s">
        <v>99</v>
      </c>
      <c r="D120" s="105"/>
      <c r="E120" s="28">
        <v>0</v>
      </c>
      <c r="F120" s="44"/>
      <c r="G120" s="44"/>
      <c r="H120" s="44"/>
      <c r="I120" s="9"/>
    </row>
    <row r="121" spans="1:9" ht="24.75" customHeight="1">
      <c r="A121" s="108"/>
      <c r="B121" s="109"/>
      <c r="C121" s="104" t="s">
        <v>100</v>
      </c>
      <c r="D121" s="105"/>
      <c r="E121" s="28">
        <v>0</v>
      </c>
      <c r="F121" s="44"/>
      <c r="G121" s="44"/>
      <c r="H121" s="44"/>
      <c r="I121" s="9"/>
    </row>
    <row r="122" spans="1:9" ht="24.75" customHeight="1">
      <c r="A122" s="108"/>
      <c r="B122" s="109"/>
      <c r="C122" s="104" t="s">
        <v>101</v>
      </c>
      <c r="D122" s="105"/>
      <c r="E122" s="28">
        <v>0</v>
      </c>
      <c r="F122" s="44"/>
      <c r="G122" s="44"/>
      <c r="H122" s="44"/>
      <c r="I122" s="9"/>
    </row>
    <row r="123" spans="1:9" ht="24.75" customHeight="1">
      <c r="A123" s="108"/>
      <c r="B123" s="109"/>
      <c r="C123" s="104" t="s">
        <v>102</v>
      </c>
      <c r="D123" s="105"/>
      <c r="E123" s="28">
        <v>0</v>
      </c>
      <c r="F123" s="44"/>
      <c r="G123" s="44"/>
      <c r="H123" s="44"/>
      <c r="I123" s="9"/>
    </row>
    <row r="124" spans="1:9" ht="24.75" customHeight="1">
      <c r="A124" s="108"/>
      <c r="B124" s="109"/>
      <c r="C124" s="104" t="s">
        <v>103</v>
      </c>
      <c r="D124" s="105"/>
      <c r="E124" s="28">
        <v>0</v>
      </c>
      <c r="F124" s="44"/>
      <c r="G124" s="44"/>
      <c r="H124" s="44"/>
      <c r="I124" s="9"/>
    </row>
    <row r="125" spans="1:9" ht="24.75" customHeight="1">
      <c r="A125" s="108"/>
      <c r="B125" s="109"/>
      <c r="C125" s="104" t="s">
        <v>104</v>
      </c>
      <c r="D125" s="105"/>
      <c r="E125" s="28">
        <v>0</v>
      </c>
      <c r="F125" s="44"/>
      <c r="G125" s="44"/>
      <c r="H125" s="44"/>
      <c r="I125" s="9"/>
    </row>
    <row r="126" spans="1:9" ht="24.75" customHeight="1">
      <c r="A126" s="108"/>
      <c r="B126" s="109"/>
      <c r="C126" s="104" t="s">
        <v>105</v>
      </c>
      <c r="D126" s="105"/>
      <c r="E126" s="28">
        <v>0</v>
      </c>
      <c r="F126" s="44"/>
      <c r="G126" s="44"/>
      <c r="H126" s="44"/>
      <c r="I126" s="9"/>
    </row>
    <row r="127" spans="1:9" ht="24.75" customHeight="1">
      <c r="A127" s="108"/>
      <c r="B127" s="109"/>
      <c r="C127" s="104" t="s">
        <v>106</v>
      </c>
      <c r="D127" s="105"/>
      <c r="E127" s="28">
        <v>0</v>
      </c>
      <c r="F127" s="44"/>
      <c r="G127" s="44"/>
      <c r="H127" s="44"/>
      <c r="I127" s="9"/>
    </row>
    <row r="128" spans="1:9" ht="24.75" customHeight="1">
      <c r="A128" s="108"/>
      <c r="B128" s="109"/>
      <c r="C128" s="148" t="s">
        <v>107</v>
      </c>
      <c r="D128" s="149"/>
      <c r="E128" s="42"/>
      <c r="F128" s="44"/>
      <c r="G128" s="44"/>
      <c r="H128" s="44"/>
      <c r="I128" s="9"/>
    </row>
    <row r="129" spans="1:9" ht="24.75" customHeight="1">
      <c r="A129" s="108"/>
      <c r="B129" s="109"/>
      <c r="C129" s="150" t="s">
        <v>108</v>
      </c>
      <c r="D129" s="151"/>
      <c r="E129" s="30">
        <v>0</v>
      </c>
      <c r="F129" s="44"/>
      <c r="G129" s="44"/>
      <c r="H129" s="44"/>
      <c r="I129" s="9"/>
    </row>
    <row r="130" spans="1:9" ht="24.75" customHeight="1">
      <c r="A130" s="108"/>
      <c r="B130" s="109"/>
      <c r="C130" s="104" t="s">
        <v>97</v>
      </c>
      <c r="D130" s="105"/>
      <c r="E130" s="30">
        <v>0</v>
      </c>
      <c r="F130" s="44"/>
      <c r="G130" s="44"/>
      <c r="H130" s="44"/>
      <c r="I130" s="9"/>
    </row>
    <row r="131" spans="1:9" ht="24.75" customHeight="1">
      <c r="A131" s="108"/>
      <c r="B131" s="109"/>
      <c r="C131" s="104" t="s">
        <v>98</v>
      </c>
      <c r="D131" s="105"/>
      <c r="E131" s="30">
        <v>0</v>
      </c>
      <c r="F131" s="44"/>
      <c r="G131" s="44"/>
      <c r="H131" s="44"/>
      <c r="I131" s="9"/>
    </row>
    <row r="132" spans="1:9" ht="24.75" customHeight="1">
      <c r="A132" s="108"/>
      <c r="B132" s="109"/>
      <c r="C132" s="104" t="s">
        <v>99</v>
      </c>
      <c r="D132" s="105"/>
      <c r="E132" s="30">
        <v>0</v>
      </c>
      <c r="F132" s="44"/>
      <c r="G132" s="44"/>
      <c r="H132" s="44"/>
      <c r="I132" s="9"/>
    </row>
    <row r="133" spans="1:9" ht="24.75" customHeight="1">
      <c r="A133" s="108"/>
      <c r="B133" s="109"/>
      <c r="C133" s="104" t="s">
        <v>100</v>
      </c>
      <c r="D133" s="105"/>
      <c r="E133" s="30">
        <v>0</v>
      </c>
      <c r="F133" s="44"/>
      <c r="G133" s="44"/>
      <c r="H133" s="44"/>
      <c r="I133" s="9"/>
    </row>
    <row r="134" spans="1:9" ht="24.75" customHeight="1">
      <c r="A134" s="110"/>
      <c r="B134" s="111"/>
      <c r="C134" s="104" t="s">
        <v>101</v>
      </c>
      <c r="D134" s="105"/>
      <c r="E134" s="30">
        <v>0</v>
      </c>
      <c r="F134" s="44"/>
      <c r="G134" s="44"/>
      <c r="H134" s="44"/>
      <c r="I134" s="9"/>
    </row>
    <row r="135" spans="1:9" ht="24.75" customHeight="1">
      <c r="A135" s="96" t="s">
        <v>109</v>
      </c>
      <c r="B135" s="152"/>
      <c r="C135" s="153"/>
      <c r="D135" s="154"/>
      <c r="E135" s="30">
        <f>C96</f>
        <v>0</v>
      </c>
      <c r="F135" s="44"/>
      <c r="G135" s="44"/>
      <c r="H135" s="44"/>
      <c r="I135" s="9"/>
    </row>
    <row r="136" spans="1:9" ht="24.75" customHeight="1">
      <c r="A136" s="145"/>
      <c r="B136" s="146"/>
      <c r="C136" s="147" t="s">
        <v>110</v>
      </c>
      <c r="D136" s="147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99" t="str">
        <f>"Debts Or Credits For the Comming " &amp; IF(Main!B2,TEXT(EDATE(Main!B3,43),"mmmm dd yyyy"),TEXT(Main!B3+((Main!B5-Main!B3)*43+43),"dd mmmm yyyy")) &amp; " to " &amp;  IF(Main!B2,TEXT(EDATE(Main!B3,44)-1,"mmmm dd yyyy"),TEXT(Main!B3+((Main!B5-Main!B3)*44+43),"mmmm dd yyyy"))</f>
        <v>Debts Or Credits For the Comming November 11 2028 to December 10 2028</v>
      </c>
      <c r="B141" s="100"/>
      <c r="C141" s="100"/>
      <c r="D141" s="100"/>
      <c r="E141" s="101"/>
      <c r="F141" s="44"/>
      <c r="G141" s="44"/>
      <c r="H141" s="44"/>
      <c r="I141" s="9"/>
    </row>
    <row r="142" spans="1:9" ht="24.75" customHeight="1">
      <c r="A142" s="99" t="s">
        <v>94</v>
      </c>
      <c r="B142" s="101"/>
      <c r="C142" s="102" t="s">
        <v>47</v>
      </c>
      <c r="D142" s="103"/>
      <c r="E142" s="39" t="s">
        <v>48</v>
      </c>
      <c r="F142" s="44"/>
      <c r="G142" s="44"/>
      <c r="H142" s="44"/>
      <c r="I142" s="9"/>
    </row>
    <row r="143" spans="1:9" ht="24.75" customHeight="1">
      <c r="A143" s="96" t="str">
        <f>"Balance Brought Forward From " &amp; IF(Main!B2,TEXT(EDATE(Main!B3,43)-1,"mmmm yyyy"),TEXT(Main!B3+((Main!B5-Main!B3)*43+42),"mmmm yyyy"))</f>
        <v>Balance Brought Forward From November 2028</v>
      </c>
      <c r="B143" s="97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06" t="s">
        <v>95</v>
      </c>
      <c r="B144" s="107"/>
      <c r="C144" s="112" t="s">
        <v>96</v>
      </c>
      <c r="D144" s="113"/>
      <c r="E144" s="43"/>
      <c r="F144" s="44"/>
      <c r="G144" s="44"/>
      <c r="H144" s="44"/>
      <c r="I144" s="9"/>
    </row>
    <row r="145" spans="1:9" ht="24.75" customHeight="1">
      <c r="A145" s="108"/>
      <c r="B145" s="109"/>
      <c r="C145" s="104" t="s">
        <v>97</v>
      </c>
      <c r="D145" s="105"/>
      <c r="E145" s="28">
        <v>0</v>
      </c>
      <c r="F145" s="44"/>
      <c r="G145" s="44"/>
      <c r="H145" s="44"/>
      <c r="I145" s="9"/>
    </row>
    <row r="146" spans="1:9" ht="24.75" customHeight="1">
      <c r="A146" s="108"/>
      <c r="B146" s="109"/>
      <c r="C146" s="104" t="s">
        <v>98</v>
      </c>
      <c r="D146" s="105"/>
      <c r="E146" s="28">
        <v>0</v>
      </c>
      <c r="F146" s="44"/>
      <c r="G146" s="44"/>
      <c r="H146" s="44"/>
      <c r="I146" s="9"/>
    </row>
    <row r="147" spans="1:9" ht="24.75" customHeight="1">
      <c r="A147" s="108"/>
      <c r="B147" s="109"/>
      <c r="C147" s="104" t="s">
        <v>99</v>
      </c>
      <c r="D147" s="105"/>
      <c r="E147" s="28">
        <v>0</v>
      </c>
      <c r="F147" s="44"/>
      <c r="G147" s="44"/>
      <c r="H147" s="44"/>
      <c r="I147" s="9"/>
    </row>
    <row r="148" spans="1:9" ht="24.75" customHeight="1">
      <c r="A148" s="108"/>
      <c r="B148" s="109"/>
      <c r="C148" s="104" t="s">
        <v>100</v>
      </c>
      <c r="D148" s="105"/>
      <c r="E148" s="28">
        <v>0</v>
      </c>
      <c r="F148" s="44"/>
      <c r="G148" s="44"/>
      <c r="H148" s="44"/>
      <c r="I148" s="9"/>
    </row>
    <row r="149" spans="1:9" ht="24.75" customHeight="1">
      <c r="A149" s="108"/>
      <c r="B149" s="109"/>
      <c r="C149" s="104" t="s">
        <v>101</v>
      </c>
      <c r="D149" s="105"/>
      <c r="E149" s="28">
        <v>0</v>
      </c>
      <c r="F149" s="44"/>
      <c r="G149" s="44"/>
      <c r="H149" s="44"/>
      <c r="I149" s="9"/>
    </row>
    <row r="150" spans="1:9" ht="24.75" customHeight="1">
      <c r="A150" s="108"/>
      <c r="B150" s="109"/>
      <c r="C150" s="104" t="s">
        <v>102</v>
      </c>
      <c r="D150" s="105"/>
      <c r="E150" s="28">
        <v>0</v>
      </c>
      <c r="F150" s="44"/>
      <c r="G150" s="44"/>
      <c r="H150" s="44"/>
      <c r="I150" s="9"/>
    </row>
    <row r="151" spans="1:9" ht="24.75" customHeight="1">
      <c r="A151" s="108"/>
      <c r="B151" s="109"/>
      <c r="C151" s="104" t="s">
        <v>103</v>
      </c>
      <c r="D151" s="105"/>
      <c r="E151" s="28">
        <v>0</v>
      </c>
      <c r="F151" s="44"/>
      <c r="G151" s="44"/>
      <c r="H151" s="44"/>
      <c r="I151" s="9"/>
    </row>
    <row r="152" spans="1:9" ht="24.75" customHeight="1">
      <c r="A152" s="108"/>
      <c r="B152" s="109"/>
      <c r="C152" s="104" t="s">
        <v>104</v>
      </c>
      <c r="D152" s="105"/>
      <c r="E152" s="28">
        <v>0</v>
      </c>
      <c r="F152" s="44"/>
      <c r="G152" s="44"/>
      <c r="H152" s="44"/>
      <c r="I152" s="9"/>
    </row>
    <row r="153" spans="1:9" ht="24.75" customHeight="1">
      <c r="A153" s="108"/>
      <c r="B153" s="109"/>
      <c r="C153" s="104" t="s">
        <v>105</v>
      </c>
      <c r="D153" s="105"/>
      <c r="E153" s="28">
        <v>0</v>
      </c>
      <c r="F153" s="44"/>
      <c r="G153" s="44"/>
      <c r="H153" s="44"/>
      <c r="I153" s="9"/>
    </row>
    <row r="154" spans="1:9" ht="24.75" customHeight="1">
      <c r="A154" s="108"/>
      <c r="B154" s="109"/>
      <c r="C154" s="104" t="s">
        <v>106</v>
      </c>
      <c r="D154" s="105"/>
      <c r="E154" s="28">
        <v>0</v>
      </c>
      <c r="F154" s="44"/>
      <c r="G154" s="44"/>
      <c r="H154" s="44"/>
      <c r="I154" s="9"/>
    </row>
    <row r="155" spans="1:9" ht="24.75" customHeight="1">
      <c r="A155" s="108"/>
      <c r="B155" s="109"/>
      <c r="C155" s="148" t="s">
        <v>107</v>
      </c>
      <c r="D155" s="149"/>
      <c r="E155" s="42"/>
      <c r="F155" s="44"/>
      <c r="G155" s="44"/>
      <c r="H155" s="44"/>
      <c r="I155" s="9"/>
    </row>
    <row r="156" spans="1:9" ht="24.75" customHeight="1">
      <c r="A156" s="108"/>
      <c r="B156" s="109"/>
      <c r="C156" s="150" t="s">
        <v>111</v>
      </c>
      <c r="D156" s="151"/>
      <c r="E156" s="30">
        <v>0</v>
      </c>
      <c r="F156" s="44"/>
      <c r="G156" s="44"/>
      <c r="H156" s="44"/>
      <c r="I156" s="9"/>
    </row>
    <row r="157" spans="1:9" ht="24.75" customHeight="1">
      <c r="A157" s="108"/>
      <c r="B157" s="109"/>
      <c r="C157" s="104" t="s">
        <v>97</v>
      </c>
      <c r="D157" s="105"/>
      <c r="E157" s="30">
        <v>0</v>
      </c>
      <c r="F157" s="44"/>
      <c r="G157" s="44"/>
      <c r="H157" s="44"/>
      <c r="I157" s="9"/>
    </row>
    <row r="158" spans="1:9" ht="24.75" customHeight="1">
      <c r="A158" s="108"/>
      <c r="B158" s="109"/>
      <c r="C158" s="104" t="s">
        <v>98</v>
      </c>
      <c r="D158" s="105"/>
      <c r="E158" s="30">
        <v>0</v>
      </c>
      <c r="F158" s="44"/>
      <c r="G158" s="44"/>
      <c r="H158" s="44"/>
      <c r="I158" s="9"/>
    </row>
    <row r="159" spans="1:9" ht="24.75" customHeight="1">
      <c r="A159" s="108"/>
      <c r="B159" s="109"/>
      <c r="C159" s="104" t="s">
        <v>99</v>
      </c>
      <c r="D159" s="105"/>
      <c r="E159" s="30">
        <v>0</v>
      </c>
      <c r="F159" s="44"/>
      <c r="G159" s="44"/>
      <c r="H159" s="44"/>
      <c r="I159" s="9"/>
    </row>
    <row r="160" spans="1:9" ht="24.75" customHeight="1">
      <c r="A160" s="108"/>
      <c r="B160" s="109"/>
      <c r="C160" s="104" t="s">
        <v>100</v>
      </c>
      <c r="D160" s="105"/>
      <c r="E160" s="30">
        <v>0</v>
      </c>
      <c r="F160" s="44"/>
      <c r="G160" s="44"/>
      <c r="H160" s="44"/>
      <c r="I160" s="9"/>
    </row>
    <row r="161" spans="1:9" ht="24.75" customHeight="1">
      <c r="A161" s="110"/>
      <c r="B161" s="111"/>
      <c r="C161" s="104" t="s">
        <v>101</v>
      </c>
      <c r="D161" s="105"/>
      <c r="E161" s="30">
        <v>0</v>
      </c>
      <c r="F161" s="44"/>
      <c r="G161" s="44"/>
      <c r="H161" s="44"/>
      <c r="I161" s="9"/>
    </row>
    <row r="162" spans="1:9" ht="24.75" customHeight="1">
      <c r="A162" s="96" t="s">
        <v>109</v>
      </c>
      <c r="B162" s="152"/>
      <c r="C162" s="153"/>
      <c r="D162" s="154"/>
      <c r="E162" s="30">
        <f>C96</f>
        <v>0</v>
      </c>
      <c r="F162" s="44"/>
      <c r="G162" s="44"/>
      <c r="H162" s="44"/>
      <c r="I162" s="9"/>
    </row>
    <row r="163" spans="1:9" ht="24.75" customHeight="1">
      <c r="A163" s="145"/>
      <c r="B163" s="146"/>
      <c r="C163" s="147" t="s">
        <v>110</v>
      </c>
      <c r="D163" s="147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99" t="str">
        <f>"Debts Or Credits For the Comming " &amp; IF(Main!B2,TEXT(EDATE(Main!B3,44),"mmmm dd yyyy"),TEXT(Main!B3+((Main!B5-Main!B3)*44+44),"mmmm dd yyyy")) &amp; " to " &amp; IF(Main!B2,TEXT(EDATE(Main!B3,45)-1,"mmmm dd yyyy"),TEXT(Main!B3+((Main!B5-Main!B3)*45+44),"mmmm dd yyyy"))</f>
        <v>Debts Or Credits For the Comming December 11 2028 to January 10 2029</v>
      </c>
      <c r="B168" s="100"/>
      <c r="C168" s="100"/>
      <c r="D168" s="100"/>
      <c r="E168" s="101"/>
      <c r="F168" s="44"/>
      <c r="G168" s="44"/>
      <c r="H168" s="44"/>
      <c r="I168" s="9"/>
    </row>
    <row r="169" spans="1:9" ht="24.75" customHeight="1">
      <c r="A169" s="99" t="s">
        <v>94</v>
      </c>
      <c r="B169" s="101"/>
      <c r="C169" s="102" t="s">
        <v>47</v>
      </c>
      <c r="D169" s="103"/>
      <c r="E169" s="39" t="s">
        <v>48</v>
      </c>
      <c r="F169" s="44"/>
      <c r="G169" s="44"/>
      <c r="H169" s="44"/>
      <c r="I169" s="9"/>
    </row>
    <row r="170" spans="1:9" ht="24.75" customHeight="1">
      <c r="A170" s="96" t="str">
        <f>"Balance Brought Forward From " &amp;  IF(Main!B2,TEXT(EDATE(Main!B3,44)-1,"mmmm yyyy"),TEXT(Main!B3+((Main!B5-Main!B3)*44+43),"mmmm yyyy"))</f>
        <v>Balance Brought Forward From December 2028</v>
      </c>
      <c r="B170" s="97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06" t="s">
        <v>95</v>
      </c>
      <c r="B171" s="107"/>
      <c r="C171" s="112" t="s">
        <v>96</v>
      </c>
      <c r="D171" s="113"/>
      <c r="E171" s="43"/>
      <c r="F171" s="44"/>
      <c r="G171" s="44"/>
      <c r="H171" s="44"/>
      <c r="I171" s="9"/>
    </row>
    <row r="172" spans="1:9" ht="24.75" customHeight="1">
      <c r="A172" s="108"/>
      <c r="B172" s="109"/>
      <c r="C172" s="104" t="s">
        <v>97</v>
      </c>
      <c r="D172" s="105"/>
      <c r="E172" s="28">
        <v>0</v>
      </c>
      <c r="F172" s="44"/>
      <c r="G172" s="44"/>
      <c r="H172" s="44"/>
      <c r="I172" s="9"/>
    </row>
    <row r="173" spans="1:9" ht="24.75" customHeight="1">
      <c r="A173" s="108"/>
      <c r="B173" s="109"/>
      <c r="C173" s="104" t="s">
        <v>98</v>
      </c>
      <c r="D173" s="105"/>
      <c r="E173" s="28">
        <v>0</v>
      </c>
      <c r="F173" s="44"/>
      <c r="G173" s="44"/>
      <c r="H173" s="44"/>
      <c r="I173" s="9"/>
    </row>
    <row r="174" spans="1:9" ht="24.75" customHeight="1">
      <c r="A174" s="108"/>
      <c r="B174" s="109"/>
      <c r="C174" s="104" t="s">
        <v>99</v>
      </c>
      <c r="D174" s="105"/>
      <c r="E174" s="28">
        <v>0</v>
      </c>
      <c r="F174" s="44"/>
      <c r="G174" s="44"/>
      <c r="H174" s="44"/>
      <c r="I174" s="9"/>
    </row>
    <row r="175" spans="1:9" ht="24.75" customHeight="1">
      <c r="A175" s="108"/>
      <c r="B175" s="109"/>
      <c r="C175" s="104" t="s">
        <v>100</v>
      </c>
      <c r="D175" s="105"/>
      <c r="E175" s="28">
        <v>0</v>
      </c>
      <c r="F175" s="44"/>
      <c r="G175" s="44"/>
      <c r="H175" s="44"/>
      <c r="I175" s="9"/>
    </row>
    <row r="176" spans="1:9" ht="24.75" customHeight="1">
      <c r="A176" s="108"/>
      <c r="B176" s="109"/>
      <c r="C176" s="104" t="s">
        <v>101</v>
      </c>
      <c r="D176" s="105"/>
      <c r="E176" s="28">
        <v>0</v>
      </c>
      <c r="F176" s="44"/>
      <c r="G176" s="44"/>
      <c r="H176" s="44"/>
      <c r="I176" s="9"/>
    </row>
    <row r="177" spans="1:9" ht="24.75" customHeight="1">
      <c r="A177" s="108"/>
      <c r="B177" s="109"/>
      <c r="C177" s="104" t="s">
        <v>102</v>
      </c>
      <c r="D177" s="105"/>
      <c r="E177" s="28">
        <v>0</v>
      </c>
      <c r="F177" s="44"/>
      <c r="G177" s="44"/>
      <c r="H177" s="44"/>
      <c r="I177" s="9"/>
    </row>
    <row r="178" spans="1:9" ht="24.75" customHeight="1">
      <c r="A178" s="108"/>
      <c r="B178" s="109"/>
      <c r="C178" s="104" t="s">
        <v>103</v>
      </c>
      <c r="D178" s="105"/>
      <c r="E178" s="28">
        <v>0</v>
      </c>
      <c r="F178" s="44"/>
      <c r="G178" s="44"/>
      <c r="H178" s="44"/>
      <c r="I178" s="9"/>
    </row>
    <row r="179" spans="1:9" ht="24.75" customHeight="1">
      <c r="A179" s="108"/>
      <c r="B179" s="109"/>
      <c r="C179" s="104" t="s">
        <v>104</v>
      </c>
      <c r="D179" s="105"/>
      <c r="E179" s="28">
        <v>0</v>
      </c>
      <c r="F179" s="44"/>
      <c r="G179" s="44"/>
      <c r="H179" s="44"/>
      <c r="I179" s="9"/>
    </row>
    <row r="180" spans="1:9" ht="24.75" customHeight="1">
      <c r="A180" s="108"/>
      <c r="B180" s="109"/>
      <c r="C180" s="104" t="s">
        <v>105</v>
      </c>
      <c r="D180" s="105"/>
      <c r="E180" s="28">
        <v>0</v>
      </c>
      <c r="F180" s="44"/>
      <c r="G180" s="44"/>
      <c r="H180" s="44"/>
      <c r="I180" s="9"/>
    </row>
    <row r="181" spans="1:9" ht="24.75" customHeight="1">
      <c r="A181" s="108"/>
      <c r="B181" s="109"/>
      <c r="C181" s="104" t="s">
        <v>106</v>
      </c>
      <c r="D181" s="105"/>
      <c r="E181" s="28">
        <v>0</v>
      </c>
      <c r="F181" s="44"/>
      <c r="G181" s="44"/>
      <c r="H181" s="44"/>
      <c r="I181" s="9"/>
    </row>
    <row r="182" spans="1:9" ht="24.75" customHeight="1">
      <c r="A182" s="108"/>
      <c r="B182" s="109"/>
      <c r="C182" s="148" t="s">
        <v>107</v>
      </c>
      <c r="D182" s="149"/>
      <c r="E182" s="42"/>
      <c r="F182" s="44"/>
      <c r="G182" s="44"/>
      <c r="H182" s="44"/>
      <c r="I182" s="9"/>
    </row>
    <row r="183" spans="1:9" ht="24.75" customHeight="1">
      <c r="A183" s="108"/>
      <c r="B183" s="109"/>
      <c r="C183" s="150" t="s">
        <v>111</v>
      </c>
      <c r="D183" s="151"/>
      <c r="E183" s="30">
        <v>0</v>
      </c>
      <c r="F183" s="44"/>
      <c r="G183" s="44"/>
      <c r="H183" s="44"/>
      <c r="I183" s="9"/>
    </row>
    <row r="184" spans="1:9" ht="24.75" customHeight="1">
      <c r="A184" s="108"/>
      <c r="B184" s="109"/>
      <c r="C184" s="104" t="s">
        <v>97</v>
      </c>
      <c r="D184" s="105"/>
      <c r="E184" s="30">
        <v>0</v>
      </c>
      <c r="F184" s="44"/>
      <c r="G184" s="44"/>
      <c r="H184" s="44"/>
      <c r="I184" s="9"/>
    </row>
    <row r="185" spans="1:9" ht="24.75" customHeight="1">
      <c r="A185" s="108"/>
      <c r="B185" s="109"/>
      <c r="C185" s="104" t="s">
        <v>98</v>
      </c>
      <c r="D185" s="105"/>
      <c r="E185" s="30">
        <v>0</v>
      </c>
      <c r="F185" s="44"/>
      <c r="G185" s="44"/>
      <c r="H185" s="44"/>
      <c r="I185" s="9"/>
    </row>
    <row r="186" spans="1:9" ht="24.75" customHeight="1">
      <c r="A186" s="108"/>
      <c r="B186" s="109"/>
      <c r="C186" s="104" t="s">
        <v>99</v>
      </c>
      <c r="D186" s="105"/>
      <c r="E186" s="30">
        <v>0</v>
      </c>
      <c r="F186" s="44"/>
      <c r="G186" s="44"/>
      <c r="H186" s="44"/>
      <c r="I186" s="9"/>
    </row>
    <row r="187" spans="1:9" ht="24.75" customHeight="1">
      <c r="A187" s="108"/>
      <c r="B187" s="109"/>
      <c r="C187" s="104" t="s">
        <v>100</v>
      </c>
      <c r="D187" s="105"/>
      <c r="E187" s="30">
        <v>0</v>
      </c>
      <c r="F187" s="44"/>
      <c r="G187" s="44"/>
      <c r="H187" s="44"/>
      <c r="I187" s="9"/>
    </row>
    <row r="188" spans="1:9" ht="24.75" customHeight="1">
      <c r="A188" s="110"/>
      <c r="B188" s="111"/>
      <c r="C188" s="104" t="s">
        <v>101</v>
      </c>
      <c r="D188" s="105"/>
      <c r="E188" s="30">
        <v>0</v>
      </c>
      <c r="F188" s="44"/>
      <c r="G188" s="44"/>
      <c r="H188" s="44"/>
      <c r="I188" s="9"/>
    </row>
    <row r="189" spans="1:9" ht="24.75" customHeight="1">
      <c r="A189" s="96" t="s">
        <v>109</v>
      </c>
      <c r="B189" s="152"/>
      <c r="C189" s="153"/>
      <c r="D189" s="154"/>
      <c r="E189" s="30">
        <f>C96</f>
        <v>0</v>
      </c>
      <c r="F189" s="44"/>
      <c r="G189" s="44"/>
      <c r="H189" s="44"/>
      <c r="I189" s="9"/>
    </row>
    <row r="190" spans="1:9">
      <c r="A190" s="145"/>
      <c r="B190" s="146"/>
      <c r="C190" s="147" t="s">
        <v>110</v>
      </c>
      <c r="D190" s="147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101" priority="51" operator="equal">
      <formula>0</formula>
    </cfRule>
  </conditionalFormatting>
  <conditionalFormatting sqref="C47:C55 C85 C95:C96 E144 E155:E162">
    <cfRule type="cellIs" dxfId="100" priority="50" operator="greaterThan">
      <formula>0</formula>
    </cfRule>
  </conditionalFormatting>
  <conditionalFormatting sqref="C57:C66">
    <cfRule type="cellIs" dxfId="99" priority="49" operator="equal">
      <formula>0</formula>
    </cfRule>
  </conditionalFormatting>
  <conditionalFormatting sqref="C57:C66">
    <cfRule type="cellIs" dxfId="98" priority="48" operator="greaterThan">
      <formula>0</formula>
    </cfRule>
  </conditionalFormatting>
  <conditionalFormatting sqref="C68:C69">
    <cfRule type="cellIs" dxfId="97" priority="47" operator="equal">
      <formula>0</formula>
    </cfRule>
  </conditionalFormatting>
  <conditionalFormatting sqref="C68:C69">
    <cfRule type="cellIs" dxfId="96" priority="46" operator="greaterThan">
      <formula>0</formula>
    </cfRule>
  </conditionalFormatting>
  <conditionalFormatting sqref="C75">
    <cfRule type="cellIs" dxfId="95" priority="45" operator="equal">
      <formula>0</formula>
    </cfRule>
  </conditionalFormatting>
  <conditionalFormatting sqref="C75">
    <cfRule type="cellIs" dxfId="94" priority="44" operator="greaterThan">
      <formula>0</formula>
    </cfRule>
  </conditionalFormatting>
  <conditionalFormatting sqref="C77">
    <cfRule type="cellIs" dxfId="93" priority="43" operator="equal">
      <formula>0</formula>
    </cfRule>
  </conditionalFormatting>
  <conditionalFormatting sqref="C77">
    <cfRule type="cellIs" dxfId="92" priority="42" operator="greaterThan">
      <formula>0</formula>
    </cfRule>
  </conditionalFormatting>
  <conditionalFormatting sqref="C87:C89">
    <cfRule type="cellIs" dxfId="91" priority="41" operator="equal">
      <formula>0</formula>
    </cfRule>
  </conditionalFormatting>
  <conditionalFormatting sqref="C87:C89">
    <cfRule type="cellIs" dxfId="90" priority="40" operator="greaterThan">
      <formula>0</formula>
    </cfRule>
  </conditionalFormatting>
  <conditionalFormatting sqref="E117 E128:E135">
    <cfRule type="cellIs" dxfId="89" priority="39" operator="equal">
      <formula>0</formula>
    </cfRule>
  </conditionalFormatting>
  <conditionalFormatting sqref="E117 E128:E135">
    <cfRule type="cellIs" dxfId="88" priority="38" operator="greaterThan">
      <formula>0</formula>
    </cfRule>
  </conditionalFormatting>
  <conditionalFormatting sqref="E136">
    <cfRule type="cellIs" dxfId="87" priority="37" operator="greaterThanOrEqual">
      <formula>0</formula>
    </cfRule>
  </conditionalFormatting>
  <conditionalFormatting sqref="E136">
    <cfRule type="cellIs" dxfId="86" priority="36" operator="lessThan">
      <formula>0</formula>
    </cfRule>
  </conditionalFormatting>
  <conditionalFormatting sqref="C70:C74">
    <cfRule type="cellIs" dxfId="85" priority="35" operator="equal">
      <formula>0</formula>
    </cfRule>
  </conditionalFormatting>
  <conditionalFormatting sqref="C70:C74">
    <cfRule type="cellIs" dxfId="84" priority="34" operator="greaterThan">
      <formula>0</formula>
    </cfRule>
  </conditionalFormatting>
  <conditionalFormatting sqref="C80:C84">
    <cfRule type="cellIs" dxfId="83" priority="33" operator="equal">
      <formula>0</formula>
    </cfRule>
  </conditionalFormatting>
  <conditionalFormatting sqref="C80:C84">
    <cfRule type="cellIs" dxfId="82" priority="32" operator="greaterThan">
      <formula>0</formula>
    </cfRule>
  </conditionalFormatting>
  <conditionalFormatting sqref="C92:C94">
    <cfRule type="cellIs" dxfId="81" priority="31" operator="equal">
      <formula>0</formula>
    </cfRule>
  </conditionalFormatting>
  <conditionalFormatting sqref="C92:C94">
    <cfRule type="cellIs" dxfId="80" priority="30" operator="greaterThan">
      <formula>0</formula>
    </cfRule>
  </conditionalFormatting>
  <conditionalFormatting sqref="C108:C109">
    <cfRule type="cellIs" dxfId="79" priority="29" operator="equal">
      <formula>0</formula>
    </cfRule>
  </conditionalFormatting>
  <conditionalFormatting sqref="C108:C109">
    <cfRule type="cellIs" dxfId="78" priority="28" operator="greaterThan">
      <formula>0</formula>
    </cfRule>
  </conditionalFormatting>
  <conditionalFormatting sqref="E144 E155:E162">
    <cfRule type="cellIs" dxfId="77" priority="27" operator="equal">
      <formula>0</formula>
    </cfRule>
  </conditionalFormatting>
  <conditionalFormatting sqref="E163">
    <cfRule type="cellIs" dxfId="76" priority="26" operator="greaterThanOrEqual">
      <formula>0</formula>
    </cfRule>
  </conditionalFormatting>
  <conditionalFormatting sqref="E163">
    <cfRule type="cellIs" dxfId="75" priority="25" operator="lessThan">
      <formula>0</formula>
    </cfRule>
  </conditionalFormatting>
  <conditionalFormatting sqref="E143">
    <cfRule type="cellIs" dxfId="74" priority="24" operator="greaterThanOrEqual">
      <formula>0</formula>
    </cfRule>
  </conditionalFormatting>
  <conditionalFormatting sqref="E143">
    <cfRule type="cellIs" dxfId="73" priority="23" operator="lessThan">
      <formula>0</formula>
    </cfRule>
  </conditionalFormatting>
  <conditionalFormatting sqref="E171 E182:E189">
    <cfRule type="cellIs" dxfId="72" priority="22" operator="equal">
      <formula>0</formula>
    </cfRule>
  </conditionalFormatting>
  <conditionalFormatting sqref="E171 E182:E189">
    <cfRule type="cellIs" dxfId="71" priority="21" operator="greaterThan">
      <formula>0</formula>
    </cfRule>
  </conditionalFormatting>
  <conditionalFormatting sqref="E190">
    <cfRule type="cellIs" dxfId="70" priority="20" operator="greaterThanOrEqual">
      <formula>0</formula>
    </cfRule>
  </conditionalFormatting>
  <conditionalFormatting sqref="E190">
    <cfRule type="cellIs" dxfId="69" priority="19" operator="lessThan">
      <formula>0</formula>
    </cfRule>
  </conditionalFormatting>
  <conditionalFormatting sqref="E170">
    <cfRule type="cellIs" dxfId="68" priority="18" operator="greaterThanOrEqual">
      <formula>0</formula>
    </cfRule>
  </conditionalFormatting>
  <conditionalFormatting sqref="E170">
    <cfRule type="cellIs" dxfId="67" priority="17" operator="lessThan">
      <formula>0</formula>
    </cfRule>
  </conditionalFormatting>
  <conditionalFormatting sqref="C5">
    <cfRule type="cellIs" dxfId="66" priority="16" operator="equal">
      <formula>0</formula>
    </cfRule>
  </conditionalFormatting>
  <conditionalFormatting sqref="C5">
    <cfRule type="cellIs" dxfId="65" priority="15" operator="greaterThan">
      <formula>0</formula>
    </cfRule>
  </conditionalFormatting>
  <conditionalFormatting sqref="C98:C107">
    <cfRule type="cellIs" dxfId="64" priority="14" operator="lessThan">
      <formula>0</formula>
    </cfRule>
  </conditionalFormatting>
  <conditionalFormatting sqref="C98:C107">
    <cfRule type="cellIs" dxfId="63" priority="13" operator="greaterThanOrEqual">
      <formula>0</formula>
    </cfRule>
  </conditionalFormatting>
  <conditionalFormatting sqref="E118:E127">
    <cfRule type="cellIs" dxfId="62" priority="12" operator="equal">
      <formula>0</formula>
    </cfRule>
  </conditionalFormatting>
  <conditionalFormatting sqref="E118:E127">
    <cfRule type="cellIs" dxfId="61" priority="11" operator="greaterThan">
      <formula>0</formula>
    </cfRule>
  </conditionalFormatting>
  <conditionalFormatting sqref="E145:E154">
    <cfRule type="cellIs" dxfId="60" priority="10" operator="equal">
      <formula>0</formula>
    </cfRule>
  </conditionalFormatting>
  <conditionalFormatting sqref="E145:E154">
    <cfRule type="cellIs" dxfId="59" priority="9" operator="greaterThan">
      <formula>0</formula>
    </cfRule>
  </conditionalFormatting>
  <conditionalFormatting sqref="E172:E181">
    <cfRule type="cellIs" dxfId="58" priority="8" operator="equal">
      <formula>0</formula>
    </cfRule>
  </conditionalFormatting>
  <conditionalFormatting sqref="E172:E181">
    <cfRule type="cellIs" dxfId="57" priority="7" operator="greaterThan">
      <formula>0</formula>
    </cfRule>
  </conditionalFormatting>
  <conditionalFormatting sqref="E116">
    <cfRule type="cellIs" dxfId="56" priority="6" operator="greaterThanOrEqual">
      <formula>0</formula>
    </cfRule>
  </conditionalFormatting>
  <conditionalFormatting sqref="E116">
    <cfRule type="cellIs" dxfId="55" priority="5" operator="lessThan">
      <formula>0</formula>
    </cfRule>
  </conditionalFormatting>
  <conditionalFormatting sqref="C78:C79">
    <cfRule type="cellIs" dxfId="54" priority="4" operator="equal">
      <formula>0</formula>
    </cfRule>
  </conditionalFormatting>
  <conditionalFormatting sqref="C78:C79">
    <cfRule type="cellIs" dxfId="53" priority="3" operator="greaterThan">
      <formula>0</formula>
    </cfRule>
  </conditionalFormatting>
  <conditionalFormatting sqref="C90:C91">
    <cfRule type="cellIs" dxfId="52" priority="2" operator="equal">
      <formula>0</formula>
    </cfRule>
  </conditionalFormatting>
  <conditionalFormatting sqref="C90:C91">
    <cfRule type="cellIs" dxfId="51" priority="1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37C0-2D2A-4A46-895F-C10C72C6DE43}">
  <dimension ref="A1:I193"/>
  <sheetViews>
    <sheetView topLeftCell="A93" workbookViewId="0">
      <selection activeCell="G180" sqref="G180"/>
    </sheetView>
  </sheetViews>
  <sheetFormatPr defaultRowHeight="15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spans="1:9" ht="24.75" customHeight="1">
      <c r="A1" s="177" t="str">
        <f>"Forecasts For the Year " &amp; IF(Main!B2,TEXT(EDATE(Main!B3,45),"mmmm yyyy"),TEXT(Main!B3+((Main!B5-Main!B3)*45+45),"mmmm yyyy")) &amp; " to " &amp; IF(Main!B2,TEXT(EDATE(Main!B3,48)-1,"mmmm yyyy"),TEXT(Main!B3+((Main!B5-Main!B3)*48+47),"mmmm yyyy"))</f>
        <v>Forecasts For the Year January 2029 to April 2029</v>
      </c>
      <c r="B1" s="177"/>
      <c r="C1" s="177"/>
      <c r="D1" s="177"/>
      <c r="E1" s="177"/>
      <c r="F1" s="177"/>
      <c r="G1" s="177"/>
      <c r="H1" s="47"/>
      <c r="I1" s="47"/>
    </row>
    <row r="2" spans="1:9" ht="24.75" customHeight="1">
      <c r="A2" s="159" t="s">
        <v>31</v>
      </c>
      <c r="B2" s="48" t="s">
        <v>112</v>
      </c>
      <c r="C2" s="161" cm="1">
        <f t="array" aca="1" ref="C2" ca="1">INDIRECT("'" &amp; Main!B9 &amp; "'!$C$15")</f>
        <v>0</v>
      </c>
      <c r="D2" s="161"/>
      <c r="E2" s="161"/>
      <c r="F2" s="161"/>
      <c r="G2" s="161"/>
      <c r="H2" s="47"/>
      <c r="I2" s="47"/>
    </row>
    <row r="3" spans="1:9" ht="24.75" customHeight="1">
      <c r="A3" s="160"/>
      <c r="B3" s="41" t="s">
        <v>113</v>
      </c>
      <c r="C3" s="162">
        <f>E190</f>
        <v>0</v>
      </c>
      <c r="D3" s="162"/>
      <c r="E3" s="162"/>
      <c r="F3" s="162"/>
      <c r="G3" s="162"/>
      <c r="H3" s="47"/>
      <c r="I3" s="47"/>
    </row>
    <row r="4" spans="1:9" ht="24.75" customHeight="1">
      <c r="A4" s="174" t="s">
        <v>45</v>
      </c>
      <c r="B4" s="175"/>
      <c r="C4" s="163">
        <f ca="1">SUM(C2:G3)</f>
        <v>0</v>
      </c>
      <c r="D4" s="163"/>
      <c r="E4" s="163"/>
      <c r="F4" s="163"/>
      <c r="G4" s="163"/>
      <c r="H4" s="44"/>
      <c r="I4" s="9"/>
    </row>
    <row r="5" spans="1:9" ht="24.75" customHeight="1">
      <c r="A5" s="176" t="s">
        <v>114</v>
      </c>
      <c r="B5" s="176"/>
      <c r="C5" s="164">
        <f>C108</f>
        <v>0</v>
      </c>
      <c r="D5" s="165"/>
      <c r="E5" s="165"/>
      <c r="F5" s="165"/>
      <c r="G5" s="165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32" t="str">
        <f>IF(Main!B2,TEXT(EDATE(Main!B3,45),"dd mmmm yyyy"),TEXT(Main!B3+((Main!B5-Main!B3)*45+45),"dd mmmm yyyy")) &amp; " - " &amp; IF(Main!B2,TEXT(EDATE(Main!B3,46)-1,"dd mmmm yyyy"),TEXT(Main!B3+((Main!B5-Main!B3)*46+45),"dd mmmm yyyy")) &amp; " / " &amp; " (Revenue / Deferred Debts Or Expenses)"</f>
        <v>11 January 2029 - 10 February 2029 /  (Revenue / Deferred Debts Or Expenses)</v>
      </c>
      <c r="B8" s="133"/>
      <c r="C8" s="133"/>
      <c r="D8" s="133"/>
      <c r="E8" s="133"/>
      <c r="F8" s="133"/>
      <c r="G8" s="133"/>
      <c r="H8" s="44"/>
      <c r="I8" s="37"/>
    </row>
    <row r="9" spans="1:9" ht="24.75" customHeight="1">
      <c r="A9" s="81" t="s">
        <v>27</v>
      </c>
      <c r="B9" s="120" t="s">
        <v>46</v>
      </c>
      <c r="C9" s="120"/>
      <c r="D9" s="121" t="s">
        <v>47</v>
      </c>
      <c r="E9" s="121"/>
      <c r="F9" s="121" t="s">
        <v>48</v>
      </c>
      <c r="G9" s="121"/>
      <c r="H9" s="44"/>
      <c r="I9" s="9"/>
    </row>
    <row r="10" spans="1:9" ht="24.75" customHeight="1">
      <c r="A10" s="2" t="s">
        <v>115</v>
      </c>
      <c r="B10" s="122" t="s">
        <v>50</v>
      </c>
      <c r="C10" s="122"/>
      <c r="D10" s="122" t="s">
        <v>51</v>
      </c>
      <c r="E10" s="122"/>
      <c r="F10" s="123">
        <v>0</v>
      </c>
      <c r="G10" s="124"/>
      <c r="H10" s="44"/>
      <c r="I10" s="9"/>
    </row>
    <row r="11" spans="1:9" ht="24.75" customHeight="1">
      <c r="A11" s="2"/>
      <c r="B11" s="125" t="s">
        <v>40</v>
      </c>
      <c r="C11" s="126"/>
      <c r="D11" s="127"/>
      <c r="E11" s="128"/>
      <c r="F11" s="123">
        <v>0</v>
      </c>
      <c r="G11" s="124"/>
      <c r="H11" s="44"/>
      <c r="I11" s="9"/>
    </row>
    <row r="12" spans="1:9" ht="24.75" customHeight="1">
      <c r="A12" s="2"/>
      <c r="B12" s="125" t="s">
        <v>41</v>
      </c>
      <c r="C12" s="126"/>
      <c r="D12" s="127"/>
      <c r="E12" s="128"/>
      <c r="F12" s="123">
        <v>0</v>
      </c>
      <c r="G12" s="124"/>
      <c r="H12" s="44"/>
      <c r="I12" s="9"/>
    </row>
    <row r="13" spans="1:9" ht="24.75" customHeight="1">
      <c r="A13" s="2"/>
      <c r="B13" s="125" t="s">
        <v>42</v>
      </c>
      <c r="C13" s="126"/>
      <c r="D13" s="127"/>
      <c r="E13" s="128"/>
      <c r="F13" s="123">
        <v>0</v>
      </c>
      <c r="G13" s="124"/>
      <c r="H13" s="44"/>
      <c r="I13" s="9"/>
    </row>
    <row r="14" spans="1:9" ht="24.75" customHeight="1">
      <c r="A14" s="2"/>
      <c r="B14" s="125" t="s">
        <v>43</v>
      </c>
      <c r="C14" s="126"/>
      <c r="D14" s="127"/>
      <c r="E14" s="128"/>
      <c r="F14" s="123">
        <v>0</v>
      </c>
      <c r="G14" s="124"/>
      <c r="H14" s="44"/>
      <c r="I14" s="9"/>
    </row>
    <row r="15" spans="1:9" ht="24.75" customHeight="1">
      <c r="A15" s="2"/>
      <c r="B15" s="125" t="s">
        <v>44</v>
      </c>
      <c r="C15" s="126"/>
      <c r="D15" s="127"/>
      <c r="E15" s="128"/>
      <c r="F15" s="123">
        <v>0</v>
      </c>
      <c r="G15" s="124"/>
      <c r="H15" s="44"/>
      <c r="I15" s="9"/>
    </row>
    <row r="16" spans="1:9" ht="24.75" customHeight="1">
      <c r="A16" s="45"/>
      <c r="B16" s="166"/>
      <c r="C16" s="167"/>
      <c r="D16" s="116" t="s">
        <v>52</v>
      </c>
      <c r="E16" s="117"/>
      <c r="F16" s="118">
        <f>SUM(F10:G15)</f>
        <v>0</v>
      </c>
      <c r="G16" s="119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32" t="str">
        <f>IF(Main!B2,TEXT(EDATE(Main!B3,46),"dd mmmm yyyy"),TEXT(Main!B3+((Main!B5-Main!B3)*46+46),"dd mmmm yyyy")) &amp; " - " &amp; IF(Main!B2,TEXT(EDATE(Main!B3,47)-1,"dd mmmm yyyy"),TEXT(Main!B3+((Main!B5-Main!B3)*47+46),"dd mmmm yyyy")) &amp; " / " &amp; " (Revenue / Deferred Debts Or Expenses)"</f>
        <v>11 February 2029 - 10 March 2029 /  (Revenue / Deferred Debts Or Expenses)</v>
      </c>
      <c r="B20" s="133"/>
      <c r="C20" s="133"/>
      <c r="D20" s="133"/>
      <c r="E20" s="133"/>
      <c r="F20" s="133"/>
      <c r="G20" s="133"/>
      <c r="H20" s="44"/>
      <c r="I20" s="9"/>
    </row>
    <row r="21" spans="1:9" ht="24.75" customHeight="1">
      <c r="A21" s="81" t="s">
        <v>27</v>
      </c>
      <c r="B21" s="120" t="s">
        <v>46</v>
      </c>
      <c r="C21" s="120"/>
      <c r="D21" s="121" t="s">
        <v>47</v>
      </c>
      <c r="E21" s="121"/>
      <c r="F21" s="121" t="s">
        <v>48</v>
      </c>
      <c r="G21" s="121"/>
      <c r="H21" s="44"/>
      <c r="I21" s="9"/>
    </row>
    <row r="22" spans="1:9" ht="24.75" customHeight="1">
      <c r="A22" s="2" t="s">
        <v>116</v>
      </c>
      <c r="B22" s="122" t="s">
        <v>54</v>
      </c>
      <c r="C22" s="122"/>
      <c r="D22" s="122" t="s">
        <v>55</v>
      </c>
      <c r="E22" s="122"/>
      <c r="F22" s="123">
        <v>0</v>
      </c>
      <c r="G22" s="124"/>
      <c r="H22" s="44"/>
      <c r="I22" s="9"/>
    </row>
    <row r="23" spans="1:9" ht="24.75" customHeight="1">
      <c r="A23" s="2"/>
      <c r="B23" s="125" t="s">
        <v>40</v>
      </c>
      <c r="C23" s="126"/>
      <c r="D23" s="127"/>
      <c r="E23" s="128"/>
      <c r="F23" s="123">
        <v>0</v>
      </c>
      <c r="G23" s="124"/>
      <c r="H23" s="44"/>
      <c r="I23" s="9"/>
    </row>
    <row r="24" spans="1:9" ht="24.75" customHeight="1">
      <c r="A24" s="2"/>
      <c r="B24" s="125" t="s">
        <v>41</v>
      </c>
      <c r="C24" s="126"/>
      <c r="D24" s="127"/>
      <c r="E24" s="128"/>
      <c r="F24" s="123">
        <v>0</v>
      </c>
      <c r="G24" s="124"/>
      <c r="H24" s="44"/>
      <c r="I24" s="9"/>
    </row>
    <row r="25" spans="1:9" ht="24.75" customHeight="1">
      <c r="A25" s="2"/>
      <c r="B25" s="125" t="s">
        <v>42</v>
      </c>
      <c r="C25" s="126"/>
      <c r="D25" s="127"/>
      <c r="E25" s="128"/>
      <c r="F25" s="123">
        <v>0</v>
      </c>
      <c r="G25" s="124"/>
      <c r="H25" s="44"/>
      <c r="I25" s="9"/>
    </row>
    <row r="26" spans="1:9" ht="24.75" customHeight="1">
      <c r="A26" s="2"/>
      <c r="B26" s="125" t="s">
        <v>43</v>
      </c>
      <c r="C26" s="126"/>
      <c r="D26" s="127"/>
      <c r="E26" s="128"/>
      <c r="F26" s="123">
        <v>0</v>
      </c>
      <c r="G26" s="124"/>
      <c r="H26" s="44"/>
      <c r="I26" s="9"/>
    </row>
    <row r="27" spans="1:9" ht="24.75" customHeight="1">
      <c r="A27" s="2"/>
      <c r="B27" s="125" t="s">
        <v>44</v>
      </c>
      <c r="C27" s="126"/>
      <c r="D27" s="127"/>
      <c r="E27" s="128"/>
      <c r="F27" s="123">
        <v>0</v>
      </c>
      <c r="G27" s="124"/>
      <c r="H27" s="44"/>
      <c r="I27" s="9"/>
    </row>
    <row r="28" spans="1:9" ht="24.75" customHeight="1">
      <c r="A28" s="45"/>
      <c r="B28" s="166"/>
      <c r="C28" s="167"/>
      <c r="D28" s="116" t="s">
        <v>52</v>
      </c>
      <c r="E28" s="117"/>
      <c r="F28" s="118">
        <f>SUM(F22:G27)</f>
        <v>0</v>
      </c>
      <c r="G28" s="119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32" t="str">
        <f>IF(Main!B2,TEXT(EDATE(Main!B3,47),"dd mmmm yyyy"),TEXT(Main!B3+((Main!B5-Main!B3)*47+47),"dd mmmm yyyy")) &amp; " - " &amp; IF(Main!B2,TEXT(EDATE(Main!B3,48)-1,"dd mmmm yyyy"),TEXT(Main!B3+((Main!B5-Main!B3)*48+47),"dd mmmm yyyy")) &amp; " / " &amp; " (Revenue / Deferred Debts Or Expenses)"</f>
        <v>11 March 2029 - 10 April 2029 /  (Revenue / Deferred Debts Or Expenses)</v>
      </c>
      <c r="B32" s="133"/>
      <c r="C32" s="133"/>
      <c r="D32" s="133"/>
      <c r="E32" s="133"/>
      <c r="F32" s="133"/>
      <c r="G32" s="133"/>
      <c r="H32" s="44"/>
      <c r="I32" s="9"/>
    </row>
    <row r="33" spans="1:9" ht="24.75" customHeight="1">
      <c r="A33" s="81" t="s">
        <v>27</v>
      </c>
      <c r="B33" s="120" t="s">
        <v>46</v>
      </c>
      <c r="C33" s="120"/>
      <c r="D33" s="121" t="s">
        <v>47</v>
      </c>
      <c r="E33" s="121"/>
      <c r="F33" s="121" t="s">
        <v>48</v>
      </c>
      <c r="G33" s="121"/>
      <c r="H33" s="44"/>
      <c r="I33" s="9"/>
    </row>
    <row r="34" spans="1:9" ht="24.75" customHeight="1">
      <c r="A34" s="2" t="s">
        <v>117</v>
      </c>
      <c r="B34" s="122" t="s">
        <v>54</v>
      </c>
      <c r="C34" s="122"/>
      <c r="D34" s="122" t="s">
        <v>55</v>
      </c>
      <c r="E34" s="122"/>
      <c r="F34" s="123">
        <v>0</v>
      </c>
      <c r="G34" s="124"/>
      <c r="H34" s="44"/>
      <c r="I34" s="9"/>
    </row>
    <row r="35" spans="1:9" ht="24.75" customHeight="1">
      <c r="A35" s="2"/>
      <c r="B35" s="125" t="s">
        <v>40</v>
      </c>
      <c r="C35" s="126"/>
      <c r="D35" s="127"/>
      <c r="E35" s="128"/>
      <c r="F35" s="123">
        <v>0</v>
      </c>
      <c r="G35" s="124"/>
      <c r="H35" s="44"/>
      <c r="I35" s="9"/>
    </row>
    <row r="36" spans="1:9" ht="24.75" customHeight="1">
      <c r="A36" s="2"/>
      <c r="B36" s="125" t="s">
        <v>41</v>
      </c>
      <c r="C36" s="126"/>
      <c r="D36" s="127"/>
      <c r="E36" s="128"/>
      <c r="F36" s="123">
        <v>0</v>
      </c>
      <c r="G36" s="124"/>
      <c r="H36" s="44"/>
      <c r="I36" s="37"/>
    </row>
    <row r="37" spans="1:9" ht="24.75" customHeight="1">
      <c r="A37" s="2"/>
      <c r="B37" s="125" t="s">
        <v>42</v>
      </c>
      <c r="C37" s="126"/>
      <c r="D37" s="127"/>
      <c r="E37" s="128"/>
      <c r="F37" s="123">
        <v>0</v>
      </c>
      <c r="G37" s="124"/>
      <c r="H37" s="44"/>
      <c r="I37" s="9"/>
    </row>
    <row r="38" spans="1:9" ht="24.75" customHeight="1">
      <c r="A38" s="2"/>
      <c r="B38" s="125" t="s">
        <v>43</v>
      </c>
      <c r="C38" s="126"/>
      <c r="D38" s="127"/>
      <c r="E38" s="128"/>
      <c r="F38" s="123">
        <v>0</v>
      </c>
      <c r="G38" s="124"/>
      <c r="H38" s="44"/>
      <c r="I38" s="9"/>
    </row>
    <row r="39" spans="1:9" ht="24.75" customHeight="1">
      <c r="A39" s="2"/>
      <c r="B39" s="125" t="s">
        <v>44</v>
      </c>
      <c r="C39" s="126"/>
      <c r="D39" s="127"/>
      <c r="E39" s="128"/>
      <c r="F39" s="123">
        <v>0</v>
      </c>
      <c r="G39" s="124"/>
      <c r="H39" s="44"/>
      <c r="I39" s="9"/>
    </row>
    <row r="40" spans="1:9" ht="24.75" customHeight="1">
      <c r="A40" s="45"/>
      <c r="B40" s="166"/>
      <c r="C40" s="167"/>
      <c r="D40" s="116" t="s">
        <v>52</v>
      </c>
      <c r="E40" s="117"/>
      <c r="F40" s="118">
        <f>SUM(F34:G39)</f>
        <v>0</v>
      </c>
      <c r="G40" s="119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IF(Main!B2,TEXT(EDATE(Main!B3,45),"mmmm yyyy"),TEXT(Main!B3+((Main!B5-Main!B3)*45+45),"mmmm yyyy")) &amp; " to " &amp; IF(Main!B2,TEXT(EDATE(Main!B3,48)-1,"mmmm yyyy"),TEXT(Main!B3+((Main!B5-Main!B3)*48+47),"mmmm yyyy"))</f>
        <v>Fixed Expense For the Year January 2029 to April 2029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2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71" t="s">
        <v>57</v>
      </c>
      <c r="B46" s="172"/>
      <c r="C46" s="173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71" t="s">
        <v>62</v>
      </c>
      <c r="B56" s="172"/>
      <c r="C56" s="173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71" t="s">
        <v>67</v>
      </c>
      <c r="B67" s="172"/>
      <c r="C67" s="173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71" t="s">
        <v>72</v>
      </c>
      <c r="B76" s="172"/>
      <c r="C76" s="173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71" t="s">
        <v>77</v>
      </c>
      <c r="B86" s="172"/>
      <c r="C86" s="173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40.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35.2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71" t="s">
        <v>86</v>
      </c>
      <c r="B97" s="172"/>
      <c r="C97" s="173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(Forecast_15!C98)+SUM(E118+E145+E172)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(Forecast_15!C99)+SUM(E119+E146+E173)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(Forecast_15!C100)+SUM(E120+E147+E174)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(Forecast_15!C101)+SUM(E121+E148+E175)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(Forecast_15!C102)+SUM(E122+E149+E176)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(Forecast_15!C103)+SUM(E123+E150+E177)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(Forecast_15!C104)+SUM(E124+E151+E178)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(Forecast_15!C105)+SUM(E125+E152+E179)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(Forecast_15!C106)+SUM(E126+E153+E180)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(Forecast_15!C107)+SUM(E127+E154+E181)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99" t="str">
        <f>"Debts Or Credits For the Comming " &amp; IF(Main!B2,TEXT(EDATE(Main!B3,45),"mmmm dd yyyy"),TEXT(Main!B3+((Main!B5-Main!B3)*45+45),"mmmm dd yyyy")) &amp; " to " &amp; IF(Main!B2,TEXT(EDATE(Main!B3,46)-1,"mmmm dd yyyy"),TEXT(Main!B3+((Main!B5-Main!B3)*46+45),"mmmm dd yyyy"))</f>
        <v>Debts Or Credits For the Comming January 11 2029 to February 10 2029</v>
      </c>
      <c r="B114" s="100"/>
      <c r="C114" s="100"/>
      <c r="D114" s="100"/>
      <c r="E114" s="101"/>
      <c r="F114" s="44"/>
      <c r="G114" s="44"/>
      <c r="H114" s="44"/>
      <c r="I114" s="9"/>
    </row>
    <row r="115" spans="1:9" ht="24.75" customHeight="1">
      <c r="A115" s="99" t="s">
        <v>94</v>
      </c>
      <c r="B115" s="101"/>
      <c r="C115" s="99" t="s">
        <v>47</v>
      </c>
      <c r="D115" s="101"/>
      <c r="E115" s="29" t="s">
        <v>48</v>
      </c>
      <c r="F115" s="44"/>
      <c r="G115" s="44"/>
      <c r="H115" s="44"/>
      <c r="I115" s="9"/>
    </row>
    <row r="116" spans="1:9" ht="24.75" customHeight="1">
      <c r="A116" s="96" t="str">
        <f>"Balance Brought Forward From " &amp; IF(Main!B2,TEXT(EDATE(Main!B3,45)-1,"mmmm yyyy"),TEXT(Main!B3+((Main!B5-Main!B3)*45+44),"mmmm yyyy"))</f>
        <v>Balance Brought Forward From January 2029</v>
      </c>
      <c r="B116" s="97"/>
      <c r="C116" s="158"/>
      <c r="D116" s="158"/>
      <c r="E116" s="51">
        <f>Forecast_15!E190</f>
        <v>0</v>
      </c>
      <c r="F116" s="44"/>
      <c r="G116" s="44"/>
      <c r="H116" s="44"/>
      <c r="I116" s="9"/>
    </row>
    <row r="117" spans="1:9" ht="24.75" customHeight="1">
      <c r="A117" s="106" t="s">
        <v>95</v>
      </c>
      <c r="B117" s="107"/>
      <c r="C117" s="157" t="s">
        <v>96</v>
      </c>
      <c r="D117" s="149"/>
      <c r="E117" s="42"/>
      <c r="F117" s="44"/>
      <c r="G117" s="44"/>
      <c r="H117" s="44"/>
      <c r="I117" s="9"/>
    </row>
    <row r="118" spans="1:9" ht="24.75" customHeight="1">
      <c r="A118" s="108"/>
      <c r="B118" s="109"/>
      <c r="C118" s="104" t="s">
        <v>97</v>
      </c>
      <c r="D118" s="105"/>
      <c r="E118" s="28">
        <v>0</v>
      </c>
      <c r="F118" s="44"/>
      <c r="G118" s="44"/>
      <c r="H118" s="44"/>
      <c r="I118" s="9"/>
    </row>
    <row r="119" spans="1:9" ht="24.75" customHeight="1">
      <c r="A119" s="108"/>
      <c r="B119" s="109"/>
      <c r="C119" s="104" t="s">
        <v>98</v>
      </c>
      <c r="D119" s="105"/>
      <c r="E119" s="28">
        <v>0</v>
      </c>
      <c r="F119" s="44"/>
      <c r="G119" s="44"/>
      <c r="H119" s="44"/>
      <c r="I119" s="9"/>
    </row>
    <row r="120" spans="1:9" ht="24.75" customHeight="1">
      <c r="A120" s="108"/>
      <c r="B120" s="109"/>
      <c r="C120" s="104" t="s">
        <v>99</v>
      </c>
      <c r="D120" s="105"/>
      <c r="E120" s="28">
        <v>0</v>
      </c>
      <c r="F120" s="44"/>
      <c r="G120" s="44"/>
      <c r="H120" s="44"/>
      <c r="I120" s="9"/>
    </row>
    <row r="121" spans="1:9" ht="24.75" customHeight="1">
      <c r="A121" s="108"/>
      <c r="B121" s="109"/>
      <c r="C121" s="104" t="s">
        <v>100</v>
      </c>
      <c r="D121" s="105"/>
      <c r="E121" s="28">
        <v>0</v>
      </c>
      <c r="F121" s="44"/>
      <c r="G121" s="44"/>
      <c r="H121" s="44"/>
      <c r="I121" s="9"/>
    </row>
    <row r="122" spans="1:9" ht="24.75" customHeight="1">
      <c r="A122" s="108"/>
      <c r="B122" s="109"/>
      <c r="C122" s="104" t="s">
        <v>101</v>
      </c>
      <c r="D122" s="105"/>
      <c r="E122" s="28">
        <v>0</v>
      </c>
      <c r="F122" s="44"/>
      <c r="G122" s="44"/>
      <c r="H122" s="44"/>
      <c r="I122" s="9"/>
    </row>
    <row r="123" spans="1:9" ht="24.75" customHeight="1">
      <c r="A123" s="108"/>
      <c r="B123" s="109"/>
      <c r="C123" s="104" t="s">
        <v>102</v>
      </c>
      <c r="D123" s="105"/>
      <c r="E123" s="28">
        <v>0</v>
      </c>
      <c r="F123" s="44"/>
      <c r="G123" s="44"/>
      <c r="H123" s="44"/>
      <c r="I123" s="9"/>
    </row>
    <row r="124" spans="1:9" ht="24.75" customHeight="1">
      <c r="A124" s="108"/>
      <c r="B124" s="109"/>
      <c r="C124" s="104" t="s">
        <v>103</v>
      </c>
      <c r="D124" s="105"/>
      <c r="E124" s="28">
        <v>0</v>
      </c>
      <c r="F124" s="44"/>
      <c r="G124" s="44"/>
      <c r="H124" s="44"/>
      <c r="I124" s="9"/>
    </row>
    <row r="125" spans="1:9" ht="24.75" customHeight="1">
      <c r="A125" s="108"/>
      <c r="B125" s="109"/>
      <c r="C125" s="104" t="s">
        <v>104</v>
      </c>
      <c r="D125" s="105"/>
      <c r="E125" s="28">
        <v>0</v>
      </c>
      <c r="F125" s="44"/>
      <c r="G125" s="44"/>
      <c r="H125" s="44"/>
      <c r="I125" s="9"/>
    </row>
    <row r="126" spans="1:9" ht="24.75" customHeight="1">
      <c r="A126" s="108"/>
      <c r="B126" s="109"/>
      <c r="C126" s="104" t="s">
        <v>105</v>
      </c>
      <c r="D126" s="105"/>
      <c r="E126" s="28">
        <v>0</v>
      </c>
      <c r="F126" s="44"/>
      <c r="G126" s="44"/>
      <c r="H126" s="44"/>
      <c r="I126" s="9"/>
    </row>
    <row r="127" spans="1:9" ht="24.75" customHeight="1">
      <c r="A127" s="108"/>
      <c r="B127" s="109"/>
      <c r="C127" s="104" t="s">
        <v>106</v>
      </c>
      <c r="D127" s="105"/>
      <c r="E127" s="28">
        <v>0</v>
      </c>
      <c r="F127" s="44"/>
      <c r="G127" s="44"/>
      <c r="H127" s="44"/>
      <c r="I127" s="9"/>
    </row>
    <row r="128" spans="1:9" ht="24.75" customHeight="1">
      <c r="A128" s="108"/>
      <c r="B128" s="109"/>
      <c r="C128" s="148" t="s">
        <v>107</v>
      </c>
      <c r="D128" s="149"/>
      <c r="E128" s="42"/>
      <c r="F128" s="44"/>
      <c r="G128" s="44"/>
      <c r="H128" s="44"/>
      <c r="I128" s="9"/>
    </row>
    <row r="129" spans="1:9" ht="24.75" customHeight="1">
      <c r="A129" s="108"/>
      <c r="B129" s="109"/>
      <c r="C129" s="150" t="s">
        <v>108</v>
      </c>
      <c r="D129" s="151"/>
      <c r="E129" s="30">
        <v>0</v>
      </c>
      <c r="F129" s="44"/>
      <c r="G129" s="44"/>
      <c r="H129" s="44"/>
      <c r="I129" s="9"/>
    </row>
    <row r="130" spans="1:9" ht="24.75" customHeight="1">
      <c r="A130" s="108"/>
      <c r="B130" s="109"/>
      <c r="C130" s="104" t="s">
        <v>97</v>
      </c>
      <c r="D130" s="105"/>
      <c r="E130" s="30">
        <v>0</v>
      </c>
      <c r="F130" s="44"/>
      <c r="G130" s="44"/>
      <c r="H130" s="44"/>
      <c r="I130" s="9"/>
    </row>
    <row r="131" spans="1:9" ht="24.75" customHeight="1">
      <c r="A131" s="108"/>
      <c r="B131" s="109"/>
      <c r="C131" s="104" t="s">
        <v>98</v>
      </c>
      <c r="D131" s="105"/>
      <c r="E131" s="30">
        <v>0</v>
      </c>
      <c r="F131" s="44"/>
      <c r="G131" s="44"/>
      <c r="H131" s="44"/>
      <c r="I131" s="9"/>
    </row>
    <row r="132" spans="1:9" ht="24.75" customHeight="1">
      <c r="A132" s="108"/>
      <c r="B132" s="109"/>
      <c r="C132" s="104" t="s">
        <v>99</v>
      </c>
      <c r="D132" s="105"/>
      <c r="E132" s="30">
        <v>0</v>
      </c>
      <c r="F132" s="44"/>
      <c r="G132" s="44"/>
      <c r="H132" s="44"/>
      <c r="I132" s="9"/>
    </row>
    <row r="133" spans="1:9" ht="24.75" customHeight="1">
      <c r="A133" s="108"/>
      <c r="B133" s="109"/>
      <c r="C133" s="104" t="s">
        <v>100</v>
      </c>
      <c r="D133" s="105"/>
      <c r="E133" s="30">
        <v>0</v>
      </c>
      <c r="F133" s="44"/>
      <c r="G133" s="44"/>
      <c r="H133" s="44"/>
      <c r="I133" s="9"/>
    </row>
    <row r="134" spans="1:9" ht="24.75" customHeight="1">
      <c r="A134" s="110"/>
      <c r="B134" s="111"/>
      <c r="C134" s="104" t="s">
        <v>101</v>
      </c>
      <c r="D134" s="105"/>
      <c r="E134" s="30">
        <v>0</v>
      </c>
      <c r="F134" s="44"/>
      <c r="G134" s="44"/>
      <c r="H134" s="44"/>
      <c r="I134" s="9"/>
    </row>
    <row r="135" spans="1:9" ht="24.75" customHeight="1">
      <c r="A135" s="96" t="s">
        <v>109</v>
      </c>
      <c r="B135" s="152"/>
      <c r="C135" s="153"/>
      <c r="D135" s="154"/>
      <c r="E135" s="30">
        <f>C96</f>
        <v>0</v>
      </c>
      <c r="F135" s="44"/>
      <c r="G135" s="44"/>
      <c r="H135" s="44"/>
      <c r="I135" s="9"/>
    </row>
    <row r="136" spans="1:9" ht="24.75" customHeight="1">
      <c r="A136" s="145"/>
      <c r="B136" s="146"/>
      <c r="C136" s="147" t="s">
        <v>110</v>
      </c>
      <c r="D136" s="147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99" t="str">
        <f>"Debts Or Credits For the Comming " &amp; IF(Main!B2,TEXT(EDATE(Main!B3,46),"mmmm dd yyyy"),TEXT(Main!B3+((Main!B5-Main!B3)*46+46),"dd mmmm yyyy")) &amp; " to " &amp;  IF(Main!B2,TEXT(EDATE(Main!B3,47)-1,"mmmm dd yyyy"),TEXT(Main!B3+((Main!B5-Main!B3)*47+46),"mmmm dd yyyy"))</f>
        <v>Debts Or Credits For the Comming February 11 2029 to March 10 2029</v>
      </c>
      <c r="B141" s="100"/>
      <c r="C141" s="100"/>
      <c r="D141" s="100"/>
      <c r="E141" s="101"/>
      <c r="F141" s="44"/>
      <c r="G141" s="44"/>
      <c r="H141" s="44"/>
      <c r="I141" s="9"/>
    </row>
    <row r="142" spans="1:9" ht="24.75" customHeight="1">
      <c r="A142" s="99" t="s">
        <v>94</v>
      </c>
      <c r="B142" s="101"/>
      <c r="C142" s="102" t="s">
        <v>47</v>
      </c>
      <c r="D142" s="103"/>
      <c r="E142" s="39" t="s">
        <v>48</v>
      </c>
      <c r="F142" s="44"/>
      <c r="G142" s="44"/>
      <c r="H142" s="44"/>
      <c r="I142" s="9"/>
    </row>
    <row r="143" spans="1:9" ht="24.75" customHeight="1">
      <c r="A143" s="96" t="str">
        <f>"Balance Brought Forward From " &amp; IF(Main!B2,TEXT(EDATE(Main!B3,46)-1,"mmmm yyyy"),TEXT(Main!B3+((Main!B5-Main!B3)*46+45),"mmmm yyyy"))</f>
        <v>Balance Brought Forward From February 2029</v>
      </c>
      <c r="B143" s="97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06" t="s">
        <v>95</v>
      </c>
      <c r="B144" s="107"/>
      <c r="C144" s="112" t="s">
        <v>96</v>
      </c>
      <c r="D144" s="113"/>
      <c r="E144" s="43"/>
      <c r="F144" s="44"/>
      <c r="G144" s="44"/>
      <c r="H144" s="44"/>
      <c r="I144" s="9"/>
    </row>
    <row r="145" spans="1:9" ht="24.75" customHeight="1">
      <c r="A145" s="108"/>
      <c r="B145" s="109"/>
      <c r="C145" s="104" t="s">
        <v>97</v>
      </c>
      <c r="D145" s="105"/>
      <c r="E145" s="28">
        <v>0</v>
      </c>
      <c r="F145" s="44"/>
      <c r="G145" s="44"/>
      <c r="H145" s="44"/>
      <c r="I145" s="9"/>
    </row>
    <row r="146" spans="1:9" ht="24.75" customHeight="1">
      <c r="A146" s="108"/>
      <c r="B146" s="109"/>
      <c r="C146" s="104" t="s">
        <v>98</v>
      </c>
      <c r="D146" s="105"/>
      <c r="E146" s="28">
        <v>0</v>
      </c>
      <c r="F146" s="44"/>
      <c r="G146" s="44"/>
      <c r="H146" s="44"/>
      <c r="I146" s="9"/>
    </row>
    <row r="147" spans="1:9" ht="24.75" customHeight="1">
      <c r="A147" s="108"/>
      <c r="B147" s="109"/>
      <c r="C147" s="104" t="s">
        <v>99</v>
      </c>
      <c r="D147" s="105"/>
      <c r="E147" s="28">
        <v>0</v>
      </c>
      <c r="F147" s="44"/>
      <c r="G147" s="44"/>
      <c r="H147" s="44"/>
      <c r="I147" s="9"/>
    </row>
    <row r="148" spans="1:9" ht="24.75" customHeight="1">
      <c r="A148" s="108"/>
      <c r="B148" s="109"/>
      <c r="C148" s="104" t="s">
        <v>100</v>
      </c>
      <c r="D148" s="105"/>
      <c r="E148" s="28">
        <v>0</v>
      </c>
      <c r="F148" s="44"/>
      <c r="G148" s="44"/>
      <c r="H148" s="44"/>
      <c r="I148" s="9"/>
    </row>
    <row r="149" spans="1:9" ht="24.75" customHeight="1">
      <c r="A149" s="108"/>
      <c r="B149" s="109"/>
      <c r="C149" s="104" t="s">
        <v>101</v>
      </c>
      <c r="D149" s="105"/>
      <c r="E149" s="28">
        <v>0</v>
      </c>
      <c r="F149" s="44"/>
      <c r="G149" s="44"/>
      <c r="H149" s="44"/>
      <c r="I149" s="9"/>
    </row>
    <row r="150" spans="1:9" ht="24.75" customHeight="1">
      <c r="A150" s="108"/>
      <c r="B150" s="109"/>
      <c r="C150" s="104" t="s">
        <v>102</v>
      </c>
      <c r="D150" s="105"/>
      <c r="E150" s="28">
        <v>0</v>
      </c>
      <c r="F150" s="44"/>
      <c r="G150" s="44"/>
      <c r="H150" s="44"/>
      <c r="I150" s="9"/>
    </row>
    <row r="151" spans="1:9" ht="24.75" customHeight="1">
      <c r="A151" s="108"/>
      <c r="B151" s="109"/>
      <c r="C151" s="104" t="s">
        <v>103</v>
      </c>
      <c r="D151" s="105"/>
      <c r="E151" s="28">
        <v>0</v>
      </c>
      <c r="F151" s="44"/>
      <c r="G151" s="44"/>
      <c r="H151" s="44"/>
      <c r="I151" s="9"/>
    </row>
    <row r="152" spans="1:9" ht="24.75" customHeight="1">
      <c r="A152" s="108"/>
      <c r="B152" s="109"/>
      <c r="C152" s="104" t="s">
        <v>104</v>
      </c>
      <c r="D152" s="105"/>
      <c r="E152" s="28">
        <v>0</v>
      </c>
      <c r="F152" s="44"/>
      <c r="G152" s="44"/>
      <c r="H152" s="44"/>
      <c r="I152" s="9"/>
    </row>
    <row r="153" spans="1:9" ht="24.75" customHeight="1">
      <c r="A153" s="108"/>
      <c r="B153" s="109"/>
      <c r="C153" s="104" t="s">
        <v>105</v>
      </c>
      <c r="D153" s="105"/>
      <c r="E153" s="28">
        <v>0</v>
      </c>
      <c r="F153" s="44"/>
      <c r="G153" s="44"/>
      <c r="H153" s="44"/>
      <c r="I153" s="9"/>
    </row>
    <row r="154" spans="1:9" ht="24.75" customHeight="1">
      <c r="A154" s="108"/>
      <c r="B154" s="109"/>
      <c r="C154" s="104" t="s">
        <v>106</v>
      </c>
      <c r="D154" s="105"/>
      <c r="E154" s="28">
        <v>0</v>
      </c>
      <c r="F154" s="44"/>
      <c r="G154" s="44"/>
      <c r="H154" s="44"/>
      <c r="I154" s="9"/>
    </row>
    <row r="155" spans="1:9" ht="24.75" customHeight="1">
      <c r="A155" s="108"/>
      <c r="B155" s="109"/>
      <c r="C155" s="148" t="s">
        <v>107</v>
      </c>
      <c r="D155" s="149"/>
      <c r="E155" s="42"/>
      <c r="F155" s="44"/>
      <c r="G155" s="44"/>
      <c r="H155" s="44"/>
      <c r="I155" s="9"/>
    </row>
    <row r="156" spans="1:9" ht="24.75" customHeight="1">
      <c r="A156" s="108"/>
      <c r="B156" s="109"/>
      <c r="C156" s="150" t="s">
        <v>111</v>
      </c>
      <c r="D156" s="151"/>
      <c r="E156" s="30">
        <v>0</v>
      </c>
      <c r="F156" s="44"/>
      <c r="G156" s="44"/>
      <c r="H156" s="44"/>
      <c r="I156" s="9"/>
    </row>
    <row r="157" spans="1:9" ht="24.75" customHeight="1">
      <c r="A157" s="108"/>
      <c r="B157" s="109"/>
      <c r="C157" s="104" t="s">
        <v>97</v>
      </c>
      <c r="D157" s="105"/>
      <c r="E157" s="30">
        <v>0</v>
      </c>
      <c r="F157" s="44"/>
      <c r="G157" s="44"/>
      <c r="H157" s="44"/>
      <c r="I157" s="9"/>
    </row>
    <row r="158" spans="1:9" ht="24.75" customHeight="1">
      <c r="A158" s="108"/>
      <c r="B158" s="109"/>
      <c r="C158" s="104" t="s">
        <v>98</v>
      </c>
      <c r="D158" s="105"/>
      <c r="E158" s="30">
        <v>0</v>
      </c>
      <c r="F158" s="44"/>
      <c r="G158" s="44"/>
      <c r="H158" s="44"/>
      <c r="I158" s="9"/>
    </row>
    <row r="159" spans="1:9" ht="24.75" customHeight="1">
      <c r="A159" s="108"/>
      <c r="B159" s="109"/>
      <c r="C159" s="104" t="s">
        <v>99</v>
      </c>
      <c r="D159" s="105"/>
      <c r="E159" s="30">
        <v>0</v>
      </c>
      <c r="F159" s="44"/>
      <c r="G159" s="44"/>
      <c r="H159" s="44"/>
      <c r="I159" s="9"/>
    </row>
    <row r="160" spans="1:9" ht="24.75" customHeight="1">
      <c r="A160" s="108"/>
      <c r="B160" s="109"/>
      <c r="C160" s="104" t="s">
        <v>100</v>
      </c>
      <c r="D160" s="105"/>
      <c r="E160" s="30">
        <v>0</v>
      </c>
      <c r="F160" s="44"/>
      <c r="G160" s="44"/>
      <c r="H160" s="44"/>
      <c r="I160" s="9"/>
    </row>
    <row r="161" spans="1:9" ht="24.75" customHeight="1">
      <c r="A161" s="110"/>
      <c r="B161" s="111"/>
      <c r="C161" s="104" t="s">
        <v>101</v>
      </c>
      <c r="D161" s="105"/>
      <c r="E161" s="30">
        <v>0</v>
      </c>
      <c r="F161" s="44"/>
      <c r="G161" s="44"/>
      <c r="H161" s="44"/>
      <c r="I161" s="9"/>
    </row>
    <row r="162" spans="1:9" ht="24.75" customHeight="1">
      <c r="A162" s="96" t="s">
        <v>109</v>
      </c>
      <c r="B162" s="152"/>
      <c r="C162" s="153"/>
      <c r="D162" s="154"/>
      <c r="E162" s="30">
        <f>C96</f>
        <v>0</v>
      </c>
      <c r="F162" s="44"/>
      <c r="G162" s="44"/>
      <c r="H162" s="44"/>
      <c r="I162" s="9"/>
    </row>
    <row r="163" spans="1:9" ht="24.75" customHeight="1">
      <c r="A163" s="145"/>
      <c r="B163" s="146"/>
      <c r="C163" s="147" t="s">
        <v>110</v>
      </c>
      <c r="D163" s="147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99" t="str">
        <f>"Debts Or Credits For the Comming " &amp; IF(Main!B2,TEXT(EDATE(Main!B3,47),"mmmm dd yyyy"),TEXT(Main!B3+((Main!B5-Main!B3)*47+47),"mmmm dd yyyy")) &amp; " to " &amp; IF(Main!B2,TEXT(EDATE(Main!B3,48)-1,"mmmm dd yyyy"),TEXT(Main!B3+((Main!B5-Main!B3)*48+47),"mmmm dd yyyy"))</f>
        <v>Debts Or Credits For the Comming March 11 2029 to April 10 2029</v>
      </c>
      <c r="B168" s="100"/>
      <c r="C168" s="100"/>
      <c r="D168" s="100"/>
      <c r="E168" s="101"/>
      <c r="F168" s="44"/>
      <c r="G168" s="44"/>
      <c r="H168" s="44"/>
      <c r="I168" s="9"/>
    </row>
    <row r="169" spans="1:9" ht="24.75" customHeight="1">
      <c r="A169" s="99" t="s">
        <v>94</v>
      </c>
      <c r="B169" s="101"/>
      <c r="C169" s="102" t="s">
        <v>47</v>
      </c>
      <c r="D169" s="103"/>
      <c r="E169" s="39" t="s">
        <v>48</v>
      </c>
      <c r="F169" s="44"/>
      <c r="G169" s="44"/>
      <c r="H169" s="44"/>
      <c r="I169" s="9"/>
    </row>
    <row r="170" spans="1:9" ht="24.75" customHeight="1">
      <c r="A170" s="96" t="str">
        <f>"Balance Brought Forward From " &amp;  IF(Main!B2,TEXT(EDATE(Main!B3,47)-1,"mmmm yyyy"),TEXT(Main!B3+((Main!B5-Main!B3)*47+46),"mmmm yyyy"))</f>
        <v>Balance Brought Forward From March 2029</v>
      </c>
      <c r="B170" s="97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06" t="s">
        <v>95</v>
      </c>
      <c r="B171" s="107"/>
      <c r="C171" s="112" t="s">
        <v>96</v>
      </c>
      <c r="D171" s="113"/>
      <c r="E171" s="43"/>
      <c r="F171" s="44"/>
      <c r="G171" s="44"/>
      <c r="H171" s="44"/>
      <c r="I171" s="9"/>
    </row>
    <row r="172" spans="1:9" ht="24.75" customHeight="1">
      <c r="A172" s="108"/>
      <c r="B172" s="109"/>
      <c r="C172" s="104" t="s">
        <v>97</v>
      </c>
      <c r="D172" s="105"/>
      <c r="E172" s="28">
        <v>0</v>
      </c>
      <c r="F172" s="44"/>
      <c r="G172" s="44"/>
      <c r="H172" s="44"/>
      <c r="I172" s="9"/>
    </row>
    <row r="173" spans="1:9" ht="24.75" customHeight="1">
      <c r="A173" s="108"/>
      <c r="B173" s="109"/>
      <c r="C173" s="104" t="s">
        <v>98</v>
      </c>
      <c r="D173" s="105"/>
      <c r="E173" s="28">
        <v>0</v>
      </c>
      <c r="F173" s="44"/>
      <c r="G173" s="44"/>
      <c r="H173" s="44"/>
      <c r="I173" s="9"/>
    </row>
    <row r="174" spans="1:9" ht="24.75" customHeight="1">
      <c r="A174" s="108"/>
      <c r="B174" s="109"/>
      <c r="C174" s="104" t="s">
        <v>99</v>
      </c>
      <c r="D174" s="105"/>
      <c r="E174" s="28">
        <v>0</v>
      </c>
      <c r="F174" s="44"/>
      <c r="G174" s="44"/>
      <c r="H174" s="44"/>
      <c r="I174" s="9"/>
    </row>
    <row r="175" spans="1:9" ht="24.75" customHeight="1">
      <c r="A175" s="108"/>
      <c r="B175" s="109"/>
      <c r="C175" s="104" t="s">
        <v>100</v>
      </c>
      <c r="D175" s="105"/>
      <c r="E175" s="28">
        <v>0</v>
      </c>
      <c r="F175" s="44"/>
      <c r="G175" s="44"/>
      <c r="H175" s="44"/>
      <c r="I175" s="9"/>
    </row>
    <row r="176" spans="1:9" ht="24.75" customHeight="1">
      <c r="A176" s="108"/>
      <c r="B176" s="109"/>
      <c r="C176" s="104" t="s">
        <v>101</v>
      </c>
      <c r="D176" s="105"/>
      <c r="E176" s="28">
        <v>0</v>
      </c>
      <c r="F176" s="44"/>
      <c r="G176" s="44"/>
      <c r="H176" s="44"/>
      <c r="I176" s="9"/>
    </row>
    <row r="177" spans="1:9" ht="24.75" customHeight="1">
      <c r="A177" s="108"/>
      <c r="B177" s="109"/>
      <c r="C177" s="104" t="s">
        <v>102</v>
      </c>
      <c r="D177" s="105"/>
      <c r="E177" s="28">
        <v>0</v>
      </c>
      <c r="F177" s="44"/>
      <c r="G177" s="44"/>
      <c r="H177" s="44"/>
      <c r="I177" s="9"/>
    </row>
    <row r="178" spans="1:9" ht="24.75" customHeight="1">
      <c r="A178" s="108"/>
      <c r="B178" s="109"/>
      <c r="C178" s="104" t="s">
        <v>103</v>
      </c>
      <c r="D178" s="105"/>
      <c r="E178" s="28">
        <v>0</v>
      </c>
      <c r="F178" s="44"/>
      <c r="G178" s="44"/>
      <c r="H178" s="44"/>
      <c r="I178" s="9"/>
    </row>
    <row r="179" spans="1:9" ht="24.75" customHeight="1">
      <c r="A179" s="108"/>
      <c r="B179" s="109"/>
      <c r="C179" s="104" t="s">
        <v>104</v>
      </c>
      <c r="D179" s="105"/>
      <c r="E179" s="28">
        <v>0</v>
      </c>
      <c r="F179" s="44"/>
      <c r="G179" s="44"/>
      <c r="H179" s="44"/>
      <c r="I179" s="9"/>
    </row>
    <row r="180" spans="1:9" ht="24.75" customHeight="1">
      <c r="A180" s="108"/>
      <c r="B180" s="109"/>
      <c r="C180" s="104" t="s">
        <v>105</v>
      </c>
      <c r="D180" s="105"/>
      <c r="E180" s="28">
        <v>0</v>
      </c>
      <c r="F180" s="44"/>
      <c r="G180" s="44"/>
      <c r="H180" s="44"/>
      <c r="I180" s="9"/>
    </row>
    <row r="181" spans="1:9" ht="24.75" customHeight="1">
      <c r="A181" s="108"/>
      <c r="B181" s="109"/>
      <c r="C181" s="104" t="s">
        <v>106</v>
      </c>
      <c r="D181" s="105"/>
      <c r="E181" s="28">
        <v>0</v>
      </c>
      <c r="F181" s="44"/>
      <c r="G181" s="44"/>
      <c r="H181" s="44"/>
      <c r="I181" s="9"/>
    </row>
    <row r="182" spans="1:9">
      <c r="A182" s="108"/>
      <c r="B182" s="109"/>
      <c r="C182" s="148" t="s">
        <v>107</v>
      </c>
      <c r="D182" s="149"/>
      <c r="E182" s="42"/>
      <c r="F182" s="44"/>
      <c r="G182" s="44"/>
      <c r="H182" s="44"/>
      <c r="I182" s="9"/>
    </row>
    <row r="183" spans="1:9" ht="24.75" customHeight="1">
      <c r="A183" s="108"/>
      <c r="B183" s="109"/>
      <c r="C183" s="150" t="s">
        <v>111</v>
      </c>
      <c r="D183" s="151"/>
      <c r="E183" s="30">
        <v>0</v>
      </c>
      <c r="F183" s="44"/>
      <c r="G183" s="44"/>
      <c r="H183" s="44"/>
      <c r="I183" s="9"/>
    </row>
    <row r="184" spans="1:9" ht="24.75" customHeight="1">
      <c r="A184" s="108"/>
      <c r="B184" s="109"/>
      <c r="C184" s="104" t="s">
        <v>97</v>
      </c>
      <c r="D184" s="105"/>
      <c r="E184" s="30">
        <v>0</v>
      </c>
      <c r="F184" s="44"/>
      <c r="G184" s="44"/>
      <c r="H184" s="44"/>
      <c r="I184" s="9"/>
    </row>
    <row r="185" spans="1:9" ht="24.75" customHeight="1">
      <c r="A185" s="108"/>
      <c r="B185" s="109"/>
      <c r="C185" s="104" t="s">
        <v>98</v>
      </c>
      <c r="D185" s="105"/>
      <c r="E185" s="30">
        <v>0</v>
      </c>
      <c r="F185" s="44"/>
      <c r="G185" s="44"/>
      <c r="H185" s="44"/>
      <c r="I185" s="9"/>
    </row>
    <row r="186" spans="1:9" ht="24.75" customHeight="1">
      <c r="A186" s="108"/>
      <c r="B186" s="109"/>
      <c r="C186" s="104" t="s">
        <v>99</v>
      </c>
      <c r="D186" s="105"/>
      <c r="E186" s="30">
        <v>0</v>
      </c>
      <c r="F186" s="44"/>
      <c r="G186" s="44"/>
      <c r="H186" s="44"/>
      <c r="I186" s="9"/>
    </row>
    <row r="187" spans="1:9" ht="24.75" customHeight="1">
      <c r="A187" s="108"/>
      <c r="B187" s="109"/>
      <c r="C187" s="104" t="s">
        <v>100</v>
      </c>
      <c r="D187" s="105"/>
      <c r="E187" s="30">
        <v>0</v>
      </c>
      <c r="F187" s="44"/>
      <c r="G187" s="44"/>
      <c r="H187" s="44"/>
      <c r="I187" s="9"/>
    </row>
    <row r="188" spans="1:9" ht="24.75" customHeight="1">
      <c r="A188" s="110"/>
      <c r="B188" s="111"/>
      <c r="C188" s="104" t="s">
        <v>101</v>
      </c>
      <c r="D188" s="105"/>
      <c r="E188" s="30">
        <v>0</v>
      </c>
      <c r="F188" s="44"/>
      <c r="G188" s="44"/>
      <c r="H188" s="44"/>
      <c r="I188" s="9"/>
    </row>
    <row r="189" spans="1:9" ht="24.75" customHeight="1">
      <c r="A189" s="96" t="s">
        <v>109</v>
      </c>
      <c r="B189" s="152"/>
      <c r="C189" s="153"/>
      <c r="D189" s="154"/>
      <c r="E189" s="30">
        <f>C96</f>
        <v>0</v>
      </c>
      <c r="F189" s="44"/>
      <c r="G189" s="44"/>
      <c r="H189" s="44"/>
      <c r="I189" s="9"/>
    </row>
    <row r="190" spans="1:9" ht="24.75" customHeight="1">
      <c r="A190" s="145"/>
      <c r="B190" s="146"/>
      <c r="C190" s="147" t="s">
        <v>110</v>
      </c>
      <c r="D190" s="147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50" priority="51" operator="equal">
      <formula>0</formula>
    </cfRule>
  </conditionalFormatting>
  <conditionalFormatting sqref="C47:C55 C85 C95:C96 E144 E155:E162">
    <cfRule type="cellIs" dxfId="49" priority="50" operator="greaterThan">
      <formula>0</formula>
    </cfRule>
  </conditionalFormatting>
  <conditionalFormatting sqref="C57:C66">
    <cfRule type="cellIs" dxfId="48" priority="49" operator="equal">
      <formula>0</formula>
    </cfRule>
  </conditionalFormatting>
  <conditionalFormatting sqref="C57:C66">
    <cfRule type="cellIs" dxfId="47" priority="48" operator="greaterThan">
      <formula>0</formula>
    </cfRule>
  </conditionalFormatting>
  <conditionalFormatting sqref="C68:C69">
    <cfRule type="cellIs" dxfId="46" priority="47" operator="equal">
      <formula>0</formula>
    </cfRule>
  </conditionalFormatting>
  <conditionalFormatting sqref="C68:C69">
    <cfRule type="cellIs" dxfId="45" priority="46" operator="greaterThan">
      <formula>0</formula>
    </cfRule>
  </conditionalFormatting>
  <conditionalFormatting sqref="C75">
    <cfRule type="cellIs" dxfId="44" priority="45" operator="equal">
      <formula>0</formula>
    </cfRule>
  </conditionalFormatting>
  <conditionalFormatting sqref="C75">
    <cfRule type="cellIs" dxfId="43" priority="44" operator="greaterThan">
      <formula>0</formula>
    </cfRule>
  </conditionalFormatting>
  <conditionalFormatting sqref="C77">
    <cfRule type="cellIs" dxfId="42" priority="43" operator="equal">
      <formula>0</formula>
    </cfRule>
  </conditionalFormatting>
  <conditionalFormatting sqref="C77">
    <cfRule type="cellIs" dxfId="41" priority="42" operator="greaterThan">
      <formula>0</formula>
    </cfRule>
  </conditionalFormatting>
  <conditionalFormatting sqref="C87:C89">
    <cfRule type="cellIs" dxfId="40" priority="41" operator="equal">
      <formula>0</formula>
    </cfRule>
  </conditionalFormatting>
  <conditionalFormatting sqref="C87:C89">
    <cfRule type="cellIs" dxfId="39" priority="40" operator="greaterThan">
      <formula>0</formula>
    </cfRule>
  </conditionalFormatting>
  <conditionalFormatting sqref="E117 E128:E135">
    <cfRule type="cellIs" dxfId="38" priority="39" operator="equal">
      <formula>0</formula>
    </cfRule>
  </conditionalFormatting>
  <conditionalFormatting sqref="E117 E128:E135">
    <cfRule type="cellIs" dxfId="37" priority="38" operator="greaterThan">
      <formula>0</formula>
    </cfRule>
  </conditionalFormatting>
  <conditionalFormatting sqref="E136">
    <cfRule type="cellIs" dxfId="36" priority="37" operator="greaterThanOrEqual">
      <formula>0</formula>
    </cfRule>
  </conditionalFormatting>
  <conditionalFormatting sqref="E136">
    <cfRule type="cellIs" dxfId="35" priority="36" operator="lessThan">
      <formula>0</formula>
    </cfRule>
  </conditionalFormatting>
  <conditionalFormatting sqref="C70:C74">
    <cfRule type="cellIs" dxfId="34" priority="35" operator="equal">
      <formula>0</formula>
    </cfRule>
  </conditionalFormatting>
  <conditionalFormatting sqref="C70:C74">
    <cfRule type="cellIs" dxfId="33" priority="34" operator="greaterThan">
      <formula>0</formula>
    </cfRule>
  </conditionalFormatting>
  <conditionalFormatting sqref="C80:C84">
    <cfRule type="cellIs" dxfId="32" priority="33" operator="equal">
      <formula>0</formula>
    </cfRule>
  </conditionalFormatting>
  <conditionalFormatting sqref="C80:C84">
    <cfRule type="cellIs" dxfId="31" priority="32" operator="greaterThan">
      <formula>0</formula>
    </cfRule>
  </conditionalFormatting>
  <conditionalFormatting sqref="C92:C94">
    <cfRule type="cellIs" dxfId="30" priority="31" operator="equal">
      <formula>0</formula>
    </cfRule>
  </conditionalFormatting>
  <conditionalFormatting sqref="C92:C94">
    <cfRule type="cellIs" dxfId="29" priority="30" operator="greaterThan">
      <formula>0</formula>
    </cfRule>
  </conditionalFormatting>
  <conditionalFormatting sqref="C108:C109">
    <cfRule type="cellIs" dxfId="28" priority="29" operator="equal">
      <formula>0</formula>
    </cfRule>
  </conditionalFormatting>
  <conditionalFormatting sqref="C108:C109">
    <cfRule type="cellIs" dxfId="27" priority="28" operator="greaterThan">
      <formula>0</formula>
    </cfRule>
  </conditionalFormatting>
  <conditionalFormatting sqref="E144 E155:E162">
    <cfRule type="cellIs" dxfId="26" priority="27" operator="equal">
      <formula>0</formula>
    </cfRule>
  </conditionalFormatting>
  <conditionalFormatting sqref="E163">
    <cfRule type="cellIs" dxfId="25" priority="26" operator="greaterThanOrEqual">
      <formula>0</formula>
    </cfRule>
  </conditionalFormatting>
  <conditionalFormatting sqref="E163">
    <cfRule type="cellIs" dxfId="24" priority="25" operator="lessThan">
      <formula>0</formula>
    </cfRule>
  </conditionalFormatting>
  <conditionalFormatting sqref="E143">
    <cfRule type="cellIs" dxfId="23" priority="24" operator="greaterThanOrEqual">
      <formula>0</formula>
    </cfRule>
  </conditionalFormatting>
  <conditionalFormatting sqref="E143">
    <cfRule type="cellIs" dxfId="22" priority="23" operator="lessThan">
      <formula>0</formula>
    </cfRule>
  </conditionalFormatting>
  <conditionalFormatting sqref="E171 E182:E189">
    <cfRule type="cellIs" dxfId="21" priority="22" operator="equal">
      <formula>0</formula>
    </cfRule>
  </conditionalFormatting>
  <conditionalFormatting sqref="E171 E182:E189">
    <cfRule type="cellIs" dxfId="20" priority="21" operator="greaterThan">
      <formula>0</formula>
    </cfRule>
  </conditionalFormatting>
  <conditionalFormatting sqref="E190">
    <cfRule type="cellIs" dxfId="19" priority="20" operator="greaterThanOrEqual">
      <formula>0</formula>
    </cfRule>
  </conditionalFormatting>
  <conditionalFormatting sqref="E190">
    <cfRule type="cellIs" dxfId="18" priority="19" operator="lessThan">
      <formula>0</formula>
    </cfRule>
  </conditionalFormatting>
  <conditionalFormatting sqref="E170">
    <cfRule type="cellIs" dxfId="17" priority="18" operator="greaterThanOrEqual">
      <formula>0</formula>
    </cfRule>
  </conditionalFormatting>
  <conditionalFormatting sqref="E170">
    <cfRule type="cellIs" dxfId="16" priority="17" operator="lessThan">
      <formula>0</formula>
    </cfRule>
  </conditionalFormatting>
  <conditionalFormatting sqref="C5">
    <cfRule type="cellIs" dxfId="15" priority="16" operator="equal">
      <formula>0</formula>
    </cfRule>
  </conditionalFormatting>
  <conditionalFormatting sqref="C5">
    <cfRule type="cellIs" dxfId="14" priority="15" operator="greaterThan">
      <formula>0</formula>
    </cfRule>
  </conditionalFormatting>
  <conditionalFormatting sqref="C98:C107">
    <cfRule type="cellIs" dxfId="13" priority="14" operator="lessThan">
      <formula>0</formula>
    </cfRule>
  </conditionalFormatting>
  <conditionalFormatting sqref="C98:C107">
    <cfRule type="cellIs" dxfId="12" priority="13" operator="greaterThanOrEqual">
      <formula>0</formula>
    </cfRule>
  </conditionalFormatting>
  <conditionalFormatting sqref="E118:E127">
    <cfRule type="cellIs" dxfId="11" priority="12" operator="equal">
      <formula>0</formula>
    </cfRule>
  </conditionalFormatting>
  <conditionalFormatting sqref="E118:E127">
    <cfRule type="cellIs" dxfId="10" priority="11" operator="greaterThan">
      <formula>0</formula>
    </cfRule>
  </conditionalFormatting>
  <conditionalFormatting sqref="E145:E154">
    <cfRule type="cellIs" dxfId="9" priority="10" operator="equal">
      <formula>0</formula>
    </cfRule>
  </conditionalFormatting>
  <conditionalFormatting sqref="E145:E154">
    <cfRule type="cellIs" dxfId="8" priority="9" operator="greaterThan">
      <formula>0</formula>
    </cfRule>
  </conditionalFormatting>
  <conditionalFormatting sqref="E172:E181">
    <cfRule type="cellIs" dxfId="7" priority="8" operator="equal">
      <formula>0</formula>
    </cfRule>
  </conditionalFormatting>
  <conditionalFormatting sqref="E172:E181">
    <cfRule type="cellIs" dxfId="6" priority="7" operator="greaterThan">
      <formula>0</formula>
    </cfRule>
  </conditionalFormatting>
  <conditionalFormatting sqref="E116">
    <cfRule type="cellIs" dxfId="5" priority="6" operator="greaterThanOrEqual">
      <formula>0</formula>
    </cfRule>
  </conditionalFormatting>
  <conditionalFormatting sqref="E116">
    <cfRule type="cellIs" dxfId="4" priority="5" operator="lessThan">
      <formula>0</formula>
    </cfRule>
  </conditionalFormatting>
  <conditionalFormatting sqref="C78:C79">
    <cfRule type="cellIs" dxfId="3" priority="4" operator="equal">
      <formula>0</formula>
    </cfRule>
  </conditionalFormatting>
  <conditionalFormatting sqref="C78:C79">
    <cfRule type="cellIs" dxfId="2" priority="3" operator="greaterThan">
      <formula>0</formula>
    </cfRule>
  </conditionalFormatting>
  <conditionalFormatting sqref="C90:C91">
    <cfRule type="cellIs" dxfId="1" priority="2" operator="equal">
      <formula>0</formula>
    </cfRule>
  </conditionalFormatting>
  <conditionalFormatting sqref="C90:C91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 Lun Tang</cp:lastModifiedBy>
  <cp:revision/>
  <dcterms:created xsi:type="dcterms:W3CDTF">2025-02-21T13:27:35Z</dcterms:created>
  <dcterms:modified xsi:type="dcterms:W3CDTF">2025-02-26T04:10:38Z</dcterms:modified>
  <cp:category/>
  <cp:contentStatus/>
</cp:coreProperties>
</file>