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460" documentId="11_A036919BCEDCCEE3E979BAFA8980FCDE016F55DE" xr6:coauthVersionLast="47" xr6:coauthVersionMax="47" xr10:uidLastSave="{5209DA50-30C2-43EA-986D-4779DFEDA10B}"/>
  <bookViews>
    <workbookView xWindow="240" yWindow="105" windowWidth="14805" windowHeight="8010" firstSheet="16" activeTab="16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7" l="1"/>
  <c r="C106" i="17"/>
  <c r="C105" i="17"/>
  <c r="C104" i="17"/>
  <c r="C103" i="17"/>
  <c r="C101" i="17"/>
  <c r="C107" i="16"/>
  <c r="C106" i="16"/>
  <c r="C105" i="16"/>
  <c r="C104" i="16"/>
  <c r="C103" i="16"/>
  <c r="C101" i="16"/>
  <c r="C107" i="15"/>
  <c r="C106" i="15"/>
  <c r="C105" i="15"/>
  <c r="C104" i="15"/>
  <c r="C103" i="15"/>
  <c r="C101" i="15"/>
  <c r="C107" i="14"/>
  <c r="C106" i="14"/>
  <c r="C105" i="14"/>
  <c r="C104" i="14"/>
  <c r="C103" i="14"/>
  <c r="C101" i="14"/>
  <c r="C107" i="13"/>
  <c r="C106" i="13"/>
  <c r="C105" i="13"/>
  <c r="C104" i="13"/>
  <c r="C103" i="13"/>
  <c r="C101" i="13"/>
  <c r="C107" i="12"/>
  <c r="C106" i="12"/>
  <c r="C105" i="12"/>
  <c r="C104" i="12"/>
  <c r="C103" i="12"/>
  <c r="C101" i="12"/>
  <c r="C107" i="11"/>
  <c r="C106" i="11"/>
  <c r="C105" i="11"/>
  <c r="C104" i="11"/>
  <c r="C103" i="11"/>
  <c r="C101" i="11"/>
  <c r="C107" i="10"/>
  <c r="C106" i="10"/>
  <c r="C105" i="10"/>
  <c r="C104" i="10"/>
  <c r="C103" i="10"/>
  <c r="C101" i="10"/>
  <c r="C107" i="9"/>
  <c r="C106" i="9"/>
  <c r="C105" i="9"/>
  <c r="C104" i="9"/>
  <c r="C103" i="9"/>
  <c r="C101" i="9"/>
  <c r="C107" i="8"/>
  <c r="C106" i="8"/>
  <c r="C105" i="8"/>
  <c r="C104" i="8"/>
  <c r="C103" i="8"/>
  <c r="C101" i="8"/>
  <c r="C107" i="7"/>
  <c r="C106" i="7"/>
  <c r="C105" i="7"/>
  <c r="C104" i="7"/>
  <c r="C103" i="7"/>
  <c r="C101" i="7"/>
  <c r="C107" i="6"/>
  <c r="C106" i="6"/>
  <c r="C105" i="6"/>
  <c r="C104" i="6"/>
  <c r="C103" i="6"/>
  <c r="C101" i="6"/>
  <c r="C107" i="5"/>
  <c r="C106" i="5"/>
  <c r="C105" i="5"/>
  <c r="C104" i="5"/>
  <c r="C103" i="5"/>
  <c r="C101" i="5"/>
  <c r="C107" i="2"/>
  <c r="C107" i="4" s="1"/>
  <c r="C106" i="2"/>
  <c r="C106" i="4" s="1"/>
  <c r="C105" i="2"/>
  <c r="C105" i="4" s="1"/>
  <c r="C104" i="2"/>
  <c r="C104" i="4" s="1"/>
  <c r="C103" i="2"/>
  <c r="C103" i="4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0" i="2"/>
  <c r="C100" i="4" s="1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2"/>
  <c r="C98" i="4" s="1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B4" i="3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<sst xmlns="http://schemas.openxmlformats.org/spreadsheetml/2006/main" count="3065" uniqueCount="122">
  <si>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</si>
  <si>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</si>
  <si>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</si>
  <si>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</si>
  <si>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</si>
  <si>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</si>
  <si>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</si>
  <si>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</si>
  <si>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</si>
  <si>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</si>
  <si>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</si>
  <si>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</si>
  <si>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</si>
  <si>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</si>
  <si>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</si>
  <si>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</si>
  <si>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</si>
  <si>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</si>
  <si>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</si>
  <si>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</si>
  <si>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</si>
  <si>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</si>
  <si>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</si>
  <si>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</si>
  <si>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</si>
  <si>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</si>
  <si>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</si>
  <si>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</si>
  <si>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</si>
  <si>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</si>
  <si>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</si>
  <si>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</si>
  <si>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</si>
  <si>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</si>
  <si>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</si>
  <si>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</si>
  <si>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</si>
  <si>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</si>
  <si>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</si>
  <si>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</si>
  <si>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</si>
  <si>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</si>
  <si>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</si>
  <si>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</si>
  <si>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</si>
  <si>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</si>
  <si>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</si>
  <si>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</si>
  <si>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</si>
  <si>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</si>
  <si>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</si>
  <si>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</si>
  <si>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</si>
  <si>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Forecast Total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</si>
  <si>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</si>
  <si>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</si>
  <si>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</si>
  <si>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</si>
  <si>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</si>
  <si>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</si>
  <si>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</si>
  <si>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</si>
  <si>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</si>
  <si>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</si>
  <si>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</si>
  <si>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</si>
  <si>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</si>
  <si>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</si>
  <si>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</si>
  <si>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</si>
  <si>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</si>
  <si>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</si>
  <si>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</si>
  <si>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</si>
  <si>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</si>
  <si>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</si>
  <si>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</si>
  <si>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</si>
  <si>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ManuaLife</t>
  </si>
  <si>
    <t>China Life Insurance</t>
  </si>
  <si>
    <t>Total Government Expenses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</si>
  <si>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</si>
  <si>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</si>
  <si>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</si>
  <si>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</si>
  <si>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</si>
  <si>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</si>
  <si>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</si>
  <si>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</si>
  <si>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Total Other Expense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</si>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</sst>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0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8" fillId="0" borderId="3" xfId="4" applyFont="1" applyBorder="1" applyAlignment="1" applyProtection="1">
      <alignment horizontal="righ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49" fontId="12" fillId="4" borderId="3" xfId="5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10" workbookViewId="0">
      <selection activeCell="B12" sqref="B12:B14"/>
    </sheetView>
  </sheetViews>
  <sheetFormatPr defaultRowHeight="14.25"/>
  <cols>
    <col min="1" max="1" width="43.25" style="63" customWidth="1"/>
    <col min="2" max="2" width="34.125" style="63" customWidth="1"/>
    <col min="3" max="16384" width="9" style="63"/>
  </cols>
  <sheetData>
    <row r="1" spans="1:2" ht="45" customHeight="1">
      <c r="A1" s="11" t="s">
        <v>0</v>
      </c>
      <c r="B1" s="77" t="s">
        <v>1</v>
      </c>
    </row>
    <row r="2" spans="1:2" ht="45" customHeight="1">
      <c r="A2" s="76" t="s">
        <v>2</v>
      </c>
      <c r="B2" s="12" t="b">
        <v>1</v>
      </c>
    </row>
    <row r="3" spans="1:2" ht="36" customHeight="1">
      <c r="A3" s="13" t="s">
        <v>3</v>
      </c>
      <c r="B3" s="14">
        <v>45748</v>
      </c>
    </row>
    <row r="4" spans="1:2" ht="45" customHeight="1">
      <c r="A4" s="11" t="s">
        <v>4</v>
      </c>
      <c r="B4" s="15" t="str">
        <f>IF(B2,TEXT(EDATE(B3,1)-1,"dd-mmm-yyyy"),B4)</f>
        <v>30-Apr-2025</v>
      </c>
    </row>
    <row r="5" spans="1:2" ht="45" customHeight="1">
      <c r="A5" s="90" t="s">
        <v>5</v>
      </c>
      <c r="B5" s="91">
        <v>45761</v>
      </c>
    </row>
    <row r="6" spans="1:2" ht="45" customHeight="1">
      <c r="A6" s="90"/>
      <c r="B6" s="91"/>
    </row>
    <row r="7" spans="1:2" ht="24.75" customHeight="1">
      <c r="A7" s="64"/>
      <c r="B7" s="65"/>
    </row>
    <row r="8" spans="1:2" ht="20.25" customHeight="1">
      <c r="A8" s="92" t="s">
        <v>6</v>
      </c>
      <c r="B8" s="92"/>
    </row>
    <row r="9" spans="1:2" ht="20.25" customHeight="1">
      <c r="A9" s="66" t="str">
        <f>TEXT(B3,"dd mmmm yyyy") &amp; " - " &amp; IF(B2,TEXT(EDATE(B3,1)-1,"dd mmmm yyyy"),TEXT(B3+B5-B3,"dd mmmm yyyy"))</f>
        <v>01 April 2025 - 30 April 2025</v>
      </c>
      <c r="B9" s="93" t="s">
        <v>7</v>
      </c>
    </row>
    <row r="10" spans="1:2" ht="20.25" customHeight="1">
      <c r="A10" s="78" t="str">
        <f>IF(B2,TEXT(EDATE(B3,1),"dd mmmm yyyy"),TEXT(B3+(B5-B3)+1,"dd mmmm yyyy")) &amp; " - " &amp; IF(B2,TEXT(EDATE(B3,2) - 1,"dd mmmm yyyy"),TEXT(B3+(B5-B3)*2+1,"dd mmmm yyyy"))</f>
        <v>01 May 2025 - 31 May 2025</v>
      </c>
      <c r="B10" s="93"/>
    </row>
    <row r="11" spans="1:2" ht="20.25" customHeight="1">
      <c r="A11" s="78" t="str">
        <f>IF(B2,TEXT(EDATE(B3,2),"dd mmmm yyyy"),TEXT(B3+((B5-B3)*2)+2,"dd mmmm yyyy")) &amp; " - " &amp; IF(B2,TEXT(EDATE(B3,3) - 1,"dd mmmm yyyy"),TEXT(B3+((B5-B3)*3+2),"dd mmmm yyyy"))</f>
        <v>01 June 2025 - 30 June 2025</v>
      </c>
      <c r="B11" s="94"/>
    </row>
    <row r="12" spans="1:2" ht="20.25" customHeight="1">
      <c r="A12" s="67" t="str">
        <f>IF(B2,TEXT(EDATE(B3,3),"dd mmmm yyyy"),TEXT(B3+((B5-B3)*3)+3,"dd mmmm yyyy")) &amp; " - " &amp; IF(B2,TEXT(EDATE(B3,4)-1,"dd mmmm yyyy"),TEXT(B3+(((B5-B3)*4)+3),"dd mmmm yyyy"))</f>
        <v>01 July 2025 - 31 July 2025</v>
      </c>
      <c r="B12" s="86" t="s">
        <v>8</v>
      </c>
    </row>
    <row r="13" spans="1:2" ht="20.25" customHeight="1">
      <c r="A13" s="67" t="str">
        <f>IF(B2,TEXT(EDATE(B3,4),"dd mmmm yyyy"),TEXT(B3+((B5-B3)*4)+4,"dd mmmm yyyy")) &amp; " - " &amp; IF(B2,TEXT(EDATE(B3,5)-1,"dd mmmm yyyy"),TEXT(B3+(((B5-B3)*5)+4),"dd mmmm yyyy"))</f>
        <v>01 August 2025 - 31 August 2025</v>
      </c>
      <c r="B13" s="87"/>
    </row>
    <row r="14" spans="1:2" ht="20.25" customHeight="1">
      <c r="A14" s="78" t="str">
        <f>IF(B2,TEXT(EDATE(B3,5),"dd mmmm yyyy"),TEXT(B3+((B5-B3)*5)+5,"dd mmmm yyyy")) &amp; " - " &amp; IF(B2,TEXT(EDATE(B3,6)-1,"dd mmmm yyyy"),TEXT(B3+(((B5-B3)*6)+5),"dd mmmm yyyy"))</f>
        <v>01 September 2025 - 30 September 2025</v>
      </c>
      <c r="B14" s="88"/>
    </row>
    <row r="15" spans="1:2" ht="20.25" customHeight="1">
      <c r="A15" s="78" t="str">
        <f>IF(B2,TEXT(EDATE(B3,6),"dd mmmm yyyy"),TEXT(B3+((B5-B3)*6)+6,"dd mmmm yyyy")) &amp; " - " &amp; IF(B2,TEXT(EDATE(B3,7)-1,"dd mmmm yyyy"),TEXT(B3+(((B5-B3)*7)+6),"dd mmmm yyyy"))</f>
        <v>01 October 2025 - 31 October 2025</v>
      </c>
      <c r="B15" s="86" t="s">
        <v>9</v>
      </c>
    </row>
    <row r="16" spans="1:2" ht="20.25" customHeight="1">
      <c r="A16" s="78" t="str">
        <f>IF(B2,TEXT(EDATE(B3,7),"dd mmmm yyyy"),TEXT(B3+((B5-B3)*7)+7,"dd mmmm yyyy")) &amp; " - " &amp; IF(B2,TEXT(EDATE(B3,8)-1,"dd mmmm yyyy"),TEXT(B3+(((B5-B3)*8)+7),"dd mmmm yyyy"))</f>
        <v>01 November 2025 - 30 November 2025</v>
      </c>
      <c r="B16" s="87"/>
    </row>
    <row r="17" spans="1:2" ht="20.25" customHeight="1">
      <c r="A17" s="78" t="str">
        <f>IF(B2,TEXT(EDATE(B3,8),"dd mmmm yyyy"),TEXT(B3+((B5-B3)*8)+8,"dd mmmm yyyy")) &amp; " - " &amp; IF(B2,TEXT(EDATE(B3,9)-1,"dd mmmm yyyy"),TEXT(B3+(((B5-B3)*9)+8),"dd mmmm yyyy"))</f>
        <v>01 December 2025 - 31 December 2025</v>
      </c>
      <c r="B17" s="88"/>
    </row>
    <row r="18" spans="1:2" ht="20.25" customHeight="1">
      <c r="A18" s="78" t="str">
        <f>IF(B2,TEXT(EDATE(B3,9),"dd mmmm yyyy"),TEXT(B3+((B5-B3)*9)+9,"dd mmmm yyyy")) &amp; " - " &amp; IF(B2,TEXT(EDATE(B3,10)-1,"dd mmmm yyyy"),TEXT(B3+(((B5-B3)*10)+9),"dd mmmm yyyy"))</f>
        <v>01 January 2026 - 31 January 2026</v>
      </c>
      <c r="B18" s="89" t="s">
        <v>10</v>
      </c>
    </row>
    <row r="19" spans="1:2" ht="20.25" customHeight="1">
      <c r="A19" s="78" t="str">
        <f>IF(B2,TEXT(EDATE(B3,10),"dd mmmm yyyy"),TEXT(B3+((B5-B3)*10)+10,"dd mmmm yyyy")) &amp; " - " &amp; IF(B2,TEXT(EDATE(B3,11)-1,"dd mmmm yyyy"),TEXT(B3+(((B5-B3)*11)+10),"dd mmmm yyyy"))</f>
        <v>01 February 2026 - 28 February 2026</v>
      </c>
      <c r="B19" s="87"/>
    </row>
    <row r="20" spans="1:2" ht="20.25" customHeight="1">
      <c r="A20" s="68" t="str">
        <f>IF(B2,TEXT(EDATE(B3,11),"dd mmmm yyyy"),TEXT(B3+((B5-B3)*11)+11,"dd mmmm yyyy")) &amp; " - " &amp; IF(B2,TEXT(EDATE(B3,12)-1,"dd mmmm yyyy"),TEXT(B3+(((B5-B3)*12)+11),"dd mmmm yyyy"))</f>
        <v>01 March 2026 - 31 March 2026</v>
      </c>
      <c r="B20" s="87"/>
    </row>
    <row r="21" spans="1:2" ht="20.25" customHeight="1">
      <c r="A21" s="69" t="str">
        <f>IF(B2,TEXT(EDATE(B3,12),"dd mmmm yyyy"),TEXT(B3+((B5-B3)*12)+12,"dd mmmm yyyy")) &amp; " - " &amp; IF(B2,TEXT(EDATE(B3,13)-1,"dd mmmm yyyy"),TEXT(B3+(((B5-B3)*13)+12),"dd mmmm yyyy"))</f>
        <v>01 April 2026 - 30 April 2026</v>
      </c>
      <c r="B21" s="85" t="s">
        <v>11</v>
      </c>
    </row>
    <row r="22" spans="1:2" ht="20.25" customHeight="1">
      <c r="A22" s="69" t="str">
        <f>IF(B2,TEXT(EDATE(B3,13),"dd mmmm yyyy"),TEXT(B3+((B5-B3)*13)+13,"dd mmmm yyyy")) &amp; " - " &amp; IF(B2,TEXT(EDATE(B3,14)-1,"dd mmmm yyyy"),TEXT(B3+(((B5-B3)*14)+13),"dd mmmm yyyy"))</f>
        <v>01 May 2026 - 31 May 2026</v>
      </c>
      <c r="B22" s="85"/>
    </row>
    <row r="23" spans="1:2" ht="20.25" customHeight="1">
      <c r="A23" s="68" t="str">
        <f>IF(B2,TEXT(EDATE(B3,14),"dd mmmm yyyy"),TEXT(B3+((B5-B3)*14)+14,"dd mmmm yyyy")) &amp; " - " &amp; IF(B2,TEXT(EDATE(B3,15)-1,"dd mmmm yyyy"),TEXT(B3+(((B5-B3)*15)+14),"dd mmmm yyyy"))</f>
        <v>01 June 2026 - 30 June 2026</v>
      </c>
      <c r="B23" s="86"/>
    </row>
    <row r="24" spans="1:2" ht="20.25" customHeight="1">
      <c r="A24" s="78" t="str">
        <f>IF(B2,TEXT(EDATE(B3,15),"dd mmmm yyyy"),TEXT(B3+((B5-B3)*15)+15,"dd mmmm yyyy")) &amp; " - " &amp; IF(B2,TEXT(EDATE(B3,16)-1,"dd mmmm yyyy"),TEXT(B3+(((B5-B3)*16)+15),"dd mmmm yyyy"))</f>
        <v>01 July 2026 - 31 July 2026</v>
      </c>
      <c r="B24" s="85" t="s">
        <v>12</v>
      </c>
    </row>
    <row r="25" spans="1:2" ht="20.25" customHeight="1">
      <c r="A25" s="78" t="str">
        <f>IF(B2,TEXT(EDATE(B3,16),"dd mmmm yyyy"),TEXT(B3+((B5-B3)*16)+16,"dd mmmm yyyy")) &amp; " - " &amp; IF(B2,TEXT(EDATE(B3,17)-1,"dd mmmm yyyy"),TEXT(B3+(((B5-B3)*17)+16),"dd mmmm yyyy"))</f>
        <v>01 August 2026 - 31 August 2026</v>
      </c>
      <c r="B25" s="85"/>
    </row>
    <row r="26" spans="1:2" ht="20.25" customHeight="1">
      <c r="A26" s="77" t="str">
        <f>IF(B2,TEXT(EDATE(B3,17),"dd mmmm yyyy"),TEXT(B3+((B5-B3)*17)+17,"dd mmmm yyyy")) &amp; " - " &amp; IF(B2,TEXT(EDATE(B3,18)-1,"dd mmmm yyyy"),TEXT(B3+(((B5-B3)*18)+17),"dd mmmm yyyy"))</f>
        <v>01 September 2026 - 30 September 2026</v>
      </c>
      <c r="B26" s="86"/>
    </row>
    <row r="27" spans="1:2" ht="20.25" customHeight="1">
      <c r="A27" s="78" t="str">
        <f>IF(B2,TEXT(EDATE(B3,18),"dd mmmm yyyy"),TEXT(B3+((B5-B3)*18)+18,"dd mmmm yyyy")) &amp; " - " &amp; IF(B2,TEXT(EDATE(B3,19)-1,"dd mmmm yyyy"),TEXT(B3+(((B5-B3)*19)+18),"dd mmmm yyyy"))</f>
        <v>01 October 2026 - 31 October 2026</v>
      </c>
      <c r="B27" s="85" t="s">
        <v>13</v>
      </c>
    </row>
    <row r="28" spans="1:2" ht="20.25" customHeight="1">
      <c r="A28" s="78" t="str">
        <f>IF(B2,TEXT(EDATE(B3,19),"dd mmmm yyyy"),TEXT(B3+((B5-B3)*19)+19,"dd mmmm yyyy")) &amp; " - " &amp; IF(B2,TEXT(EDATE(B3,20)-1,"dd mmmm yyyy"),TEXT(B3+(((B5-B3)*20)+19),"dd mmmm yyyy"))</f>
        <v>01 November 2026 - 30 November 2026</v>
      </c>
      <c r="B28" s="85"/>
    </row>
    <row r="29" spans="1:2" ht="20.25" customHeight="1">
      <c r="A29" s="77" t="str">
        <f>IF(B2,TEXT(EDATE(B3,20),"dd mmmm yyyy"),TEXT(B3+((B5-B3)*20)+20,"dd mmmm yyyy")) &amp; " - " &amp; IF(B2,TEXT(EDATE(B3,21)-1,"dd mmmm yyyy"),TEXT(B3+(((B5-B3)*21)+20),"dd mmmm yyyy"))</f>
        <v>01 December 2026 - 31 December 2026</v>
      </c>
      <c r="B29" s="86"/>
    </row>
    <row r="30" spans="1:2" ht="20.25" customHeight="1">
      <c r="A30" s="78" t="str">
        <f>IF(B2,TEXT(EDATE(B3,21),"dd mmmm yyyy"),TEXT(B3+((B5-B3)*21)+21,"dd mmmm yyyy")) &amp; " - " &amp; IF(B2,TEXT(EDATE(B3,22)-1,"dd mmmm yyyy"),TEXT(B3+(((B5-B3)*22)+21),"dd mmmm yyyy"))</f>
        <v>01 January 2027 - 31 January 2027</v>
      </c>
      <c r="B30" s="85" t="s">
        <v>14</v>
      </c>
    </row>
    <row r="31" spans="1:2" ht="20.25" customHeight="1">
      <c r="A31" s="78" t="str">
        <f>IF(B2,TEXT(EDATE(B3,22),"dd mmmm yyyy"),TEXT(B3+((B5-B3)*22)+22,"dd mmmm yyyy")) &amp; " - " &amp; IF(B2,TEXT(EDATE(B3,23)-1,"dd mmmm yyyy"),TEXT(B3+(((B5-B3)*23)+22),"dd mmmm yyyy"))</f>
        <v>01 February 2027 - 28 February 2027</v>
      </c>
      <c r="B31" s="85"/>
    </row>
    <row r="32" spans="1:2" ht="20.25" customHeight="1">
      <c r="A32" s="77" t="str">
        <f>IF(B2,TEXT(EDATE(B3,23),"dd mmmm yyyy"),TEXT(B3+((B5-B3)*23)+23,"dd mmmm yyyy")) &amp; " - " &amp; IF(B2,TEXT(EDATE(B3,24)-1,"dd mmmm yyyy"),TEXT(B3+(((B5-B3)*24)+23),"dd mmmm yyyy"))</f>
        <v>01 March 2027 - 31 March 2027</v>
      </c>
      <c r="B32" s="86"/>
    </row>
    <row r="33" spans="1:2" ht="20.25" customHeight="1">
      <c r="A33" s="78" t="str">
        <f>IF(B2,TEXT(EDATE(B3,24),"dd mmmm yyyy"),TEXT(B3+((B5-B3)*24)+24,"dd mmmm yyyy")) &amp; " - " &amp; IF(B2,TEXT(EDATE(B3,25)-1,"dd mmmm yyyy"),TEXT(B3+(((B5-B3)*25)+24),"dd mmmm yyyy"))</f>
        <v>01 April 2027 - 30 April 2027</v>
      </c>
      <c r="B33" s="85" t="s">
        <v>15</v>
      </c>
    </row>
    <row r="34" spans="1:2" ht="20.25" customHeight="1">
      <c r="A34" s="78" t="str">
        <f>IF(B2,TEXT(EDATE(B3,25),"dd mmmm yyyy"),TEXT(B3+((B5-B3)*25)+25,"dd mmmm yyyy")) &amp; " - " &amp; IF(B2,TEXT(EDATE(B3,26)-1,"dd mmmm yyyy"),TEXT(B3+(((B5-B3)*26)+25),"dd mmmm yyyy"))</f>
        <v>01 May 2027 - 31 May 2027</v>
      </c>
      <c r="B34" s="85"/>
    </row>
    <row r="35" spans="1:2" ht="20.25" customHeight="1">
      <c r="A35" s="77" t="str">
        <f>IF(B2,TEXT(EDATE(B3,26),"dd mmmm yyyy"),TEXT(B3+((B5-B3)*26)+26,"dd mmmm yyyy")) &amp; " - " &amp; IF(B2,TEXT(EDATE(B3,27)-1,"dd mmmm yyyy"),TEXT(B3+(((B5-B3)*27)+26),"dd mmmm yyyy"))</f>
        <v>01 June 2027 - 30 June 2027</v>
      </c>
      <c r="B35" s="86"/>
    </row>
    <row r="36" spans="1:2" ht="20.25" customHeight="1">
      <c r="A36" s="78" t="str">
        <f>IF(B2,TEXT(EDATE(B3,27),"dd mmmm yyyy"),TEXT(B3+((B5-B3)*27)+27,"dd mmmm yyyy")) &amp; " - " &amp; IF(B2,TEXT(EDATE(B3,28)-1,"dd mmmm yyyy"),TEXT(B3+(((B5-B3)*28)+27),"dd mmmm yyyy"))</f>
        <v>01 July 2027 - 31 July 2027</v>
      </c>
      <c r="B36" s="85" t="s">
        <v>16</v>
      </c>
    </row>
    <row r="37" spans="1:2" ht="20.25" customHeight="1">
      <c r="A37" s="78" t="str">
        <f>IF(B2,TEXT(EDATE(B3,28),"dd mmmm yyyy"),TEXT(B3+((B5-B3)*28)+28,"dd mmmm yyyy")) &amp; " - " &amp; IF(B2,TEXT(EDATE(B3,29)-1,"dd mmmm yyyy"),TEXT(B3+(((B5-B3)*29)+28),"dd mmmm yyyy"))</f>
        <v>01 August 2027 - 31 August 2027</v>
      </c>
      <c r="B37" s="85"/>
    </row>
    <row r="38" spans="1:2" ht="20.25" customHeight="1">
      <c r="A38" s="77" t="str">
        <f>IF(B2,TEXT(EDATE(B3,29),"dd mmmm yyyy"),TEXT(B3+((B5-B3)*29)+29,"dd mmmm yyyy")) &amp; " - " &amp; IF(B2,TEXT(EDATE(B3,30)-1,"dd mmmm yyyy"),TEXT(B3+(((B5-B3)*30)+29),"dd mmmm yyyy"))</f>
        <v>01 September 2027 - 30 September 2027</v>
      </c>
      <c r="B38" s="86"/>
    </row>
    <row r="39" spans="1:2" ht="20.25" customHeight="1">
      <c r="A39" s="78" t="str">
        <f>IF(B2,TEXT(EDATE(B3,30),"dd mmmm yyyy"),TEXT(B3+((B5-B3)*30)+30,"dd mmmm yyyy")) &amp; " - " &amp; IF(B2,TEXT(EDATE(B3,31)-1,"dd mmmm yyyy"),TEXT(B3+(((B5-B3)*31)+30),"dd mmmm yyyy"))</f>
        <v>01 October 2027 - 31 October 2027</v>
      </c>
      <c r="B39" s="85" t="s">
        <v>17</v>
      </c>
    </row>
    <row r="40" spans="1:2" ht="20.25" customHeight="1">
      <c r="A40" s="78" t="str">
        <f>IF(B2,TEXT(EDATE(B3,31),"dd mmmm yyyy"),TEXT(B3+((B5-B3)*31)+31,"dd mmmm yyyy")) &amp; " - " &amp; IF(B2,TEXT(EDATE(B3,32)-1,"dd mmmm yyyy"),TEXT(B3+(((B5-B3)*32)+31),"dd mmmm yyyy"))</f>
        <v>01 November 2027 - 30 November 2027</v>
      </c>
      <c r="B40" s="85"/>
    </row>
    <row r="41" spans="1:2" ht="20.25" customHeight="1">
      <c r="A41" s="77" t="str">
        <f>IF(B2,TEXT(EDATE(B3,32),"dd mmmm yyyy"),TEXT(B3+((B5-B3)*32)+32,"dd mmmm yyyy")) &amp; " - " &amp; IF(B2,TEXT(EDATE(B3,33)-1,"dd mmmm yyyy"),TEXT(B3+(((B5-B3)*33)+32),"dd mmmm yyyy"))</f>
        <v>01 December 2027 - 31 December 2027</v>
      </c>
      <c r="B41" s="86"/>
    </row>
    <row r="42" spans="1:2" ht="20.25" customHeight="1">
      <c r="A42" s="78" t="str">
        <f>IF(B2,TEXT(EDATE(B3,33),"dd mmmm yyyy"),TEXT(B3+((B5-B3)*33)+33,"dd mmmm yyyy")) &amp; " - " &amp; IF(B2,TEXT(EDATE(B3,34)-1,"dd mmmm yyyy"),TEXT(B3+(((B5-B3)*34)+33),"dd mmmm yyyy"))</f>
        <v>01 January 2028 - 31 January 2028</v>
      </c>
      <c r="B42" s="85" t="s">
        <v>18</v>
      </c>
    </row>
    <row r="43" spans="1:2" ht="20.25" customHeight="1">
      <c r="A43" s="78" t="str">
        <f>IF(B2,TEXT(EDATE(B3,34),"dd mmmm yyyy"),TEXT(B3+((B5-B3)*34)+34,"dd mmmm yyyy")) &amp; " - " &amp; IF(B2,TEXT(EDATE(B3,35)-1,"dd mmmm yyyy"),TEXT(B3+(((B5-B3)*35)+34),"dd mmmm yyyy"))</f>
        <v>01 February 2028 - 29 February 2028</v>
      </c>
      <c r="B43" s="85"/>
    </row>
    <row r="44" spans="1:2" ht="20.25" customHeight="1">
      <c r="A44" s="77" t="str">
        <f>IF(B2,TEXT(EDATE(B3,35),"dd mmmm yyyy"),TEXT(B3+((B5-B3)*35)+35,"dd mmmm yyyy")) &amp; " - " &amp; IF(B2,TEXT(EDATE(B3,36)-1,"dd mmmm yyyy"),TEXT(B3+(((B5-B3)*36)+35),"dd mmmm yyyy"))</f>
        <v>01 March 2028 - 31 March 2028</v>
      </c>
      <c r="B44" s="86"/>
    </row>
    <row r="45" spans="1:2" ht="20.25" customHeight="1">
      <c r="A45" s="78" t="str">
        <f>IF(B2,TEXT(EDATE(B3,36),"dd mmmm yyyy"),TEXT(B3+((B5-B3)*36)+36,"dd mmmm yyyy")) &amp; " - " &amp; IF(B2,TEXT(EDATE(B3,37)-1,"dd mmmm yyyy"),TEXT(B3+(((B5-B3)*37)+36),"dd mmmm yyyy"))</f>
        <v>01 April 2028 - 30 April 2028</v>
      </c>
      <c r="B45" s="85" t="s">
        <v>19</v>
      </c>
    </row>
    <row r="46" spans="1:2" ht="20.25" customHeight="1">
      <c r="A46" s="78" t="str">
        <f>IF(B2,TEXT(EDATE(B3,37),"dd mmmm yyyy"),TEXT(B3+((B5-B3)*37)+37,"dd mmmm yyyy")) &amp; " - " &amp; IF(B2,TEXT(EDATE(B3,38)-1,"dd mmmm yyyy"),TEXT(B3+(((B5-B3)*38)+37),"dd mmmm yyyy"))</f>
        <v>01 May 2028 - 31 May 2028</v>
      </c>
      <c r="B46" s="85"/>
    </row>
    <row r="47" spans="1:2" ht="20.25" customHeight="1">
      <c r="A47" s="77" t="str">
        <f>IF(B2,TEXT(EDATE(B3,38),"dd mmmm yyyy"),TEXT(B3+((B5-B3)*38)+38,"dd mmmm yyyy")) &amp; " - " &amp; IF(B2,TEXT(EDATE(B3,39)-1,"dd mmmm yyyy"),TEXT(B3+(((B5-B3)*39)+38),"dd mmmm yyyy"))</f>
        <v>01 June 2028 - 30 June 2028</v>
      </c>
      <c r="B47" s="86"/>
    </row>
    <row r="48" spans="1:2" ht="20.25" customHeight="1">
      <c r="A48" s="78" t="str">
        <f>IF(B2,TEXT(EDATE(B3,39),"dd mmmm yyyy"),TEXT(B3+((B5-B3)*39)+39,"dd mmmm yyyy")) &amp; " - " &amp; IF(B2,TEXT(EDATE(B3,40)-1,"dd mmmm yyyy"),TEXT(B3+(((B5-B3)*40)+39),"dd mmmm yyyy"))</f>
        <v>01 July 2028 - 31 July 2028</v>
      </c>
      <c r="B48" s="85" t="s">
        <v>20</v>
      </c>
    </row>
    <row r="49" spans="1:2" ht="20.25" customHeight="1">
      <c r="A49" s="78" t="str">
        <f>IF(B2,TEXT(EDATE(B3,40),"dd mmmm yyyy"),TEXT(B3+((B5-B3)*40)+40,"dd mmmm yyyy")) &amp; " - " &amp; IF(B2,TEXT(EDATE(B3,41)-1,"dd mmmm yyyy"),TEXT(B3+(((B5-B3)*41)+40),"dd mmmm yyyy"))</f>
        <v>01 August 2028 - 31 August 2028</v>
      </c>
      <c r="B49" s="85"/>
    </row>
    <row r="50" spans="1:2" ht="20.25" customHeight="1">
      <c r="A50" s="77" t="str">
        <f>IF(B2,TEXT(EDATE(B3,41),"dd mmmm yyyy"),TEXT(B3+((B5-B3)*41)+41,"dd mmmm yyyy")) &amp; " - " &amp; IF(B2,TEXT(EDATE(B3,42)-1,"dd mmmm yyyy"),TEXT(B3+(((B5-B3)*42)+41),"dd mmmm yyyy"))</f>
        <v>01 September 2028 - 30 September 2028</v>
      </c>
      <c r="B50" s="86"/>
    </row>
    <row r="51" spans="1:2" ht="20.25" customHeight="1">
      <c r="A51" s="78" t="str">
        <f>IF(B2,TEXT(EDATE(B3,42),"dd mmmm yyyy"),TEXT(B3+((B5-B3)*42)+42,"dd mmmm yyyy")) &amp; " - " &amp; IF(B2,TEXT(EDATE(B3,43)-1,"dd mmmm yyyy"),TEXT(B3+(((B5-B3)*43)+42),"dd mmmm yyyy"))</f>
        <v>01 October 2028 - 31 October 2028</v>
      </c>
      <c r="B51" s="85" t="s">
        <v>21</v>
      </c>
    </row>
    <row r="52" spans="1:2" ht="20.25" customHeight="1">
      <c r="A52" s="78" t="str">
        <f>IF(B2,TEXT(EDATE(B3,43),"dd mmmm yyyy"),TEXT(B3+((B5-B3)*43)+43,"dd mmmm yyyy")) &amp; " - " &amp; IF(B2,TEXT(EDATE(B3,44)-1,"dd mmmm yyyy"),TEXT(B3+(((B5-B3)*44)+43),"dd mmmm yyyy"))</f>
        <v>01 November 2028 - 30 November 2028</v>
      </c>
      <c r="B52" s="85"/>
    </row>
    <row r="53" spans="1:2" ht="20.25" customHeight="1">
      <c r="A53" s="77" t="str">
        <f>IF(B2,TEXT(EDATE(B3,44),"dd mmmm yyyy"),TEXT(B3+((B5-B3)*44)+44,"dd mmmm yyyy")) &amp; " - " &amp; IF(B2,TEXT(EDATE(B3,45)-1,"dd mmmm yyyy"),TEXT(B3+(((B5-B3)*45)+44),"dd mmmm yyyy"))</f>
        <v>01 December 2028 - 31 December 2028</v>
      </c>
      <c r="B53" s="86"/>
    </row>
    <row r="54" spans="1:2" ht="20.25" customHeight="1">
      <c r="A54" s="78" t="str">
        <f>IF(B2,TEXT(EDATE(B3,45),"dd mmmm yyyy"),TEXT(B3+((B5-B3)*45)+45,"dd mmmm yyyy")) &amp; " - " &amp; IF(B2,TEXT(EDATE(B3,46)-1,"dd mmmm yyyy"),TEXT(B3+(((B5-B3)*46)+45),"dd mmmm yyyy"))</f>
        <v>01 January 2029 - 31 January 2029</v>
      </c>
      <c r="B54" s="85" t="s">
        <v>22</v>
      </c>
    </row>
    <row r="55" spans="1:2" ht="20.25" customHeight="1">
      <c r="A55" s="78" t="str">
        <f>IF(B2,TEXT(EDATE(B3,46),"dd mmmm yyyy"),TEXT(B3+((B5-B3)*46)+46,"dd mmmm yyyy")) &amp; " - " &amp; IF(B2,TEXT(EDATE(B3,47)-1,"dd mmmm yyyy"),TEXT(B3+(((B5-B3)*47)+46),"dd mmmm yyyy"))</f>
        <v>01 February 2029 - 28 February 2029</v>
      </c>
      <c r="B55" s="85"/>
    </row>
    <row r="56" spans="1:2" ht="20.25" customHeight="1">
      <c r="A56" s="78" t="str">
        <f>IF(B2,TEXT(EDATE(B3,47),"dd mmmm yyyy"),TEXT(B3+((B5-B3)*47)+47,"dd mmmm yyyy")) &amp; " - " &amp; IF(B2,TEXT(EDATE(B3,48)-1,"dd mmmm yyyy"),TEXT(B3+(((B5-B3)*48)+47),"dd mmmm yyyy"))</f>
        <v>01 March 2029 - 31 March 2029</v>
      </c>
      <c r="B56" s="85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3" customFormat="1" ht="20.25" customHeight="1"/>
    <row r="66" s="63" customFormat="1" ht="20.25" customHeight="1"/>
    <row r="67" s="63" customFormat="1" ht="20.25" customHeight="1"/>
    <row r="68" s="63" customFormat="1" ht="20.25" customHeight="1"/>
    <row r="69" s="63" customFormat="1" ht="20.25" customHeight="1"/>
    <row r="70" s="63" customFormat="1" ht="20.25" customHeight="1"/>
    <row r="71" s="63" customFormat="1" ht="20.25" customHeight="1"/>
    <row r="72" s="63" customFormat="1" ht="20.25" customHeight="1"/>
    <row r="73" s="63" customFormat="1" ht="20.25" customHeight="1"/>
    <row r="74" s="63" customFormat="1" ht="20.25" customHeight="1"/>
    <row r="75" s="63" customFormat="1" ht="20.25" customHeight="1"/>
    <row r="76" s="63" customFormat="1" ht="20.25" customHeight="1"/>
    <row r="77" s="63" customFormat="1" ht="20.25" customHeight="1"/>
    <row r="78" s="63" customFormat="1" ht="20.25" customHeight="1"/>
    <row r="79" s="63" customFormat="1" ht="20.25" customHeight="1"/>
    <row r="80" s="63" customFormat="1" ht="20.25" customHeight="1"/>
    <row r="81" s="63" customFormat="1" ht="20.25" customHeight="1"/>
    <row r="82" s="63" customFormat="1" ht="20.25" customHeight="1"/>
    <row r="83" s="63" customFormat="1" ht="20.25" customHeight="1"/>
    <row r="84" s="63" customFormat="1" ht="20.25" customHeight="1"/>
    <row r="85" s="63" customFormat="1" ht="20.25" customHeight="1"/>
    <row r="86" s="63" customFormat="1" ht="20.25" customHeight="1"/>
    <row r="87" s="63" customFormat="1" ht="20.25" customHeight="1"/>
    <row r="88" s="63" customFormat="1" ht="20.25" customHeight="1"/>
    <row r="89" s="63" customFormat="1" ht="20.25" customHeight="1"/>
    <row r="90" s="63" customFormat="1" ht="20.25" customHeight="1"/>
    <row r="91" s="63" customFormat="1" ht="20.25" customHeight="1"/>
    <row r="92" s="63" customFormat="1" ht="20.25" customHeight="1"/>
    <row r="93" s="63" customFormat="1" ht="20.25" customHeight="1"/>
    <row r="94" s="63" customFormat="1" ht="20.25" customHeight="1"/>
    <row r="95" s="63" customFormat="1" ht="20.25" customHeight="1"/>
    <row r="96" s="63" customFormat="1" ht="20.25" customHeight="1"/>
    <row r="97" s="63" customFormat="1" ht="20.25" customHeight="1"/>
    <row r="98" s="63" customFormat="1" ht="20.25" customHeight="1"/>
    <row r="99" s="63" customFormat="1" ht="20.25" customHeight="1"/>
    <row r="100" s="63" customFormat="1" ht="20.25" customHeight="1"/>
    <row r="101" s="63" customFormat="1" ht="20.25" customHeight="1"/>
    <row r="102" s="63" customFormat="1" ht="20.25" customHeight="1"/>
    <row r="103" s="63" customFormat="1" ht="20.25" customHeight="1"/>
    <row r="104" s="63" customFormat="1" ht="20.25" customHeight="1"/>
    <row r="105" s="63" customFormat="1" ht="20.25" customHeight="1"/>
    <row r="106" s="63" customFormat="1" ht="20.25" customHeight="1"/>
    <row r="107" s="63" customFormat="1" ht="20.25" customHeight="1"/>
    <row r="108" s="63" customFormat="1" ht="20.25" customHeight="1"/>
    <row r="109" s="63" customFormat="1" ht="20.25" customHeight="1"/>
    <row r="110" s="63" customFormat="1" ht="20.25" customHeight="1"/>
    <row r="111" s="63" customFormat="1" ht="20.25" customHeight="1"/>
    <row r="112" s="63" customFormat="1" ht="20.25" customHeight="1"/>
    <row r="113" s="63" customFormat="1" ht="20.25" customHeight="1"/>
    <row r="114" s="63" customFormat="1" ht="20.25" customHeight="1"/>
    <row r="115" s="63" customFormat="1" ht="20.25" customHeight="1"/>
    <row r="116" s="63" customFormat="1" ht="20.25" customHeight="1"/>
    <row r="117" s="63" customFormat="1" ht="20.25" customHeight="1"/>
    <row r="118" s="63" customFormat="1" ht="20.25" customHeight="1"/>
    <row r="119" s="63" customFormat="1" ht="20.25" customHeight="1"/>
    <row r="120" s="63" customFormat="1" ht="20.25" customHeight="1"/>
    <row r="121" s="63" customFormat="1" ht="20.25" customHeight="1"/>
    <row r="122" s="63" customFormat="1" ht="20.25" customHeight="1"/>
    <row r="123" s="63" customFormat="1" ht="20.25" customHeight="1"/>
    <row r="124" s="63" customFormat="1" ht="20.25" customHeight="1"/>
    <row r="125" s="63" customFormat="1" ht="20.25" customHeight="1"/>
    <row r="126" s="63" customFormat="1" ht="20.25" customHeight="1"/>
    <row r="127" s="63" customFormat="1" ht="20.25" customHeight="1"/>
    <row r="129" s="63" customFormat="1" ht="20.25" customHeight="1"/>
    <row r="130" s="63" customFormat="1" ht="20.25" customHeight="1"/>
    <row r="131" s="63" customFormat="1" ht="20.25" customHeight="1"/>
    <row r="132" s="63" customFormat="1" ht="20.25" customHeight="1"/>
    <row r="133" s="63" customFormat="1" ht="20.25" customHeight="1"/>
    <row r="134" s="63" customFormat="1" ht="20.25" customHeight="1"/>
  </sheetData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120" workbookViewId="0">
      <selection activeCell="M3" sqref="M3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157" t="str">
        <f>"Forecasts For the Year " &amp; TEXT(Main!B3,"mmmm yyyy") &amp; " to " &amp; IF(Main!B2,TEXT(EDATE(Main!B3,3)-1,"mmmm yyyy"),TEXT(Main!B3+((Main!B5-Main!B3)*3+2),"mmmm yyyy"))</f>
        <v>Forecasts For the Year April 2025 to June 2025</v>
      </c>
      <c r="B1" s="157"/>
      <c r="C1" s="157"/>
      <c r="D1" s="157"/>
      <c r="E1" s="157"/>
      <c r="F1" s="157"/>
      <c r="I1" s="158" t="s">
        <v>23</v>
      </c>
      <c r="J1" s="158"/>
      <c r="M1" s="158" t="s">
        <v>24</v>
      </c>
      <c r="N1" s="158"/>
    </row>
    <row r="2" spans="1:14" ht="36" customHeight="1">
      <c r="A2" s="133" t="s">
        <v>25</v>
      </c>
      <c r="B2" s="134"/>
      <c r="C2" s="134"/>
      <c r="D2" s="135" t="s">
        <v>26</v>
      </c>
      <c r="E2" s="135"/>
      <c r="F2" s="135"/>
      <c r="I2" s="54" t="s">
        <v>27</v>
      </c>
      <c r="J2" s="55" t="s">
        <v>28</v>
      </c>
      <c r="M2" s="61" t="s">
        <v>29</v>
      </c>
      <c r="N2" s="55" t="s">
        <v>30</v>
      </c>
    </row>
    <row r="3" spans="1:14" ht="35.25" customHeight="1">
      <c r="A3" s="140" t="s">
        <v>31</v>
      </c>
      <c r="B3" s="38" t="s">
        <v>32</v>
      </c>
      <c r="C3" s="5">
        <v>0</v>
      </c>
      <c r="D3" s="141" t="s">
        <v>31</v>
      </c>
      <c r="E3" s="82" t="s">
        <v>32</v>
      </c>
      <c r="F3" s="7">
        <v>0</v>
      </c>
      <c r="I3" s="56" t="str">
        <f>TEXT(Main!B3,"dd mmmm yyyy") &amp; " - " &amp; IF(Main!B2,TEXT(EDATE(Main!B3,1) - 1,"dd mmmm yyyy"),TEXT(Main!B3+(Main!B5-Main!B3)*1,"dd mmmm yyyy"))</f>
        <v>01 April 2025 - 30 April 2025</v>
      </c>
      <c r="J3" s="60">
        <f>E149</f>
        <v>0</v>
      </c>
      <c r="M3" s="62" t="str">
        <f>TEXT(Main!B3,"dd mmmm yyyy") &amp; " - " &amp; IF(Main!B2,TEXT(EDATE(Main!B3,3) - 1,"dd mmmm yyyy"),TEXT(Main!B3+((Main!B5-Main!B3)*3+2),"dd mmmm yyyy"))</f>
        <v>01 April 2025 - 30 June 2025</v>
      </c>
      <c r="N3" s="60">
        <f>C17</f>
        <v>0</v>
      </c>
    </row>
    <row r="4" spans="1:14" ht="35.25" customHeight="1">
      <c r="A4" s="140"/>
      <c r="B4" s="38" t="s">
        <v>33</v>
      </c>
      <c r="C4" s="5">
        <v>0</v>
      </c>
      <c r="D4" s="142"/>
      <c r="E4" s="82" t="s">
        <v>33</v>
      </c>
      <c r="F4" s="7">
        <v>0</v>
      </c>
      <c r="I4" s="57" t="str">
        <f>IF(Main!B2,TEXT(EDATE(Main!B3,1),"dd mmmm yyyy"),TEXT(Main!B3+(Main!B5-Main!B3)+1,"dd mmmm yyyy")) &amp; " - " &amp; IF(Main!B2,TEXT(EDATE(Main!B3,2) - 1,"dd mmmm yyyy"),TEXT(Main!B3+(Main!B5-Main!B3)*2+1,"dd mmmm yyyy"))</f>
        <v>01 May 2025 - 31 May 2025</v>
      </c>
      <c r="J4" s="60">
        <f>E176</f>
        <v>0</v>
      </c>
      <c r="M4" s="62" t="str">
        <f>IF(Main!B2,TEXT(EDATE(Main!B3,3),"dd mmmm yyyy"),TEXT(Main!B3+((Main!B5-Main!B3)*3+3),"dd mmmm yyyy")) &amp; " - " &amp; IF(Main!B2,TEXT(EDATE(Main!B3,6) - 1,"dd mmmm yyyy"),TEXT(Main!B3+((Main!B5-Main!B3)*6+5),"dd mmmm yyyy"))</f>
        <v>01 July 2025 - 30 September 2025</v>
      </c>
      <c r="N4" s="60">
        <f>Forecast_2!C5</f>
        <v>0</v>
      </c>
    </row>
    <row r="5" spans="1:14" ht="35.25" customHeight="1">
      <c r="A5" s="140"/>
      <c r="B5" s="38" t="s">
        <v>34</v>
      </c>
      <c r="C5" s="5">
        <v>0</v>
      </c>
      <c r="D5" s="142"/>
      <c r="E5" s="82" t="s">
        <v>34</v>
      </c>
      <c r="F5" s="7">
        <v>0</v>
      </c>
      <c r="I5" s="57" t="str">
        <f>IF(Main!B2,TEXT(EDATE(Main!B3,2),"dd mmmm yyyy"),TEXT(Main!B3+((Main!B5-Main!B3)*2)+2,"dd mmmm yyyy")) &amp; " - " &amp; IF(Main!B2,TEXT(EDATE(Main!B3,3) - 1,"dd mmmm yyyy"),TEXT(Main!B3+((Main!B5-Main!B3)*3+2),"dd mmmm yyyy"))</f>
        <v>01 June 2025 - 30 June 2025</v>
      </c>
      <c r="J5" s="60">
        <f>E203</f>
        <v>0</v>
      </c>
      <c r="M5" s="62" t="str">
        <f>IF(Main!B2,TEXT(EDATE(Main!B3,6),"dd mmmm yyyy"),TEXT(Main!B3+((Main!B5-Main!B3)*6+6),"dd mmmm yyyy")) &amp; " - " &amp; IF(Main!B2,TEXT(EDATE(Main!B3,9) - 1,"dd mmmm yyyy"),TEXT(Main!B3+((Main!B5-Main!B3)*9+8),"dd mmmm yyyy"))</f>
        <v>01 October 2025 - 31 December 2025</v>
      </c>
      <c r="N5" s="60">
        <f>Forecast_3!C5</f>
        <v>0</v>
      </c>
    </row>
    <row r="6" spans="1:14" ht="35.25" customHeight="1">
      <c r="A6" s="140"/>
      <c r="B6" s="38" t="s">
        <v>35</v>
      </c>
      <c r="C6" s="5">
        <v>0</v>
      </c>
      <c r="D6" s="142"/>
      <c r="E6" s="82" t="s">
        <v>35</v>
      </c>
      <c r="F6" s="7">
        <v>0</v>
      </c>
      <c r="I6" s="58" t="str">
        <f>IF(Main!B2,TEXT(EDATE(Main!B3,3),"dd mmmm yyyy"),TEXT(Main!B3+((Main!B5-Main!B3)*3)+3,"dd mmmm yyyy")) &amp; " - "  &amp; IF(Main!B2,TEXT(EDATE(Main!B3,4) - 1,"dd mmmm yyyy"),TEXT(Main!B3+((Main!B5-Main!B3)*4+3),"dd mmmm yyyy"))</f>
        <v>01 July 2025 - 31 July 2025</v>
      </c>
      <c r="J6" s="60">
        <f>Forecast_2!E136</f>
        <v>0</v>
      </c>
      <c r="M6" s="62" t="str">
        <f>IF(Main!B2,TEXT(EDATE(Main!B3,9),"dd mmmm yyyy"),TEXT(Main!B3+((Main!B5-Main!B3)*9+9),"dd mmmm yyyy")) &amp; " - " &amp; IF(Main!B2,TEXT(EDATE(Main!B3,12) - 1,"dd mmmm yyyy"),TEXT(Main!B3+((Main!B5-Main!B3)*12+11),"dd mmmm yyyy"))</f>
        <v>01 January 2026 - 31 March 2026</v>
      </c>
      <c r="N6" s="60">
        <f>Forecast_4!C5</f>
        <v>0</v>
      </c>
    </row>
    <row r="7" spans="1:14" ht="35.25" customHeight="1">
      <c r="A7" s="140"/>
      <c r="B7" s="38" t="s">
        <v>36</v>
      </c>
      <c r="C7" s="6">
        <v>0</v>
      </c>
      <c r="D7" s="142"/>
      <c r="E7" s="82" t="s">
        <v>36</v>
      </c>
      <c r="F7" s="7">
        <v>0</v>
      </c>
      <c r="I7" s="58" t="str">
        <f>IF(Main!B2,TEXT(EDATE(Main!B3,4),"dd mmmm yyyy"),TEXT(Main!B3+((Main!B5-Main!B3)*4)+4,"dd mmmm yyyy")) &amp; " - "  &amp; IF(Main!B2,TEXT(EDATE(Main!B3,5) - 1,"dd mmmm yyyy"),TEXT(Main!B3+((Main!B5-Main!B3)*5+4),"dd mmmm yyyy"))</f>
        <v>01 August 2025 - 31 August 2025</v>
      </c>
      <c r="J7" s="60">
        <f>Forecast_2!E163</f>
        <v>0</v>
      </c>
      <c r="M7" s="62" t="str">
        <f>IF(Main!B2,TEXT(EDATE(Main!B3,12),"dd mmmm yyyy"),TEXT(Main!B3+((Main!B5-Main!B3)*12+12),"dd mmmm yyyy")) &amp; " - " &amp; IF(Main!B2,TEXT(EDATE(Main!B3,15) - 1,"dd mmmm yyyy"),TEXT(Main!B3+((Main!B5-Main!B3)*15+14),"dd mmmm yyyy"))</f>
        <v>01 April 2026 - 30 June 2026</v>
      </c>
      <c r="N7" s="60">
        <f>Forecast_5!C5</f>
        <v>0</v>
      </c>
    </row>
    <row r="8" spans="1:14" ht="45" customHeight="1">
      <c r="A8" s="140"/>
      <c r="B8" s="38" t="s">
        <v>37</v>
      </c>
      <c r="C8" s="5">
        <v>0</v>
      </c>
      <c r="D8" s="142"/>
      <c r="E8" s="82" t="s">
        <v>37</v>
      </c>
      <c r="F8" s="7">
        <v>0</v>
      </c>
      <c r="H8" s="10"/>
      <c r="I8" s="57" t="str">
        <f>IF(Main!B2,TEXT(EDATE(Main!B3,5),"dd mmmm yyyy"),TEXT(Main!B3+((Main!B5-Main!B3)*5)+5,"dd mmmm yyyy")) &amp; " - " &amp; IF(Main!B2,TEXT(EDATE(Main!B3,6) - 1,"dd mmmm yyyy"),TEXT(Main!B3+((Main!B5-Main!B3)*6+5),"dd mmmm yyyy"))</f>
        <v>01 September 2025 - 30 September 2025</v>
      </c>
      <c r="J8" s="60">
        <f>Forecast_2!E190</f>
        <v>0</v>
      </c>
      <c r="M8" s="72" t="str">
        <f>IF(Main!B2,TEXT(EDATE(Main!B3,15),"dd mmmm yyyy"),TEXT(Main!B3+((Main!B5-Main!B3)*15+15),"dd mmmm yyyy")) &amp; " - " &amp; IF(Main!B2,TEXT(EDATE(Main!B3,18) - 1,"dd mmmm yyyy"),TEXT(Main!B3+((Main!B5-Main!B3)*18+17),"dd mmmm yyyy"))</f>
        <v>01 July 2026 - 30 September 2026</v>
      </c>
      <c r="N8" s="60">
        <f>Forecast_6!C5</f>
        <v>0</v>
      </c>
    </row>
    <row r="9" spans="1:14" ht="39.75" customHeight="1">
      <c r="A9" s="140"/>
      <c r="B9" s="38" t="s">
        <v>38</v>
      </c>
      <c r="C9" s="5">
        <v>0</v>
      </c>
      <c r="D9" s="142"/>
      <c r="E9" s="82" t="s">
        <v>38</v>
      </c>
      <c r="F9" s="8">
        <v>0</v>
      </c>
      <c r="I9" s="57" t="str">
        <f>IF(Main!B2,TEXT(EDATE(Main!B3,6),"dd mmmm yyyy"),TEXT(Main!B3+((Main!B5-Main!B3)*6)+6,"dd mmmm yyyy")) &amp; " - "  &amp; IF(Main!B2,TEXT(EDATE(Main!B3,7) - 1,"dd mmmm yyyy"),TEXT(Main!B3+((Main!B5-Main!B3)*7+6),"dd mmmm yyyy"))</f>
        <v>01 October 2025 - 31 October 2025</v>
      </c>
      <c r="J9" s="60">
        <f>Forecast_3!E136</f>
        <v>0</v>
      </c>
      <c r="M9" s="62" t="str">
        <f>IF(Main!B2,TEXT(EDATE(Main!B3,18),"dd mmmm yyyy"),TEXT(Main!B3+((Main!B5-Main!B3)*18+18),"dd mmmm yyyy")) &amp; " - " &amp; IF(Main!B2,TEXT(EDATE(Main!B3,21) - 1,"dd mmmm yyyy"),TEXT(Main!B3+((Main!B5-Main!B3)*21+20),"dd mmmm yyyy"))</f>
        <v>01 October 2026 - 31 December 2026</v>
      </c>
      <c r="N9" s="71">
        <f>Forecast_7!C5</f>
        <v>0</v>
      </c>
    </row>
    <row r="10" spans="1:14" ht="35.25" customHeight="1">
      <c r="A10" s="140"/>
      <c r="B10" s="38" t="s">
        <v>39</v>
      </c>
      <c r="C10" s="5">
        <v>0</v>
      </c>
      <c r="D10" s="142"/>
      <c r="E10" s="82" t="s">
        <v>39</v>
      </c>
      <c r="F10" s="7">
        <v>0</v>
      </c>
      <c r="I10" s="57" t="str">
        <f>IF(Main!B2,TEXT(EDATE(Main!B3,7),"dd mmmm yyyy"),TEXT(Main!B3+((Main!B5-Main!B3)*7)+7,"dd mmmm yyyy"))  &amp; " - " &amp; IF(Main!B2,TEXT(EDATE(Main!B3,8) - 1,"dd mmmm yyyy"),TEXT(Main!B3+((Main!B5-Main!B3)*8+7),"dd mmmm yyyy"))</f>
        <v>01 November 2025 - 30 November 2025</v>
      </c>
      <c r="J10" s="60">
        <f>Forecast_3!E163</f>
        <v>0</v>
      </c>
      <c r="M10" s="73" t="str">
        <f>IF(Main!B2,TEXT(EDATE(Main!B3,21),"dd mmmm yyyy"),TEXT(Main!B3+((Main!B5-Main!B3)*21+21),"dd mmmm yyyy")) &amp; " - " &amp; IF(Main!B2,TEXT(EDATE(Main!B3,24) - 1,"dd mmmm yyyy"),TEXT(Main!B3+((Main!B5-Main!B3)*24+23),"dd mmmm yyyy"))</f>
        <v>01 January 2027 - 31 March 2027</v>
      </c>
      <c r="N10" s="60">
        <f>Forecast_8!C5</f>
        <v>0</v>
      </c>
    </row>
    <row r="11" spans="1:14" ht="35.25" customHeight="1">
      <c r="A11" s="140"/>
      <c r="B11" s="38" t="s">
        <v>40</v>
      </c>
      <c r="C11" s="5">
        <v>0</v>
      </c>
      <c r="D11" s="142"/>
      <c r="E11" s="82" t="s">
        <v>40</v>
      </c>
      <c r="F11" s="7">
        <v>0</v>
      </c>
      <c r="H11" s="10"/>
      <c r="I11" s="57" t="str">
        <f>IF(Main!B2,TEXT(EDATE(Main!B3,8),"dd mmmm yyyy"),TEXT(Main!B3+((Main!B5-Main!B3)*8)+8,"dd mmmm yyyy")) &amp; " - "  &amp; IF(Main!B2,TEXT(EDATE(Main!B3,9) - 1,"dd mmmm yyyy"),TEXT(Main!B3+((Main!B5-Main!B3)*9+8),"dd mmmm yyyy"))</f>
        <v>01 December 2025 - 31 December 2025</v>
      </c>
      <c r="J11" s="60">
        <f>Forecast_3!E190</f>
        <v>0</v>
      </c>
      <c r="M11" s="62" t="str">
        <f>IF(Main!B2,TEXT(EDATE(Main!B3,24),"dd mmmm yyyy"),TEXT(Main!B3+((Main!B5-Main!B3)*24+24),"dd mmmm yyyy")) &amp; " - " &amp; IF(Main!B2,TEXT(EDATE(Main!B3,27) - 1,"dd mmmm yyyy"),TEXT(Main!B3+((Main!B5-Main!B3)*27+26),"dd mmmm yyyy"))</f>
        <v>01 April 2027 - 30 June 2027</v>
      </c>
      <c r="N11" s="70">
        <f>Forecast_9!C5</f>
        <v>0</v>
      </c>
    </row>
    <row r="12" spans="1:14" ht="35.25" customHeight="1">
      <c r="A12" s="140"/>
      <c r="B12" s="38" t="s">
        <v>41</v>
      </c>
      <c r="C12" s="5">
        <v>0</v>
      </c>
      <c r="D12" s="142"/>
      <c r="E12" s="1" t="s">
        <v>41</v>
      </c>
      <c r="F12" s="7">
        <v>0</v>
      </c>
      <c r="I12" s="57" t="str">
        <f>IF(Main!B2,TEXT(EDATE(Main!B3,9),"dd mmmm yyyy"),TEXT(Main!B3+((Main!B5-Main!B3)*9)+9,"dd mmmm yyyy")) &amp; " - "  &amp; IF(Main!B2,TEXT(EDATE(Main!B3,10) - 1,"dd mmmm yyyy"),TEXT(Main!B3+((Main!B5-Main!B3)*10+9),"dd mmmm yyyy"))</f>
        <v>01 January 2026 - 31 January 2026</v>
      </c>
      <c r="J12" s="60">
        <f>Forecast_4!E136</f>
        <v>0</v>
      </c>
      <c r="M12" s="57" t="str">
        <f>IF(Main!B2,TEXT(EDATE(Main!B3,27),"dd mmmm yyyy"),TEXT(Main!B3+((Main!B5-Main!B3)*27+27),"dd mmmm yyyy")) &amp; " - " &amp; IF(Main!B2,TEXT(EDATE(Main!B3,30) - 1,"dd mmmm yyyy"),TEXT(Main!B3+((Main!B5-Main!B3)*30+29),"dd mmmm yyyy"))</f>
        <v>01 July 2027 - 30 September 2027</v>
      </c>
      <c r="N12" s="70">
        <f>Forecast_10!C5</f>
        <v>0</v>
      </c>
    </row>
    <row r="13" spans="1:14" ht="35.25" customHeight="1">
      <c r="A13" s="140"/>
      <c r="B13" s="38" t="s">
        <v>42</v>
      </c>
      <c r="C13" s="5">
        <v>0</v>
      </c>
      <c r="D13" s="142"/>
      <c r="E13" s="1" t="s">
        <v>42</v>
      </c>
      <c r="F13" s="7">
        <v>0</v>
      </c>
      <c r="I13" s="59" t="str">
        <f>IF(Main!B2,TEXT(EDATE(Main!B3,10),"dd mmmm yyyy"),TEXT(Main!B3+((Main!B5-Main!B3)*10)+10,"dd mmmm yyyy")) &amp; " - "   &amp; IF(Main!B2,TEXT(EDATE(Main!B3,11) - 1,"dd mmmm yyyy"),TEXT(Main!B3+((Main!B5-Main!B3)*11+10),"dd mmmm yyyy"))</f>
        <v>01 February 2026 - 28 February 2026</v>
      </c>
      <c r="J13" s="60">
        <f>Forecast_4!E163</f>
        <v>0</v>
      </c>
      <c r="M13" s="57" t="str">
        <f>IF(Main!B2,TEXT(EDATE(Main!B3,30),"dd mmmm yyyy"),TEXT(Main!B3+((Main!B5-Main!B3)*30+30),"dd mmmm yyyy")) &amp; " - " &amp; IF(Main!B2,TEXT(EDATE(Main!B3,33) - 1,"dd mmmm yyyy"),TEXT(Main!B3+((Main!B5-Main!B3)*33+32),"dd mmmm yyyy"))</f>
        <v>01 October 2027 - 31 December 2027</v>
      </c>
      <c r="N13" s="70">
        <f>Forecast_11!C5</f>
        <v>0</v>
      </c>
    </row>
    <row r="14" spans="1:14" ht="35.25" customHeight="1">
      <c r="A14" s="140"/>
      <c r="B14" s="38" t="s">
        <v>43</v>
      </c>
      <c r="C14" s="5">
        <v>0</v>
      </c>
      <c r="D14" s="142"/>
      <c r="E14" s="1" t="s">
        <v>43</v>
      </c>
      <c r="F14" s="7">
        <v>0</v>
      </c>
      <c r="I14" s="59" t="str">
        <f>IF(Main!B2,TEXT(EDATE(Main!B3,11),"dd mmmm yyyy"),TEXT(Main!B3+((Main!B5-Main!B3)*11)+11,"dd mmmm yyyy")) &amp; " - "  &amp; IF(Main!B2,TEXT(EDATE(Main!B3,12) - 1,"dd mmmm yyyy"),TEXT(Main!B3+((Main!B5-Main!B3)*12+11),"dd mmmm yyyy"))</f>
        <v>01 March 2026 - 31 March 2026</v>
      </c>
      <c r="J14" s="70">
        <f>Forecast_4!E190</f>
        <v>0</v>
      </c>
      <c r="M14" s="57" t="str">
        <f>IF(Main!B2,TEXT(EDATE(Main!B3,33),"dd mmmm yyyy"),TEXT(Main!B3+((Main!B5-Main!B3)*33+33),"dd mmmm yyyy")) &amp; " - " &amp; IF(Main!B2,TEXT(EDATE(Main!B3,36) - 1,"dd mmmm yyyy"),TEXT(Main!B3+((Main!B5-Main!B3)*36+35),"dd mmmm yyyy"))</f>
        <v>01 January 2028 - 31 March 2028</v>
      </c>
      <c r="N14" s="70">
        <f>Forecast_12!C5</f>
        <v>0</v>
      </c>
    </row>
    <row r="15" spans="1:14" ht="35.25" customHeight="1">
      <c r="A15" s="140"/>
      <c r="B15" s="38" t="s">
        <v>44</v>
      </c>
      <c r="C15" s="5">
        <v>0</v>
      </c>
      <c r="D15" s="142"/>
      <c r="E15" s="1" t="s">
        <v>44</v>
      </c>
      <c r="F15" s="7">
        <v>0</v>
      </c>
      <c r="I15" s="62" t="str">
        <f>IF(Main!B2,TEXT(EDATE(Main!B3,12),"dd mmmm yyyy"),TEXT(Main!B3+((Main!B5-Main!B3)*12)+12,"dd mmmm yyyy")) &amp; " - "  &amp; IF(Main!B2,TEXT(EDATE(Main!B3,13) - 1,"dd mmmm yyyy"),TEXT(Main!B3+((Main!B5-Main!B3)*13+12),"dd mmmm yyyy"))</f>
        <v>01 April 2026 - 30 April 2026</v>
      </c>
      <c r="J15" s="70">
        <f>Forecast_5!E136</f>
        <v>0</v>
      </c>
      <c r="M15" s="57" t="str">
        <f>IF(Main!B2,TEXT(EDATE(Main!B3,36),"dd mmmm yyyy"),TEXT(Main!B3+((Main!B5-Main!B3)*36+36),"dd mmmm yyyy")) &amp; " - " &amp; IF(Main!B2,TEXT(EDATE(Main!B3,39) - 1,"dd mmmm yyyy"),TEXT(Main!B3+((Main!B5-Main!B3)*39+38),"dd mmmm yyyy"))</f>
        <v>01 April 2028 - 30 June 2028</v>
      </c>
      <c r="N15" s="70">
        <f>Forecast_13!C5</f>
        <v>0</v>
      </c>
    </row>
    <row r="16" spans="1:14" ht="35.25" customHeight="1">
      <c r="A16" s="140"/>
      <c r="B16" s="39" t="s">
        <v>45</v>
      </c>
      <c r="C16" s="5">
        <f>SUM(C3:C15)</f>
        <v>0</v>
      </c>
      <c r="D16" s="143"/>
      <c r="E16" s="79" t="s">
        <v>45</v>
      </c>
      <c r="F16" s="7">
        <f>SUM(F3:F15)</f>
        <v>0</v>
      </c>
      <c r="I16" s="62" t="str">
        <f>IF(Main!B2,TEXT(EDATE(Main!B3,13),"dd mmmm yyyy"),TEXT(Main!B3+((Main!B5-Main!B3)*13)+13,"dd mmmm yyyy")) &amp; " - "  &amp; IF(Main!B2,TEXT(EDATE(Main!B3,14) - 1,"dd mmmm yyyy"),TEXT(Main!B3+((Main!B5-Main!B3)*14+13),"dd mmmm yyyy"))</f>
        <v>01 May 2026 - 31 May 2026</v>
      </c>
      <c r="J16" s="70">
        <f>Forecast_5!E163</f>
        <v>0</v>
      </c>
      <c r="M16" s="57" t="str">
        <f>IF(Main!B2,TEXT(EDATE(Main!B3,39),"dd mmmm yyyy"),TEXT(Main!B3+((Main!B5-Main!B3)*39+39),"dd mmmm yyyy")) &amp; " - " &amp; IF(Main!B2,TEXT(EDATE(Main!B3,42) - 1,"dd mmmm yyyy"),TEXT(Main!B3+((Main!B5-Main!B3)*42+41),"dd mmmm yyyy"))</f>
        <v>01 July 2028 - 30 September 2028</v>
      </c>
      <c r="N16" s="70">
        <f>Forecast_14!C5</f>
        <v>0</v>
      </c>
    </row>
    <row r="17" spans="1:14" ht="35.25" customHeight="1">
      <c r="A17" s="138" t="s">
        <v>46</v>
      </c>
      <c r="B17" s="139"/>
      <c r="C17" s="136">
        <f>(SUM(E131:E140)+SUM(E158:E167)+SUM(E185:E194))-C112</f>
        <v>0</v>
      </c>
      <c r="D17" s="136"/>
      <c r="E17" s="136"/>
      <c r="F17" s="137"/>
      <c r="I17" s="62" t="str">
        <f>IF(Main!B2,TEXT(EDATE(Main!B3,14),"dd mmmm yyyy"),TEXT(Main!B3+((Main!B5-Main!B3)*14)+14,"dd mmmm yyyy")) &amp; " - "  &amp; IF(Main!B2,TEXT(EDATE(Main!B3,15) - 1,"dd mmmm yyyy"),TEXT(Main!B3+((Main!B5-Main!B3)*15+14),"dd mmmm yyyy"))</f>
        <v>01 June 2026 - 30 June 2026</v>
      </c>
      <c r="J17" s="70">
        <f>Forecast_5!E190</f>
        <v>0</v>
      </c>
      <c r="M17" s="57" t="str">
        <f>IF(Main!B2,TEXT(EDATE(Main!B3,42),"dd mmmm yyyy"),TEXT(Main!B3+((Main!B5-Main!B3)*42+42),"dd mmmm yyyy")) &amp; " - " &amp; IF(Main!B2,TEXT(EDATE(Main!B3,45) - 1,"dd mmmm yyyy"),TEXT(Main!B3+((Main!B5-Main!B3)*45+44),"dd mmmm yyyy"))</f>
        <v>01 October 2028 - 31 December 2028</v>
      </c>
      <c r="N17" s="70">
        <f>Forecast_15!C5</f>
        <v>0</v>
      </c>
    </row>
    <row r="18" spans="1:14" ht="35.25" customHeight="1">
      <c r="I18" s="62" t="str">
        <f>IF(Main!B2,TEXT(EDATE(Main!B3,15),"dd mmmm yyyy"),TEXT(Main!B3+((Main!B5-Main!B3)*15)+15,"dd mmmm yyyy")) &amp; " - "  &amp; IF(Main!B2,TEXT(EDATE(Main!B3,16) - 1,"dd mmmm yyyy"),TEXT(Main!B3+((Main!B5-Main!B3)*16+15),"dd mmmm yyyy"))</f>
        <v>01 July 2026 - 31 July 2026</v>
      </c>
      <c r="J18" s="70">
        <f>Forecast_6!E136</f>
        <v>0</v>
      </c>
      <c r="M18" s="57" t="str">
        <f>IF(Main!B2,TEXT(EDATE(Main!B3,45),"dd mmmm yyyy"),TEXT(Main!B3+((Main!B5-Main!B3)*45+45),"dd mmmm yyyy")) &amp; " - " &amp; IF(Main!B2,TEXT(EDATE(Main!B3,48) - 1,"dd mmmm yyyy"),TEXT(Main!B3+((Main!B5-Main!B3)*48+47),"dd mmmm yyyy"))</f>
        <v>01 January 2029 - 31 March 2029</v>
      </c>
      <c r="N18" s="60">
        <f>Forecast_16!C5</f>
        <v>0</v>
      </c>
    </row>
    <row r="19" spans="1:14" ht="33" customHeight="1">
      <c r="I19" s="62" t="str">
        <f>IF(Main!B2,TEXT(EDATE(Main!B3,16),"dd mmmm yyyy"),TEXT(Main!B3+((Main!B5-Main!B3)*16)+16,"dd mmmm yyyy")) &amp; " - "  &amp; IF(Main!B2,TEXT(EDATE(Main!B3,17) - 1,"dd mmmm yyyy"),TEXT(Main!B3+((Main!B5-Main!B3)*17+16),"dd mmmm yyyy"))</f>
        <v>01 August 2026 - 31 August 2026</v>
      </c>
      <c r="J19" s="70">
        <f>Forecast_6!E163</f>
        <v>0</v>
      </c>
    </row>
    <row r="20" spans="1:14" ht="35.25" customHeight="1">
      <c r="I20" s="62" t="str">
        <f>IF(Main!B2,TEXT(EDATE(Main!B3,17),"dd mmmm yyyy"),TEXT(Main!B3+((Main!B5-Main!B3)*17)+17,"dd mmmm yyyy")) &amp; " - "  &amp; IF(Main!B2,TEXT(EDATE(Main!B3,18) - 1,"dd mmmm yyyy"),TEXT(Main!B3+((Main!B5-Main!B3)*18+17),"dd mmmm yyyy"))</f>
        <v>01 September 2026 - 30 September 2026</v>
      </c>
      <c r="J20" s="70">
        <f>Forecast_6!E190</f>
        <v>0</v>
      </c>
    </row>
    <row r="21" spans="1:14" ht="35.25" customHeight="1">
      <c r="I21" s="62" t="str">
        <f>IF(Main!B2,TEXT(EDATE(Main!B3,18),"dd mmmm yyyy"),TEXT(Main!B3+((Main!B5-Main!B3)*18)+18,"dd mmmm yyyy")) &amp; " - "  &amp; IF(Main!B2,TEXT(EDATE(Main!B3,19) - 1,"dd mmmm yyyy"),TEXT(Main!B3+((Main!B5-Main!B3)*19+18),"dd mmmm yyyy"))</f>
        <v>01 October 2026 - 31 October 2026</v>
      </c>
      <c r="J21" s="70">
        <f>Forecast_7!E136</f>
        <v>0</v>
      </c>
    </row>
    <row r="22" spans="1:14" ht="24.75" customHeight="1">
      <c r="A22" s="131" t="str">
        <f>TEXT(Main!B3,"dd mmmm yyyy") &amp; " - " &amp; IF(Main!B2,TEXT(EDATE(Main!B3,1)-1,"dd mmmm yyyy"),TEXT(Main!B3+Main!B5-Main!B3,"dd mmmm yyyy")) &amp; " / " &amp; " (Revenue / Deferred Debts Or Expenses)"</f>
        <v>01 April 2025 - 30 April 2025 /  (Revenue / Deferred Debts Or Expenses)</v>
      </c>
      <c r="B22" s="132"/>
      <c r="C22" s="132"/>
      <c r="D22" s="132"/>
      <c r="E22" s="132"/>
      <c r="F22" s="132"/>
      <c r="G22" s="132"/>
      <c r="I22" s="62" t="str">
        <f>IF(Main!B2,TEXT(EDATE(Main!B3,19),"dd mmmm yyyy"),TEXT(Main!B3+((Main!B5-Main!B3)*19)+19,"dd mmmm yyyy")) &amp; " - "  &amp; IF(Main!B2,TEXT(EDATE(Main!B3,20) - 1,"dd mmmm yyyy"),TEXT(Main!B3+((Main!B5-Main!B3)*20+19),"dd mmmm yyyy"))</f>
        <v>01 November 2026 - 30 November 2026</v>
      </c>
      <c r="J22" s="70">
        <f>Forecast_7!E163</f>
        <v>0</v>
      </c>
    </row>
    <row r="23" spans="1:14" ht="24.75" customHeight="1">
      <c r="A23" s="80" t="s">
        <v>27</v>
      </c>
      <c r="B23" s="119" t="s">
        <v>47</v>
      </c>
      <c r="C23" s="119"/>
      <c r="D23" s="120" t="s">
        <v>48</v>
      </c>
      <c r="E23" s="120"/>
      <c r="F23" s="120" t="s">
        <v>49</v>
      </c>
      <c r="G23" s="120"/>
      <c r="I23" s="62" t="str">
        <f>IF(Main!B2,TEXT(EDATE(Main!B3,20),"dd mmmm yyyy"),TEXT(Main!B3+((Main!B5-Main!B3)*20)+20,"dd mmmm yyyy")) &amp; " - "  &amp; IF(Main!B2,TEXT(EDATE(Main!B3,21) - 1,"dd mmmm yyyy"),TEXT(Main!B3+((Main!B5-Main!B3)*21+20),"dd mmmm yyyy"))</f>
        <v>01 December 2026 - 31 December 2026</v>
      </c>
      <c r="J23" s="70">
        <f>Forecast_7!E190</f>
        <v>0</v>
      </c>
    </row>
    <row r="24" spans="1:14" ht="52.5" customHeight="1">
      <c r="A24" s="2" t="s">
        <v>50</v>
      </c>
      <c r="B24" s="121" t="s">
        <v>51</v>
      </c>
      <c r="C24" s="121"/>
      <c r="D24" s="121" t="s">
        <v>52</v>
      </c>
      <c r="E24" s="121"/>
      <c r="F24" s="122">
        <v>0</v>
      </c>
      <c r="G24" s="123"/>
      <c r="I24" s="62" t="str">
        <f>IF(Main!B2,TEXT(EDATE(Main!B3,21),"dd mmmm yyyy"),TEXT(Main!B3+((Main!B5-Main!B3)*21)+21,"dd mmmm yyyy")) &amp; " - "  &amp; IF(Main!B2,TEXT(EDATE(Main!B3,22) - 1,"dd mmmm yyyy"),TEXT(Main!B3+((Main!B5-Main!B3)*22+21),"dd mmmm yyyy"))</f>
        <v>01 January 2027 - 31 January 2027</v>
      </c>
      <c r="J24" s="70">
        <f>Forecast_8!E136</f>
        <v>0</v>
      </c>
    </row>
    <row r="25" spans="1:14" ht="30" customHeight="1">
      <c r="A25" s="2"/>
      <c r="B25" s="124" t="s">
        <v>40</v>
      </c>
      <c r="C25" s="125"/>
      <c r="D25" s="126"/>
      <c r="E25" s="127"/>
      <c r="F25" s="122">
        <v>0</v>
      </c>
      <c r="G25" s="123"/>
      <c r="I25" s="62" t="str">
        <f>IF(Main!B2,TEXT(EDATE(Main!B3,22),"dd mmmm yyyy"),TEXT(Main!B3+((Main!B5-Main!B3)*22)+22,"dd mmmm yyyy")) &amp; " - "  &amp; IF(Main!B2,TEXT(EDATE(Main!B3,23) - 1,"dd mmmm yyyy"),TEXT(Main!B3+((Main!B5-Main!B3)*23+22),"dd mmmm yyyy"))</f>
        <v>01 February 2027 - 28 February 2027</v>
      </c>
      <c r="J25" s="70">
        <f>Forecast_8!E163</f>
        <v>0</v>
      </c>
    </row>
    <row r="26" spans="1:14" ht="30" customHeight="1">
      <c r="A26" s="2"/>
      <c r="B26" s="124" t="s">
        <v>41</v>
      </c>
      <c r="C26" s="125"/>
      <c r="D26" s="126"/>
      <c r="E26" s="127"/>
      <c r="F26" s="122">
        <v>0</v>
      </c>
      <c r="G26" s="123"/>
      <c r="I26" s="59" t="str">
        <f>IF(Main!B2,TEXT(EDATE(Main!B3,23),"dd mmmm yyyy"),TEXT(Main!B3+((Main!B5-Main!B3)*23)+23,"dd mmmm yyyy")) &amp; " - "  &amp; IF(Main!B2,TEXT(EDATE(Main!B3,24) - 1,"dd mmmm yyyy"),TEXT(Main!B3+((Main!B5-Main!B3)*24+23),"dd mmmm yyyy"))</f>
        <v>01 March 2027 - 31 March 2027</v>
      </c>
      <c r="J26" s="70">
        <f>Forecast_8!E190</f>
        <v>0</v>
      </c>
    </row>
    <row r="27" spans="1:14" ht="30" customHeight="1">
      <c r="A27" s="2"/>
      <c r="B27" s="124" t="s">
        <v>42</v>
      </c>
      <c r="C27" s="125"/>
      <c r="D27" s="126"/>
      <c r="E27" s="127"/>
      <c r="F27" s="122">
        <v>0</v>
      </c>
      <c r="G27" s="123"/>
      <c r="I27" s="62" t="str">
        <f>IF(Main!B2,TEXT(EDATE(Main!B3,24),"dd mmmm yyyy"),TEXT(Main!B3+((Main!B5-Main!B3)*24)+24,"dd mmmm yyyy")) &amp; " - "  &amp; IF(Main!B2,TEXT(EDATE(Main!B3,25) - 1,"dd mmmm yyyy"),TEXT(Main!B3+((Main!B5-Main!B3)*25+24),"dd mmmm yyyy"))</f>
        <v>01 April 2027 - 30 April 2027</v>
      </c>
      <c r="J27" s="70">
        <f>Forecast_9!E136</f>
        <v>0</v>
      </c>
    </row>
    <row r="28" spans="1:14" ht="30" customHeight="1">
      <c r="A28" s="2"/>
      <c r="B28" s="124" t="s">
        <v>43</v>
      </c>
      <c r="C28" s="125"/>
      <c r="D28" s="126"/>
      <c r="E28" s="127"/>
      <c r="F28" s="122">
        <v>0</v>
      </c>
      <c r="G28" s="123"/>
      <c r="I28" s="62" t="str">
        <f>IF(Main!B2,TEXT(EDATE(Main!B3,25),"dd mmmm yyyy"),TEXT(Main!B3+((Main!B5-Main!B3)*25)+25,"dd mmmm yyyy")) &amp; " - "  &amp; IF(Main!B2,TEXT(EDATE(Main!B3,26) - 1,"dd mmmm yyyy"),TEXT(Main!B3+((Main!B5-Main!B3)*26+25),"dd mmmm yyyy"))</f>
        <v>01 May 2027 - 31 May 2027</v>
      </c>
      <c r="J28" s="70">
        <f>Forecast_9!E163</f>
        <v>0</v>
      </c>
    </row>
    <row r="29" spans="1:14" ht="30" customHeight="1">
      <c r="A29" s="2"/>
      <c r="B29" s="124" t="s">
        <v>44</v>
      </c>
      <c r="C29" s="125"/>
      <c r="D29" s="126"/>
      <c r="E29" s="127"/>
      <c r="F29" s="122">
        <v>0</v>
      </c>
      <c r="G29" s="123"/>
      <c r="I29" s="57" t="str">
        <f>IF(Main!B2,TEXT(EDATE(Main!B3,26),"dd mmmm yyyy"),TEXT(Main!B3+((Main!B5-Main!B3)*26)+26,"dd mmmm yyyy")) &amp; " - "  &amp; IF(Main!B2,TEXT(EDATE(Main!B3,27) - 1,"dd mmmm yyyy"),TEXT(Main!B3+((Main!B5-Main!B3)*27+26),"dd mmmm yyyy"))</f>
        <v>01 June 2027 - 30 June 2027</v>
      </c>
      <c r="J29" s="60">
        <f>Forecast_9!E190</f>
        <v>0</v>
      </c>
    </row>
    <row r="30" spans="1:14" ht="30" customHeight="1">
      <c r="A30" s="4"/>
      <c r="B30" s="113"/>
      <c r="C30" s="114"/>
      <c r="D30" s="115" t="s">
        <v>53</v>
      </c>
      <c r="E30" s="116"/>
      <c r="F30" s="117">
        <f>SUM(F24:G29)</f>
        <v>0</v>
      </c>
      <c r="G30" s="118"/>
      <c r="I30" s="62" t="str">
        <f>IF(Main!B2,TEXT(EDATE(Main!B3,27),"dd mmmm yyyy"),TEXT(Main!B3+((Main!B5-Main!B3)*27)+27,"dd mmmm yyyy")) &amp; " - "  &amp; IF(Main!B2,TEXT(EDATE(Main!B3,28) - 1,"dd mmmm yyyy"),TEXT(Main!B3+((Main!B5-Main!B3)*28+27),"dd mmmm yyyy"))</f>
        <v>01 July 2027 - 31 July 2027</v>
      </c>
      <c r="J30" s="74">
        <f>Forecast_10!E136</f>
        <v>0</v>
      </c>
    </row>
    <row r="31" spans="1:14" ht="30" customHeight="1">
      <c r="I31" s="62" t="str">
        <f>IF(Main!B2,TEXT(EDATE(Main!B3,28),"dd mmmm yyyy"),TEXT(Main!B3+((Main!B5-Main!B3)*28)+28,"dd mmmm yyyy")) &amp; " - "  &amp; IF(Main!B2,TEXT(EDATE(Main!B3,29) - 1,"dd mmmm yyyy"),TEXT(Main!B3+((Main!B5-Main!B3)*29+28),"dd mmmm yyyy"))</f>
        <v>01 August 2027 - 31 August 2027</v>
      </c>
      <c r="J31" s="70">
        <f>Forecast_10!E163</f>
        <v>0</v>
      </c>
    </row>
    <row r="32" spans="1:14" ht="27.75" customHeight="1">
      <c r="I32" s="62" t="str">
        <f>IF(Main!B2,TEXT(EDATE(Main!B3,29),"dd mmmm yyyy"),TEXT(Main!B3+((Main!B5-Main!B3)*29)+29,"dd mmmm yyyy")) &amp; " - "  &amp; IF(Main!B2,TEXT(EDATE(Main!B3,30) - 1,"dd mmmm yyyy"),TEXT(Main!B3+((Main!B5-Main!B3)*30+29),"dd mmmm yyyy"))</f>
        <v>01 September 2027 - 30 September 2027</v>
      </c>
      <c r="J32" s="70">
        <f>Forecast_10!E190</f>
        <v>0</v>
      </c>
    </row>
    <row r="33" spans="1:10" ht="30" customHeight="1">
      <c r="I33" s="62" t="str">
        <f>IF(Main!B2,TEXT(EDATE(Main!B3,30),"dd mmmm yyyy"),TEXT(Main!B3+((Main!B5-Main!B3)*30)+30,"dd mmmm yyyy")) &amp; " - "  &amp; IF(Main!B2,TEXT(EDATE(Main!B3,31) - 1,"dd mmmm yyyy"),TEXT(Main!B3+((Main!B5-Main!B3)*31+30),"dd mmmm yyyy"))</f>
        <v>01 October 2027 - 31 October 2027</v>
      </c>
      <c r="J33" s="70">
        <f>Forecast_11!E136</f>
        <v>0</v>
      </c>
    </row>
    <row r="34" spans="1:10" ht="30" customHeight="1">
      <c r="A34" s="131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01 May 2025 - 31 May 2025 (Revenue / Deferred Debts Or Expenses)</v>
      </c>
      <c r="B34" s="132"/>
      <c r="C34" s="132"/>
      <c r="D34" s="132"/>
      <c r="E34" s="132"/>
      <c r="F34" s="132"/>
      <c r="G34" s="132"/>
      <c r="I34" s="62" t="str">
        <f>IF(Main!B2,TEXT(EDATE(Main!B3,31),"dd mmmm yyyy"),TEXT(Main!B3+((Main!B5-Main!B3)*31)+31,"dd mmmm yyyy")) &amp; " - "  &amp; IF(Main!B2,TEXT(EDATE(Main!B3,32) - 1,"dd mmmm yyyy"),TEXT(Main!B3+((Main!B5-Main!B3)*32+31),"dd mmmm yyyy"))</f>
        <v>01 November 2027 - 30 November 2027</v>
      </c>
      <c r="J34" s="70">
        <f>Forecast_11!E163</f>
        <v>0</v>
      </c>
    </row>
    <row r="35" spans="1:10" ht="24.75" customHeight="1">
      <c r="A35" s="80" t="s">
        <v>27</v>
      </c>
      <c r="B35" s="119" t="s">
        <v>47</v>
      </c>
      <c r="C35" s="119"/>
      <c r="D35" s="120" t="s">
        <v>48</v>
      </c>
      <c r="E35" s="120"/>
      <c r="F35" s="120" t="s">
        <v>49</v>
      </c>
      <c r="G35" s="120"/>
      <c r="I35" s="62" t="str">
        <f>IF(Main!B2,TEXT(EDATE(Main!B3,32),"dd mmmm yyyy"),TEXT(Main!B3+((Main!B5-Main!B3)*32)+32,"dd mmmm yyyy")) &amp; " - "  &amp; IF(Main!B2,TEXT(EDATE(Main!B3,33) - 1,"dd mmmm yyyy"),TEXT(Main!B3+((Main!B5-Main!B3)*33+32),"dd mmmm yyyy"))</f>
        <v>01 December 2027 - 31 December 2027</v>
      </c>
      <c r="J35" s="70">
        <f>Forecast_11!E190</f>
        <v>0</v>
      </c>
    </row>
    <row r="36" spans="1:10" ht="24.75" customHeight="1">
      <c r="A36" s="2" t="s">
        <v>54</v>
      </c>
      <c r="B36" s="121" t="s">
        <v>55</v>
      </c>
      <c r="C36" s="121"/>
      <c r="D36" s="121" t="s">
        <v>56</v>
      </c>
      <c r="E36" s="121"/>
      <c r="F36" s="122">
        <v>0</v>
      </c>
      <c r="G36" s="123"/>
      <c r="I36" s="62" t="str">
        <f>IF(Main!B2,TEXT(EDATE(Main!B3,33),"dd mmmm yyyy"),TEXT(Main!B3+((Main!B5-Main!B3)*33)+33,"dd mmmm yyyy")) &amp; " - "  &amp; IF(Main!B2,TEXT(EDATE(Main!B3,34) - 1,"dd mmmm yyyy"),TEXT(Main!B3+((Main!B5-Main!B3)*34+33),"dd mmmm yyyy"))</f>
        <v>01 January 2028 - 31 January 2028</v>
      </c>
      <c r="J36" s="70">
        <f>Forecast_12!E136</f>
        <v>0</v>
      </c>
    </row>
    <row r="37" spans="1:10" ht="24.75" customHeight="1">
      <c r="A37" s="2"/>
      <c r="B37" s="124" t="s">
        <v>40</v>
      </c>
      <c r="C37" s="125"/>
      <c r="D37" s="126"/>
      <c r="E37" s="127"/>
      <c r="F37" s="122">
        <v>0</v>
      </c>
      <c r="G37" s="123"/>
      <c r="I37" s="62" t="str">
        <f>IF(Main!B2,TEXT(EDATE(Main!B3,34),"dd mmmm yyyy"),TEXT(Main!B3+((Main!B5-Main!B3)*34)+34,"dd mmmm yyyy")) &amp; " - "  &amp; IF(Main!B2,TEXT(EDATE(Main!B3,35) - 1,"dd mmmm yyyy"),TEXT(Main!B3+((Main!B5-Main!B3)*35+34),"dd mmmm yyyy"))</f>
        <v>01 February 2028 - 29 February 2028</v>
      </c>
      <c r="J37" s="70">
        <f>Forecast_12!E163</f>
        <v>0</v>
      </c>
    </row>
    <row r="38" spans="1:10" ht="20.25" customHeight="1">
      <c r="A38" s="2"/>
      <c r="B38" s="124" t="s">
        <v>41</v>
      </c>
      <c r="C38" s="125"/>
      <c r="D38" s="126"/>
      <c r="E38" s="127"/>
      <c r="F38" s="122">
        <v>0</v>
      </c>
      <c r="G38" s="123"/>
      <c r="I38" s="62" t="str">
        <f>IF(Main!B2,TEXT(EDATE(Main!B3,35),"dd mmmm yyyy"),TEXT(Main!B3+((Main!B5-Main!B3)*35)+35,"dd mmmm yyyy")) &amp; " - "  &amp; IF(Main!B2,TEXT(EDATE(Main!B3,36) - 1,"dd mmmm yyyy"),TEXT(Main!B3+((Main!B5-Main!B3)*36+35),"dd mmmm yyyy"))</f>
        <v>01 March 2028 - 31 March 2028</v>
      </c>
      <c r="J38" s="70">
        <f>Forecast_12!E190</f>
        <v>0</v>
      </c>
    </row>
    <row r="39" spans="1:10" ht="24.75" customHeight="1">
      <c r="A39" s="2"/>
      <c r="B39" s="124" t="s">
        <v>42</v>
      </c>
      <c r="C39" s="125"/>
      <c r="D39" s="126"/>
      <c r="E39" s="127"/>
      <c r="F39" s="122">
        <v>0</v>
      </c>
      <c r="G39" s="123"/>
      <c r="I39" s="62" t="str">
        <f>IF(Main!B2,TEXT(EDATE(Main!B3,36),"dd mmmm yyyy"),TEXT(Main!B3+((Main!B5-Main!B3)*36)+36,"dd mmmm yyyy")) &amp; " - "  &amp; IF(Main!B2,TEXT(EDATE(Main!B3,37) - 1,"dd mmmm yyyy"),TEXT(Main!B3+((Main!B5-Main!B3)*37+36),"dd mmmm yyyy"))</f>
        <v>01 April 2028 - 30 April 2028</v>
      </c>
      <c r="J39" s="70">
        <f>Forecast_13!E136</f>
        <v>0</v>
      </c>
    </row>
    <row r="40" spans="1:10" ht="24.75" customHeight="1">
      <c r="A40" s="2"/>
      <c r="B40" s="124" t="s">
        <v>43</v>
      </c>
      <c r="C40" s="125"/>
      <c r="D40" s="126"/>
      <c r="E40" s="127"/>
      <c r="F40" s="122">
        <v>0</v>
      </c>
      <c r="G40" s="123"/>
      <c r="I40" s="62" t="str">
        <f>IF(Main!B2,TEXT(EDATE(Main!B3,37),"dd mmmm yyyy"),TEXT(Main!B3+((Main!B5-Main!B3)*37)+37,"dd mmmm yyyy")) &amp; " - "  &amp; IF(Main!B2,TEXT(EDATE(Main!B3,38) - 1,"dd mmmm yyyy"),TEXT(Main!B3+((Main!B5-Main!B3)*38+37),"dd mmmm yyyy"))</f>
        <v>01 May 2028 - 31 May 2028</v>
      </c>
      <c r="J40" s="70">
        <f>Forecast_13!E163</f>
        <v>0</v>
      </c>
    </row>
    <row r="41" spans="1:10" ht="24.75" customHeight="1">
      <c r="A41" s="2"/>
      <c r="B41" s="124" t="s">
        <v>44</v>
      </c>
      <c r="C41" s="125"/>
      <c r="D41" s="126"/>
      <c r="E41" s="127"/>
      <c r="F41" s="122">
        <v>0</v>
      </c>
      <c r="G41" s="123"/>
      <c r="I41" s="57" t="str">
        <f>IF(Main!B2,TEXT(EDATE(Main!B3,38),"dd mmmm yyyy"),TEXT(Main!B3+((Main!B5-Main!B3)*38)+38,"dd mmmm yyyy")) &amp; " - "  &amp; IF(Main!B2,TEXT(EDATE(Main!B3,39) - 1,"dd mmmm yyyy"),TEXT(Main!B3+((Main!B5-Main!B3)*39+38),"dd mmmm yyyy"))</f>
        <v>01 June 2028 - 30 June 2028</v>
      </c>
      <c r="J41" s="70">
        <f>Forecast_13!E190</f>
        <v>0</v>
      </c>
    </row>
    <row r="42" spans="1:10" ht="24.75" customHeight="1">
      <c r="A42" s="4"/>
      <c r="B42" s="113"/>
      <c r="C42" s="114"/>
      <c r="D42" s="115" t="s">
        <v>53</v>
      </c>
      <c r="E42" s="116"/>
      <c r="F42" s="117">
        <f>SUM(F36:G41)</f>
        <v>0</v>
      </c>
      <c r="G42" s="118"/>
      <c r="I42" s="57" t="str">
        <f>IF(Main!B2,TEXT(EDATE(Main!B3,39),"dd mmmm yyyy"),TEXT(Main!B3+((Main!B5-Main!B3)*39)+39,"dd mmmm yyyy")) &amp; " - "  &amp; IF(Main!B2,TEXT(EDATE(Main!B3,40) - 1,"dd mmmm yyyy"),TEXT(Main!B3+((Main!B5-Main!B3)*40+39),"dd mmmm yyyy"))</f>
        <v>01 July 2028 - 31 July 2028</v>
      </c>
      <c r="J42" s="70">
        <f>Forecast_14!E136</f>
        <v>0</v>
      </c>
    </row>
    <row r="43" spans="1:10" ht="24.75" customHeight="1">
      <c r="I43" s="57" t="str">
        <f>IF(Main!B2,TEXT(EDATE(Main!B3,40),"dd mmmm yyyy"),TEXT(Main!B3+((Main!B5-Main!B3)*40)+40,"dd mmmm yyyy")) &amp; " - "  &amp; IF(Main!B2,TEXT(EDATE(Main!B3,41) - 1,"dd mmmm yyyy"),TEXT(Main!B3+((Main!B5-Main!B3)*41+40),"dd mmmm yyyy"))</f>
        <v>01 August 2028 - 31 August 2028</v>
      </c>
      <c r="J43" s="70">
        <f>Forecast_14!E163</f>
        <v>0</v>
      </c>
    </row>
    <row r="44" spans="1:10" ht="24.75" customHeight="1">
      <c r="I44" s="57" t="str">
        <f>IF(Main!B2,TEXT(EDATE(Main!B3,41),"dd mmmm yyyy"),TEXT(Main!B3+((Main!B5-Main!B3)*41)+41,"dd mmmm yyyy")) &amp; " - "  &amp; IF(Main!B2,TEXT(EDATE(Main!B3,42) - 1,"dd mmmm yyyy"),TEXT(Main!B3+((Main!B5-Main!B3)*42+41),"dd mmmm yyyy"))</f>
        <v>01 September 2028 - 30 September 2028</v>
      </c>
      <c r="J44" s="70">
        <f>Forecast_14!E190</f>
        <v>0</v>
      </c>
    </row>
    <row r="45" spans="1:10" ht="24.75" customHeight="1">
      <c r="I45" s="57" t="str">
        <f>IF(Main!B2,TEXT(EDATE(Main!B3,42),"dd mmmm yyyy"),TEXT(Main!B3+((Main!B5-Main!B3)*42)+42,"dd mmmm yyyy")) &amp; " - "  &amp; IF(Main!B2,TEXT(EDATE(Main!B3,43) - 1,"dd mmmm yyyy"),TEXT(Main!B3+((Main!B5-Main!B3)*43+42),"dd mmmm yyyy"))</f>
        <v>01 October 2028 - 31 October 2028</v>
      </c>
      <c r="J45" s="70">
        <f>Forecast_15!E136</f>
        <v>0</v>
      </c>
    </row>
    <row r="46" spans="1:10" ht="24.75" customHeight="1">
      <c r="A46" s="131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01 June 2025 - 30 June 2025 (Revenue / Deferred Debts Or Expenses)</v>
      </c>
      <c r="B46" s="132"/>
      <c r="C46" s="132"/>
      <c r="D46" s="132"/>
      <c r="E46" s="132"/>
      <c r="F46" s="132"/>
      <c r="G46" s="132"/>
      <c r="I46" s="57" t="str">
        <f>IF(Main!B2,TEXT(EDATE(Main!B3,43),"dd mmmm yyyy"),TEXT(Main!B3+((Main!B5-Main!B3)*43)+43,"dd mmmm yyyy")) &amp; " - "  &amp; IF(Main!B2,TEXT(EDATE(Main!B3,44) - 1,"dd mmmm yyyy"),TEXT(Main!B3+((Main!B5-Main!B3)*44+43),"dd mmmm yyyy"))</f>
        <v>01 November 2028 - 30 November 2028</v>
      </c>
      <c r="J46" s="70">
        <f>Forecast_15!E163</f>
        <v>0</v>
      </c>
    </row>
    <row r="47" spans="1:10" ht="24.75" customHeight="1">
      <c r="A47" s="80" t="s">
        <v>27</v>
      </c>
      <c r="B47" s="119" t="s">
        <v>47</v>
      </c>
      <c r="C47" s="119"/>
      <c r="D47" s="120" t="s">
        <v>48</v>
      </c>
      <c r="E47" s="120"/>
      <c r="F47" s="120" t="s">
        <v>49</v>
      </c>
      <c r="G47" s="120"/>
      <c r="I47" s="57" t="str">
        <f>IF(Main!B2,TEXT(EDATE(Main!B3,44),"dd mmmm yyyy"),TEXT(Main!B3+((Main!B5-Main!B3)*44)+44,"dd mmmm yyyy")) &amp; " - "  &amp; IF(Main!B2,TEXT(EDATE(Main!B3,45) - 1,"dd mmmm yyyy"),TEXT(Main!B3+((Main!B5-Main!B3)*45+44),"dd mmmm yyyy"))</f>
        <v>01 December 2028 - 31 December 2028</v>
      </c>
      <c r="J47" s="70">
        <f>Forecast_15!E190</f>
        <v>0</v>
      </c>
    </row>
    <row r="48" spans="1:10" ht="24.75" customHeight="1">
      <c r="A48" s="2" t="s">
        <v>57</v>
      </c>
      <c r="B48" s="121" t="s">
        <v>55</v>
      </c>
      <c r="C48" s="121"/>
      <c r="D48" s="121" t="s">
        <v>56</v>
      </c>
      <c r="E48" s="121"/>
      <c r="F48" s="122">
        <v>0</v>
      </c>
      <c r="G48" s="123"/>
      <c r="I48" s="57" t="str">
        <f>IF(Main!B2,TEXT(EDATE(Main!B3,45),"dd mmmm yyyy"),TEXT(Main!B3+((Main!B5-Main!B3)*45)+45,"dd mmmm yyyy")) &amp; " - "  &amp; IF(Main!B2,TEXT(EDATE(Main!B3,46) - 1,"dd mmmm yyyy"),TEXT(Main!B3+((Main!B5-Main!B3)*46+45),"dd mmmm yyyy"))</f>
        <v>01 January 2029 - 31 January 2029</v>
      </c>
      <c r="J48" s="70">
        <f>Forecast_16!E136</f>
        <v>0</v>
      </c>
    </row>
    <row r="49" spans="1:10" ht="24.75" customHeight="1">
      <c r="A49" s="2"/>
      <c r="B49" s="124" t="s">
        <v>40</v>
      </c>
      <c r="C49" s="125"/>
      <c r="D49" s="126"/>
      <c r="E49" s="127"/>
      <c r="F49" s="122">
        <v>0</v>
      </c>
      <c r="G49" s="123"/>
      <c r="I49" s="57" t="str">
        <f>IF(Main!B2,TEXT(EDATE(Main!B3,46),"dd mmmm yyyy"),TEXT(Main!B3+((Main!B5-Main!B3)*46)+46,"dd mmmm yyyy")) &amp; " - "  &amp; IF(Main!B2,TEXT(EDATE(Main!B3,47) - 1,"dd mmmm yyyy"),TEXT(Main!B3+((Main!B5-Main!B3)*47+46),"dd mmmm yyyy"))</f>
        <v>01 February 2029 - 28 February 2029</v>
      </c>
      <c r="J49" s="70">
        <f>Forecast_16!E163</f>
        <v>0</v>
      </c>
    </row>
    <row r="50" spans="1:10" ht="24.75" customHeight="1">
      <c r="A50" s="2"/>
      <c r="B50" s="124" t="s">
        <v>41</v>
      </c>
      <c r="C50" s="125"/>
      <c r="D50" s="126"/>
      <c r="E50" s="127"/>
      <c r="F50" s="122">
        <v>0</v>
      </c>
      <c r="G50" s="123"/>
      <c r="I50" s="57" t="str">
        <f>IF(Main!B2,TEXT(EDATE(Main!B3,47),"dd mmmm yyyy"),TEXT(Main!B3+((Main!B5-Main!B3)*47)+47,"dd mmmm yyyy")) &amp; " - "  &amp; IF(Main!B2,TEXT(EDATE(Main!B3,48) - 1,"dd mmmm yyyy"),TEXT(Main!B3+((Main!B5-Main!B3)*48+47),"dd mmmm yyyy"))</f>
        <v>01 March 2029 - 31 March 2029</v>
      </c>
      <c r="J50" s="60">
        <f>Forecast_16!E190</f>
        <v>0</v>
      </c>
    </row>
    <row r="51" spans="1:10" ht="24.75" customHeight="1">
      <c r="A51" s="2"/>
      <c r="B51" s="124" t="s">
        <v>42</v>
      </c>
      <c r="C51" s="125"/>
      <c r="D51" s="126"/>
      <c r="E51" s="127"/>
      <c r="F51" s="122">
        <v>0</v>
      </c>
      <c r="G51" s="123"/>
    </row>
    <row r="52" spans="1:10" ht="24.75" customHeight="1">
      <c r="A52" s="2"/>
      <c r="B52" s="124" t="s">
        <v>43</v>
      </c>
      <c r="C52" s="125"/>
      <c r="D52" s="126"/>
      <c r="E52" s="127"/>
      <c r="F52" s="122">
        <v>0</v>
      </c>
      <c r="G52" s="123"/>
    </row>
    <row r="53" spans="1:10" ht="24.75" customHeight="1">
      <c r="A53" s="2"/>
      <c r="B53" s="124" t="s">
        <v>44</v>
      </c>
      <c r="C53" s="125"/>
      <c r="D53" s="126"/>
      <c r="E53" s="127"/>
      <c r="F53" s="122">
        <v>0</v>
      </c>
      <c r="G53" s="123"/>
    </row>
    <row r="54" spans="1:10" ht="24.75" customHeight="1">
      <c r="A54" s="4"/>
      <c r="B54" s="113"/>
      <c r="C54" s="114"/>
      <c r="D54" s="115" t="s">
        <v>53</v>
      </c>
      <c r="E54" s="116"/>
      <c r="F54" s="117">
        <f>SUM(F48:G53)</f>
        <v>0</v>
      </c>
      <c r="G54" s="118"/>
    </row>
    <row r="55" spans="1:10" ht="24.75" customHeight="1"/>
    <row r="58" spans="1:10" ht="18">
      <c r="A58" s="144" t="str">
        <f>"Fixed Expense For the Year " &amp; TEXT(Main!B3,"mmmm yyyy") &amp; " - " &amp; IF(Main!B2,TEXT(EDATE(Main!B3,3) - 1,"mmmm yyyy"),TEXT(Main!B3+((Main!B5-Main!B3)*3+2),"mmmm yyyy"))</f>
        <v>Fixed Expense For the Year April 2025 - June 2025</v>
      </c>
      <c r="B58" s="145"/>
      <c r="C58" s="146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28" t="s">
        <v>58</v>
      </c>
      <c r="B60" s="129"/>
      <c r="C60" s="130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28" t="s">
        <v>63</v>
      </c>
      <c r="B70" s="129"/>
      <c r="C70" s="130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68</v>
      </c>
      <c r="C80" s="20">
        <f>SUM(C71:C79)</f>
        <v>0</v>
      </c>
    </row>
    <row r="81" spans="1:3" ht="15.75">
      <c r="A81" s="128" t="s">
        <v>69</v>
      </c>
      <c r="B81" s="129"/>
      <c r="C81" s="130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74</v>
      </c>
      <c r="C89" s="28">
        <f>SUM(C82:C88)</f>
        <v>0</v>
      </c>
    </row>
    <row r="90" spans="1:3" ht="15.75">
      <c r="A90" s="128" t="s">
        <v>75</v>
      </c>
      <c r="B90" s="129"/>
      <c r="C90" s="130"/>
    </row>
    <row r="91" spans="1:3" ht="15.75">
      <c r="A91" s="24" t="s">
        <v>76</v>
      </c>
      <c r="B91" s="25" t="s">
        <v>77</v>
      </c>
      <c r="C91" s="20">
        <v>0</v>
      </c>
    </row>
    <row r="92" spans="1:3" ht="15.75">
      <c r="A92" s="18" t="s">
        <v>78</v>
      </c>
      <c r="B92" s="19"/>
      <c r="C92" s="20">
        <v>0</v>
      </c>
    </row>
    <row r="93" spans="1:3" ht="20.25" customHeight="1">
      <c r="A93" s="18" t="s">
        <v>79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 ht="28.5">
      <c r="A99" s="23"/>
      <c r="B99" s="26" t="s">
        <v>80</v>
      </c>
      <c r="C99" s="28">
        <f>SUM(C91:C98)</f>
        <v>0</v>
      </c>
    </row>
    <row r="100" spans="1:8" ht="15.75">
      <c r="A100" s="128" t="s">
        <v>81</v>
      </c>
      <c r="B100" s="129"/>
      <c r="C100" s="130"/>
    </row>
    <row r="101" spans="1:8" ht="28.5">
      <c r="A101" s="18" t="s">
        <v>82</v>
      </c>
      <c r="B101" s="19"/>
      <c r="C101" s="20">
        <v>0</v>
      </c>
    </row>
    <row r="102" spans="1:8" ht="15.75">
      <c r="A102" s="27" t="s">
        <v>83</v>
      </c>
      <c r="B102" s="19"/>
      <c r="C102" s="20">
        <v>0</v>
      </c>
    </row>
    <row r="103" spans="1:8" ht="15.75">
      <c r="A103" s="18" t="s">
        <v>84</v>
      </c>
      <c r="B103" s="19"/>
      <c r="C103" s="20">
        <v>0</v>
      </c>
    </row>
    <row r="104" spans="1:8" ht="28.5">
      <c r="A104" s="18" t="s">
        <v>85</v>
      </c>
      <c r="B104" s="19" t="s">
        <v>86</v>
      </c>
      <c r="C104" s="20">
        <v>0</v>
      </c>
    </row>
    <row r="105" spans="1:8" ht="28.5">
      <c r="A105" s="18" t="s">
        <v>87</v>
      </c>
      <c r="B105" s="19" t="s">
        <v>88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89</v>
      </c>
      <c r="C109" s="20">
        <f>SUM(C101:C108)</f>
        <v>0</v>
      </c>
    </row>
    <row r="110" spans="1:8" ht="15.75">
      <c r="A110" s="23"/>
      <c r="B110" s="26" t="s">
        <v>90</v>
      </c>
      <c r="C110" s="20">
        <f>C69+C80+C89+C99+C109</f>
        <v>0</v>
      </c>
    </row>
    <row r="111" spans="1:8" ht="15.75">
      <c r="A111" s="128" t="s">
        <v>91</v>
      </c>
      <c r="B111" s="129"/>
      <c r="C111" s="130"/>
    </row>
    <row r="112" spans="1:8">
      <c r="A112" s="27" t="s">
        <v>40</v>
      </c>
      <c r="B112" s="19"/>
      <c r="C112" s="28">
        <v>0</v>
      </c>
      <c r="D112" s="45"/>
      <c r="E112" s="50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92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93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94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95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96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97</v>
      </c>
      <c r="C122" s="20">
        <f>SUM(C112:C121)</f>
        <v>0</v>
      </c>
    </row>
    <row r="123" spans="1:8" ht="15.75">
      <c r="A123" s="21"/>
      <c r="B123" s="22" t="s">
        <v>98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98" t="str">
        <f>"Debts Or Credits For the Comming " &amp; TEXT(Main!B3,"mmmm dd yyyy") &amp; " to " &amp; IF(Main!B2,TEXT(EDATE(Main!B3,1)-1,"mmmm dd yyyy"),TEXT(Main!B3+Main!B5-Main!B3,"dd mmmm yyyy"))</f>
        <v>Debts Or Credits For the Comming April 01 2025 to April 30 2025</v>
      </c>
      <c r="B128" s="99"/>
      <c r="C128" s="99"/>
      <c r="D128" s="99"/>
      <c r="E128" s="100"/>
    </row>
    <row r="129" spans="1:8" ht="45" customHeight="1">
      <c r="A129" s="98" t="s">
        <v>99</v>
      </c>
      <c r="B129" s="100"/>
      <c r="C129" s="98" t="s">
        <v>48</v>
      </c>
      <c r="D129" s="100"/>
      <c r="E129" s="29" t="s">
        <v>49</v>
      </c>
    </row>
    <row r="130" spans="1:8" ht="24.75" customHeight="1">
      <c r="A130" s="105" t="s">
        <v>100</v>
      </c>
      <c r="B130" s="106"/>
      <c r="C130" s="159" t="s">
        <v>101</v>
      </c>
      <c r="D130" s="151"/>
      <c r="E130" s="43"/>
    </row>
    <row r="131" spans="1:8" ht="24.75" customHeight="1">
      <c r="A131" s="107"/>
      <c r="B131" s="108"/>
      <c r="C131" s="103" t="s">
        <v>102</v>
      </c>
      <c r="D131" s="104"/>
      <c r="E131" s="28">
        <v>0</v>
      </c>
      <c r="F131" s="45"/>
      <c r="G131" s="45"/>
      <c r="H131" s="45"/>
    </row>
    <row r="132" spans="1:8" ht="24.75" customHeight="1">
      <c r="A132" s="107"/>
      <c r="B132" s="108"/>
      <c r="C132" s="103" t="s">
        <v>103</v>
      </c>
      <c r="D132" s="104"/>
      <c r="E132" s="28">
        <v>0</v>
      </c>
      <c r="F132" s="45"/>
      <c r="G132" s="45"/>
      <c r="H132" s="45"/>
    </row>
    <row r="133" spans="1:8" ht="24.75" customHeight="1">
      <c r="A133" s="107"/>
      <c r="B133" s="108"/>
      <c r="C133" s="103" t="s">
        <v>104</v>
      </c>
      <c r="D133" s="104"/>
      <c r="E133" s="28">
        <v>0</v>
      </c>
      <c r="F133" s="45"/>
      <c r="G133" s="45"/>
      <c r="H133" s="45"/>
    </row>
    <row r="134" spans="1:8" ht="24.75" customHeight="1">
      <c r="A134" s="107"/>
      <c r="B134" s="108"/>
      <c r="C134" s="103" t="s">
        <v>105</v>
      </c>
      <c r="D134" s="104"/>
      <c r="E134" s="28">
        <v>0</v>
      </c>
      <c r="F134" s="45"/>
      <c r="G134" s="45"/>
      <c r="H134" s="45"/>
    </row>
    <row r="135" spans="1:8" ht="24.75" customHeight="1">
      <c r="A135" s="107"/>
      <c r="B135" s="108"/>
      <c r="C135" s="103" t="s">
        <v>106</v>
      </c>
      <c r="D135" s="104"/>
      <c r="E135" s="28">
        <v>0</v>
      </c>
      <c r="F135" s="45"/>
      <c r="G135" s="45"/>
      <c r="H135" s="45"/>
    </row>
    <row r="136" spans="1:8" ht="24.75" customHeight="1">
      <c r="A136" s="107"/>
      <c r="B136" s="108"/>
      <c r="C136" s="103" t="s">
        <v>107</v>
      </c>
      <c r="D136" s="104"/>
      <c r="E136" s="28">
        <v>0</v>
      </c>
      <c r="F136" s="45"/>
      <c r="G136" s="45"/>
      <c r="H136" s="45"/>
    </row>
    <row r="137" spans="1:8" ht="24.75" customHeight="1">
      <c r="A137" s="107"/>
      <c r="B137" s="108"/>
      <c r="C137" s="103" t="s">
        <v>108</v>
      </c>
      <c r="D137" s="104"/>
      <c r="E137" s="28">
        <v>0</v>
      </c>
      <c r="F137" s="45"/>
      <c r="G137" s="45"/>
      <c r="H137" s="45"/>
    </row>
    <row r="138" spans="1:8" ht="24.75" customHeight="1">
      <c r="A138" s="107"/>
      <c r="B138" s="108"/>
      <c r="C138" s="103" t="s">
        <v>109</v>
      </c>
      <c r="D138" s="104"/>
      <c r="E138" s="28">
        <v>0</v>
      </c>
      <c r="F138" s="45"/>
      <c r="G138" s="45"/>
      <c r="H138" s="45"/>
    </row>
    <row r="139" spans="1:8" ht="24.75" customHeight="1">
      <c r="A139" s="107"/>
      <c r="B139" s="108"/>
      <c r="C139" s="103" t="s">
        <v>110</v>
      </c>
      <c r="D139" s="104"/>
      <c r="E139" s="28">
        <v>0</v>
      </c>
      <c r="F139" s="45"/>
      <c r="G139" s="45"/>
      <c r="H139" s="45"/>
    </row>
    <row r="140" spans="1:8" ht="24.75" customHeight="1">
      <c r="A140" s="107"/>
      <c r="B140" s="108"/>
      <c r="C140" s="103" t="s">
        <v>111</v>
      </c>
      <c r="D140" s="104"/>
      <c r="E140" s="28">
        <v>0</v>
      </c>
      <c r="F140" s="45"/>
      <c r="G140" s="45"/>
      <c r="H140" s="45"/>
    </row>
    <row r="141" spans="1:8" ht="24.75" customHeight="1">
      <c r="A141" s="107"/>
      <c r="B141" s="108"/>
      <c r="C141" s="150" t="s">
        <v>112</v>
      </c>
      <c r="D141" s="151"/>
      <c r="E141" s="43"/>
    </row>
    <row r="142" spans="1:8" ht="45" customHeight="1">
      <c r="A142" s="107"/>
      <c r="B142" s="108"/>
      <c r="C142" s="152" t="s">
        <v>113</v>
      </c>
      <c r="D142" s="153"/>
      <c r="E142" s="30">
        <v>0</v>
      </c>
    </row>
    <row r="143" spans="1:8" ht="24.75" customHeight="1">
      <c r="A143" s="107"/>
      <c r="B143" s="108"/>
      <c r="C143" s="103" t="s">
        <v>102</v>
      </c>
      <c r="D143" s="104"/>
      <c r="E143" s="30">
        <v>0</v>
      </c>
    </row>
    <row r="144" spans="1:8" ht="24.75" customHeight="1">
      <c r="A144" s="107"/>
      <c r="B144" s="108"/>
      <c r="C144" s="103" t="s">
        <v>103</v>
      </c>
      <c r="D144" s="104"/>
      <c r="E144" s="30">
        <v>0</v>
      </c>
    </row>
    <row r="145" spans="1:8" ht="24" customHeight="1">
      <c r="A145" s="107"/>
      <c r="B145" s="108"/>
      <c r="C145" s="103" t="s">
        <v>104</v>
      </c>
      <c r="D145" s="104"/>
      <c r="E145" s="30">
        <v>0</v>
      </c>
    </row>
    <row r="146" spans="1:8" ht="24.75" customHeight="1">
      <c r="A146" s="107"/>
      <c r="B146" s="108"/>
      <c r="C146" s="103" t="s">
        <v>105</v>
      </c>
      <c r="D146" s="104"/>
      <c r="E146" s="30">
        <v>0</v>
      </c>
    </row>
    <row r="147" spans="1:8" ht="24.75" customHeight="1">
      <c r="A147" s="109"/>
      <c r="B147" s="110"/>
      <c r="C147" s="103" t="s">
        <v>106</v>
      </c>
      <c r="D147" s="104"/>
      <c r="E147" s="30">
        <v>0</v>
      </c>
    </row>
    <row r="148" spans="1:8" ht="24.75" customHeight="1">
      <c r="A148" s="95" t="s">
        <v>114</v>
      </c>
      <c r="B148" s="154"/>
      <c r="C148" s="155"/>
      <c r="D148" s="156"/>
      <c r="E148" s="30">
        <f>C110</f>
        <v>0</v>
      </c>
    </row>
    <row r="149" spans="1:8" ht="45" customHeight="1">
      <c r="A149" s="147"/>
      <c r="B149" s="148"/>
      <c r="C149" s="149" t="s">
        <v>115</v>
      </c>
      <c r="D149" s="149"/>
      <c r="E149" s="31">
        <f>F30-(SUM(E131:E140)+SUM(E142:E148))</f>
        <v>0</v>
      </c>
    </row>
    <row r="150" spans="1:8" ht="21.75" customHeight="1"/>
    <row r="154" spans="1:8" ht="24.75" customHeight="1">
      <c r="A154" s="98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01 2025 to 31 May 2025</v>
      </c>
      <c r="B154" s="99"/>
      <c r="C154" s="99"/>
      <c r="D154" s="99"/>
      <c r="E154" s="100"/>
    </row>
    <row r="155" spans="1:8" ht="24.75" customHeight="1">
      <c r="A155" s="98" t="s">
        <v>99</v>
      </c>
      <c r="B155" s="100"/>
      <c r="C155" s="101" t="s">
        <v>48</v>
      </c>
      <c r="D155" s="102"/>
      <c r="E155" s="40" t="s">
        <v>49</v>
      </c>
    </row>
    <row r="156" spans="1:8" ht="24.75" customHeight="1">
      <c r="A156" s="95" t="str">
        <f>"Balance Brought Forward From " &amp; IF(Main!B2,TEXT(EDATE(Main!B3,1)-1,"mmmm yyyy"),TEXT(Main!B3+Main!B5-Main!B3,"mmmm yyyy"))</f>
        <v>Balance Brought Forward From April 2025</v>
      </c>
      <c r="B156" s="96"/>
      <c r="C156" s="97"/>
      <c r="D156" s="97"/>
      <c r="E156" s="31">
        <f>E149</f>
        <v>0</v>
      </c>
    </row>
    <row r="157" spans="1:8" ht="24.75" customHeight="1">
      <c r="A157" s="105" t="s">
        <v>100</v>
      </c>
      <c r="B157" s="106"/>
      <c r="C157" s="111" t="s">
        <v>101</v>
      </c>
      <c r="D157" s="112"/>
      <c r="E157" s="44"/>
    </row>
    <row r="158" spans="1:8" ht="24.75" customHeight="1">
      <c r="A158" s="107"/>
      <c r="B158" s="108"/>
      <c r="C158" s="103" t="s">
        <v>102</v>
      </c>
      <c r="D158" s="104"/>
      <c r="E158" s="28">
        <v>0</v>
      </c>
      <c r="F158" s="45"/>
      <c r="G158" s="45"/>
      <c r="H158" s="45"/>
    </row>
    <row r="159" spans="1:8" ht="24.75" customHeight="1">
      <c r="A159" s="107"/>
      <c r="B159" s="108"/>
      <c r="C159" s="103" t="s">
        <v>103</v>
      </c>
      <c r="D159" s="104"/>
      <c r="E159" s="28">
        <v>0</v>
      </c>
      <c r="F159" s="45"/>
      <c r="G159" s="45"/>
      <c r="H159" s="45"/>
    </row>
    <row r="160" spans="1:8" ht="24.75" customHeight="1">
      <c r="A160" s="107"/>
      <c r="B160" s="108"/>
      <c r="C160" s="103" t="s">
        <v>104</v>
      </c>
      <c r="D160" s="104"/>
      <c r="E160" s="28">
        <v>0</v>
      </c>
      <c r="F160" s="45"/>
      <c r="G160" s="45"/>
      <c r="H160" s="45"/>
    </row>
    <row r="161" spans="1:8" ht="24.75" customHeight="1">
      <c r="A161" s="107"/>
      <c r="B161" s="108"/>
      <c r="C161" s="103" t="s">
        <v>105</v>
      </c>
      <c r="D161" s="104"/>
      <c r="E161" s="28">
        <v>0</v>
      </c>
      <c r="F161" s="45"/>
      <c r="G161" s="45"/>
      <c r="H161" s="45"/>
    </row>
    <row r="162" spans="1:8" ht="24.75" customHeight="1">
      <c r="A162" s="107"/>
      <c r="B162" s="108"/>
      <c r="C162" s="103" t="s">
        <v>106</v>
      </c>
      <c r="D162" s="104"/>
      <c r="E162" s="28">
        <v>0</v>
      </c>
      <c r="F162" s="45"/>
      <c r="G162" s="45"/>
      <c r="H162" s="45"/>
    </row>
    <row r="163" spans="1:8" ht="24.75" customHeight="1">
      <c r="A163" s="107"/>
      <c r="B163" s="108"/>
      <c r="C163" s="103" t="s">
        <v>107</v>
      </c>
      <c r="D163" s="104"/>
      <c r="E163" s="28">
        <v>0</v>
      </c>
      <c r="F163" s="45"/>
      <c r="G163" s="45"/>
      <c r="H163" s="45"/>
    </row>
    <row r="164" spans="1:8" ht="22.5" customHeight="1">
      <c r="A164" s="107"/>
      <c r="B164" s="108"/>
      <c r="C164" s="103" t="s">
        <v>108</v>
      </c>
      <c r="D164" s="104"/>
      <c r="E164" s="28">
        <v>0</v>
      </c>
      <c r="F164" s="45"/>
      <c r="G164" s="45"/>
      <c r="H164" s="45"/>
    </row>
    <row r="165" spans="1:8" ht="24.75" customHeight="1">
      <c r="A165" s="107"/>
      <c r="B165" s="108"/>
      <c r="C165" s="103" t="s">
        <v>109</v>
      </c>
      <c r="D165" s="104"/>
      <c r="E165" s="28">
        <v>0</v>
      </c>
      <c r="F165" s="45"/>
      <c r="G165" s="45"/>
      <c r="H165" s="45"/>
    </row>
    <row r="166" spans="1:8" ht="24.75" customHeight="1">
      <c r="A166" s="107"/>
      <c r="B166" s="108"/>
      <c r="C166" s="103" t="s">
        <v>110</v>
      </c>
      <c r="D166" s="104"/>
      <c r="E166" s="28">
        <v>0</v>
      </c>
      <c r="F166" s="45"/>
      <c r="G166" s="45"/>
      <c r="H166" s="45"/>
    </row>
    <row r="167" spans="1:8" ht="24.75" customHeight="1">
      <c r="A167" s="107"/>
      <c r="B167" s="108"/>
      <c r="C167" s="103" t="s">
        <v>111</v>
      </c>
      <c r="D167" s="104"/>
      <c r="E167" s="28">
        <v>0</v>
      </c>
      <c r="F167" s="45"/>
      <c r="G167" s="45"/>
      <c r="H167" s="45"/>
    </row>
    <row r="168" spans="1:8" ht="24.75" customHeight="1">
      <c r="A168" s="107"/>
      <c r="B168" s="108"/>
      <c r="C168" s="150" t="s">
        <v>112</v>
      </c>
      <c r="D168" s="151"/>
      <c r="E168" s="43"/>
    </row>
    <row r="169" spans="1:8" ht="24.75" customHeight="1">
      <c r="A169" s="107"/>
      <c r="B169" s="108"/>
      <c r="C169" s="152" t="s">
        <v>116</v>
      </c>
      <c r="D169" s="153"/>
      <c r="E169" s="30">
        <v>0</v>
      </c>
    </row>
    <row r="170" spans="1:8" ht="24.75" customHeight="1">
      <c r="A170" s="107"/>
      <c r="B170" s="108"/>
      <c r="C170" s="103" t="s">
        <v>102</v>
      </c>
      <c r="D170" s="104"/>
      <c r="E170" s="30">
        <v>0</v>
      </c>
    </row>
    <row r="171" spans="1:8" ht="24.75" customHeight="1">
      <c r="A171" s="107"/>
      <c r="B171" s="108"/>
      <c r="C171" s="103" t="s">
        <v>103</v>
      </c>
      <c r="D171" s="104"/>
      <c r="E171" s="30">
        <v>0</v>
      </c>
    </row>
    <row r="172" spans="1:8" ht="24.75" customHeight="1">
      <c r="A172" s="107"/>
      <c r="B172" s="108"/>
      <c r="C172" s="103" t="s">
        <v>104</v>
      </c>
      <c r="D172" s="104"/>
      <c r="E172" s="30">
        <v>0</v>
      </c>
    </row>
    <row r="173" spans="1:8" ht="24.75" customHeight="1">
      <c r="A173" s="107"/>
      <c r="B173" s="108"/>
      <c r="C173" s="103" t="s">
        <v>105</v>
      </c>
      <c r="D173" s="104"/>
      <c r="E173" s="30">
        <v>0</v>
      </c>
    </row>
    <row r="174" spans="1:8" ht="24.75" customHeight="1">
      <c r="A174" s="109"/>
      <c r="B174" s="110"/>
      <c r="C174" s="103" t="s">
        <v>106</v>
      </c>
      <c r="D174" s="104"/>
      <c r="E174" s="30">
        <v>0</v>
      </c>
    </row>
    <row r="175" spans="1:8" ht="24.75" customHeight="1">
      <c r="A175" s="95" t="s">
        <v>114</v>
      </c>
      <c r="B175" s="154"/>
      <c r="C175" s="155"/>
      <c r="D175" s="156"/>
      <c r="E175" s="30">
        <f>C110</f>
        <v>0</v>
      </c>
    </row>
    <row r="176" spans="1:8" ht="24.75" customHeight="1">
      <c r="A176" s="147"/>
      <c r="B176" s="148"/>
      <c r="C176" s="149" t="s">
        <v>115</v>
      </c>
      <c r="D176" s="149"/>
      <c r="E176" s="41">
        <f>(F42+E156)-(SUM(E159:E167)+SUM(E169:E175))</f>
        <v>0</v>
      </c>
    </row>
    <row r="180" spans="1:8" ht="24.75" customHeight="1"/>
    <row r="181" spans="1:8" ht="24.75" customHeight="1">
      <c r="A181" s="98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01 June 2025 to 30 June 2025</v>
      </c>
      <c r="B181" s="99"/>
      <c r="C181" s="99"/>
      <c r="D181" s="99"/>
      <c r="E181" s="100"/>
    </row>
    <row r="182" spans="1:8" ht="24.75" customHeight="1">
      <c r="A182" s="98" t="s">
        <v>99</v>
      </c>
      <c r="B182" s="100"/>
      <c r="C182" s="101" t="s">
        <v>48</v>
      </c>
      <c r="D182" s="102"/>
      <c r="E182" s="40" t="s">
        <v>49</v>
      </c>
    </row>
    <row r="183" spans="1:8" ht="24.75" customHeight="1">
      <c r="A183" s="95" t="str">
        <f>"Balance Brought Forward From " &amp;  IF(Main!B2,TEXT(EDATE(Main!B3,2) - 1,"mmmm yyyy"),TEXT(Main!B3+(Main!B5-Main!B3)*2+1,"mmmm yyyy"))</f>
        <v>Balance Brought Forward From May 2025</v>
      </c>
      <c r="B183" s="96"/>
      <c r="C183" s="97"/>
      <c r="D183" s="97"/>
      <c r="E183" s="41">
        <f>E176</f>
        <v>0</v>
      </c>
    </row>
    <row r="184" spans="1:8" ht="24.75" customHeight="1">
      <c r="A184" s="105" t="s">
        <v>100</v>
      </c>
      <c r="B184" s="106"/>
      <c r="C184" s="111" t="s">
        <v>101</v>
      </c>
      <c r="D184" s="112"/>
      <c r="E184" s="44"/>
    </row>
    <row r="185" spans="1:8" ht="24.75" customHeight="1">
      <c r="A185" s="107"/>
      <c r="B185" s="108"/>
      <c r="C185" s="103" t="s">
        <v>102</v>
      </c>
      <c r="D185" s="104"/>
      <c r="E185" s="28">
        <v>0</v>
      </c>
      <c r="F185" s="45"/>
      <c r="G185" s="45"/>
      <c r="H185" s="45"/>
    </row>
    <row r="186" spans="1:8" ht="24.75" customHeight="1">
      <c r="A186" s="107"/>
      <c r="B186" s="108"/>
      <c r="C186" s="103" t="s">
        <v>103</v>
      </c>
      <c r="D186" s="104"/>
      <c r="E186" s="28">
        <v>0</v>
      </c>
      <c r="F186" s="45"/>
      <c r="G186" s="45"/>
      <c r="H186" s="45"/>
    </row>
    <row r="187" spans="1:8" ht="24.75" customHeight="1">
      <c r="A187" s="107"/>
      <c r="B187" s="108"/>
      <c r="C187" s="103" t="s">
        <v>104</v>
      </c>
      <c r="D187" s="104"/>
      <c r="E187" s="28">
        <v>0</v>
      </c>
      <c r="F187" s="45"/>
      <c r="G187" s="45"/>
      <c r="H187" s="45"/>
    </row>
    <row r="188" spans="1:8" ht="24.75" customHeight="1">
      <c r="A188" s="107"/>
      <c r="B188" s="108"/>
      <c r="C188" s="103" t="s">
        <v>105</v>
      </c>
      <c r="D188" s="104"/>
      <c r="E188" s="28">
        <v>0</v>
      </c>
      <c r="F188" s="45"/>
      <c r="G188" s="45"/>
      <c r="H188" s="45"/>
    </row>
    <row r="189" spans="1:8" ht="24.75" customHeight="1">
      <c r="A189" s="107"/>
      <c r="B189" s="108"/>
      <c r="C189" s="103" t="s">
        <v>106</v>
      </c>
      <c r="D189" s="104"/>
      <c r="E189" s="28">
        <v>0</v>
      </c>
      <c r="F189" s="45"/>
      <c r="G189" s="45"/>
      <c r="H189" s="45"/>
    </row>
    <row r="190" spans="1:8" ht="24.75" customHeight="1">
      <c r="A190" s="107"/>
      <c r="B190" s="108"/>
      <c r="C190" s="103" t="s">
        <v>107</v>
      </c>
      <c r="D190" s="104"/>
      <c r="E190" s="28">
        <v>0</v>
      </c>
      <c r="F190" s="45"/>
      <c r="G190" s="45"/>
      <c r="H190" s="45"/>
    </row>
    <row r="191" spans="1:8" ht="24.75" customHeight="1">
      <c r="A191" s="107"/>
      <c r="B191" s="108"/>
      <c r="C191" s="103" t="s">
        <v>108</v>
      </c>
      <c r="D191" s="104"/>
      <c r="E191" s="28">
        <v>0</v>
      </c>
      <c r="F191" s="45"/>
      <c r="G191" s="45"/>
      <c r="H191" s="45"/>
    </row>
    <row r="192" spans="1:8" ht="24.75" customHeight="1">
      <c r="A192" s="107"/>
      <c r="B192" s="108"/>
      <c r="C192" s="103" t="s">
        <v>109</v>
      </c>
      <c r="D192" s="104"/>
      <c r="E192" s="28">
        <v>0</v>
      </c>
      <c r="F192" s="45"/>
      <c r="G192" s="45"/>
      <c r="H192" s="45"/>
    </row>
    <row r="193" spans="1:8" ht="24.75" customHeight="1">
      <c r="A193" s="107"/>
      <c r="B193" s="108"/>
      <c r="C193" s="103" t="s">
        <v>110</v>
      </c>
      <c r="D193" s="104"/>
      <c r="E193" s="28">
        <v>0</v>
      </c>
      <c r="F193" s="45"/>
      <c r="G193" s="45"/>
      <c r="H193" s="45"/>
    </row>
    <row r="194" spans="1:8" ht="24.75" customHeight="1">
      <c r="A194" s="107"/>
      <c r="B194" s="108"/>
      <c r="C194" s="103" t="s">
        <v>111</v>
      </c>
      <c r="D194" s="104"/>
      <c r="E194" s="28">
        <v>0</v>
      </c>
      <c r="F194" s="45"/>
      <c r="G194" s="45"/>
      <c r="H194" s="45"/>
    </row>
    <row r="195" spans="1:8" ht="24.75" customHeight="1">
      <c r="A195" s="107"/>
      <c r="B195" s="108"/>
      <c r="C195" s="150" t="s">
        <v>112</v>
      </c>
      <c r="D195" s="151"/>
      <c r="E195" s="43"/>
    </row>
    <row r="196" spans="1:8" ht="24.75" customHeight="1">
      <c r="A196" s="107"/>
      <c r="B196" s="108"/>
      <c r="C196" s="152" t="s">
        <v>116</v>
      </c>
      <c r="D196" s="153"/>
      <c r="E196" s="30">
        <v>0</v>
      </c>
    </row>
    <row r="197" spans="1:8" ht="24.75" customHeight="1">
      <c r="A197" s="107"/>
      <c r="B197" s="108"/>
      <c r="C197" s="103" t="s">
        <v>102</v>
      </c>
      <c r="D197" s="104"/>
      <c r="E197" s="30">
        <v>0</v>
      </c>
    </row>
    <row r="198" spans="1:8" ht="24.75" customHeight="1">
      <c r="A198" s="107"/>
      <c r="B198" s="108"/>
      <c r="C198" s="103" t="s">
        <v>103</v>
      </c>
      <c r="D198" s="104"/>
      <c r="E198" s="30">
        <v>0</v>
      </c>
    </row>
    <row r="199" spans="1:8" ht="24.75" customHeight="1">
      <c r="A199" s="107"/>
      <c r="B199" s="108"/>
      <c r="C199" s="103" t="s">
        <v>104</v>
      </c>
      <c r="D199" s="104"/>
      <c r="E199" s="30">
        <v>0</v>
      </c>
    </row>
    <row r="200" spans="1:8" ht="24.75" customHeight="1">
      <c r="A200" s="107"/>
      <c r="B200" s="108"/>
      <c r="C200" s="103" t="s">
        <v>105</v>
      </c>
      <c r="D200" s="104"/>
      <c r="E200" s="30">
        <v>0</v>
      </c>
    </row>
    <row r="201" spans="1:8" ht="24.75" customHeight="1">
      <c r="A201" s="109"/>
      <c r="B201" s="110"/>
      <c r="C201" s="103" t="s">
        <v>106</v>
      </c>
      <c r="D201" s="104"/>
      <c r="E201" s="30">
        <v>0</v>
      </c>
    </row>
    <row r="202" spans="1:8" ht="24.75" customHeight="1">
      <c r="A202" s="95" t="s">
        <v>114</v>
      </c>
      <c r="B202" s="154"/>
      <c r="C202" s="155"/>
      <c r="D202" s="156"/>
      <c r="E202" s="30">
        <f>C110</f>
        <v>0</v>
      </c>
    </row>
    <row r="203" spans="1:8" ht="24.75" customHeight="1">
      <c r="A203" s="147"/>
      <c r="B203" s="148"/>
      <c r="C203" s="149" t="s">
        <v>115</v>
      </c>
      <c r="D203" s="149"/>
      <c r="E203" s="41">
        <f>(F54+E183)-(SUM(E189:E194)+SUM(E196:E202))</f>
        <v>0</v>
      </c>
    </row>
    <row r="204" spans="1:8" ht="24.75" customHeight="1"/>
  </sheetData>
  <mergeCells count="173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808" priority="63" operator="equal">
      <formula>0</formula>
    </cfRule>
  </conditionalFormatting>
  <conditionalFormatting sqref="C61:C69 C99 C92:C93 C109:C110">
    <cfRule type="cellIs" dxfId="807" priority="62" operator="greaterThan">
      <formula>0</formula>
    </cfRule>
  </conditionalFormatting>
  <conditionalFormatting sqref="C71:C80">
    <cfRule type="cellIs" dxfId="806" priority="61" operator="equal">
      <formula>0</formula>
    </cfRule>
  </conditionalFormatting>
  <conditionalFormatting sqref="C71:C80">
    <cfRule type="cellIs" dxfId="805" priority="60" operator="greaterThan">
      <formula>0</formula>
    </cfRule>
  </conditionalFormatting>
  <conditionalFormatting sqref="C82:C83">
    <cfRule type="cellIs" dxfId="804" priority="59" operator="equal">
      <formula>0</formula>
    </cfRule>
  </conditionalFormatting>
  <conditionalFormatting sqref="C82:C83">
    <cfRule type="cellIs" dxfId="803" priority="58" operator="greaterThan">
      <formula>0</formula>
    </cfRule>
  </conditionalFormatting>
  <conditionalFormatting sqref="C89">
    <cfRule type="cellIs" dxfId="802" priority="57" operator="equal">
      <formula>0</formula>
    </cfRule>
  </conditionalFormatting>
  <conditionalFormatting sqref="C89">
    <cfRule type="cellIs" dxfId="801" priority="56" operator="greaterThan">
      <formula>0</formula>
    </cfRule>
  </conditionalFormatting>
  <conditionalFormatting sqref="C91">
    <cfRule type="cellIs" dxfId="800" priority="55" operator="equal">
      <formula>0</formula>
    </cfRule>
  </conditionalFormatting>
  <conditionalFormatting sqref="C91">
    <cfRule type="cellIs" dxfId="799" priority="54" operator="greaterThan">
      <formula>0</formula>
    </cfRule>
  </conditionalFormatting>
  <conditionalFormatting sqref="C101:C103">
    <cfRule type="cellIs" dxfId="798" priority="51" operator="equal">
      <formula>0</formula>
    </cfRule>
  </conditionalFormatting>
  <conditionalFormatting sqref="C101:C103">
    <cfRule type="cellIs" dxfId="797" priority="50" operator="greaterThan">
      <formula>0</formula>
    </cfRule>
  </conditionalFormatting>
  <conditionalFormatting sqref="E130 E141:E148">
    <cfRule type="cellIs" dxfId="796" priority="43" operator="equal">
      <formula>0</formula>
    </cfRule>
  </conditionalFormatting>
  <conditionalFormatting sqref="E130 E141:E148">
    <cfRule type="cellIs" dxfId="795" priority="42" operator="greaterThan">
      <formula>0</formula>
    </cfRule>
  </conditionalFormatting>
  <conditionalFormatting sqref="E149">
    <cfRule type="cellIs" dxfId="794" priority="41" operator="greaterThanOrEqual">
      <formula>0</formula>
    </cfRule>
  </conditionalFormatting>
  <conditionalFormatting sqref="E149">
    <cfRule type="cellIs" dxfId="793" priority="40" operator="lessThan">
      <formula>0</formula>
    </cfRule>
  </conditionalFormatting>
  <conditionalFormatting sqref="C84:C88">
    <cfRule type="cellIs" dxfId="792" priority="39" operator="equal">
      <formula>0</formula>
    </cfRule>
  </conditionalFormatting>
  <conditionalFormatting sqref="C84:C88">
    <cfRule type="cellIs" dxfId="791" priority="38" operator="greaterThan">
      <formula>0</formula>
    </cfRule>
  </conditionalFormatting>
  <conditionalFormatting sqref="C94:C98">
    <cfRule type="cellIs" dxfId="790" priority="37" operator="equal">
      <formula>0</formula>
    </cfRule>
  </conditionalFormatting>
  <conditionalFormatting sqref="C94:C98">
    <cfRule type="cellIs" dxfId="789" priority="36" operator="greaterThan">
      <formula>0</formula>
    </cfRule>
  </conditionalFormatting>
  <conditionalFormatting sqref="C106:C108">
    <cfRule type="cellIs" dxfId="788" priority="35" operator="equal">
      <formula>0</formula>
    </cfRule>
  </conditionalFormatting>
  <conditionalFormatting sqref="C106:C108">
    <cfRule type="cellIs" dxfId="787" priority="34" operator="greaterThan">
      <formula>0</formula>
    </cfRule>
  </conditionalFormatting>
  <conditionalFormatting sqref="C122:C123">
    <cfRule type="cellIs" dxfId="786" priority="31" operator="equal">
      <formula>0</formula>
    </cfRule>
  </conditionalFormatting>
  <conditionalFormatting sqref="C122:C123">
    <cfRule type="cellIs" dxfId="785" priority="30" operator="greaterThan">
      <formula>0</formula>
    </cfRule>
  </conditionalFormatting>
  <conditionalFormatting sqref="C17">
    <cfRule type="cellIs" dxfId="784" priority="29" operator="equal">
      <formula>0</formula>
    </cfRule>
  </conditionalFormatting>
  <conditionalFormatting sqref="C17">
    <cfRule type="cellIs" dxfId="783" priority="28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112" workbookViewId="0">
      <selection activeCell="A117" sqref="A117:B134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7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September 2025</v>
      </c>
      <c r="B1" s="179"/>
      <c r="C1" s="179"/>
      <c r="D1" s="179"/>
      <c r="E1" s="179"/>
      <c r="F1" s="179"/>
      <c r="G1" s="179"/>
    </row>
    <row r="2" spans="1:9" ht="28.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42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</row>
    <row r="4" spans="1:9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>
      <c r="A7" s="45"/>
      <c r="B7" s="45"/>
      <c r="C7" s="45"/>
      <c r="D7" s="45"/>
      <c r="E7" s="45"/>
      <c r="F7" s="45"/>
      <c r="G7" s="45"/>
      <c r="H7" s="45"/>
      <c r="I7" s="9"/>
    </row>
    <row r="8" spans="1:9">
      <c r="A8" s="131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01 July 2025 - 31 July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40.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>
      <c r="A17" s="45"/>
      <c r="B17" s="45"/>
      <c r="C17" s="45"/>
      <c r="D17" s="45"/>
      <c r="E17" s="45"/>
      <c r="F17" s="45"/>
      <c r="G17" s="45"/>
      <c r="H17" s="45"/>
      <c r="I17" s="9"/>
    </row>
    <row r="18" spans="1:9">
      <c r="A18" s="45"/>
      <c r="B18" s="45"/>
      <c r="C18" s="45"/>
      <c r="D18" s="45"/>
      <c r="E18" s="45"/>
      <c r="F18" s="45"/>
      <c r="G18" s="45"/>
      <c r="H18" s="45"/>
      <c r="I18" s="9"/>
    </row>
    <row r="19" spans="1:9">
      <c r="A19" s="45"/>
      <c r="B19" s="45"/>
      <c r="C19" s="45"/>
      <c r="D19" s="45"/>
      <c r="E19" s="45"/>
      <c r="F19" s="45"/>
      <c r="G19" s="45"/>
      <c r="H19" s="45"/>
      <c r="I19" s="9"/>
    </row>
    <row r="20" spans="1:9">
      <c r="A20" s="131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01 August 2025 - 31 August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33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>
      <c r="A29" s="45"/>
      <c r="B29" s="45"/>
      <c r="C29" s="45"/>
      <c r="D29" s="45"/>
      <c r="E29" s="45"/>
      <c r="F29" s="45"/>
      <c r="G29" s="45"/>
      <c r="H29" s="45"/>
      <c r="I29" s="9"/>
    </row>
    <row r="30" spans="1:9">
      <c r="A30" s="45"/>
      <c r="B30" s="45"/>
      <c r="C30" s="45"/>
      <c r="D30" s="45"/>
      <c r="E30" s="45"/>
      <c r="F30" s="45"/>
      <c r="G30" s="45"/>
      <c r="H30" s="45"/>
      <c r="I30" s="9"/>
    </row>
    <row r="31" spans="1:9">
      <c r="A31" s="45"/>
      <c r="B31" s="45"/>
      <c r="C31" s="45"/>
      <c r="D31" s="45"/>
      <c r="E31" s="45"/>
      <c r="F31" s="45"/>
      <c r="G31" s="45"/>
      <c r="H31" s="45"/>
      <c r="I31" s="9"/>
    </row>
    <row r="32" spans="1:9">
      <c r="A32" s="131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01 September 2025 - 30 September 2025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40.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September 2025</v>
      </c>
      <c r="B44" s="171"/>
      <c r="C44" s="172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15.75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42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8.5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0.2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0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f>(((Forecast_1!E131+Forecast_1!E158+Forecast_1!E185))+SUM(E118+E145+E172))-Forecast_1!C112</f>
        <v>0</v>
      </c>
      <c r="D98" s="45"/>
      <c r="E98" s="50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f>((((Forecast_1!E133+Forecast_1!E160+Forecast_1!E187)))-SUM(E120+E147+E174))-Forecast_1!C114</f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3"/>
      <c r="F102" s="45"/>
      <c r="G102" s="45"/>
      <c r="H102" s="45"/>
      <c r="I102" s="9"/>
    </row>
    <row r="103" spans="1:9">
      <c r="A103" s="18" t="s">
        <v>92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93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94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95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96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97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01 2025 to July 31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83" t="str">
        <f>"Balance Brought Forward From " &amp; IF(Main!B2,TEXT(EDATE(Main!B3,3)-1,"mmmm yyyy"),TEXT(Main!B3+((Main!B5-Main!B3)*3+3),"mmmm yyyy"))</f>
        <v>Balance Brought Forward From June 2025</v>
      </c>
      <c r="B116" s="84"/>
      <c r="C116" s="160"/>
      <c r="D116" s="160"/>
      <c r="E116" s="31">
        <f>Forecast_1!E203</f>
        <v>0</v>
      </c>
      <c r="F116" s="45"/>
      <c r="G116" s="45"/>
      <c r="H116" s="51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9.2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9.2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9.2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9.2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40.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01 2025 to August 31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IF(Main!B2,TEXT(EDATE(Main!B3,4)-1,"mmmm yyyy"),TEXT(Main!B3+((Main!B5-Main!B3)*4+3),"mmmm yyyy"))</f>
        <v>Balance Brought Forward From July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01 2025 to September 30 2025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IF(Main!B2,TEXT(EDATE(Main!B3,5)-1,"mmmm yyyy"),TEXT(Main!B3+((Main!B5-Main!B3)*5+4),"mmmm yyyy"))</f>
        <v>Balance Brought Forward From August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mergeCells count="173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A169:B169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68:E168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A117:B134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59" workbookViewId="0">
      <selection activeCell="C90" sqref="C90:C92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7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December 2025</v>
      </c>
      <c r="B1" s="179"/>
      <c r="C1" s="179"/>
      <c r="D1" s="179"/>
      <c r="E1" s="179"/>
      <c r="F1" s="179"/>
      <c r="G1" s="179"/>
    </row>
    <row r="2" spans="1:9" ht="30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30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</row>
    <row r="4" spans="1:9" ht="30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30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31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01 October 2025 - 31 October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30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30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30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30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30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30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30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30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31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01 November 2025 - 30 November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30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30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30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30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30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30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30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30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31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01 December 2025 - 31 December 2025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30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30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30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30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30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30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30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30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December 2025</v>
      </c>
      <c r="B44" s="171"/>
      <c r="C44" s="172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30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50.2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30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30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0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0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75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92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93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94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95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96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98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01 2025 to October 31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30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30" customHeight="1">
      <c r="A116" s="95" t="str">
        <f>"Balance Brought Forward From " &amp;  IF(Main!B2,TEXT(EDATE(Main!B3,6)-1,"mmmm yyyy"),TEXT(Main!B3+((Main!B5-Main!B3)*6+5),"mmmm yyyy"))</f>
        <v>Balance Brought Forward From September 2025</v>
      </c>
      <c r="B116" s="96"/>
      <c r="C116" s="160"/>
      <c r="D116" s="160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30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30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30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30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30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30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30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30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30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30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30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30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30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30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30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30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30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30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30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98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01 2025 to November 30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30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30" customHeight="1">
      <c r="A143" s="95" t="str">
        <f>"Balance Brought Forward From " &amp; IF(Main!B2,TEXT(EDATE(Main!B3,7)-1,"mmmm yyyy"),TEXT(Main!B3+((Main!B5-Main!B3)*7+6),"mmmm yyyy"))</f>
        <v>Balance Brought Forward From October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30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30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30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30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30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30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30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30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30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30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30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30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30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30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30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30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30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30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30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30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98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01 2025 to December 31 2025</v>
      </c>
      <c r="B168" s="99"/>
      <c r="C168" s="99"/>
      <c r="D168" s="99"/>
      <c r="E168" s="100"/>
      <c r="F168" s="45"/>
      <c r="G168" s="45"/>
      <c r="H168" s="45"/>
      <c r="I168" s="9"/>
    </row>
    <row r="169" spans="1:9" ht="30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30" customHeight="1">
      <c r="A170" s="95" t="str">
        <f>"Balance Brought Forward From " &amp;  IF(Main!B2,TEXT(EDATE(Main!B3,8)-1,"mmmm yyyy"),TEXT(Main!B3+((Main!B5-Main!B3)*8+7),"mmmm yyyy"))</f>
        <v>Balance Brought Forward From November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30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30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30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30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30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30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30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30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30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30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30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30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30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30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30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30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30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30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30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161" workbookViewId="0">
      <selection activeCell="A117" sqref="A117:B134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7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March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01 January 2026 - 31 January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01 February 2026 - 28 February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01 March 2026 - 31 March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March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01 2026 to January 31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IF(Main!B2,TEXT(EDATE(Main!B3,9)-1,"mmmm yyyy"),TEXT(Main!B3+((Main!B5-Main!B3)*9+8),"mmmm yyyy"))</f>
        <v>Balance Brought Forward From December 2025</v>
      </c>
      <c r="B116" s="96"/>
      <c r="C116" s="160"/>
      <c r="D116" s="160"/>
      <c r="E116" s="52">
        <f>Forecast_3!E190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01 2026 to February 28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IF(Main!B2,TEXT(EDATE(Main!B3,10)-1,"mmmm yyyy"),TEXT(Main!B3+((Main!B5-Main!B3)*10+9),"mmmm yyyy"))</f>
        <v>Balance Brought Forward From January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01 2026 to March 31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IF(Main!B2,TEXT(EDATE(Main!B3,11)-1,"mmmm yyyy"),TEXT(Main!B3+((Main!B5-Main!B3)*11+10),"mmmm yyyy"))</f>
        <v>Balance Brought Forward From February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10" workbookViewId="0">
      <selection activeCell="A117" sqref="A117:B134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7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June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01 April 2026 - 30 April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01 May 2026 - 31 May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01 June 2026 - 30 June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June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01 2026 to April 30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IF(Main!B2,TEXT(EDATE(Main!B3,12)-1,"mmmm yyyy"),TEXT(Main!B3+((Main!B5-Main!B3)*12+11),"mmmm yyyy"))</f>
        <v>Balance Brought Forward From March 2026</v>
      </c>
      <c r="B116" s="96"/>
      <c r="C116" s="160"/>
      <c r="D116" s="160"/>
      <c r="E116" s="52">
        <f>Forecast_4!E190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01 2026 to May 31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IF(Main!B2,TEXT(EDATE(Main!B3,13)-1,"mmmm yyyy"),TEXT(Main!B3+((Main!B5-Main!B3)*13+12),"mmmm yyyy"))</f>
        <v>Balance Brought Forward From April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01 2026 to June 30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IF(Main!B2,TEXT(EDATE(Main!B3,14)-1,"mmmm yyyy"),TEXT(Main!B3+((Main!B5-Main!B3)*14+13),"mmmm yyyy"))</f>
        <v>Balance Brought Forward From May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106" workbookViewId="0">
      <selection activeCell="A117" sqref="A117:B134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7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September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01 July 2026 - 31 July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01 August 2026 - 31 August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01 September 2026 - 30 September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September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01 2026 to July 31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IF(Main!B2,TEXT(EDATE(Main!B3,15)-1,"mmmm yyyy"),TEXT(Main!B3+((Main!B5-Main!B3)*15+14),"mmmm yyyy"))</f>
        <v>Balance Brought Forward From June 2026</v>
      </c>
      <c r="B116" s="96"/>
      <c r="C116" s="160"/>
      <c r="D116" s="160"/>
      <c r="E116" s="52">
        <f>Forecast_5!E190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01 2026 to August 31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IF(Main!B2,TEXT(EDATE(Main!B3,16)-1,"mmmm yyyy"),TEXT(Main!B3+((Main!B5-Main!B3)*16+15),"mmmm yyyy"))</f>
        <v>Balance Brought Forward From July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01 2026 to September 30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IF(Main!B2,TEXT(EDATE(Main!B3,17)-1,"mmmm yyyy"),TEXT(Main!B3+((Main!B5-Main!B3)*17+16),"mmmm yyyy"))</f>
        <v>Balance Brought Forward From August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07" workbookViewId="0">
      <selection activeCell="A117" sqref="A117:B1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7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December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8.5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01 October 2026 - 31 October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01 November 2026 - 30 November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01 December 2026 - 31 December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December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48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01 2026 to October 31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IF(Main!B2,TEXT(EDATE(Main!B3,18)-1,"mmmm yyyy"),TEXT(Main!B3+((Main!B5-Main!B3)*18+17),"mmmm yyyy"))</f>
        <v>Balance Brought Forward From September 2026</v>
      </c>
      <c r="B116" s="96"/>
      <c r="C116" s="160"/>
      <c r="D116" s="160"/>
      <c r="E116" s="52">
        <f>Forecast_6!E190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01 2026 to November 30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IF(Main!B2,TEXT(EDATE(Main!B3,19)-1,"mmmm yyyy"),TEXT(Main!B3+((Main!B5-Main!B3)*19+18),"mmmm yyyy"))</f>
        <v>Balance Brought Forward From October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01 2026 to December 31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IF(Main!B2,TEXT(EDATE(Main!B3,20)-1,"mmmm yyyy"),TEXT(Main!B3+((Main!B5-Main!B3)*20+19),"mmmm yyyy"))</f>
        <v>Balance Brought Forward From November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105" workbookViewId="0">
      <selection activeCell="A117" sqref="A117:B134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7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March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01 January 2027 - 31 January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01 February 2027 - 28 February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01 March 2027 - 31 March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March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01 2027 to January 31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IF(Main!B2,TEXT(EDATE(Main!B3,21)-1,"mmmm yyyy"),TEXT(Main!B3+((Main!B5-Main!B3)*21+20),"mmmm yyyy"))</f>
        <v>Balance Brought Forward From December 2026</v>
      </c>
      <c r="B116" s="96"/>
      <c r="C116" s="160"/>
      <c r="D116" s="160"/>
      <c r="E116" s="52">
        <f>Forecast_7!E190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01 2027 to February 28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IF(Main!B2,TEXT(EDATE(Main!B3,22)-1,"mmmm yyyy"),TEXT(Main!B3+((Main!B5-Main!B3)*22+21),"mmmm yyyy"))</f>
        <v>Balance Brought Forward From January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01 2027 to March 31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IF(Main!B2,TEXT(EDATE(Main!B3,23)-1,"mmmm yyyy"),TEXT(Main!B3+((Main!B5-Main!B3)*23+22),"mmmm yyyy"))</f>
        <v>Balance Brought Forward From February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106" workbookViewId="0">
      <selection activeCell="A117" sqref="A117:B134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7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June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01 April 2027 - 30 April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01 May 2027 - 31 May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01 June 2027 - 30 June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June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01 2027 to April 30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IF(Main!B2,TEXT(EDATE(Main!B3,24)-1,"mmmm yyyy"),TEXT(Main!B3+((Main!B5-Main!B3)*24+23),"mmmm yyyy"))</f>
        <v>Balance Brought Forward From March 2027</v>
      </c>
      <c r="B116" s="96"/>
      <c r="C116" s="160"/>
      <c r="D116" s="160"/>
      <c r="E116" s="52">
        <f>Forecast_8!E190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01 2027 to May 31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IF(Main!B2,TEXT(EDATE(Main!B3,25)-1,"mmmm yyyy"),TEXT(Main!B3+((Main!B5-Main!B3)*25+24),"mmmm yyyy"))</f>
        <v>Balance Brought Forward From April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01 2027 to June 30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IF(Main!B2,TEXT(EDATE(Main!B3,26)-1,"mmmm yyyy"),TEXT(Main!B3+((Main!B5-Main!B3)*26+25),"mmmm yyyy"))</f>
        <v>Balance Brought Forward From May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06" workbookViewId="0">
      <selection activeCell="A117" sqref="A117:B134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7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September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01 July 2027 - 31 July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01 August 2027 - 31 August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01 September 2027 - 30 September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September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01 2027 to July 31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IF(Main!B2,TEXT(EDATE(Main!B3,27)-1,"mmmm yyyy"),TEXT(Main!B3+((Main!B5-Main!B3)*27+26),"mmmm yyyy"))</f>
        <v>Balance Brought Forward From June 2027</v>
      </c>
      <c r="B116" s="96"/>
      <c r="C116" s="160"/>
      <c r="D116" s="160"/>
      <c r="E116" s="52">
        <f>Forecast_9!E190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01 2027 to August 31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IF(Main!B2,TEXT(EDATE(Main!B3,28)-1,"mmmm yyyy"),TEXT(Main!B3+((Main!B5-Main!B3)*28+27),"mmmm yyyy"))</f>
        <v>Balance Brought Forward From July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01 2027 to September 30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IF(Main!B2,TEXT(EDATE(Main!B3,29)-1,"mmmm yyyy"),TEXT(Main!B3+((Main!B5-Main!B3)*29+28),"mmmm yyyy"))</f>
        <v>Balance Brought Forward From August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02" workbookViewId="0">
      <selection activeCell="A117" sqref="A117:B134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7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December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01 October 2027 - 31 October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01 November 2027 - 30 November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01 December 2027 - 31 December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December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55.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01 2027 to October 31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IF(Main!B2,TEXT(EDATE(Main!B3,30)-1,"mmmm yyyy"),TEXT(Main!B3+((Main!B5-Main!B3)*30+29),"mmmm yyyy"))</f>
        <v>Balance Brought Forward From September 2027</v>
      </c>
      <c r="B116" s="96"/>
      <c r="C116" s="160"/>
      <c r="D116" s="160"/>
      <c r="E116" s="52">
        <f>Forecast_10!E190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01 2027 to November 30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IF(Main!B2,TEXT(EDATE(Main!B3,31)-1,"mmmm yyyy"),TEXT(Main!B3+((Main!B5-Main!B3)*31+30),"mmmm yyyy"))</f>
        <v>Balance Brought Forward From October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01 2027 to December 31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IF(Main!B2,TEXT(EDATE(Main!B3,32)-1,"mmmm yyyy"),TEXT(Main!B3+((Main!B5-Main!B3)*32+31),"mmmm yyyy"))</f>
        <v>Balance Brought Forward From November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06" workbookViewId="0">
      <selection activeCell="A117" sqref="A117:B134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7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March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01 January 2028 - 31 January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01 February 2028 - 29 February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01 March 2028 - 31 March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March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01 2028 to January 31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IF(Main!B2,TEXT(EDATE(Main!B3,33)-1,"mmmm yyyy"),TEXT(Main!B3+((Main!B5-Main!B3)*33+32),"mmmm yyyy"))</f>
        <v>Balance Brought Forward From December 2027</v>
      </c>
      <c r="B116" s="96"/>
      <c r="C116" s="160"/>
      <c r="D116" s="160"/>
      <c r="E116" s="52">
        <f>Forecast_11!E190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01 2028 to February 29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IF(Main!B2,TEXT(EDATE(Main!B3,34)-1,"mmmm yyyy"),TEXT(Main!B3+((Main!B5-Main!B3)*34+33),"mmmm yyyy"))</f>
        <v>Balance Brought Forward From January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01 2028 to March 31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IF(Main!B2,TEXT(EDATE(Main!B3,35)-1,"mmmm yyyy"),TEXT(Main!B3+((Main!B5-Main!B3)*35+34),"mmmm yyyy"))</f>
        <v>Balance Brought Forward From February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03" workbookViewId="0">
      <selection activeCell="A117" sqref="A117:B134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7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June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01 April 2028 - 30 April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01 May 2028 - 31 May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01 June 2028 - 30 June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June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01 2028 to April 30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IF(Main!B2,TEXT(EDATE(Main!B3,37)-1,"mmmm yyyy"),TEXT(Main!B3+((Main!B5-Main!B3)*37+36),"mmmm yyyy"))</f>
        <v>Balance Brought Forward From April 2028</v>
      </c>
      <c r="B116" s="96"/>
      <c r="C116" s="160"/>
      <c r="D116" s="160"/>
      <c r="E116" s="52">
        <f>Forecast_12!E190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01 2028 to May 31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IF(Main!B2,TEXT(EDATE(Main!B3,37)-1,"mmmm yyyy"),TEXT(Main!B3+((Main!B5-Main!B3)*37+36),"mmmm yyyy"))</f>
        <v>Balance Brought Forward From April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01 2028 to June 30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IF(Main!B2,TEXT(EDATE(Main!B3,38)-1,"mmmm yyyy"),TEXT(Main!B3+((Main!B5-Main!B3)*38+37),"mmmm yyyy"))</f>
        <v>Balance Brought Forward From May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09" workbookViewId="0">
      <selection activeCell="A117" sqref="A117:B134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7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September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01 July 2028 - 31 July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01 August 2028 - 31 August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01 September 2028 - 30 September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September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01 2028 to July 31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IF(Main!B2,TEXT(EDATE(Main!B3,39)-1,"mmmm yyyy"),TEXT(Main!B3+((Main!B5-Main!B3)*39+38),"mmmm yyyy"))</f>
        <v>Balance Brought Forward From June 2028</v>
      </c>
      <c r="B116" s="96"/>
      <c r="C116" s="160"/>
      <c r="D116" s="160"/>
      <c r="E116" s="52">
        <f>Forecast_13!E190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01 2028 to August 31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IF(Main!B2,TEXT(EDATE(Main!B3,40)-1,"mmmm yyyy"),TEXT(Main!B3+((Main!B5-Main!B3)*40+39),"mmmm yyyy"))</f>
        <v>Balance Brought Forward From July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01 2028 to September 30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IF(Main!B2,TEXT(EDATE(Main!B3,41)-1,"mmmm yyyy"),TEXT(Main!B3+((Main!B5-Main!B3)*41+40),"mmmm yyyy"))</f>
        <v>Balance Brought Forward From August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04" workbookViewId="0">
      <selection activeCell="A117" sqref="A117:B134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7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December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01 October 2028 - 31 October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01 November 2028 - 30 November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01 December 2028 - 31 December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December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01 2028 to October 31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IF(Main!B2,TEXT(EDATE(Main!B3,42)-1,"mmmm yyyy"),TEXT(Main!B3+((Main!B5-Main!B3)*42+41),"mmmm yyyy"))</f>
        <v>Balance Brought Forward From September 2028</v>
      </c>
      <c r="B116" s="96"/>
      <c r="C116" s="160"/>
      <c r="D116" s="160"/>
      <c r="E116" s="52">
        <f>Forecast_14!E190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01 2028 to November 30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IF(Main!B2,TEXT(EDATE(Main!B3,43)-1,"mmmm yyyy"),TEXT(Main!B3+((Main!B5-Main!B3)*43+42),"mmmm yyyy"))</f>
        <v>Balance Brought Forward From October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01 2028 to December 31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IF(Main!B2,TEXT(EDATE(Main!B3,44)-1,"mmmm yyyy"),TEXT(Main!B3+((Main!B5-Main!B3)*44+43),"mmmm yyyy"))</f>
        <v>Balance Brought Forward From November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abSelected="1" topLeftCell="A153" workbookViewId="0">
      <selection activeCell="C126" sqref="C126:D126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7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March 2029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01 January 2029 - 31 January 2029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0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01 February 2029 - 28 February 2029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0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01 March 2029 - 31 March 2029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0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March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1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40.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5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01 2029 to January 31 2029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IF(Main!B2,TEXT(EDATE(Main!B3,45)-1,"mmmm yyyy"),TEXT(Main!B3+((Main!B5-Main!B3)*45+44),"mmmm yyyy"))</f>
        <v>Balance Brought Forward From December 2028</v>
      </c>
      <c r="B116" s="96"/>
      <c r="C116" s="160"/>
      <c r="D116" s="160"/>
      <c r="E116" s="52">
        <f>Forecast_15!E190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01 2029 to February 28 2029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IF(Main!B2,TEXT(EDATE(Main!B3,46)-1,"mmmm yyyy"),TEXT(Main!B3+((Main!B5-Main!B3)*46+45),"mmmm yyyy"))</f>
        <v>Balance Brought Forward From January 2029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01 2029 to March 31 2029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IF(Main!B2,TEXT(EDATE(Main!B3,47)-1,"mmmm yyyy"),TEXT(Main!B3+((Main!B5-Main!B3)*47+46),"mmmm yyyy"))</f>
        <v>Balance Brought Forward From February 2029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2025-02-25T02:24:28Z</dcterms:modified>
  <cp:category/>
  <cp:contentStatus/>
</cp:coreProperties>
</file>