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15" windowHeight="10575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Z2" authorId="0">
      <text>
        <r>
          <rPr>
            <sz val="9"/>
            <rFont val="宋体"/>
            <charset val="134"/>
          </rPr>
          <t xml:space="preserve">指入职一年后开始计算
</t>
        </r>
      </text>
    </comment>
    <comment ref="Q13" authorId="0">
      <text>
        <r>
          <rPr>
            <b/>
            <sz val="9"/>
            <rFont val="宋体"/>
            <charset val="134"/>
          </rPr>
          <t>按校长带课绩效核算</t>
        </r>
      </text>
    </comment>
    <comment ref="Q15" authorId="0">
      <text>
        <r>
          <rPr>
            <b/>
            <sz val="9"/>
            <rFont val="宋体"/>
            <charset val="134"/>
          </rPr>
          <t>按校长带课绩效核算</t>
        </r>
      </text>
    </comment>
  </commentList>
</comments>
</file>

<file path=xl/sharedStrings.xml><?xml version="1.0" encoding="utf-8"?>
<sst xmlns="http://schemas.openxmlformats.org/spreadsheetml/2006/main" count="157">
  <si>
    <t>序号</t>
  </si>
  <si>
    <t>大部门</t>
  </si>
  <si>
    <t>部门</t>
  </si>
  <si>
    <t>姓名</t>
  </si>
  <si>
    <t>入职日期</t>
  </si>
  <si>
    <t>岗位</t>
  </si>
  <si>
    <t>层级</t>
  </si>
  <si>
    <t>职级</t>
  </si>
  <si>
    <t>拟定薪级(修改)</t>
  </si>
  <si>
    <t>备注</t>
  </si>
  <si>
    <t>（与组织架构上的岗位匹配）</t>
  </si>
  <si>
    <t>业务系数</t>
  </si>
  <si>
    <t>校区系数</t>
  </si>
  <si>
    <t>区域系数</t>
  </si>
  <si>
    <r>
      <rPr>
        <sz val="10"/>
        <rFont val="宋体"/>
        <charset val="134"/>
      </rPr>
      <t>职级保底</t>
    </r>
  </si>
  <si>
    <t>新保底</t>
  </si>
  <si>
    <t>岗位工资40%</t>
  </si>
  <si>
    <t>基本工资30%</t>
  </si>
  <si>
    <t>绩效工资30%</t>
  </si>
  <si>
    <t>OKR考核系数          （上季）</t>
  </si>
  <si>
    <r>
      <rPr>
        <sz val="10"/>
        <rFont val="Arial"/>
        <charset val="0"/>
      </rPr>
      <t>OKR</t>
    </r>
    <r>
      <rPr>
        <sz val="10"/>
        <rFont val="微软雅黑"/>
        <charset val="134"/>
      </rPr>
      <t>考核绩效工资</t>
    </r>
  </si>
  <si>
    <r>
      <rPr>
        <sz val="10"/>
        <color indexed="10"/>
        <rFont val="宋体"/>
        <charset val="134"/>
      </rPr>
      <t>保底年薪</t>
    </r>
  </si>
  <si>
    <t>莞城年收入</t>
  </si>
  <si>
    <t>级别比例</t>
  </si>
  <si>
    <t>年度管理奖金</t>
  </si>
  <si>
    <t>月均管理奖金</t>
  </si>
  <si>
    <t>本年增加公司数</t>
  </si>
  <si>
    <t>新增公司      增加级别工资</t>
  </si>
  <si>
    <t>新增公司      工资          [封顶值]</t>
  </si>
  <si>
    <t>新增公司工资</t>
  </si>
  <si>
    <t>年底双薪（按2年）</t>
  </si>
  <si>
    <t>考核系数（年）</t>
  </si>
  <si>
    <t>集团利润10%（新历年度）</t>
  </si>
  <si>
    <t>年终管理奖金平均系数</t>
  </si>
  <si>
    <t>年终管理奖金</t>
  </si>
  <si>
    <t>集团分红奖金（去年）</t>
  </si>
  <si>
    <r>
      <rPr>
        <sz val="10"/>
        <rFont val="宋体"/>
        <charset val="134"/>
      </rPr>
      <t>预算</t>
    </r>
    <r>
      <rPr>
        <sz val="10"/>
        <rFont val="微软雅黑"/>
        <charset val="134"/>
      </rPr>
      <t>新</t>
    </r>
    <r>
      <rPr>
        <sz val="10"/>
        <rFont val="宋体"/>
        <charset val="134"/>
      </rPr>
      <t>年薪</t>
    </r>
  </si>
  <si>
    <r>
      <rPr>
        <sz val="10"/>
        <rFont val="微软雅黑"/>
        <charset val="134"/>
      </rPr>
      <t>旧</t>
    </r>
    <r>
      <rPr>
        <sz val="10"/>
        <rFont val="宋体"/>
        <charset val="134"/>
      </rPr>
      <t>年薪</t>
    </r>
  </si>
  <si>
    <r>
      <rPr>
        <sz val="10"/>
        <rFont val="宋体"/>
        <charset val="134"/>
      </rPr>
      <t>新旧差</t>
    </r>
  </si>
  <si>
    <t>涨幅</t>
  </si>
  <si>
    <t>新月工资</t>
  </si>
  <si>
    <t>最近一年平均</t>
  </si>
  <si>
    <t>新-旧</t>
  </si>
  <si>
    <t>多维教育集团</t>
  </si>
  <si>
    <t>财务法务中心</t>
  </si>
  <si>
    <t>王福楠</t>
  </si>
  <si>
    <t>2014-06-01</t>
  </si>
  <si>
    <t>财务总监</t>
  </si>
  <si>
    <t>高层</t>
  </si>
  <si>
    <t>总监</t>
  </si>
  <si>
    <t>M36</t>
  </si>
  <si>
    <t>运营中心</t>
  </si>
  <si>
    <t>黄静</t>
  </si>
  <si>
    <t>2017-04-28</t>
  </si>
  <si>
    <t>运营总监</t>
  </si>
  <si>
    <t>集团管理中心</t>
  </si>
  <si>
    <t>尔遇书院</t>
  </si>
  <si>
    <t>石长青</t>
  </si>
  <si>
    <t>2018-05-01</t>
  </si>
  <si>
    <t>尔遇书院院长</t>
  </si>
  <si>
    <t>中层</t>
  </si>
  <si>
    <t>经理</t>
  </si>
  <si>
    <t>M30</t>
  </si>
  <si>
    <t>培训学院</t>
  </si>
  <si>
    <t>刘旭红</t>
  </si>
  <si>
    <t>2012-01-31</t>
  </si>
  <si>
    <t>培训学院执行院长</t>
  </si>
  <si>
    <t>综合事务部</t>
  </si>
  <si>
    <t>郑永英</t>
  </si>
  <si>
    <t>2010-04-05</t>
  </si>
  <si>
    <t>综合事务部经理</t>
  </si>
  <si>
    <t>贝米事业部</t>
  </si>
  <si>
    <t>运营部</t>
  </si>
  <si>
    <t>陈嘉莹</t>
  </si>
  <si>
    <t>2014-08-15</t>
  </si>
  <si>
    <t>贝米事业部运营总监</t>
  </si>
  <si>
    <t>业务总监</t>
  </si>
  <si>
    <t>培优事业部</t>
  </si>
  <si>
    <t>教研部</t>
  </si>
  <si>
    <t>王祖运</t>
  </si>
  <si>
    <t>2013-01-01</t>
  </si>
  <si>
    <t>培优事业部教研部经理</t>
  </si>
  <si>
    <r>
      <rPr>
        <sz val="10"/>
        <rFont val="宋体"/>
        <charset val="134"/>
      </rPr>
      <t>在东城有带课，每月</t>
    </r>
    <r>
      <rPr>
        <sz val="10"/>
        <rFont val="Arial"/>
        <charset val="0"/>
      </rPr>
      <t>3-4K</t>
    </r>
  </si>
  <si>
    <r>
      <rPr>
        <sz val="10"/>
        <color indexed="10"/>
        <rFont val="宋体"/>
        <charset val="134"/>
      </rPr>
      <t>补</t>
    </r>
    <r>
      <rPr>
        <sz val="10"/>
        <color indexed="10"/>
        <rFont val="Arial"/>
        <charset val="0"/>
      </rPr>
      <t>9</t>
    </r>
    <r>
      <rPr>
        <sz val="10"/>
        <color indexed="10"/>
        <rFont val="宋体"/>
        <charset val="134"/>
      </rPr>
      <t>月，按现在这个级别</t>
    </r>
  </si>
  <si>
    <t>集团行政部</t>
  </si>
  <si>
    <t>苏晓明</t>
  </si>
  <si>
    <t>2010-06-01</t>
  </si>
  <si>
    <t>集团行政部经理</t>
  </si>
  <si>
    <t>M28</t>
  </si>
  <si>
    <t>财务部</t>
  </si>
  <si>
    <t>陈春芳</t>
  </si>
  <si>
    <t>2014-05-16</t>
  </si>
  <si>
    <t>财务部经理</t>
  </si>
  <si>
    <t>科创部</t>
  </si>
  <si>
    <t>张扬</t>
  </si>
  <si>
    <t>2017-02-01</t>
  </si>
  <si>
    <t>科创部经理</t>
  </si>
  <si>
    <t>梁力行</t>
  </si>
  <si>
    <t>2016-11-02</t>
  </si>
  <si>
    <t>培优事业部多维教研平台主任</t>
  </si>
  <si>
    <t>M26</t>
  </si>
  <si>
    <r>
      <rPr>
        <sz val="10"/>
        <rFont val="宋体"/>
        <charset val="134"/>
      </rPr>
      <t>月均绩效</t>
    </r>
    <r>
      <rPr>
        <sz val="10"/>
        <rFont val="Arial"/>
        <charset val="0"/>
      </rPr>
      <t>4500</t>
    </r>
    <r>
      <rPr>
        <sz val="10"/>
        <rFont val="宋体"/>
        <charset val="134"/>
      </rPr>
      <t>元左右需叠加，鼓励上课，最低课酬</t>
    </r>
    <r>
      <rPr>
        <sz val="10"/>
        <rFont val="Arial"/>
        <charset val="0"/>
      </rPr>
      <t>4000</t>
    </r>
    <r>
      <rPr>
        <sz val="10"/>
        <rFont val="宋体"/>
        <charset val="134"/>
      </rPr>
      <t>元</t>
    </r>
  </si>
  <si>
    <t>人力部</t>
  </si>
  <si>
    <t>麦绍垣</t>
  </si>
  <si>
    <t>2015-06-04</t>
  </si>
  <si>
    <t>培优事业部人力部经理</t>
  </si>
  <si>
    <t>新晋经理</t>
  </si>
  <si>
    <t>总校办</t>
  </si>
  <si>
    <t>方旭辉</t>
  </si>
  <si>
    <t>2011-11-27</t>
  </si>
  <si>
    <t>培优事业部项目校长</t>
  </si>
  <si>
    <t>项目校长</t>
  </si>
  <si>
    <t>M27</t>
  </si>
  <si>
    <t>尔遇书店</t>
  </si>
  <si>
    <t>吴悦</t>
  </si>
  <si>
    <t>2016-12-01</t>
  </si>
  <si>
    <t>尔遇书店经理</t>
  </si>
  <si>
    <t>M24</t>
  </si>
  <si>
    <t>恒胜派遣项目</t>
  </si>
  <si>
    <t>罗明勤</t>
  </si>
  <si>
    <t>2017-09-01</t>
  </si>
  <si>
    <t>恒胜派遣项目经理</t>
  </si>
  <si>
    <t>M23</t>
  </si>
  <si>
    <t>综合部</t>
  </si>
  <si>
    <t>荣峰</t>
  </si>
  <si>
    <t>2015-04-01</t>
  </si>
  <si>
    <t>综合部经理</t>
  </si>
  <si>
    <t>总园办</t>
  </si>
  <si>
    <t>吴肖玲</t>
  </si>
  <si>
    <t>总园办主任</t>
  </si>
  <si>
    <t>M22</t>
  </si>
  <si>
    <r>
      <rPr>
        <sz val="10"/>
        <rFont val="宋体"/>
        <charset val="134"/>
      </rPr>
      <t>幼儿园发放</t>
    </r>
    <r>
      <rPr>
        <sz val="10"/>
        <rFont val="Arial"/>
        <charset val="0"/>
      </rPr>
      <t>4500</t>
    </r>
    <r>
      <rPr>
        <sz val="10"/>
        <rFont val="宋体"/>
        <charset val="134"/>
      </rPr>
      <t>，发放时贝米优需剥离</t>
    </r>
  </si>
  <si>
    <r>
      <rPr>
        <sz val="10"/>
        <rFont val="宋体"/>
        <charset val="134"/>
      </rPr>
      <t>IT</t>
    </r>
    <r>
      <rPr>
        <sz val="10"/>
        <rFont val="宋体"/>
        <charset val="134"/>
      </rPr>
      <t>部</t>
    </r>
  </si>
  <si>
    <t>徐熠正</t>
  </si>
  <si>
    <t>2016-09-07</t>
  </si>
  <si>
    <r>
      <rPr>
        <sz val="10"/>
        <rFont val="Arial"/>
        <charset val="0"/>
      </rPr>
      <t>IT</t>
    </r>
    <r>
      <rPr>
        <sz val="10"/>
        <rFont val="宋体"/>
        <charset val="134"/>
      </rPr>
      <t>部主任（主持工作）</t>
    </r>
  </si>
  <si>
    <t>主任</t>
  </si>
  <si>
    <t>M20</t>
  </si>
  <si>
    <t>与校区中心主任持平</t>
  </si>
  <si>
    <t>企划部</t>
  </si>
  <si>
    <t>温艾敏</t>
  </si>
  <si>
    <t>2016-03-26</t>
  </si>
  <si>
    <t>培优事业部企划部主任（主持工作）</t>
  </si>
  <si>
    <t>曾慧慧</t>
  </si>
  <si>
    <t>2016-11-10</t>
  </si>
  <si>
    <t>培优事业部总校长办公室主任</t>
  </si>
  <si>
    <t>湖南分公司</t>
  </si>
  <si>
    <t>湘潭分校</t>
  </si>
  <si>
    <t>任斌民</t>
  </si>
  <si>
    <t>2018-07-30</t>
  </si>
  <si>
    <t>湖南湘潭培优校区运营总监</t>
  </si>
  <si>
    <t>区域总监</t>
  </si>
  <si>
    <t>深圳职能中心，深圳分校</t>
  </si>
  <si>
    <t>梁吉德</t>
  </si>
  <si>
    <t>2018-05-15</t>
  </si>
  <si>
    <t>区分总校长</t>
  </si>
  <si>
    <t>M34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</si>
</sst>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#,##0.0_);[Red]\(#,##0.0\)"/>
    <numFmt numFmtId="177" formatCode="#,##0.0_ "/>
    <numFmt numFmtId="178" formatCode="#,##0_);[Red]\(#,##0\)"/>
    <numFmt numFmtId="179" formatCode="#,##0_ "/>
    <numFmt numFmtId="180" formatCode="#,##0.00_ "/>
  </numFmts>
  <fonts count="33">
    <font>
      <sz val="11"/>
      <color theme="1"/>
      <name val="宋体"/>
      <charset val="134"/>
      <scheme val="minor"/>
    </font>
    <font>
      <sz val="10"/>
      <name val="Arial"/>
      <charset val="0"/>
    </font>
    <font>
      <sz val="10"/>
      <color rgb="FFFF0000"/>
      <name val="Arial"/>
      <charset val="0"/>
    </font>
    <font>
      <b/>
      <sz val="11"/>
      <name val="宋体"/>
      <charset val="134"/>
    </font>
    <font>
      <sz val="10"/>
      <name val="宋体"/>
      <charset val="134"/>
    </font>
    <font>
      <b/>
      <sz val="9"/>
      <color indexed="0"/>
      <name val="黑体"/>
      <charset val="134"/>
    </font>
    <font>
      <sz val="10"/>
      <color rgb="FFFF0000"/>
      <name val="宋体"/>
      <charset val="134"/>
    </font>
    <font>
      <b/>
      <sz val="9"/>
      <color rgb="FFFF0000"/>
      <name val="黑体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8"/>
      <name val="Arial"/>
      <charset val="0"/>
    </font>
    <font>
      <b/>
      <sz val="10"/>
      <color rgb="FFFF0000"/>
      <name val="Arial"/>
      <charset val="0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0"/>
      <color indexed="10"/>
      <name val="宋体"/>
      <charset val="134"/>
    </font>
    <font>
      <sz val="10"/>
      <color indexed="10"/>
      <name val="Arial"/>
      <charset val="0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8" fillId="15" borderId="10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178" fontId="1" fillId="2" borderId="0" xfId="8" applyNumberFormat="1" applyFont="1" applyFill="1" applyAlignment="1"/>
    <xf numFmtId="178" fontId="2" fillId="2" borderId="0" xfId="8" applyNumberFormat="1" applyFont="1" applyFill="1" applyAlignment="1"/>
    <xf numFmtId="178" fontId="1" fillId="2" borderId="0" xfId="8" applyNumberFormat="1" applyFont="1" applyFill="1" applyAlignment="1">
      <alignment horizontal="center"/>
    </xf>
    <xf numFmtId="178" fontId="2" fillId="2" borderId="0" xfId="8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0" fontId="4" fillId="2" borderId="2" xfId="0" applyFont="1" applyFill="1" applyBorder="1" applyAlignment="1">
      <alignment wrapText="1"/>
    </xf>
    <xf numFmtId="178" fontId="1" fillId="2" borderId="1" xfId="8" applyNumberFormat="1" applyFont="1" applyFill="1" applyBorder="1" applyAlignment="1">
      <alignment horizontal="center" wrapText="1"/>
    </xf>
    <xf numFmtId="178" fontId="1" fillId="2" borderId="1" xfId="8" applyNumberFormat="1" applyFont="1" applyFill="1" applyBorder="1" applyAlignment="1"/>
    <xf numFmtId="178" fontId="4" fillId="2" borderId="1" xfId="8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178" fontId="2" fillId="2" borderId="1" xfId="8" applyNumberFormat="1" applyFont="1" applyFill="1" applyBorder="1" applyAlignment="1">
      <alignment horizontal="center" wrapText="1"/>
    </xf>
    <xf numFmtId="9" fontId="1" fillId="2" borderId="1" xfId="8" applyNumberFormat="1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178" fontId="8" fillId="2" borderId="1" xfId="8" applyNumberFormat="1" applyFont="1" applyFill="1" applyBorder="1" applyAlignment="1">
      <alignment horizontal="center" wrapText="1"/>
    </xf>
    <xf numFmtId="178" fontId="9" fillId="2" borderId="1" xfId="8" applyNumberFormat="1" applyFont="1" applyFill="1" applyBorder="1" applyAlignment="1">
      <alignment horizontal="center" wrapText="1"/>
    </xf>
    <xf numFmtId="176" fontId="1" fillId="2" borderId="1" xfId="8" applyNumberFormat="1" applyFont="1" applyFill="1" applyBorder="1" applyAlignment="1"/>
    <xf numFmtId="178" fontId="2" fillId="2" borderId="1" xfId="8" applyNumberFormat="1" applyFont="1" applyFill="1" applyBorder="1" applyAlignment="1"/>
    <xf numFmtId="178" fontId="10" fillId="2" borderId="1" xfId="8" applyNumberFormat="1" applyFont="1" applyFill="1" applyBorder="1" applyAlignment="1"/>
    <xf numFmtId="10" fontId="1" fillId="2" borderId="1" xfId="11" applyNumberFormat="1" applyFont="1" applyFill="1" applyBorder="1" applyAlignment="1">
      <alignment horizontal="center"/>
    </xf>
    <xf numFmtId="177" fontId="1" fillId="2" borderId="1" xfId="8" applyNumberFormat="1" applyFont="1" applyFill="1" applyBorder="1" applyAlignment="1">
      <alignment horizontal="center"/>
    </xf>
    <xf numFmtId="179" fontId="2" fillId="2" borderId="1" xfId="8" applyNumberFormat="1" applyFont="1" applyFill="1" applyBorder="1" applyAlignment="1"/>
    <xf numFmtId="0" fontId="2" fillId="2" borderId="0" xfId="0" applyFont="1" applyFill="1" applyBorder="1" applyAlignment="1"/>
    <xf numFmtId="178" fontId="11" fillId="2" borderId="1" xfId="8" applyNumberFormat="1" applyFont="1" applyFill="1" applyBorder="1" applyAlignment="1">
      <alignment horizontal="center"/>
    </xf>
    <xf numFmtId="178" fontId="1" fillId="2" borderId="1" xfId="8" applyNumberFormat="1" applyFont="1" applyFill="1" applyBorder="1" applyAlignment="1">
      <alignment horizontal="center"/>
    </xf>
    <xf numFmtId="179" fontId="1" fillId="2" borderId="1" xfId="8" applyNumberFormat="1" applyFont="1" applyFill="1" applyBorder="1" applyAlignment="1"/>
    <xf numFmtId="0" fontId="2" fillId="2" borderId="0" xfId="0" applyFont="1" applyFill="1" applyBorder="1" applyAlignment="1">
      <alignment horizontal="center"/>
    </xf>
    <xf numFmtId="9" fontId="2" fillId="2" borderId="1" xfId="11" applyNumberFormat="1" applyFont="1" applyFill="1" applyBorder="1" applyAlignment="1">
      <alignment horizontal="center" wrapText="1"/>
    </xf>
    <xf numFmtId="180" fontId="1" fillId="2" borderId="1" xfId="8" applyNumberFormat="1" applyFont="1" applyFill="1" applyBorder="1" applyAlignment="1">
      <alignment horizontal="center"/>
    </xf>
    <xf numFmtId="9" fontId="1" fillId="2" borderId="1" xfId="11" applyNumberFormat="1" applyFont="1" applyFill="1" applyBorder="1" applyAlignment="1"/>
    <xf numFmtId="9" fontId="1" fillId="2" borderId="1" xfId="11" applyNumberFormat="1" applyFont="1" applyFill="1" applyBorder="1" applyAlignment="1">
      <alignment horizontal="center" wrapText="1"/>
    </xf>
    <xf numFmtId="178" fontId="1" fillId="2" borderId="1" xfId="0" applyNumberFormat="1" applyFont="1" applyFill="1" applyBorder="1" applyAlignment="1"/>
    <xf numFmtId="0" fontId="4" fillId="2" borderId="0" xfId="0" applyFont="1" applyFill="1" applyBorder="1" applyAlignment="1"/>
    <xf numFmtId="178" fontId="1" fillId="2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191;&#34892;&#29256;&#32844;&#33021;&#31649;&#29702;&#22871;&#32423;&#34920;&#65288;M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方案二 职能管理套级表（M）"/>
      <sheetName val="职能管理职级薪级表"/>
      <sheetName val="几大模块负责人"/>
      <sheetName val="绩效月预算"/>
      <sheetName val="张文都"/>
      <sheetName val="蔡罗"/>
      <sheetName val="初中部目标"/>
      <sheetName val="业务系数"/>
      <sheetName val="校区系数"/>
      <sheetName val="地区系数"/>
      <sheetName val="套级表（管理 干部总表）"/>
      <sheetName val="套级表（职能管理部门级以上）"/>
      <sheetName val="套级表（校区管理中心主任以上）"/>
      <sheetName val="校区管理职级薪级表"/>
      <sheetName val="莞城收入"/>
      <sheetName val="做法"/>
    </sheetNames>
    <sheetDataSet>
      <sheetData sheetId="0">
        <row r="5">
          <cell r="AF5">
            <v>1140000</v>
          </cell>
        </row>
        <row r="6">
          <cell r="AF6">
            <v>1140000</v>
          </cell>
        </row>
        <row r="7">
          <cell r="AF7">
            <v>1140000</v>
          </cell>
        </row>
        <row r="8">
          <cell r="AF8">
            <v>1140000</v>
          </cell>
        </row>
        <row r="9">
          <cell r="AF9">
            <v>1140000</v>
          </cell>
        </row>
        <row r="11">
          <cell r="AF11">
            <v>1140000</v>
          </cell>
        </row>
        <row r="12">
          <cell r="AF12">
            <v>1140000</v>
          </cell>
        </row>
        <row r="13">
          <cell r="AF13">
            <v>1140000</v>
          </cell>
        </row>
        <row r="15">
          <cell r="AF15">
            <v>1140000</v>
          </cell>
        </row>
        <row r="16">
          <cell r="AF16">
            <v>1140000</v>
          </cell>
        </row>
        <row r="19">
          <cell r="AF19">
            <v>1140000</v>
          </cell>
        </row>
        <row r="21">
          <cell r="AF21">
            <v>1140000</v>
          </cell>
        </row>
        <row r="22">
          <cell r="AF22">
            <v>1140000</v>
          </cell>
        </row>
        <row r="23">
          <cell r="AF23">
            <v>1140000</v>
          </cell>
        </row>
        <row r="24">
          <cell r="AF24">
            <v>1140000</v>
          </cell>
        </row>
        <row r="26">
          <cell r="AF26">
            <v>1140000</v>
          </cell>
        </row>
        <row r="27">
          <cell r="AF27">
            <v>1140000</v>
          </cell>
        </row>
        <row r="28">
          <cell r="AF28">
            <v>1140000</v>
          </cell>
        </row>
        <row r="33">
          <cell r="AF33">
            <v>1140000</v>
          </cell>
        </row>
        <row r="43">
          <cell r="AF43">
            <v>1140000</v>
          </cell>
        </row>
      </sheetData>
      <sheetData sheetId="1">
        <row r="4">
          <cell r="C4" t="str">
            <v>M44</v>
          </cell>
          <cell r="D4">
            <v>16000</v>
          </cell>
          <cell r="E4">
            <v>12000</v>
          </cell>
          <cell r="F4">
            <v>12000</v>
          </cell>
          <cell r="G4">
            <v>40000</v>
          </cell>
          <cell r="H4" t="str">
            <v>莞城上月收入*提成比例*上季度考核系数</v>
          </cell>
          <cell r="I4">
            <v>0.0045</v>
          </cell>
          <cell r="J4">
            <v>500</v>
          </cell>
          <cell r="K4">
            <v>10000</v>
          </cell>
        </row>
        <row r="5">
          <cell r="C5" t="str">
            <v>M43</v>
          </cell>
          <cell r="D5">
            <v>15200</v>
          </cell>
          <cell r="E5">
            <v>11400</v>
          </cell>
          <cell r="F5">
            <v>11400</v>
          </cell>
          <cell r="G5">
            <v>38000</v>
          </cell>
        </row>
        <row r="5">
          <cell r="I5">
            <v>0.0045</v>
          </cell>
          <cell r="J5">
            <v>500</v>
          </cell>
          <cell r="K5">
            <v>10000</v>
          </cell>
        </row>
        <row r="6">
          <cell r="C6" t="str">
            <v>M42</v>
          </cell>
          <cell r="D6">
            <v>14400</v>
          </cell>
          <cell r="E6">
            <v>10800</v>
          </cell>
          <cell r="F6">
            <v>10800</v>
          </cell>
          <cell r="G6">
            <v>36000</v>
          </cell>
        </row>
        <row r="6">
          <cell r="I6">
            <v>0.004</v>
          </cell>
          <cell r="J6">
            <v>400</v>
          </cell>
          <cell r="K6">
            <v>8000</v>
          </cell>
        </row>
        <row r="7">
          <cell r="C7" t="str">
            <v>M41</v>
          </cell>
          <cell r="D7">
            <v>13600</v>
          </cell>
          <cell r="E7">
            <v>10200</v>
          </cell>
          <cell r="F7">
            <v>10200</v>
          </cell>
          <cell r="G7">
            <v>34000</v>
          </cell>
        </row>
        <row r="7">
          <cell r="I7">
            <v>0.004</v>
          </cell>
          <cell r="J7">
            <v>400</v>
          </cell>
          <cell r="K7">
            <v>8000</v>
          </cell>
        </row>
        <row r="8">
          <cell r="C8" t="str">
            <v>M40</v>
          </cell>
          <cell r="D8">
            <v>12800</v>
          </cell>
          <cell r="E8">
            <v>9600</v>
          </cell>
          <cell r="F8">
            <v>9600</v>
          </cell>
          <cell r="G8">
            <v>32000</v>
          </cell>
        </row>
        <row r="8">
          <cell r="I8">
            <v>0.0035</v>
          </cell>
          <cell r="J8">
            <v>300</v>
          </cell>
          <cell r="K8">
            <v>6000</v>
          </cell>
        </row>
        <row r="9">
          <cell r="C9" t="str">
            <v>M39</v>
          </cell>
          <cell r="D9">
            <v>12000</v>
          </cell>
          <cell r="E9">
            <v>9000</v>
          </cell>
          <cell r="F9">
            <v>9000</v>
          </cell>
          <cell r="G9">
            <v>30000</v>
          </cell>
        </row>
        <row r="9">
          <cell r="I9">
            <v>0.0035</v>
          </cell>
          <cell r="J9">
            <v>300</v>
          </cell>
          <cell r="K9">
            <v>6000</v>
          </cell>
        </row>
        <row r="10">
          <cell r="C10" t="str">
            <v>M38</v>
          </cell>
          <cell r="D10">
            <v>11200</v>
          </cell>
          <cell r="E10">
            <v>8400</v>
          </cell>
          <cell r="F10">
            <v>8400</v>
          </cell>
          <cell r="G10">
            <v>28000</v>
          </cell>
          <cell r="H10" t="str">
            <v>莞城上月收入*提成比例*上季度考核系数</v>
          </cell>
          <cell r="I10">
            <v>0.0025</v>
          </cell>
          <cell r="J10">
            <v>200</v>
          </cell>
          <cell r="K10">
            <v>4000</v>
          </cell>
        </row>
        <row r="11">
          <cell r="C11" t="str">
            <v>M37</v>
          </cell>
          <cell r="D11">
            <v>10400</v>
          </cell>
          <cell r="E11">
            <v>7800</v>
          </cell>
          <cell r="F11">
            <v>7800</v>
          </cell>
          <cell r="G11">
            <v>26000</v>
          </cell>
        </row>
        <row r="11">
          <cell r="I11">
            <v>0.0025</v>
          </cell>
          <cell r="J11">
            <v>200</v>
          </cell>
          <cell r="K11">
            <v>4000</v>
          </cell>
        </row>
        <row r="12">
          <cell r="C12" t="str">
            <v>M36</v>
          </cell>
          <cell r="D12">
            <v>9600</v>
          </cell>
          <cell r="E12">
            <v>7200</v>
          </cell>
          <cell r="F12">
            <v>7200</v>
          </cell>
          <cell r="G12">
            <v>24000</v>
          </cell>
        </row>
        <row r="12">
          <cell r="I12">
            <v>0.0025</v>
          </cell>
          <cell r="J12">
            <v>200</v>
          </cell>
          <cell r="K12">
            <v>4000</v>
          </cell>
        </row>
        <row r="13">
          <cell r="C13" t="str">
            <v>M35</v>
          </cell>
          <cell r="D13">
            <v>8800</v>
          </cell>
          <cell r="E13">
            <v>6600</v>
          </cell>
          <cell r="F13">
            <v>6600</v>
          </cell>
          <cell r="G13">
            <v>22000</v>
          </cell>
        </row>
        <row r="13">
          <cell r="I13">
            <v>0.002</v>
          </cell>
          <cell r="J13">
            <v>200</v>
          </cell>
          <cell r="K13">
            <v>4000</v>
          </cell>
        </row>
        <row r="14">
          <cell r="C14" t="str">
            <v>M34</v>
          </cell>
          <cell r="D14">
            <v>8000</v>
          </cell>
          <cell r="E14">
            <v>6000</v>
          </cell>
          <cell r="F14">
            <v>6000</v>
          </cell>
          <cell r="G14">
            <v>20000</v>
          </cell>
        </row>
        <row r="14">
          <cell r="I14">
            <v>0.002</v>
          </cell>
          <cell r="J14">
            <v>200</v>
          </cell>
          <cell r="K14">
            <v>4000</v>
          </cell>
        </row>
        <row r="15">
          <cell r="C15" t="str">
            <v>M33</v>
          </cell>
          <cell r="D15">
            <v>7200</v>
          </cell>
          <cell r="E15">
            <v>5400</v>
          </cell>
          <cell r="F15">
            <v>5400</v>
          </cell>
          <cell r="G15">
            <v>18000</v>
          </cell>
        </row>
        <row r="15">
          <cell r="I15">
            <v>0.002</v>
          </cell>
          <cell r="J15">
            <v>200</v>
          </cell>
          <cell r="K15">
            <v>4000</v>
          </cell>
        </row>
        <row r="16">
          <cell r="C16" t="str">
            <v>M32</v>
          </cell>
          <cell r="D16">
            <v>6800</v>
          </cell>
          <cell r="E16">
            <v>5100</v>
          </cell>
          <cell r="F16">
            <v>5100</v>
          </cell>
          <cell r="G16">
            <v>17000</v>
          </cell>
          <cell r="H16" t="str">
            <v>莞城上月收入*提成比例*上季度考核系数</v>
          </cell>
          <cell r="I16">
            <v>0.0015</v>
          </cell>
          <cell r="J16">
            <v>100</v>
          </cell>
          <cell r="K16">
            <v>2000</v>
          </cell>
        </row>
        <row r="17">
          <cell r="C17" t="str">
            <v>M31</v>
          </cell>
          <cell r="D17">
            <v>6400</v>
          </cell>
          <cell r="E17">
            <v>4800</v>
          </cell>
          <cell r="F17">
            <v>4800</v>
          </cell>
          <cell r="G17">
            <v>16000</v>
          </cell>
        </row>
        <row r="17">
          <cell r="I17">
            <v>0.0015</v>
          </cell>
          <cell r="J17">
            <v>100</v>
          </cell>
          <cell r="K17">
            <v>2000</v>
          </cell>
        </row>
        <row r="18">
          <cell r="C18" t="str">
            <v>M30</v>
          </cell>
          <cell r="D18">
            <v>5600</v>
          </cell>
          <cell r="E18">
            <v>4200</v>
          </cell>
          <cell r="F18">
            <v>4200</v>
          </cell>
          <cell r="G18">
            <v>14000</v>
          </cell>
        </row>
        <row r="18">
          <cell r="I18">
            <v>0.0015</v>
          </cell>
          <cell r="J18">
            <v>100</v>
          </cell>
          <cell r="K18">
            <v>2000</v>
          </cell>
        </row>
        <row r="19">
          <cell r="C19" t="str">
            <v>M29</v>
          </cell>
          <cell r="D19">
            <v>5200</v>
          </cell>
          <cell r="E19">
            <v>3900</v>
          </cell>
          <cell r="F19">
            <v>3900</v>
          </cell>
          <cell r="G19">
            <v>13000</v>
          </cell>
        </row>
        <row r="19">
          <cell r="I19">
            <v>0.001</v>
          </cell>
          <cell r="J19">
            <v>100</v>
          </cell>
          <cell r="K19">
            <v>2000</v>
          </cell>
        </row>
        <row r="20">
          <cell r="C20" t="str">
            <v>M28</v>
          </cell>
          <cell r="D20">
            <v>4800</v>
          </cell>
          <cell r="E20">
            <v>3600</v>
          </cell>
          <cell r="F20">
            <v>3600</v>
          </cell>
          <cell r="G20">
            <v>12000</v>
          </cell>
        </row>
        <row r="20">
          <cell r="I20">
            <v>0.001</v>
          </cell>
          <cell r="J20">
            <v>100</v>
          </cell>
          <cell r="K20">
            <v>2000</v>
          </cell>
        </row>
        <row r="21">
          <cell r="C21" t="str">
            <v>M27</v>
          </cell>
          <cell r="D21">
            <v>4400</v>
          </cell>
          <cell r="E21">
            <v>3300</v>
          </cell>
          <cell r="F21">
            <v>3300</v>
          </cell>
          <cell r="G21">
            <v>11000</v>
          </cell>
        </row>
        <row r="21">
          <cell r="I21">
            <v>0.0008</v>
          </cell>
          <cell r="J21">
            <v>100</v>
          </cell>
          <cell r="K21">
            <v>2000</v>
          </cell>
        </row>
        <row r="22">
          <cell r="C22" t="str">
            <v>M26</v>
          </cell>
          <cell r="D22">
            <v>4000</v>
          </cell>
          <cell r="E22">
            <v>3000</v>
          </cell>
          <cell r="F22">
            <v>3000</v>
          </cell>
          <cell r="G22">
            <v>10000</v>
          </cell>
        </row>
        <row r="22">
          <cell r="I22">
            <v>0.0008</v>
          </cell>
          <cell r="J22">
            <v>100</v>
          </cell>
          <cell r="K22">
            <v>2000</v>
          </cell>
        </row>
        <row r="23">
          <cell r="C23" t="str">
            <v>M25</v>
          </cell>
          <cell r="D23">
            <v>3800</v>
          </cell>
          <cell r="E23">
            <v>2850</v>
          </cell>
          <cell r="F23">
            <v>2850</v>
          </cell>
          <cell r="G23">
            <v>9500</v>
          </cell>
          <cell r="H23" t="str">
            <v>莞城上月收入*提成比例*上季度考核系数</v>
          </cell>
          <cell r="I23">
            <v>0.0006</v>
          </cell>
          <cell r="J23">
            <v>50</v>
          </cell>
          <cell r="K23">
            <v>1000</v>
          </cell>
        </row>
        <row r="24">
          <cell r="C24" t="str">
            <v>M24</v>
          </cell>
          <cell r="D24">
            <v>3600</v>
          </cell>
          <cell r="E24">
            <v>2700</v>
          </cell>
          <cell r="F24">
            <v>2700</v>
          </cell>
          <cell r="G24">
            <v>9000</v>
          </cell>
        </row>
        <row r="24">
          <cell r="I24">
            <v>0.0006</v>
          </cell>
          <cell r="J24">
            <v>50</v>
          </cell>
          <cell r="K24">
            <v>1000</v>
          </cell>
        </row>
        <row r="25">
          <cell r="C25" t="str">
            <v>M23</v>
          </cell>
          <cell r="D25">
            <v>3400</v>
          </cell>
          <cell r="E25">
            <v>2550</v>
          </cell>
          <cell r="F25">
            <v>2550</v>
          </cell>
          <cell r="G25">
            <v>8500</v>
          </cell>
        </row>
        <row r="25">
          <cell r="I25">
            <v>0.0006</v>
          </cell>
          <cell r="J25">
            <v>50</v>
          </cell>
          <cell r="K25">
            <v>1000</v>
          </cell>
        </row>
        <row r="26">
          <cell r="C26" t="str">
            <v>M22</v>
          </cell>
          <cell r="D26">
            <v>3200</v>
          </cell>
          <cell r="E26">
            <v>2400</v>
          </cell>
          <cell r="F26">
            <v>2400</v>
          </cell>
          <cell r="G26">
            <v>8000</v>
          </cell>
        </row>
        <row r="26">
          <cell r="I26">
            <v>0.0005</v>
          </cell>
          <cell r="J26">
            <v>50</v>
          </cell>
          <cell r="K26">
            <v>1000</v>
          </cell>
        </row>
        <row r="27">
          <cell r="C27" t="str">
            <v>M21</v>
          </cell>
          <cell r="D27">
            <v>3000</v>
          </cell>
          <cell r="E27">
            <v>2250</v>
          </cell>
          <cell r="F27">
            <v>2250</v>
          </cell>
          <cell r="G27">
            <v>7500</v>
          </cell>
        </row>
        <row r="27">
          <cell r="I27">
            <v>0.0005</v>
          </cell>
          <cell r="J27">
            <v>50</v>
          </cell>
          <cell r="K27">
            <v>1000</v>
          </cell>
        </row>
        <row r="28">
          <cell r="C28" t="str">
            <v>M20</v>
          </cell>
          <cell r="D28">
            <v>2800</v>
          </cell>
          <cell r="E28">
            <v>2100</v>
          </cell>
          <cell r="F28">
            <v>2100</v>
          </cell>
          <cell r="G28">
            <v>7000</v>
          </cell>
        </row>
        <row r="28">
          <cell r="I28">
            <v>0.0005</v>
          </cell>
          <cell r="J28">
            <v>50</v>
          </cell>
          <cell r="K28">
            <v>1000</v>
          </cell>
        </row>
        <row r="29">
          <cell r="C29" t="str">
            <v>M19</v>
          </cell>
          <cell r="D29">
            <v>2680</v>
          </cell>
          <cell r="E29">
            <v>2010</v>
          </cell>
          <cell r="F29">
            <v>2010</v>
          </cell>
          <cell r="G29">
            <v>6700</v>
          </cell>
        </row>
        <row r="30">
          <cell r="C30" t="str">
            <v>M18</v>
          </cell>
          <cell r="D30">
            <v>2560</v>
          </cell>
          <cell r="E30">
            <v>1920</v>
          </cell>
          <cell r="F30">
            <v>1920</v>
          </cell>
          <cell r="G30">
            <v>6400</v>
          </cell>
        </row>
        <row r="31">
          <cell r="C31" t="str">
            <v>M17</v>
          </cell>
          <cell r="D31">
            <v>2440</v>
          </cell>
          <cell r="E31">
            <v>1830</v>
          </cell>
          <cell r="F31">
            <v>1830</v>
          </cell>
          <cell r="G31">
            <v>6100</v>
          </cell>
        </row>
        <row r="32">
          <cell r="C32" t="str">
            <v>M16</v>
          </cell>
          <cell r="D32">
            <v>2320</v>
          </cell>
          <cell r="E32">
            <v>1740</v>
          </cell>
          <cell r="F32">
            <v>1740</v>
          </cell>
          <cell r="G32">
            <v>5800</v>
          </cell>
        </row>
        <row r="33">
          <cell r="C33" t="str">
            <v>M15</v>
          </cell>
          <cell r="D33">
            <v>2200</v>
          </cell>
          <cell r="E33">
            <v>1650</v>
          </cell>
          <cell r="F33">
            <v>1650</v>
          </cell>
          <cell r="G33">
            <v>5500</v>
          </cell>
        </row>
        <row r="34">
          <cell r="C34" t="str">
            <v>M14</v>
          </cell>
          <cell r="D34">
            <v>2080</v>
          </cell>
          <cell r="E34">
            <v>1560</v>
          </cell>
          <cell r="F34">
            <v>1560</v>
          </cell>
          <cell r="G34">
            <v>5200</v>
          </cell>
        </row>
        <row r="35">
          <cell r="C35" t="str">
            <v>M13</v>
          </cell>
          <cell r="D35">
            <v>2000</v>
          </cell>
          <cell r="E35">
            <v>1500</v>
          </cell>
          <cell r="F35">
            <v>1500</v>
          </cell>
          <cell r="G35">
            <v>5000</v>
          </cell>
        </row>
        <row r="36">
          <cell r="C36" t="str">
            <v>M12</v>
          </cell>
          <cell r="D36">
            <v>1920</v>
          </cell>
          <cell r="E36">
            <v>1440</v>
          </cell>
          <cell r="F36">
            <v>1440</v>
          </cell>
          <cell r="G36">
            <v>4800</v>
          </cell>
        </row>
        <row r="37">
          <cell r="C37" t="str">
            <v>M11</v>
          </cell>
          <cell r="D37">
            <v>1840</v>
          </cell>
          <cell r="E37">
            <v>1380</v>
          </cell>
          <cell r="F37">
            <v>1380</v>
          </cell>
          <cell r="G37">
            <v>4600</v>
          </cell>
        </row>
        <row r="38">
          <cell r="C38" t="str">
            <v>M10</v>
          </cell>
          <cell r="D38">
            <v>1760</v>
          </cell>
          <cell r="E38">
            <v>1320</v>
          </cell>
          <cell r="F38">
            <v>1320</v>
          </cell>
          <cell r="G38">
            <v>4400</v>
          </cell>
        </row>
        <row r="39">
          <cell r="C39" t="str">
            <v>M9</v>
          </cell>
          <cell r="D39">
            <v>1680</v>
          </cell>
          <cell r="E39">
            <v>1260</v>
          </cell>
          <cell r="F39">
            <v>1260</v>
          </cell>
          <cell r="G39">
            <v>4200</v>
          </cell>
        </row>
        <row r="40">
          <cell r="C40" t="str">
            <v>M8</v>
          </cell>
          <cell r="D40">
            <v>1600</v>
          </cell>
          <cell r="E40">
            <v>1200</v>
          </cell>
          <cell r="F40">
            <v>1200</v>
          </cell>
          <cell r="G40">
            <v>4000</v>
          </cell>
        </row>
        <row r="41">
          <cell r="C41" t="str">
            <v>M7</v>
          </cell>
          <cell r="D41">
            <v>1520</v>
          </cell>
          <cell r="E41">
            <v>1140</v>
          </cell>
          <cell r="F41">
            <v>1140</v>
          </cell>
          <cell r="G41">
            <v>3800</v>
          </cell>
        </row>
        <row r="42">
          <cell r="C42" t="str">
            <v>M6</v>
          </cell>
          <cell r="D42">
            <v>1440</v>
          </cell>
          <cell r="E42">
            <v>1080</v>
          </cell>
          <cell r="F42">
            <v>1080</v>
          </cell>
          <cell r="G42">
            <v>3600</v>
          </cell>
        </row>
        <row r="43">
          <cell r="C43" t="str">
            <v>M5</v>
          </cell>
          <cell r="D43">
            <v>1360</v>
          </cell>
          <cell r="E43">
            <v>1020</v>
          </cell>
          <cell r="F43">
            <v>1020</v>
          </cell>
          <cell r="G43">
            <v>3400</v>
          </cell>
        </row>
        <row r="44">
          <cell r="C44" t="str">
            <v>M4</v>
          </cell>
          <cell r="D44">
            <v>1280</v>
          </cell>
          <cell r="E44">
            <v>960</v>
          </cell>
          <cell r="F44">
            <v>960</v>
          </cell>
          <cell r="G44">
            <v>3200</v>
          </cell>
        </row>
        <row r="45">
          <cell r="C45" t="str">
            <v>M3</v>
          </cell>
          <cell r="D45">
            <v>1200</v>
          </cell>
          <cell r="E45">
            <v>900</v>
          </cell>
          <cell r="F45">
            <v>900</v>
          </cell>
          <cell r="G45">
            <v>3000</v>
          </cell>
        </row>
        <row r="46">
          <cell r="C46" t="str">
            <v>M2</v>
          </cell>
          <cell r="D46">
            <v>1120</v>
          </cell>
          <cell r="E46">
            <v>840</v>
          </cell>
          <cell r="F46">
            <v>840</v>
          </cell>
          <cell r="G46">
            <v>2800</v>
          </cell>
        </row>
        <row r="47">
          <cell r="C47" t="str">
            <v>M1</v>
          </cell>
          <cell r="D47">
            <v>1000</v>
          </cell>
          <cell r="E47">
            <v>750</v>
          </cell>
          <cell r="F47">
            <v>750</v>
          </cell>
          <cell r="G47">
            <v>2500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9">
          <cell r="AB69">
            <v>739620</v>
          </cell>
        </row>
      </sheetData>
      <sheetData sheetId="11"/>
      <sheetData sheetId="12"/>
      <sheetData sheetId="13"/>
      <sheetData sheetId="14">
        <row r="8">
          <cell r="V8">
            <v>42784338.33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4"/>
  <sheetViews>
    <sheetView tabSelected="1" topLeftCell="A2" workbookViewId="0">
      <selection activeCell="A3" sqref="A3:A22"/>
    </sheetView>
  </sheetViews>
  <sheetFormatPr defaultColWidth="9.28318584070797" defaultRowHeight="12.75"/>
  <cols>
    <col min="1" max="1" width="5.28318584070797" style="2" customWidth="1"/>
    <col min="2" max="2" width="11" style="1" customWidth="1"/>
    <col min="3" max="3" width="20.3805309734513" style="1" customWidth="1"/>
    <col min="4" max="4" width="11.3628318584071" style="2" customWidth="1"/>
    <col min="5" max="5" width="11" style="2" customWidth="1"/>
    <col min="6" max="6" width="24" style="1" customWidth="1"/>
    <col min="7" max="7" width="5.14159292035398" style="1" customWidth="1"/>
    <col min="8" max="8" width="12.858407079646" style="1" customWidth="1"/>
    <col min="9" max="9" width="6.85840707964602" style="2" customWidth="1"/>
    <col min="10" max="10" width="6" style="1" hidden="1" customWidth="1"/>
    <col min="11" max="12" width="10" style="1" hidden="1" customWidth="1"/>
    <col min="13" max="13" width="7.28318584070797" style="3" hidden="1" customWidth="1"/>
    <col min="14" max="18" width="10" style="3" customWidth="1"/>
    <col min="19" max="19" width="10" style="3" hidden="1" customWidth="1"/>
    <col min="20" max="20" width="10" style="4" hidden="1" customWidth="1"/>
    <col min="21" max="21" width="10" style="3" customWidth="1"/>
    <col min="22" max="22" width="10" style="5" customWidth="1"/>
    <col min="23" max="23" width="13" style="5" customWidth="1"/>
    <col min="24" max="24" width="10" style="4" hidden="1" customWidth="1"/>
    <col min="25" max="25" width="10" style="4" customWidth="1"/>
    <col min="26" max="26" width="10" style="5" customWidth="1"/>
    <col min="27" max="27" width="11.4247787610619" style="5" customWidth="1"/>
    <col min="28" max="28" width="10" style="3" customWidth="1"/>
    <col min="29" max="30" width="10" style="4" customWidth="1"/>
    <col min="31" max="31" width="10" style="6" customWidth="1"/>
    <col min="32" max="32" width="10" style="4" customWidth="1"/>
    <col min="33" max="33" width="10" style="6" customWidth="1"/>
    <col min="34" max="35" width="10" style="4" customWidth="1"/>
    <col min="36" max="37" width="11.5663716814159" style="3" customWidth="1"/>
    <col min="38" max="38" width="10" style="3" customWidth="1"/>
    <col min="39" max="40" width="10" style="4" customWidth="1"/>
    <col min="41" max="44" width="10" style="3" customWidth="1"/>
    <col min="45" max="45" width="19.4247787610619" style="1" customWidth="1"/>
    <col min="46" max="256" width="9.28318584070797" style="1" customWidth="1"/>
    <col min="257" max="16384" width="9.28318584070797" style="1"/>
  </cols>
  <sheetData>
    <row r="1" s="1" customFormat="1" ht="13.5" hidden="1" spans="1: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/>
      <c r="K1" s="7"/>
      <c r="L1" s="7"/>
      <c r="M1" s="16"/>
      <c r="N1" s="16" t="e">
        <f>AN9</f>
        <v>#REF!</v>
      </c>
      <c r="O1" s="17"/>
      <c r="P1" s="17"/>
      <c r="Q1" s="17"/>
      <c r="R1" s="16"/>
      <c r="S1" s="16"/>
      <c r="T1" s="21"/>
      <c r="U1" s="22" t="e">
        <f>AM1</f>
        <v>#REF!</v>
      </c>
      <c r="V1" s="22">
        <v>0.0932881051284969</v>
      </c>
      <c r="W1" s="16" t="e">
        <f>AL1</f>
        <v>#REF!</v>
      </c>
      <c r="X1" s="21">
        <v>798217.135706864</v>
      </c>
      <c r="Y1" s="21">
        <f>Y23</f>
        <v>77439.6523773</v>
      </c>
      <c r="Z1" s="16">
        <v>154594.0758324</v>
      </c>
      <c r="AA1" s="16"/>
      <c r="AB1" s="16"/>
      <c r="AC1" s="21"/>
      <c r="AD1" s="21"/>
      <c r="AE1" s="21"/>
      <c r="AF1" s="21"/>
      <c r="AG1" s="21"/>
      <c r="AH1" s="21"/>
      <c r="AI1" s="21"/>
      <c r="AJ1" s="16"/>
      <c r="AK1" s="3"/>
      <c r="AL1" s="16" t="e">
        <f>AL23</f>
        <v>#REF!</v>
      </c>
      <c r="AM1" s="37" t="e">
        <f>#REF!</f>
        <v>#REF!</v>
      </c>
      <c r="AN1" s="37"/>
      <c r="AO1" s="40"/>
      <c r="AP1" s="40"/>
      <c r="AQ1" s="40"/>
      <c r="AR1" s="37"/>
      <c r="AS1" s="7" t="s">
        <v>9</v>
      </c>
    </row>
    <row r="2" s="1" customFormat="1" ht="41.65" spans="1:45">
      <c r="A2" s="7"/>
      <c r="B2" s="7"/>
      <c r="C2" s="7"/>
      <c r="D2" s="7"/>
      <c r="E2" s="7"/>
      <c r="F2" s="7" t="s">
        <v>10</v>
      </c>
      <c r="G2" s="7"/>
      <c r="H2" s="7"/>
      <c r="I2" s="7"/>
      <c r="J2" s="7" t="s">
        <v>11</v>
      </c>
      <c r="K2" s="7" t="s">
        <v>12</v>
      </c>
      <c r="L2" s="7" t="s">
        <v>13</v>
      </c>
      <c r="M2" s="16" t="s">
        <v>14</v>
      </c>
      <c r="N2" s="18" t="s">
        <v>15</v>
      </c>
      <c r="O2" s="19" t="s">
        <v>16</v>
      </c>
      <c r="P2" s="19" t="s">
        <v>17</v>
      </c>
      <c r="Q2" s="23" t="s">
        <v>18</v>
      </c>
      <c r="R2" s="24" t="s">
        <v>19</v>
      </c>
      <c r="S2" s="16" t="s">
        <v>20</v>
      </c>
      <c r="T2" s="21" t="s">
        <v>21</v>
      </c>
      <c r="U2" s="24" t="s">
        <v>22</v>
      </c>
      <c r="V2" s="24" t="s">
        <v>23</v>
      </c>
      <c r="W2" s="24" t="s">
        <v>19</v>
      </c>
      <c r="X2" s="25" t="s">
        <v>24</v>
      </c>
      <c r="Y2" s="25" t="s">
        <v>25</v>
      </c>
      <c r="Z2" s="24" t="s">
        <v>26</v>
      </c>
      <c r="AA2" s="24" t="s">
        <v>27</v>
      </c>
      <c r="AB2" s="24" t="s">
        <v>28</v>
      </c>
      <c r="AC2" s="25" t="s">
        <v>29</v>
      </c>
      <c r="AD2" s="25" t="s">
        <v>30</v>
      </c>
      <c r="AE2" s="24" t="s">
        <v>31</v>
      </c>
      <c r="AF2" s="24" t="s">
        <v>32</v>
      </c>
      <c r="AG2" s="24" t="s">
        <v>33</v>
      </c>
      <c r="AH2" s="25" t="s">
        <v>34</v>
      </c>
      <c r="AI2" s="25" t="s">
        <v>35</v>
      </c>
      <c r="AJ2" s="16" t="s">
        <v>36</v>
      </c>
      <c r="AK2" s="16" t="s">
        <v>37</v>
      </c>
      <c r="AL2" s="16" t="s">
        <v>38</v>
      </c>
      <c r="AM2" s="24" t="s">
        <v>39</v>
      </c>
      <c r="AN2" s="25" t="s">
        <v>40</v>
      </c>
      <c r="AO2" s="24">
        <v>201809</v>
      </c>
      <c r="AP2" s="24">
        <v>201808</v>
      </c>
      <c r="AQ2" s="24" t="s">
        <v>41</v>
      </c>
      <c r="AR2" s="24" t="s">
        <v>42</v>
      </c>
      <c r="AS2" s="7"/>
    </row>
    <row r="3" s="1" customFormat="1" ht="15" customHeight="1" spans="1:45">
      <c r="A3" s="9">
        <v>1</v>
      </c>
      <c r="B3" s="10" t="s">
        <v>43</v>
      </c>
      <c r="C3" s="11" t="s">
        <v>44</v>
      </c>
      <c r="D3" s="12" t="s">
        <v>45</v>
      </c>
      <c r="E3" s="13" t="s">
        <v>46</v>
      </c>
      <c r="F3" s="14" t="s">
        <v>47</v>
      </c>
      <c r="G3" s="10" t="s">
        <v>48</v>
      </c>
      <c r="H3" s="11" t="s">
        <v>49</v>
      </c>
      <c r="I3" s="12" t="s">
        <v>50</v>
      </c>
      <c r="J3" s="10">
        <v>1</v>
      </c>
      <c r="K3" s="10"/>
      <c r="L3" s="10">
        <v>1</v>
      </c>
      <c r="M3" s="17">
        <f>VLOOKUP(I3,[1]职能管理职级薪级表!$C$4:$G$47,5,0)</f>
        <v>24000</v>
      </c>
      <c r="N3" s="17">
        <f t="shared" ref="N3:N16" si="0">M3*J3*L3</f>
        <v>24000</v>
      </c>
      <c r="O3" s="17">
        <f t="shared" ref="O3:O16" si="1">N3*0.4</f>
        <v>9600</v>
      </c>
      <c r="P3" s="17">
        <f t="shared" ref="P3:P16" si="2">N3*0.3</f>
        <v>7200</v>
      </c>
      <c r="Q3" s="17">
        <f t="shared" ref="Q3:Q16" si="3">N3*0.3</f>
        <v>7200</v>
      </c>
      <c r="R3" s="26">
        <v>1</v>
      </c>
      <c r="S3" s="17">
        <f t="shared" ref="S3:S16" si="4">Q3*R3</f>
        <v>7200</v>
      </c>
      <c r="T3" s="27">
        <f t="shared" ref="T3:T16" si="5">N3*12</f>
        <v>288000</v>
      </c>
      <c r="U3" s="28">
        <f>[1]莞城收入!$V$8</f>
        <v>42784338.33</v>
      </c>
      <c r="V3" s="29">
        <f>VLOOKUP(I3,[1]职能管理职级薪级表!$C$4:$I$28,7,0)</f>
        <v>0.0025</v>
      </c>
      <c r="W3" s="30">
        <v>1</v>
      </c>
      <c r="X3" s="31">
        <f t="shared" ref="X3:X16" si="6">IF(U3&lt;=50000000,U3*V3*J3*W3*L3,((U3-50000000)*V3*J3*W3*L3/2+50000000*V3*J3*W3*L3))</f>
        <v>106960.845825</v>
      </c>
      <c r="Y3" s="31">
        <f t="shared" ref="Y3:Y16" si="7">X3/12</f>
        <v>8913.40381875</v>
      </c>
      <c r="Z3" s="33" t="e">
        <f>#REF!</f>
        <v>#REF!</v>
      </c>
      <c r="AA3" s="34">
        <f>VLOOKUP(I3,[1]职能管理职级薪级表!$C$4:$J$28,8,0)</f>
        <v>200</v>
      </c>
      <c r="AB3" s="17">
        <f>VLOOKUP(I3,[1]职能管理职级薪级表!$C$4:$K$28,9,0)</f>
        <v>4000</v>
      </c>
      <c r="AC3" s="31" t="e">
        <f t="shared" ref="AC3:AC16" si="8">IF(Z3*AA3&gt;=AB3,AB3,Z3*AA3)</f>
        <v>#REF!</v>
      </c>
      <c r="AD3" s="27" t="e">
        <f t="shared" ref="AD3:AD16" si="9">(T3+X3+AC3*12)/12*IF(43496-E3&gt;=730,1,(43496-E3)/730)</f>
        <v>#REF!</v>
      </c>
      <c r="AE3" s="30">
        <v>1</v>
      </c>
      <c r="AF3" s="35">
        <f t="shared" ref="AF3:AF16" si="10">11400000*0.1</f>
        <v>1140000</v>
      </c>
      <c r="AG3" s="38">
        <f>'[1]套级表（管理 干部总表）'!$AB$69/'[1]方案二 职能管理套级表（M）'!AF5</f>
        <v>0.64878947368421</v>
      </c>
      <c r="AH3" s="27" t="e">
        <f t="shared" ref="AH3:AH16" si="11">(T3+X3+AC3*12)/12*AE3*AG3</f>
        <v>#REF!</v>
      </c>
      <c r="AI3" s="27">
        <v>39000</v>
      </c>
      <c r="AJ3" s="17" t="e">
        <f t="shared" ref="AJ3:AJ16" si="12">T3+X3+AC3*12+AD3+AH3+AI3</f>
        <v>#REF!</v>
      </c>
      <c r="AK3" s="17">
        <v>457997.04</v>
      </c>
      <c r="AL3" s="17" t="e">
        <f t="shared" ref="AL3:AL16" si="13">AJ3-AK3</f>
        <v>#REF!</v>
      </c>
      <c r="AM3" s="39" t="e">
        <f t="shared" ref="AM3:AM20" si="14">AL3/AK3</f>
        <v>#REF!</v>
      </c>
      <c r="AN3" s="27" t="e">
        <f t="shared" ref="AN3:AN16" si="15">O3+P3+S3+Y3+AC3</f>
        <v>#REF!</v>
      </c>
      <c r="AO3" s="17">
        <v>21089.56</v>
      </c>
      <c r="AP3" s="17">
        <v>41748.43</v>
      </c>
      <c r="AQ3" s="17">
        <v>31608.0866666666</v>
      </c>
      <c r="AR3" s="17" t="e">
        <f t="shared" ref="AR3:AR16" si="16">AN3-AQ3</f>
        <v>#REF!</v>
      </c>
      <c r="AS3" s="14"/>
    </row>
    <row r="4" s="1" customFormat="1" ht="15" customHeight="1" spans="1:45">
      <c r="A4" s="9">
        <v>2</v>
      </c>
      <c r="B4" s="10" t="s">
        <v>43</v>
      </c>
      <c r="C4" s="11" t="s">
        <v>51</v>
      </c>
      <c r="D4" s="12" t="s">
        <v>52</v>
      </c>
      <c r="E4" s="13" t="s">
        <v>53</v>
      </c>
      <c r="F4" s="10" t="s">
        <v>54</v>
      </c>
      <c r="G4" s="10" t="s">
        <v>48</v>
      </c>
      <c r="H4" s="11" t="s">
        <v>49</v>
      </c>
      <c r="I4" s="12" t="s">
        <v>50</v>
      </c>
      <c r="J4" s="10">
        <v>1</v>
      </c>
      <c r="K4" s="10"/>
      <c r="L4" s="10">
        <v>1</v>
      </c>
      <c r="M4" s="17">
        <f>VLOOKUP(I4,[1]职能管理职级薪级表!$C$4:$G$47,5,0)</f>
        <v>24000</v>
      </c>
      <c r="N4" s="17">
        <f t="shared" si="0"/>
        <v>24000</v>
      </c>
      <c r="O4" s="17">
        <f t="shared" si="1"/>
        <v>9600</v>
      </c>
      <c r="P4" s="17">
        <f t="shared" si="2"/>
        <v>7200</v>
      </c>
      <c r="Q4" s="17">
        <f t="shared" si="3"/>
        <v>7200</v>
      </c>
      <c r="R4" s="26">
        <v>1</v>
      </c>
      <c r="S4" s="17">
        <f t="shared" si="4"/>
        <v>7200</v>
      </c>
      <c r="T4" s="27">
        <f t="shared" si="5"/>
        <v>288000</v>
      </c>
      <c r="U4" s="28">
        <f>[1]莞城收入!$V$8</f>
        <v>42784338.33</v>
      </c>
      <c r="V4" s="29">
        <f>VLOOKUP(I4,[1]职能管理职级薪级表!$C$4:$I$28,7,0)</f>
        <v>0.0025</v>
      </c>
      <c r="W4" s="30">
        <v>1</v>
      </c>
      <c r="X4" s="31">
        <f t="shared" si="6"/>
        <v>106960.845825</v>
      </c>
      <c r="Y4" s="31">
        <f t="shared" si="7"/>
        <v>8913.40381875</v>
      </c>
      <c r="Z4" s="33" t="e">
        <f>Z3</f>
        <v>#REF!</v>
      </c>
      <c r="AA4" s="34">
        <f>VLOOKUP(I4,[1]职能管理职级薪级表!$C$4:$J$28,8,0)</f>
        <v>200</v>
      </c>
      <c r="AB4" s="17">
        <f>VLOOKUP(I4,[1]职能管理职级薪级表!$C$4:$K$28,9,0)</f>
        <v>4000</v>
      </c>
      <c r="AC4" s="31" t="e">
        <f t="shared" si="8"/>
        <v>#REF!</v>
      </c>
      <c r="AD4" s="27" t="e">
        <f t="shared" si="9"/>
        <v>#REF!</v>
      </c>
      <c r="AE4" s="30">
        <v>1</v>
      </c>
      <c r="AF4" s="35">
        <f t="shared" si="10"/>
        <v>1140000</v>
      </c>
      <c r="AG4" s="38">
        <f>'[1]套级表（管理 干部总表）'!$AB$69/'[1]方案二 职能管理套级表（M）'!AF9</f>
        <v>0.64878947368421</v>
      </c>
      <c r="AH4" s="27" t="e">
        <f t="shared" si="11"/>
        <v>#REF!</v>
      </c>
      <c r="AI4" s="27">
        <v>17000</v>
      </c>
      <c r="AJ4" s="17" t="e">
        <f t="shared" si="12"/>
        <v>#REF!</v>
      </c>
      <c r="AK4" s="17">
        <v>400000</v>
      </c>
      <c r="AL4" s="17" t="e">
        <f t="shared" si="13"/>
        <v>#REF!</v>
      </c>
      <c r="AM4" s="39" t="e">
        <f t="shared" si="14"/>
        <v>#REF!</v>
      </c>
      <c r="AN4" s="27" t="e">
        <f t="shared" si="15"/>
        <v>#REF!</v>
      </c>
      <c r="AO4" s="17">
        <v>22447.39</v>
      </c>
      <c r="AP4" s="17">
        <v>27612.11</v>
      </c>
      <c r="AQ4" s="17">
        <v>24854</v>
      </c>
      <c r="AR4" s="17" t="e">
        <f t="shared" si="16"/>
        <v>#REF!</v>
      </c>
      <c r="AS4" s="14"/>
    </row>
    <row r="5" s="1" customFormat="1" ht="15" customHeight="1" spans="1:45">
      <c r="A5" s="9">
        <v>3</v>
      </c>
      <c r="B5" s="10" t="s">
        <v>55</v>
      </c>
      <c r="C5" s="11" t="s">
        <v>56</v>
      </c>
      <c r="D5" s="12" t="s">
        <v>57</v>
      </c>
      <c r="E5" s="13" t="s">
        <v>58</v>
      </c>
      <c r="F5" s="10" t="s">
        <v>59</v>
      </c>
      <c r="G5" s="10" t="s">
        <v>60</v>
      </c>
      <c r="H5" s="11" t="s">
        <v>61</v>
      </c>
      <c r="I5" s="12" t="s">
        <v>62</v>
      </c>
      <c r="J5" s="10">
        <v>1</v>
      </c>
      <c r="K5" s="10"/>
      <c r="L5" s="10">
        <v>1</v>
      </c>
      <c r="M5" s="17">
        <f>VLOOKUP(I5,[1]职能管理职级薪级表!$C$4:$G$47,5,0)</f>
        <v>14000</v>
      </c>
      <c r="N5" s="17">
        <f t="shared" si="0"/>
        <v>14000</v>
      </c>
      <c r="O5" s="17">
        <f t="shared" si="1"/>
        <v>5600</v>
      </c>
      <c r="P5" s="17">
        <f t="shared" si="2"/>
        <v>4200</v>
      </c>
      <c r="Q5" s="17">
        <f t="shared" si="3"/>
        <v>4200</v>
      </c>
      <c r="R5" s="26">
        <v>1</v>
      </c>
      <c r="S5" s="17">
        <f t="shared" si="4"/>
        <v>4200</v>
      </c>
      <c r="T5" s="27">
        <f t="shared" si="5"/>
        <v>168000</v>
      </c>
      <c r="U5" s="28">
        <f>[1]莞城收入!$V$8</f>
        <v>42784338.33</v>
      </c>
      <c r="V5" s="29">
        <f>VLOOKUP(I5,[1]职能管理职级薪级表!$C$4:$I$28,7,0)</f>
        <v>0.0015</v>
      </c>
      <c r="W5" s="30">
        <v>1</v>
      </c>
      <c r="X5" s="31">
        <f t="shared" si="6"/>
        <v>64176.507495</v>
      </c>
      <c r="Y5" s="31">
        <f t="shared" si="7"/>
        <v>5348.04229125</v>
      </c>
      <c r="Z5" s="33" t="e">
        <f>#REF!</f>
        <v>#REF!</v>
      </c>
      <c r="AA5" s="34">
        <f>VLOOKUP(I5,[1]职能管理职级薪级表!$C$4:$J$28,8,0)</f>
        <v>100</v>
      </c>
      <c r="AB5" s="17">
        <f>VLOOKUP(I5,[1]职能管理职级薪级表!$C$4:$K$28,9,0)</f>
        <v>2000</v>
      </c>
      <c r="AC5" s="31" t="e">
        <f t="shared" si="8"/>
        <v>#REF!</v>
      </c>
      <c r="AD5" s="27" t="e">
        <f t="shared" si="9"/>
        <v>#REF!</v>
      </c>
      <c r="AE5" s="30">
        <v>1</v>
      </c>
      <c r="AF5" s="35">
        <f t="shared" si="10"/>
        <v>1140000</v>
      </c>
      <c r="AG5" s="38">
        <f>'[1]套级表（管理 干部总表）'!$AB$69/'[1]方案二 职能管理套级表（M）'!AF6</f>
        <v>0.64878947368421</v>
      </c>
      <c r="AH5" s="27" t="e">
        <f t="shared" si="11"/>
        <v>#REF!</v>
      </c>
      <c r="AI5" s="27"/>
      <c r="AJ5" s="17" t="e">
        <f t="shared" si="12"/>
        <v>#REF!</v>
      </c>
      <c r="AK5" s="17">
        <f>20000*13</f>
        <v>260000</v>
      </c>
      <c r="AL5" s="17" t="e">
        <f t="shared" si="13"/>
        <v>#REF!</v>
      </c>
      <c r="AM5" s="39" t="e">
        <f t="shared" si="14"/>
        <v>#REF!</v>
      </c>
      <c r="AN5" s="27" t="e">
        <f t="shared" si="15"/>
        <v>#REF!</v>
      </c>
      <c r="AO5" s="17">
        <v>20000</v>
      </c>
      <c r="AP5" s="17">
        <v>20000</v>
      </c>
      <c r="AQ5" s="17">
        <v>20000</v>
      </c>
      <c r="AR5" s="17" t="e">
        <f t="shared" si="16"/>
        <v>#REF!</v>
      </c>
      <c r="AS5" s="14"/>
    </row>
    <row r="6" s="1" customFormat="1" ht="15" customHeight="1" spans="1:45">
      <c r="A6" s="9">
        <v>4</v>
      </c>
      <c r="B6" s="10" t="s">
        <v>55</v>
      </c>
      <c r="C6" s="11" t="s">
        <v>63</v>
      </c>
      <c r="D6" s="12" t="s">
        <v>64</v>
      </c>
      <c r="E6" s="13" t="s">
        <v>65</v>
      </c>
      <c r="F6" s="10" t="s">
        <v>66</v>
      </c>
      <c r="G6" s="10" t="s">
        <v>60</v>
      </c>
      <c r="H6" s="11" t="s">
        <v>61</v>
      </c>
      <c r="I6" s="12" t="s">
        <v>62</v>
      </c>
      <c r="J6" s="10">
        <v>1</v>
      </c>
      <c r="K6" s="10"/>
      <c r="L6" s="10">
        <v>1</v>
      </c>
      <c r="M6" s="17">
        <f>VLOOKUP(I6,[1]职能管理职级薪级表!$C$4:$G$47,5,0)</f>
        <v>14000</v>
      </c>
      <c r="N6" s="17">
        <f t="shared" si="0"/>
        <v>14000</v>
      </c>
      <c r="O6" s="17">
        <f t="shared" si="1"/>
        <v>5600</v>
      </c>
      <c r="P6" s="17">
        <f t="shared" si="2"/>
        <v>4200</v>
      </c>
      <c r="Q6" s="17">
        <f t="shared" si="3"/>
        <v>4200</v>
      </c>
      <c r="R6" s="26">
        <v>1</v>
      </c>
      <c r="S6" s="17">
        <f t="shared" si="4"/>
        <v>4200</v>
      </c>
      <c r="T6" s="27">
        <f t="shared" si="5"/>
        <v>168000</v>
      </c>
      <c r="U6" s="28">
        <f>[1]莞城收入!$V$8</f>
        <v>42784338.33</v>
      </c>
      <c r="V6" s="29">
        <f>VLOOKUP(I6,[1]职能管理职级薪级表!$C$4:$I$28,7,0)</f>
        <v>0.0015</v>
      </c>
      <c r="W6" s="30">
        <v>1</v>
      </c>
      <c r="X6" s="31">
        <f t="shared" si="6"/>
        <v>64176.507495</v>
      </c>
      <c r="Y6" s="31">
        <f t="shared" si="7"/>
        <v>5348.04229125</v>
      </c>
      <c r="Z6" s="33" t="e">
        <f>Z5</f>
        <v>#REF!</v>
      </c>
      <c r="AA6" s="34">
        <f>VLOOKUP(I6,[1]职能管理职级薪级表!$C$4:$J$28,8,0)</f>
        <v>100</v>
      </c>
      <c r="AB6" s="17">
        <f>VLOOKUP(I6,[1]职能管理职级薪级表!$C$4:$K$28,9,0)</f>
        <v>2000</v>
      </c>
      <c r="AC6" s="31" t="e">
        <f t="shared" si="8"/>
        <v>#REF!</v>
      </c>
      <c r="AD6" s="27" t="e">
        <f t="shared" si="9"/>
        <v>#REF!</v>
      </c>
      <c r="AE6" s="30">
        <v>1</v>
      </c>
      <c r="AF6" s="35">
        <f t="shared" si="10"/>
        <v>1140000</v>
      </c>
      <c r="AG6" s="38">
        <f>'[1]套级表（管理 干部总表）'!$AB$69/'[1]方案二 职能管理套级表（M）'!AF8</f>
        <v>0.64878947368421</v>
      </c>
      <c r="AH6" s="27" t="e">
        <f t="shared" si="11"/>
        <v>#REF!</v>
      </c>
      <c r="AI6" s="27">
        <v>27000</v>
      </c>
      <c r="AJ6" s="17" t="e">
        <f t="shared" si="12"/>
        <v>#REF!</v>
      </c>
      <c r="AK6" s="17">
        <f>21000*13.5</f>
        <v>283500</v>
      </c>
      <c r="AL6" s="17" t="e">
        <f t="shared" si="13"/>
        <v>#REF!</v>
      </c>
      <c r="AM6" s="39" t="e">
        <f t="shared" si="14"/>
        <v>#REF!</v>
      </c>
      <c r="AN6" s="27" t="e">
        <f t="shared" si="15"/>
        <v>#REF!</v>
      </c>
      <c r="AO6" s="17">
        <v>16650</v>
      </c>
      <c r="AP6" s="17">
        <v>16650</v>
      </c>
      <c r="AQ6" s="17">
        <v>13941.6666666667</v>
      </c>
      <c r="AR6" s="17" t="e">
        <f t="shared" si="16"/>
        <v>#REF!</v>
      </c>
      <c r="AS6" s="41"/>
    </row>
    <row r="7" s="1" customFormat="1" ht="15" customHeight="1" spans="1:45">
      <c r="A7" s="9">
        <v>5</v>
      </c>
      <c r="B7" s="10" t="s">
        <v>55</v>
      </c>
      <c r="C7" s="11" t="s">
        <v>67</v>
      </c>
      <c r="D7" s="12" t="s">
        <v>68</v>
      </c>
      <c r="E7" s="13" t="s">
        <v>69</v>
      </c>
      <c r="F7" s="10" t="s">
        <v>70</v>
      </c>
      <c r="G7" s="10" t="s">
        <v>60</v>
      </c>
      <c r="H7" s="11" t="s">
        <v>61</v>
      </c>
      <c r="I7" s="12" t="s">
        <v>62</v>
      </c>
      <c r="J7" s="10">
        <v>1</v>
      </c>
      <c r="K7" s="10"/>
      <c r="L7" s="10">
        <v>1</v>
      </c>
      <c r="M7" s="17">
        <f>VLOOKUP(I7,[1]职能管理职级薪级表!$C$4:$G$47,5,0)</f>
        <v>14000</v>
      </c>
      <c r="N7" s="17">
        <f t="shared" si="0"/>
        <v>14000</v>
      </c>
      <c r="O7" s="17">
        <f t="shared" si="1"/>
        <v>5600</v>
      </c>
      <c r="P7" s="17">
        <f t="shared" si="2"/>
        <v>4200</v>
      </c>
      <c r="Q7" s="17">
        <f t="shared" si="3"/>
        <v>4200</v>
      </c>
      <c r="R7" s="26">
        <v>1</v>
      </c>
      <c r="S7" s="17">
        <f t="shared" si="4"/>
        <v>4200</v>
      </c>
      <c r="T7" s="27">
        <f t="shared" si="5"/>
        <v>168000</v>
      </c>
      <c r="U7" s="28">
        <f>[1]莞城收入!$V$8</f>
        <v>42784338.33</v>
      </c>
      <c r="V7" s="29">
        <f>VLOOKUP(I7,[1]职能管理职级薪级表!$C$4:$I$28,7,0)</f>
        <v>0.0015</v>
      </c>
      <c r="W7" s="30">
        <v>1</v>
      </c>
      <c r="X7" s="31">
        <f t="shared" si="6"/>
        <v>64176.507495</v>
      </c>
      <c r="Y7" s="31">
        <f t="shared" si="7"/>
        <v>5348.04229125</v>
      </c>
      <c r="Z7" s="33" t="e">
        <f>Z6</f>
        <v>#REF!</v>
      </c>
      <c r="AA7" s="34">
        <f>VLOOKUP(I7,[1]职能管理职级薪级表!$C$4:$J$28,8,0)</f>
        <v>100</v>
      </c>
      <c r="AB7" s="17">
        <f>VLOOKUP(I7,[1]职能管理职级薪级表!$C$4:$K$28,9,0)</f>
        <v>2000</v>
      </c>
      <c r="AC7" s="31" t="e">
        <f t="shared" si="8"/>
        <v>#REF!</v>
      </c>
      <c r="AD7" s="27" t="e">
        <f t="shared" si="9"/>
        <v>#REF!</v>
      </c>
      <c r="AE7" s="30">
        <v>1</v>
      </c>
      <c r="AF7" s="35">
        <f t="shared" si="10"/>
        <v>1140000</v>
      </c>
      <c r="AG7" s="38">
        <f>'[1]套级表（管理 干部总表）'!$AB$69/'[1]方案二 职能管理套级表（M）'!AF11</f>
        <v>0.64878947368421</v>
      </c>
      <c r="AH7" s="27" t="e">
        <f t="shared" si="11"/>
        <v>#REF!</v>
      </c>
      <c r="AI7" s="27">
        <v>2000</v>
      </c>
      <c r="AJ7" s="17" t="e">
        <f t="shared" si="12"/>
        <v>#REF!</v>
      </c>
      <c r="AK7" s="17">
        <v>262685.82</v>
      </c>
      <c r="AL7" s="17" t="e">
        <f t="shared" si="13"/>
        <v>#REF!</v>
      </c>
      <c r="AM7" s="39" t="e">
        <f t="shared" si="14"/>
        <v>#REF!</v>
      </c>
      <c r="AN7" s="27" t="e">
        <f t="shared" si="15"/>
        <v>#REF!</v>
      </c>
      <c r="AO7" s="17">
        <v>18147.39</v>
      </c>
      <c r="AP7" s="17">
        <v>23312.11</v>
      </c>
      <c r="AQ7" s="17">
        <v>18915.485</v>
      </c>
      <c r="AR7" s="17" t="e">
        <f t="shared" si="16"/>
        <v>#REF!</v>
      </c>
      <c r="AS7" s="14"/>
    </row>
    <row r="8" s="1" customFormat="1" ht="15" customHeight="1" spans="1:46">
      <c r="A8" s="9">
        <v>6</v>
      </c>
      <c r="B8" s="10" t="s">
        <v>71</v>
      </c>
      <c r="C8" s="11" t="s">
        <v>72</v>
      </c>
      <c r="D8" s="12" t="s">
        <v>73</v>
      </c>
      <c r="E8" s="13" t="s">
        <v>74</v>
      </c>
      <c r="F8" s="14" t="s">
        <v>75</v>
      </c>
      <c r="G8" s="10" t="s">
        <v>60</v>
      </c>
      <c r="H8" s="11" t="s">
        <v>76</v>
      </c>
      <c r="I8" s="12" t="s">
        <v>62</v>
      </c>
      <c r="J8" s="10">
        <v>1</v>
      </c>
      <c r="K8" s="10"/>
      <c r="L8" s="10">
        <v>1</v>
      </c>
      <c r="M8" s="17">
        <f>VLOOKUP(I8,[1]职能管理职级薪级表!$C$4:$G$47,5,0)</f>
        <v>14000</v>
      </c>
      <c r="N8" s="17">
        <f t="shared" si="0"/>
        <v>14000</v>
      </c>
      <c r="O8" s="17">
        <f t="shared" si="1"/>
        <v>5600</v>
      </c>
      <c r="P8" s="17">
        <f t="shared" si="2"/>
        <v>4200</v>
      </c>
      <c r="Q8" s="17">
        <f t="shared" si="3"/>
        <v>4200</v>
      </c>
      <c r="R8" s="26">
        <v>1</v>
      </c>
      <c r="S8" s="17">
        <f t="shared" si="4"/>
        <v>4200</v>
      </c>
      <c r="T8" s="27">
        <f t="shared" si="5"/>
        <v>168000</v>
      </c>
      <c r="U8" s="28">
        <f>[1]莞城收入!$V$8</f>
        <v>42784338.33</v>
      </c>
      <c r="V8" s="29">
        <f>VLOOKUP(I8,[1]职能管理职级薪级表!$C$4:$I$28,7,0)</f>
        <v>0.0015</v>
      </c>
      <c r="W8" s="30">
        <v>1</v>
      </c>
      <c r="X8" s="31">
        <f t="shared" si="6"/>
        <v>64176.507495</v>
      </c>
      <c r="Y8" s="31">
        <f t="shared" si="7"/>
        <v>5348.04229125</v>
      </c>
      <c r="Z8" s="33" t="e">
        <f>Z7</f>
        <v>#REF!</v>
      </c>
      <c r="AA8" s="34">
        <f>VLOOKUP(I8,[1]职能管理职级薪级表!$C$4:$J$28,8,0)</f>
        <v>100</v>
      </c>
      <c r="AB8" s="17">
        <f>VLOOKUP(I8,[1]职能管理职级薪级表!$C$4:$K$28,9,0)</f>
        <v>2000</v>
      </c>
      <c r="AC8" s="31" t="e">
        <f t="shared" si="8"/>
        <v>#REF!</v>
      </c>
      <c r="AD8" s="27" t="e">
        <f t="shared" si="9"/>
        <v>#REF!</v>
      </c>
      <c r="AE8" s="30">
        <v>1</v>
      </c>
      <c r="AF8" s="35">
        <f t="shared" si="10"/>
        <v>1140000</v>
      </c>
      <c r="AG8" s="38">
        <f>'[1]套级表（管理 干部总表）'!$AB$69/'[1]方案二 职能管理套级表（M）'!AF7</f>
        <v>0.64878947368421</v>
      </c>
      <c r="AH8" s="27" t="e">
        <f t="shared" si="11"/>
        <v>#REF!</v>
      </c>
      <c r="AI8" s="27"/>
      <c r="AJ8" s="17" t="e">
        <f t="shared" si="12"/>
        <v>#REF!</v>
      </c>
      <c r="AK8" s="17">
        <f>18800*13.5</f>
        <v>253800</v>
      </c>
      <c r="AL8" s="17" t="e">
        <f t="shared" si="13"/>
        <v>#REF!</v>
      </c>
      <c r="AM8" s="39" t="e">
        <f t="shared" si="14"/>
        <v>#REF!</v>
      </c>
      <c r="AN8" s="27" t="e">
        <f t="shared" si="15"/>
        <v>#REF!</v>
      </c>
      <c r="AO8" s="17">
        <v>18500</v>
      </c>
      <c r="AP8" s="17">
        <v>18500</v>
      </c>
      <c r="AQ8" s="17">
        <v>13637.5</v>
      </c>
      <c r="AR8" s="17" t="e">
        <f t="shared" si="16"/>
        <v>#REF!</v>
      </c>
      <c r="AS8" s="14"/>
      <c r="AT8" s="42"/>
    </row>
    <row r="9" s="1" customFormat="1" ht="15" customHeight="1" spans="1:46">
      <c r="A9" s="9">
        <v>7</v>
      </c>
      <c r="B9" s="10" t="s">
        <v>77</v>
      </c>
      <c r="C9" s="11" t="s">
        <v>78</v>
      </c>
      <c r="D9" s="12" t="s">
        <v>79</v>
      </c>
      <c r="E9" s="13" t="s">
        <v>80</v>
      </c>
      <c r="F9" s="10" t="s">
        <v>81</v>
      </c>
      <c r="G9" s="10" t="s">
        <v>60</v>
      </c>
      <c r="H9" s="11" t="s">
        <v>61</v>
      </c>
      <c r="I9" s="12" t="s">
        <v>62</v>
      </c>
      <c r="J9" s="10">
        <v>1</v>
      </c>
      <c r="K9" s="10"/>
      <c r="L9" s="10">
        <v>1</v>
      </c>
      <c r="M9" s="17">
        <f>VLOOKUP(I9,[1]职能管理职级薪级表!$C$4:$G$47,5,0)</f>
        <v>14000</v>
      </c>
      <c r="N9" s="17">
        <f t="shared" si="0"/>
        <v>14000</v>
      </c>
      <c r="O9" s="17">
        <f t="shared" si="1"/>
        <v>5600</v>
      </c>
      <c r="P9" s="17">
        <f t="shared" si="2"/>
        <v>4200</v>
      </c>
      <c r="Q9" s="17">
        <f t="shared" si="3"/>
        <v>4200</v>
      </c>
      <c r="R9" s="26">
        <v>1</v>
      </c>
      <c r="S9" s="17">
        <f t="shared" si="4"/>
        <v>4200</v>
      </c>
      <c r="T9" s="27">
        <f t="shared" si="5"/>
        <v>168000</v>
      </c>
      <c r="U9" s="28">
        <f>[1]莞城收入!$V$8</f>
        <v>42784338.33</v>
      </c>
      <c r="V9" s="29">
        <f>VLOOKUP(I9,[1]职能管理职级薪级表!$C$4:$I$28,7,0)</f>
        <v>0.0015</v>
      </c>
      <c r="W9" s="30">
        <v>1</v>
      </c>
      <c r="X9" s="31">
        <f t="shared" si="6"/>
        <v>64176.507495</v>
      </c>
      <c r="Y9" s="31">
        <f t="shared" si="7"/>
        <v>5348.04229125</v>
      </c>
      <c r="Z9" s="33" t="e">
        <f>Z8</f>
        <v>#REF!</v>
      </c>
      <c r="AA9" s="34">
        <f>VLOOKUP(I9,[1]职能管理职级薪级表!$C$4:$J$28,8,0)</f>
        <v>100</v>
      </c>
      <c r="AB9" s="17">
        <f>VLOOKUP(I9,[1]职能管理职级薪级表!$C$4:$K$28,9,0)</f>
        <v>2000</v>
      </c>
      <c r="AC9" s="31" t="e">
        <f t="shared" si="8"/>
        <v>#REF!</v>
      </c>
      <c r="AD9" s="27" t="e">
        <f t="shared" si="9"/>
        <v>#REF!</v>
      </c>
      <c r="AE9" s="30">
        <v>1</v>
      </c>
      <c r="AF9" s="35">
        <f t="shared" si="10"/>
        <v>1140000</v>
      </c>
      <c r="AG9" s="38">
        <f>'[1]套级表（管理 干部总表）'!$AB$69/'[1]方案二 职能管理套级表（M）'!AF12</f>
        <v>0.64878947368421</v>
      </c>
      <c r="AH9" s="27" t="e">
        <f t="shared" si="11"/>
        <v>#REF!</v>
      </c>
      <c r="AI9" s="27">
        <v>2000</v>
      </c>
      <c r="AJ9" s="17" t="e">
        <f t="shared" si="12"/>
        <v>#REF!</v>
      </c>
      <c r="AK9" s="17">
        <v>222233.87</v>
      </c>
      <c r="AL9" s="17" t="e">
        <f t="shared" si="13"/>
        <v>#REF!</v>
      </c>
      <c r="AM9" s="39" t="e">
        <f t="shared" si="14"/>
        <v>#REF!</v>
      </c>
      <c r="AN9" s="27" t="e">
        <f t="shared" si="15"/>
        <v>#REF!</v>
      </c>
      <c r="AO9" s="17">
        <v>665</v>
      </c>
      <c r="AP9" s="17">
        <v>13100</v>
      </c>
      <c r="AQ9" s="17">
        <v>15494.4891666667</v>
      </c>
      <c r="AR9" s="17" t="e">
        <f t="shared" si="16"/>
        <v>#REF!</v>
      </c>
      <c r="AS9" s="14" t="s">
        <v>82</v>
      </c>
      <c r="AT9" s="32" t="s">
        <v>83</v>
      </c>
    </row>
    <row r="10" s="1" customFormat="1" ht="15" customHeight="1" spans="1:45">
      <c r="A10" s="9">
        <v>8</v>
      </c>
      <c r="B10" s="10" t="s">
        <v>55</v>
      </c>
      <c r="C10" s="11" t="s">
        <v>84</v>
      </c>
      <c r="D10" s="12" t="s">
        <v>85</v>
      </c>
      <c r="E10" s="13" t="s">
        <v>86</v>
      </c>
      <c r="F10" s="10" t="s">
        <v>87</v>
      </c>
      <c r="G10" s="10" t="s">
        <v>60</v>
      </c>
      <c r="H10" s="11" t="s">
        <v>61</v>
      </c>
      <c r="I10" s="12" t="s">
        <v>88</v>
      </c>
      <c r="J10" s="10">
        <v>1</v>
      </c>
      <c r="K10" s="10"/>
      <c r="L10" s="10">
        <v>1</v>
      </c>
      <c r="M10" s="17">
        <f>VLOOKUP(I10,[1]职能管理职级薪级表!$C$4:$G$47,5,0)</f>
        <v>12000</v>
      </c>
      <c r="N10" s="17">
        <f t="shared" si="0"/>
        <v>12000</v>
      </c>
      <c r="O10" s="17">
        <f t="shared" si="1"/>
        <v>4800</v>
      </c>
      <c r="P10" s="17">
        <f t="shared" si="2"/>
        <v>3600</v>
      </c>
      <c r="Q10" s="17">
        <f t="shared" si="3"/>
        <v>3600</v>
      </c>
      <c r="R10" s="26">
        <v>1</v>
      </c>
      <c r="S10" s="17">
        <f t="shared" si="4"/>
        <v>3600</v>
      </c>
      <c r="T10" s="27">
        <f t="shared" si="5"/>
        <v>144000</v>
      </c>
      <c r="U10" s="28">
        <f>[1]莞城收入!$V$8</f>
        <v>42784338.33</v>
      </c>
      <c r="V10" s="29">
        <f>VLOOKUP(I10,[1]职能管理职级薪级表!$C$4:$I$28,7,0)</f>
        <v>0.001</v>
      </c>
      <c r="W10" s="30">
        <v>1</v>
      </c>
      <c r="X10" s="31">
        <f t="shared" si="6"/>
        <v>42784.33833</v>
      </c>
      <c r="Y10" s="31">
        <f t="shared" si="7"/>
        <v>3565.3615275</v>
      </c>
      <c r="Z10" s="33" t="e">
        <f>#REF!</f>
        <v>#REF!</v>
      </c>
      <c r="AA10" s="34">
        <f>VLOOKUP(I10,[1]职能管理职级薪级表!$C$4:$J$28,8,0)</f>
        <v>100</v>
      </c>
      <c r="AB10" s="17">
        <f>VLOOKUP(I10,[1]职能管理职级薪级表!$C$4:$K$28,9,0)</f>
        <v>2000</v>
      </c>
      <c r="AC10" s="31" t="e">
        <f t="shared" si="8"/>
        <v>#REF!</v>
      </c>
      <c r="AD10" s="27" t="e">
        <f t="shared" si="9"/>
        <v>#REF!</v>
      </c>
      <c r="AE10" s="30">
        <v>1</v>
      </c>
      <c r="AF10" s="35">
        <f t="shared" si="10"/>
        <v>1140000</v>
      </c>
      <c r="AG10" s="38">
        <f>'[1]套级表（管理 干部总表）'!$AB$69/'[1]方案二 职能管理套级表（M）'!AF15</f>
        <v>0.64878947368421</v>
      </c>
      <c r="AH10" s="27" t="e">
        <f t="shared" si="11"/>
        <v>#REF!</v>
      </c>
      <c r="AI10" s="27"/>
      <c r="AJ10" s="17" t="e">
        <f t="shared" si="12"/>
        <v>#REF!</v>
      </c>
      <c r="AK10" s="17">
        <v>208847.12</v>
      </c>
      <c r="AL10" s="17" t="e">
        <f t="shared" si="13"/>
        <v>#REF!</v>
      </c>
      <c r="AM10" s="39" t="e">
        <f t="shared" si="14"/>
        <v>#REF!</v>
      </c>
      <c r="AN10" s="27" t="e">
        <f t="shared" si="15"/>
        <v>#REF!</v>
      </c>
      <c r="AO10" s="17">
        <v>11265.3</v>
      </c>
      <c r="AP10" s="17">
        <v>20561.79</v>
      </c>
      <c r="AQ10" s="17">
        <v>14820.5933333333</v>
      </c>
      <c r="AR10" s="17" t="e">
        <f t="shared" si="16"/>
        <v>#REF!</v>
      </c>
      <c r="AS10" s="14"/>
    </row>
    <row r="11" s="1" customFormat="1" ht="15" customHeight="1" spans="1:45">
      <c r="A11" s="9">
        <v>9</v>
      </c>
      <c r="B11" s="10" t="s">
        <v>55</v>
      </c>
      <c r="C11" s="11" t="s">
        <v>89</v>
      </c>
      <c r="D11" s="12" t="s">
        <v>90</v>
      </c>
      <c r="E11" s="13" t="s">
        <v>91</v>
      </c>
      <c r="F11" s="10" t="s">
        <v>92</v>
      </c>
      <c r="G11" s="10" t="s">
        <v>60</v>
      </c>
      <c r="H11" s="11" t="s">
        <v>61</v>
      </c>
      <c r="I11" s="12" t="s">
        <v>88</v>
      </c>
      <c r="J11" s="10">
        <v>1</v>
      </c>
      <c r="K11" s="10"/>
      <c r="L11" s="10">
        <v>1</v>
      </c>
      <c r="M11" s="17">
        <f>VLOOKUP(I11,[1]职能管理职级薪级表!$C$4:$G$47,5,0)</f>
        <v>12000</v>
      </c>
      <c r="N11" s="17">
        <f t="shared" si="0"/>
        <v>12000</v>
      </c>
      <c r="O11" s="17">
        <f t="shared" si="1"/>
        <v>4800</v>
      </c>
      <c r="P11" s="17">
        <f t="shared" si="2"/>
        <v>3600</v>
      </c>
      <c r="Q11" s="17">
        <f t="shared" si="3"/>
        <v>3600</v>
      </c>
      <c r="R11" s="26">
        <v>1</v>
      </c>
      <c r="S11" s="17">
        <f t="shared" si="4"/>
        <v>3600</v>
      </c>
      <c r="T11" s="27">
        <f t="shared" si="5"/>
        <v>144000</v>
      </c>
      <c r="U11" s="28">
        <f>[1]莞城收入!$V$8</f>
        <v>42784338.33</v>
      </c>
      <c r="V11" s="29">
        <f>VLOOKUP(I11,[1]职能管理职级薪级表!$C$4:$I$28,7,0)</f>
        <v>0.001</v>
      </c>
      <c r="W11" s="30">
        <v>1</v>
      </c>
      <c r="X11" s="31">
        <f t="shared" si="6"/>
        <v>42784.33833</v>
      </c>
      <c r="Y11" s="31">
        <f t="shared" si="7"/>
        <v>3565.3615275</v>
      </c>
      <c r="Z11" s="33" t="e">
        <f>Z10</f>
        <v>#REF!</v>
      </c>
      <c r="AA11" s="34">
        <f>VLOOKUP(I11,[1]职能管理职级薪级表!$C$4:$J$28,8,0)</f>
        <v>100</v>
      </c>
      <c r="AB11" s="17">
        <f>VLOOKUP(I11,[1]职能管理职级薪级表!$C$4:$K$28,9,0)</f>
        <v>2000</v>
      </c>
      <c r="AC11" s="31" t="e">
        <f t="shared" si="8"/>
        <v>#REF!</v>
      </c>
      <c r="AD11" s="27" t="e">
        <f t="shared" si="9"/>
        <v>#REF!</v>
      </c>
      <c r="AE11" s="30">
        <v>1</v>
      </c>
      <c r="AF11" s="35">
        <f t="shared" si="10"/>
        <v>1140000</v>
      </c>
      <c r="AG11" s="38">
        <f>'[1]套级表（管理 干部总表）'!$AB$69/'[1]方案二 职能管理套级表（M）'!AF16</f>
        <v>0.64878947368421</v>
      </c>
      <c r="AH11" s="27" t="e">
        <f t="shared" si="11"/>
        <v>#REF!</v>
      </c>
      <c r="AI11" s="27">
        <v>1000</v>
      </c>
      <c r="AJ11" s="17" t="e">
        <f t="shared" si="12"/>
        <v>#REF!</v>
      </c>
      <c r="AK11" s="17">
        <v>206535.82</v>
      </c>
      <c r="AL11" s="17" t="e">
        <f t="shared" si="13"/>
        <v>#REF!</v>
      </c>
      <c r="AM11" s="39" t="e">
        <f t="shared" si="14"/>
        <v>#REF!</v>
      </c>
      <c r="AN11" s="27" t="e">
        <f t="shared" si="15"/>
        <v>#REF!</v>
      </c>
      <c r="AO11" s="17">
        <v>13947.39</v>
      </c>
      <c r="AP11" s="17">
        <v>19112.11</v>
      </c>
      <c r="AQ11" s="17">
        <v>14794.6516666667</v>
      </c>
      <c r="AR11" s="17" t="e">
        <f t="shared" si="16"/>
        <v>#REF!</v>
      </c>
      <c r="AS11" s="14"/>
    </row>
    <row r="12" s="1" customFormat="1" ht="15" customHeight="1" spans="1:45">
      <c r="A12" s="9">
        <v>10</v>
      </c>
      <c r="B12" s="10" t="s">
        <v>55</v>
      </c>
      <c r="C12" s="11" t="s">
        <v>93</v>
      </c>
      <c r="D12" s="12" t="s">
        <v>94</v>
      </c>
      <c r="E12" s="13" t="s">
        <v>95</v>
      </c>
      <c r="F12" s="10" t="s">
        <v>96</v>
      </c>
      <c r="G12" s="10" t="s">
        <v>60</v>
      </c>
      <c r="H12" s="11" t="s">
        <v>61</v>
      </c>
      <c r="I12" s="20" t="s">
        <v>88</v>
      </c>
      <c r="J12" s="10">
        <v>1</v>
      </c>
      <c r="K12" s="10"/>
      <c r="L12" s="10">
        <v>1</v>
      </c>
      <c r="M12" s="17">
        <f>VLOOKUP(I12,[1]职能管理职级薪级表!$C$4:$G$47,5,0)</f>
        <v>12000</v>
      </c>
      <c r="N12" s="17">
        <f t="shared" si="0"/>
        <v>12000</v>
      </c>
      <c r="O12" s="17">
        <f t="shared" si="1"/>
        <v>4800</v>
      </c>
      <c r="P12" s="17">
        <f t="shared" si="2"/>
        <v>3600</v>
      </c>
      <c r="Q12" s="17">
        <f t="shared" si="3"/>
        <v>3600</v>
      </c>
      <c r="R12" s="26">
        <v>1</v>
      </c>
      <c r="S12" s="17">
        <f t="shared" si="4"/>
        <v>3600</v>
      </c>
      <c r="T12" s="27">
        <f t="shared" si="5"/>
        <v>144000</v>
      </c>
      <c r="U12" s="28">
        <f>[1]莞城收入!$V$8</f>
        <v>42784338.33</v>
      </c>
      <c r="V12" s="29">
        <f>VLOOKUP(I12,[1]职能管理职级薪级表!$C$4:$I$28,7,0)</f>
        <v>0.001</v>
      </c>
      <c r="W12" s="30">
        <v>1</v>
      </c>
      <c r="X12" s="31">
        <f t="shared" si="6"/>
        <v>42784.33833</v>
      </c>
      <c r="Y12" s="31">
        <f t="shared" si="7"/>
        <v>3565.3615275</v>
      </c>
      <c r="Z12" s="33" t="e">
        <f>#REF!</f>
        <v>#REF!</v>
      </c>
      <c r="AA12" s="34">
        <f>VLOOKUP(I12,[1]职能管理职级薪级表!$C$4:$J$28,8,0)</f>
        <v>100</v>
      </c>
      <c r="AB12" s="17">
        <f>VLOOKUP(I12,[1]职能管理职级薪级表!$C$4:$K$28,9,0)</f>
        <v>2000</v>
      </c>
      <c r="AC12" s="31" t="e">
        <f t="shared" si="8"/>
        <v>#REF!</v>
      </c>
      <c r="AD12" s="27" t="e">
        <f t="shared" si="9"/>
        <v>#REF!</v>
      </c>
      <c r="AE12" s="30">
        <v>1</v>
      </c>
      <c r="AF12" s="35">
        <f t="shared" si="10"/>
        <v>1140000</v>
      </c>
      <c r="AG12" s="38">
        <f>'[1]套级表（管理 干部总表）'!$AB$69/'[1]方案二 职能管理套级表（M）'!AF13</f>
        <v>0.64878947368421</v>
      </c>
      <c r="AH12" s="27" t="e">
        <f t="shared" si="11"/>
        <v>#REF!</v>
      </c>
      <c r="AI12" s="27">
        <v>2000</v>
      </c>
      <c r="AJ12" s="17" t="e">
        <f t="shared" si="12"/>
        <v>#REF!</v>
      </c>
      <c r="AK12" s="17">
        <f>15500*13.5</f>
        <v>209250</v>
      </c>
      <c r="AL12" s="17" t="e">
        <f t="shared" si="13"/>
        <v>#REF!</v>
      </c>
      <c r="AM12" s="39" t="e">
        <f t="shared" si="14"/>
        <v>#REF!</v>
      </c>
      <c r="AN12" s="27" t="e">
        <f t="shared" si="15"/>
        <v>#REF!</v>
      </c>
      <c r="AO12" s="17">
        <v>15350</v>
      </c>
      <c r="AP12" s="17">
        <v>15350</v>
      </c>
      <c r="AQ12" s="17">
        <v>15000</v>
      </c>
      <c r="AR12" s="17" t="e">
        <f t="shared" si="16"/>
        <v>#REF!</v>
      </c>
      <c r="AS12" s="14"/>
    </row>
    <row r="13" s="1" customFormat="1" ht="15" customHeight="1" spans="1:45">
      <c r="A13" s="9">
        <v>11</v>
      </c>
      <c r="B13" s="10" t="s">
        <v>77</v>
      </c>
      <c r="C13" s="11" t="s">
        <v>78</v>
      </c>
      <c r="D13" s="12" t="s">
        <v>97</v>
      </c>
      <c r="E13" s="13" t="s">
        <v>98</v>
      </c>
      <c r="F13" s="10" t="s">
        <v>99</v>
      </c>
      <c r="G13" s="10" t="s">
        <v>60</v>
      </c>
      <c r="H13" s="11" t="s">
        <v>61</v>
      </c>
      <c r="I13" s="12" t="s">
        <v>100</v>
      </c>
      <c r="J13" s="10">
        <v>1</v>
      </c>
      <c r="K13" s="10"/>
      <c r="L13" s="10">
        <v>1</v>
      </c>
      <c r="M13" s="17">
        <f>VLOOKUP(I13,[1]职能管理职级薪级表!$C$4:$G$47,5,0)</f>
        <v>10000</v>
      </c>
      <c r="N13" s="17">
        <f t="shared" si="0"/>
        <v>10000</v>
      </c>
      <c r="O13" s="17">
        <f t="shared" si="1"/>
        <v>4000</v>
      </c>
      <c r="P13" s="17">
        <f t="shared" si="2"/>
        <v>3000</v>
      </c>
      <c r="Q13" s="17">
        <f t="shared" si="3"/>
        <v>3000</v>
      </c>
      <c r="R13" s="26">
        <v>1</v>
      </c>
      <c r="S13" s="17">
        <f t="shared" si="4"/>
        <v>3000</v>
      </c>
      <c r="T13" s="27">
        <f t="shared" si="5"/>
        <v>120000</v>
      </c>
      <c r="U13" s="28">
        <f>[1]莞城收入!$V$8</f>
        <v>42784338.33</v>
      </c>
      <c r="V13" s="29">
        <f>VLOOKUP(I13,[1]职能管理职级薪级表!$C$4:$I$28,7,0)</f>
        <v>0.0008</v>
      </c>
      <c r="W13" s="30">
        <v>1</v>
      </c>
      <c r="X13" s="31">
        <f t="shared" si="6"/>
        <v>34227.470664</v>
      </c>
      <c r="Y13" s="31">
        <f t="shared" si="7"/>
        <v>2852.289222</v>
      </c>
      <c r="Z13" s="33" t="e">
        <f>Z12</f>
        <v>#REF!</v>
      </c>
      <c r="AA13" s="34">
        <f>VLOOKUP(I13,[1]职能管理职级薪级表!$C$4:$J$28,8,0)</f>
        <v>100</v>
      </c>
      <c r="AB13" s="17">
        <f>VLOOKUP(I13,[1]职能管理职级薪级表!$C$4:$K$28,9,0)</f>
        <v>2000</v>
      </c>
      <c r="AC13" s="31" t="e">
        <f t="shared" si="8"/>
        <v>#REF!</v>
      </c>
      <c r="AD13" s="27" t="e">
        <f t="shared" si="9"/>
        <v>#REF!</v>
      </c>
      <c r="AE13" s="30">
        <v>1</v>
      </c>
      <c r="AF13" s="35">
        <f t="shared" si="10"/>
        <v>1140000</v>
      </c>
      <c r="AG13" s="38">
        <f>'[1]套级表（管理 干部总表）'!$AB$69/'[1]方案二 职能管理套级表（M）'!AF19</f>
        <v>0.64878947368421</v>
      </c>
      <c r="AH13" s="27" t="e">
        <f t="shared" si="11"/>
        <v>#REF!</v>
      </c>
      <c r="AI13" s="27"/>
      <c r="AJ13" s="17" t="e">
        <f t="shared" si="12"/>
        <v>#REF!</v>
      </c>
      <c r="AK13" s="17">
        <v>175235.167272727</v>
      </c>
      <c r="AL13" s="17" t="e">
        <f t="shared" si="13"/>
        <v>#REF!</v>
      </c>
      <c r="AM13" s="39" t="e">
        <f t="shared" si="14"/>
        <v>#REF!</v>
      </c>
      <c r="AN13" s="27" t="e">
        <f t="shared" si="15"/>
        <v>#REF!</v>
      </c>
      <c r="AO13" s="17">
        <v>10350</v>
      </c>
      <c r="AP13" s="17">
        <v>19845.18</v>
      </c>
      <c r="AQ13" s="17">
        <v>12744.5972727273</v>
      </c>
      <c r="AR13" s="17" t="e">
        <f t="shared" si="16"/>
        <v>#REF!</v>
      </c>
      <c r="AS13" s="14" t="s">
        <v>101</v>
      </c>
    </row>
    <row r="14" s="1" customFormat="1" ht="15" customHeight="1" spans="1:45">
      <c r="A14" s="9">
        <v>12</v>
      </c>
      <c r="B14" s="10" t="s">
        <v>77</v>
      </c>
      <c r="C14" s="11" t="s">
        <v>102</v>
      </c>
      <c r="D14" s="12" t="s">
        <v>103</v>
      </c>
      <c r="E14" s="13" t="s">
        <v>104</v>
      </c>
      <c r="F14" s="10" t="s">
        <v>105</v>
      </c>
      <c r="G14" s="10" t="s">
        <v>60</v>
      </c>
      <c r="H14" s="11" t="s">
        <v>61</v>
      </c>
      <c r="I14" s="12" t="s">
        <v>100</v>
      </c>
      <c r="J14" s="10">
        <v>1</v>
      </c>
      <c r="K14" s="10"/>
      <c r="L14" s="10">
        <v>1</v>
      </c>
      <c r="M14" s="17">
        <f>VLOOKUP(I14,[1]职能管理职级薪级表!$C$4:$G$47,5,0)</f>
        <v>10000</v>
      </c>
      <c r="N14" s="17">
        <f t="shared" si="0"/>
        <v>10000</v>
      </c>
      <c r="O14" s="17">
        <f t="shared" si="1"/>
        <v>4000</v>
      </c>
      <c r="P14" s="17">
        <f t="shared" si="2"/>
        <v>3000</v>
      </c>
      <c r="Q14" s="17">
        <f t="shared" si="3"/>
        <v>3000</v>
      </c>
      <c r="R14" s="26">
        <v>1</v>
      </c>
      <c r="S14" s="17">
        <f t="shared" si="4"/>
        <v>3000</v>
      </c>
      <c r="T14" s="27">
        <f t="shared" si="5"/>
        <v>120000</v>
      </c>
      <c r="U14" s="28">
        <f>[1]莞城收入!$V$8</f>
        <v>42784338.33</v>
      </c>
      <c r="V14" s="29">
        <f>VLOOKUP(I14,[1]职能管理职级薪级表!$C$4:$I$28,7,0)</f>
        <v>0.0008</v>
      </c>
      <c r="W14" s="30">
        <v>1</v>
      </c>
      <c r="X14" s="31">
        <f t="shared" si="6"/>
        <v>34227.470664</v>
      </c>
      <c r="Y14" s="31">
        <f t="shared" si="7"/>
        <v>2852.289222</v>
      </c>
      <c r="Z14" s="33" t="e">
        <f>Z13</f>
        <v>#REF!</v>
      </c>
      <c r="AA14" s="34">
        <f>VLOOKUP(I14,[1]职能管理职级薪级表!$C$4:$J$28,8,0)</f>
        <v>100</v>
      </c>
      <c r="AB14" s="17">
        <f>VLOOKUP(I14,[1]职能管理职级薪级表!$C$4:$K$28,9,0)</f>
        <v>2000</v>
      </c>
      <c r="AC14" s="31" t="e">
        <f t="shared" si="8"/>
        <v>#REF!</v>
      </c>
      <c r="AD14" s="27" t="e">
        <f t="shared" si="9"/>
        <v>#REF!</v>
      </c>
      <c r="AE14" s="30">
        <v>1</v>
      </c>
      <c r="AF14" s="35">
        <f t="shared" si="10"/>
        <v>1140000</v>
      </c>
      <c r="AG14" s="38">
        <f>'[1]套级表（管理 干部总表）'!$AB$69/'[1]方案二 职能管理套级表（M）'!AF21</f>
        <v>0.64878947368421</v>
      </c>
      <c r="AH14" s="27" t="e">
        <f t="shared" si="11"/>
        <v>#REF!</v>
      </c>
      <c r="AI14" s="27"/>
      <c r="AJ14" s="17" t="e">
        <f t="shared" si="12"/>
        <v>#REF!</v>
      </c>
      <c r="AK14" s="17">
        <f>10550*14</f>
        <v>147700</v>
      </c>
      <c r="AL14" s="17" t="e">
        <f t="shared" si="13"/>
        <v>#REF!</v>
      </c>
      <c r="AM14" s="39" t="e">
        <f t="shared" si="14"/>
        <v>#REF!</v>
      </c>
      <c r="AN14" s="27" t="e">
        <f t="shared" si="15"/>
        <v>#REF!</v>
      </c>
      <c r="AO14" s="17">
        <v>10550</v>
      </c>
      <c r="AP14" s="17">
        <v>10550</v>
      </c>
      <c r="AQ14" s="17">
        <v>9479.54416666667</v>
      </c>
      <c r="AR14" s="17" t="e">
        <f t="shared" si="16"/>
        <v>#REF!</v>
      </c>
      <c r="AS14" s="14" t="s">
        <v>106</v>
      </c>
    </row>
    <row r="15" s="1" customFormat="1" ht="15" customHeight="1" spans="1:45">
      <c r="A15" s="9">
        <v>13</v>
      </c>
      <c r="B15" s="10" t="s">
        <v>77</v>
      </c>
      <c r="C15" s="11" t="s">
        <v>107</v>
      </c>
      <c r="D15" s="12" t="s">
        <v>108</v>
      </c>
      <c r="E15" s="13" t="s">
        <v>109</v>
      </c>
      <c r="F15" s="10" t="s">
        <v>110</v>
      </c>
      <c r="G15" s="10" t="s">
        <v>60</v>
      </c>
      <c r="H15" s="11" t="s">
        <v>111</v>
      </c>
      <c r="I15" s="12" t="s">
        <v>112</v>
      </c>
      <c r="J15" s="10">
        <v>1</v>
      </c>
      <c r="K15" s="10"/>
      <c r="L15" s="10">
        <v>1</v>
      </c>
      <c r="M15" s="17">
        <f>VLOOKUP(I15,[1]职能管理职级薪级表!$C$4:$G$47,5,0)</f>
        <v>11000</v>
      </c>
      <c r="N15" s="17">
        <f t="shared" si="0"/>
        <v>11000</v>
      </c>
      <c r="O15" s="17">
        <f t="shared" si="1"/>
        <v>4400</v>
      </c>
      <c r="P15" s="17">
        <f t="shared" si="2"/>
        <v>3300</v>
      </c>
      <c r="Q15" s="17">
        <f t="shared" si="3"/>
        <v>3300</v>
      </c>
      <c r="R15" s="26">
        <v>1</v>
      </c>
      <c r="S15" s="17">
        <f t="shared" si="4"/>
        <v>3300</v>
      </c>
      <c r="T15" s="27">
        <f t="shared" si="5"/>
        <v>132000</v>
      </c>
      <c r="U15" s="28">
        <f>[1]莞城收入!$V$8</f>
        <v>42784338.33</v>
      </c>
      <c r="V15" s="29">
        <f>VLOOKUP(I15,[1]职能管理职级薪级表!$C$4:$I$28,7,0)</f>
        <v>0.0008</v>
      </c>
      <c r="W15" s="30">
        <v>1</v>
      </c>
      <c r="X15" s="31">
        <f t="shared" si="6"/>
        <v>34227.470664</v>
      </c>
      <c r="Y15" s="31">
        <f t="shared" si="7"/>
        <v>2852.289222</v>
      </c>
      <c r="Z15" s="33" t="e">
        <f>Z14</f>
        <v>#REF!</v>
      </c>
      <c r="AA15" s="34">
        <f>VLOOKUP(I15,[1]职能管理职级薪级表!$C$4:$J$28,8,0)</f>
        <v>100</v>
      </c>
      <c r="AB15" s="17">
        <f>VLOOKUP(I15,[1]职能管理职级薪级表!$C$4:$K$28,9,0)</f>
        <v>2000</v>
      </c>
      <c r="AC15" s="31" t="e">
        <f t="shared" si="8"/>
        <v>#REF!</v>
      </c>
      <c r="AD15" s="27" t="e">
        <f t="shared" si="9"/>
        <v>#REF!</v>
      </c>
      <c r="AE15" s="30">
        <v>1</v>
      </c>
      <c r="AF15" s="35">
        <f t="shared" si="10"/>
        <v>1140000</v>
      </c>
      <c r="AG15" s="38">
        <f>'[1]套级表（管理 干部总表）'!$AB$69/'[1]方案二 职能管理套级表（M）'!AF22</f>
        <v>0.64878947368421</v>
      </c>
      <c r="AH15" s="27" t="e">
        <f t="shared" si="11"/>
        <v>#REF!</v>
      </c>
      <c r="AI15" s="27"/>
      <c r="AJ15" s="17" t="e">
        <f t="shared" si="12"/>
        <v>#REF!</v>
      </c>
      <c r="AK15" s="17">
        <v>181694.68</v>
      </c>
      <c r="AL15" s="17" t="e">
        <f t="shared" si="13"/>
        <v>#REF!</v>
      </c>
      <c r="AM15" s="39" t="e">
        <f t="shared" si="14"/>
        <v>#REF!</v>
      </c>
      <c r="AN15" s="27" t="e">
        <f t="shared" si="15"/>
        <v>#REF!</v>
      </c>
      <c r="AO15" s="17"/>
      <c r="AP15" s="17">
        <v>13150</v>
      </c>
      <c r="AQ15" s="17">
        <v>13016.2233333333</v>
      </c>
      <c r="AR15" s="17" t="e">
        <f t="shared" si="16"/>
        <v>#REF!</v>
      </c>
      <c r="AS15" s="14" t="s">
        <v>106</v>
      </c>
    </row>
    <row r="16" s="1" customFormat="1" ht="15" customHeight="1" spans="1:45">
      <c r="A16" s="9">
        <v>14</v>
      </c>
      <c r="B16" s="10" t="s">
        <v>55</v>
      </c>
      <c r="C16" s="11" t="s">
        <v>113</v>
      </c>
      <c r="D16" s="12" t="s">
        <v>114</v>
      </c>
      <c r="E16" s="13" t="s">
        <v>115</v>
      </c>
      <c r="F16" s="10" t="s">
        <v>116</v>
      </c>
      <c r="G16" s="10" t="s">
        <v>60</v>
      </c>
      <c r="H16" s="11" t="s">
        <v>61</v>
      </c>
      <c r="I16" s="12" t="s">
        <v>117</v>
      </c>
      <c r="J16" s="10">
        <v>0.7</v>
      </c>
      <c r="K16" s="10"/>
      <c r="L16" s="10">
        <v>1</v>
      </c>
      <c r="M16" s="17">
        <f>VLOOKUP(I16,[1]职能管理职级薪级表!$C$4:$G$47,5,0)</f>
        <v>9000</v>
      </c>
      <c r="N16" s="17">
        <f t="shared" si="0"/>
        <v>6300</v>
      </c>
      <c r="O16" s="17">
        <f t="shared" si="1"/>
        <v>2520</v>
      </c>
      <c r="P16" s="17">
        <f t="shared" si="2"/>
        <v>1890</v>
      </c>
      <c r="Q16" s="17">
        <f t="shared" si="3"/>
        <v>1890</v>
      </c>
      <c r="R16" s="26">
        <v>1</v>
      </c>
      <c r="S16" s="17">
        <f t="shared" si="4"/>
        <v>1890</v>
      </c>
      <c r="T16" s="27">
        <f t="shared" si="5"/>
        <v>75600</v>
      </c>
      <c r="U16" s="28">
        <f>[1]莞城收入!$V$8</f>
        <v>42784338.33</v>
      </c>
      <c r="V16" s="29">
        <f>VLOOKUP(I16,[1]职能管理职级薪级表!$C$4:$I$28,7,0)</f>
        <v>0.0006</v>
      </c>
      <c r="W16" s="30">
        <v>1</v>
      </c>
      <c r="X16" s="31">
        <f t="shared" si="6"/>
        <v>17969.4220986</v>
      </c>
      <c r="Y16" s="31">
        <f t="shared" si="7"/>
        <v>1497.45184155</v>
      </c>
      <c r="Z16" s="33" t="e">
        <f>Z14</f>
        <v>#REF!</v>
      </c>
      <c r="AA16" s="34">
        <f>VLOOKUP(I16,[1]职能管理职级薪级表!$C$4:$J$28,8,0)</f>
        <v>50</v>
      </c>
      <c r="AB16" s="17">
        <f>VLOOKUP(I16,[1]职能管理职级薪级表!$C$4:$K$28,9,0)</f>
        <v>1000</v>
      </c>
      <c r="AC16" s="31" t="e">
        <f t="shared" si="8"/>
        <v>#REF!</v>
      </c>
      <c r="AD16" s="27" t="e">
        <f t="shared" si="9"/>
        <v>#REF!</v>
      </c>
      <c r="AE16" s="30">
        <v>1</v>
      </c>
      <c r="AF16" s="35">
        <f t="shared" si="10"/>
        <v>1140000</v>
      </c>
      <c r="AG16" s="38">
        <f>'[1]套级表（管理 干部总表）'!$AB$69/'[1]方案二 职能管理套级表（M）'!AF26</f>
        <v>0.64878947368421</v>
      </c>
      <c r="AH16" s="27" t="e">
        <f t="shared" si="11"/>
        <v>#REF!</v>
      </c>
      <c r="AI16" s="27"/>
      <c r="AJ16" s="17" t="e">
        <f t="shared" si="12"/>
        <v>#REF!</v>
      </c>
      <c r="AK16" s="17">
        <f>7000*13</f>
        <v>91000</v>
      </c>
      <c r="AL16" s="17" t="e">
        <f t="shared" si="13"/>
        <v>#REF!</v>
      </c>
      <c r="AM16" s="39" t="e">
        <f t="shared" si="14"/>
        <v>#REF!</v>
      </c>
      <c r="AN16" s="27" t="e">
        <f t="shared" si="15"/>
        <v>#REF!</v>
      </c>
      <c r="AO16" s="17">
        <v>7050</v>
      </c>
      <c r="AP16" s="17">
        <v>7050</v>
      </c>
      <c r="AQ16" s="17">
        <v>6254.16666666667</v>
      </c>
      <c r="AR16" s="17" t="e">
        <f t="shared" si="16"/>
        <v>#REF!</v>
      </c>
      <c r="AS16" s="14" t="s">
        <v>106</v>
      </c>
    </row>
    <row r="17" s="1" customFormat="1" ht="15" customHeight="1" spans="1:45">
      <c r="A17" s="9">
        <v>15</v>
      </c>
      <c r="B17" s="10" t="s">
        <v>55</v>
      </c>
      <c r="C17" s="11" t="s">
        <v>118</v>
      </c>
      <c r="D17" s="12" t="s">
        <v>119</v>
      </c>
      <c r="E17" s="13" t="s">
        <v>120</v>
      </c>
      <c r="F17" s="10" t="s">
        <v>121</v>
      </c>
      <c r="G17" s="10" t="s">
        <v>60</v>
      </c>
      <c r="H17" s="11" t="s">
        <v>61</v>
      </c>
      <c r="I17" s="12" t="s">
        <v>122</v>
      </c>
      <c r="J17" s="10">
        <v>1</v>
      </c>
      <c r="K17" s="10"/>
      <c r="L17" s="10">
        <v>1</v>
      </c>
      <c r="M17" s="17">
        <f>VLOOKUP(I17,[1]职能管理职级薪级表!$C$4:$G$47,5,0)</f>
        <v>8500</v>
      </c>
      <c r="N17" s="17">
        <f t="shared" ref="N17:N22" si="17">M17*J17*L17</f>
        <v>8500</v>
      </c>
      <c r="O17" s="17">
        <f t="shared" ref="O17:O23" si="18">N17*0.4</f>
        <v>3400</v>
      </c>
      <c r="P17" s="17">
        <f t="shared" ref="P17:P23" si="19">N17*0.3</f>
        <v>2550</v>
      </c>
      <c r="Q17" s="17">
        <f t="shared" ref="Q17:Q23" si="20">N17*0.3</f>
        <v>2550</v>
      </c>
      <c r="R17" s="26">
        <v>1</v>
      </c>
      <c r="S17" s="17">
        <f t="shared" ref="S17:S22" si="21">Q17*R17</f>
        <v>2550</v>
      </c>
      <c r="T17" s="27">
        <f t="shared" ref="T17:T23" si="22">N17*12</f>
        <v>102000</v>
      </c>
      <c r="U17" s="28">
        <f>[1]莞城收入!$V$8</f>
        <v>42784338.33</v>
      </c>
      <c r="V17" s="29">
        <f>VLOOKUP(I17,[1]职能管理职级薪级表!$C$4:$I$28,7,0)</f>
        <v>0.0006</v>
      </c>
      <c r="W17" s="30">
        <v>1</v>
      </c>
      <c r="X17" s="31">
        <f t="shared" ref="X17:X22" si="23">IF(U17&lt;=50000000,U17*V17*J17*W17*L17,((U17-50000000)*V17*J17*W17*L17/2+50000000*V17*J17*W17*L17))</f>
        <v>25670.602998</v>
      </c>
      <c r="Y17" s="31">
        <f t="shared" ref="Y17:Y22" si="24">X17/12</f>
        <v>2139.2169165</v>
      </c>
      <c r="Z17" s="33" t="e">
        <f>#REF!</f>
        <v>#REF!</v>
      </c>
      <c r="AA17" s="34">
        <f>VLOOKUP(I17,[1]职能管理职级薪级表!$C$4:$J$28,8,0)</f>
        <v>50</v>
      </c>
      <c r="AB17" s="17">
        <f>VLOOKUP(I17,[1]职能管理职级薪级表!$C$4:$K$28,9,0)</f>
        <v>1000</v>
      </c>
      <c r="AC17" s="31" t="e">
        <f t="shared" ref="AC17:AC22" si="25">IF(Z17*AA17&gt;=AB17,AB17,Z17*AA17)</f>
        <v>#REF!</v>
      </c>
      <c r="AD17" s="27" t="e">
        <f t="shared" ref="AD17:AD22" si="26">(T17+X17+AC17*12)/12*IF(43496-E17&gt;=730,1,(43496-E17)/730)</f>
        <v>#REF!</v>
      </c>
      <c r="AE17" s="30">
        <v>1</v>
      </c>
      <c r="AF17" s="35">
        <f t="shared" ref="AF17:AF22" si="27">11400000*0.1</f>
        <v>1140000</v>
      </c>
      <c r="AG17" s="38">
        <f>'[1]套级表（管理 干部总表）'!$AB$69/'[1]方案二 职能管理套级表（M）'!AF22</f>
        <v>0.64878947368421</v>
      </c>
      <c r="AH17" s="27" t="e">
        <f t="shared" ref="AH17:AH22" si="28">(T17+X17+AC17*12)/12*AE17*AG17</f>
        <v>#REF!</v>
      </c>
      <c r="AI17" s="27"/>
      <c r="AJ17" s="17" t="e">
        <f t="shared" ref="AJ17:AJ22" si="29">T17+X17+AC17*12+AD17+AH17+AI17</f>
        <v>#REF!</v>
      </c>
      <c r="AK17" s="17">
        <f>10350*13.5</f>
        <v>139725</v>
      </c>
      <c r="AL17" s="17" t="e">
        <f t="shared" ref="AL17:AL22" si="30">AJ17-AK17</f>
        <v>#REF!</v>
      </c>
      <c r="AM17" s="39" t="e">
        <f t="shared" si="14"/>
        <v>#REF!</v>
      </c>
      <c r="AN17" s="27" t="e">
        <f t="shared" ref="AN17:AN29" si="31">O17+P17+S17+Y17+AC17</f>
        <v>#REF!</v>
      </c>
      <c r="AO17" s="17">
        <v>10350</v>
      </c>
      <c r="AP17" s="17">
        <v>10300</v>
      </c>
      <c r="AQ17" s="17">
        <v>10300</v>
      </c>
      <c r="AR17" s="17" t="e">
        <f t="shared" ref="AR17:AR22" si="32">AN17-AQ17</f>
        <v>#REF!</v>
      </c>
      <c r="AS17" s="14" t="s">
        <v>106</v>
      </c>
    </row>
    <row r="18" s="1" customFormat="1" ht="15" customHeight="1" spans="1:45">
      <c r="A18" s="9">
        <v>16</v>
      </c>
      <c r="B18" s="10" t="s">
        <v>71</v>
      </c>
      <c r="C18" s="11" t="s">
        <v>123</v>
      </c>
      <c r="D18" s="12" t="s">
        <v>124</v>
      </c>
      <c r="E18" s="13" t="s">
        <v>125</v>
      </c>
      <c r="F18" s="14" t="s">
        <v>126</v>
      </c>
      <c r="G18" s="10" t="s">
        <v>60</v>
      </c>
      <c r="H18" s="11" t="s">
        <v>61</v>
      </c>
      <c r="I18" s="12" t="s">
        <v>100</v>
      </c>
      <c r="J18" s="10">
        <v>1</v>
      </c>
      <c r="K18" s="10"/>
      <c r="L18" s="10">
        <v>1</v>
      </c>
      <c r="M18" s="17">
        <f>VLOOKUP(I18,[1]职能管理职级薪级表!$C$4:$G$47,5,0)</f>
        <v>10000</v>
      </c>
      <c r="N18" s="17">
        <f t="shared" si="17"/>
        <v>10000</v>
      </c>
      <c r="O18" s="17">
        <f t="shared" si="18"/>
        <v>4000</v>
      </c>
      <c r="P18" s="17">
        <f t="shared" si="19"/>
        <v>3000</v>
      </c>
      <c r="Q18" s="17">
        <f t="shared" si="20"/>
        <v>3000</v>
      </c>
      <c r="R18" s="26">
        <v>1</v>
      </c>
      <c r="S18" s="17">
        <f t="shared" si="21"/>
        <v>3000</v>
      </c>
      <c r="T18" s="27">
        <f t="shared" si="22"/>
        <v>120000</v>
      </c>
      <c r="U18" s="28">
        <f>[1]莞城收入!$V$8</f>
        <v>42784338.33</v>
      </c>
      <c r="V18" s="29">
        <f>VLOOKUP(I18,[1]职能管理职级薪级表!$C$4:$I$28,7,0)</f>
        <v>0.0008</v>
      </c>
      <c r="W18" s="30">
        <v>1</v>
      </c>
      <c r="X18" s="31">
        <f t="shared" si="23"/>
        <v>34227.470664</v>
      </c>
      <c r="Y18" s="31">
        <f t="shared" si="24"/>
        <v>2852.289222</v>
      </c>
      <c r="Z18" s="33" t="e">
        <f>Z17</f>
        <v>#REF!</v>
      </c>
      <c r="AA18" s="34">
        <f>VLOOKUP(I18,[1]职能管理职级薪级表!$C$4:$J$28,8,0)</f>
        <v>100</v>
      </c>
      <c r="AB18" s="17">
        <f>VLOOKUP(I18,[1]职能管理职级薪级表!$C$4:$K$28,9,0)</f>
        <v>2000</v>
      </c>
      <c r="AC18" s="31" t="e">
        <f t="shared" si="25"/>
        <v>#REF!</v>
      </c>
      <c r="AD18" s="27" t="e">
        <f t="shared" si="26"/>
        <v>#REF!</v>
      </c>
      <c r="AE18" s="30">
        <v>1</v>
      </c>
      <c r="AF18" s="35">
        <f t="shared" si="27"/>
        <v>1140000</v>
      </c>
      <c r="AG18" s="38">
        <f>'[1]套级表（管理 干部总表）'!$AB$69/'[1]方案二 职能管理套级表（M）'!AF23</f>
        <v>0.64878947368421</v>
      </c>
      <c r="AH18" s="27" t="e">
        <f t="shared" si="28"/>
        <v>#REF!</v>
      </c>
      <c r="AI18" s="27"/>
      <c r="AJ18" s="17" t="e">
        <f t="shared" si="29"/>
        <v>#REF!</v>
      </c>
      <c r="AK18" s="17">
        <v>127156.56</v>
      </c>
      <c r="AL18" s="17" t="e">
        <f t="shared" si="30"/>
        <v>#REF!</v>
      </c>
      <c r="AM18" s="39" t="e">
        <f t="shared" si="14"/>
        <v>#REF!</v>
      </c>
      <c r="AN18" s="27" t="e">
        <f t="shared" si="31"/>
        <v>#REF!</v>
      </c>
      <c r="AO18" s="17">
        <v>8950</v>
      </c>
      <c r="AP18" s="17">
        <v>8781</v>
      </c>
      <c r="AQ18" s="17">
        <v>9254.71333333333</v>
      </c>
      <c r="AR18" s="17" t="e">
        <f t="shared" si="32"/>
        <v>#REF!</v>
      </c>
      <c r="AS18" s="14" t="s">
        <v>106</v>
      </c>
    </row>
    <row r="19" s="1" customFormat="1" ht="15" customHeight="1" spans="1:45">
      <c r="A19" s="9">
        <v>17</v>
      </c>
      <c r="B19" s="10" t="s">
        <v>71</v>
      </c>
      <c r="C19" s="11" t="s">
        <v>127</v>
      </c>
      <c r="D19" s="12" t="s">
        <v>128</v>
      </c>
      <c r="E19" s="13" t="s">
        <v>120</v>
      </c>
      <c r="F19" s="14" t="s">
        <v>129</v>
      </c>
      <c r="G19" s="10" t="s">
        <v>60</v>
      </c>
      <c r="H19" s="11" t="s">
        <v>61</v>
      </c>
      <c r="I19" s="12" t="s">
        <v>130</v>
      </c>
      <c r="J19" s="10">
        <v>1</v>
      </c>
      <c r="K19" s="10"/>
      <c r="L19" s="10">
        <v>1</v>
      </c>
      <c r="M19" s="17">
        <f>VLOOKUP(I19,[1]职能管理职级薪级表!$C$4:$G$47,5,0)</f>
        <v>8000</v>
      </c>
      <c r="N19" s="17">
        <f t="shared" si="17"/>
        <v>8000</v>
      </c>
      <c r="O19" s="17">
        <f t="shared" si="18"/>
        <v>3200</v>
      </c>
      <c r="P19" s="17">
        <f t="shared" si="19"/>
        <v>2400</v>
      </c>
      <c r="Q19" s="17">
        <f t="shared" si="20"/>
        <v>2400</v>
      </c>
      <c r="R19" s="26">
        <v>1</v>
      </c>
      <c r="S19" s="17">
        <f t="shared" si="21"/>
        <v>2400</v>
      </c>
      <c r="T19" s="27">
        <f t="shared" si="22"/>
        <v>96000</v>
      </c>
      <c r="U19" s="28">
        <f>[1]莞城收入!$V$8</f>
        <v>42784338.33</v>
      </c>
      <c r="V19" s="29">
        <f>VLOOKUP(I19,[1]职能管理职级薪级表!$C$4:$I$28,7,0)</f>
        <v>0.0005</v>
      </c>
      <c r="W19" s="30">
        <v>1</v>
      </c>
      <c r="X19" s="31">
        <f t="shared" si="23"/>
        <v>21392.169165</v>
      </c>
      <c r="Y19" s="31">
        <f t="shared" si="24"/>
        <v>1782.68076375</v>
      </c>
      <c r="Z19" s="33" t="e">
        <f>Z18</f>
        <v>#REF!</v>
      </c>
      <c r="AA19" s="34">
        <f>VLOOKUP(I19,[1]职能管理职级薪级表!$C$4:$J$28,8,0)</f>
        <v>50</v>
      </c>
      <c r="AB19" s="17">
        <f>VLOOKUP(I19,[1]职能管理职级薪级表!$C$4:$K$28,9,0)</f>
        <v>1000</v>
      </c>
      <c r="AC19" s="31" t="e">
        <f t="shared" si="25"/>
        <v>#REF!</v>
      </c>
      <c r="AD19" s="27" t="e">
        <f t="shared" si="26"/>
        <v>#REF!</v>
      </c>
      <c r="AE19" s="30">
        <v>1</v>
      </c>
      <c r="AF19" s="35">
        <f t="shared" si="27"/>
        <v>1140000</v>
      </c>
      <c r="AG19" s="38">
        <f>'[1]套级表（管理 干部总表）'!$AB$69/'[1]方案二 职能管理套级表（M）'!AF24</f>
        <v>0.64878947368421</v>
      </c>
      <c r="AH19" s="27" t="e">
        <f t="shared" si="28"/>
        <v>#REF!</v>
      </c>
      <c r="AI19" s="27"/>
      <c r="AJ19" s="17" t="e">
        <f t="shared" si="29"/>
        <v>#REF!</v>
      </c>
      <c r="AK19" s="17">
        <v>120050</v>
      </c>
      <c r="AL19" s="17" t="e">
        <f t="shared" si="30"/>
        <v>#REF!</v>
      </c>
      <c r="AM19" s="39" t="e">
        <f t="shared" si="14"/>
        <v>#REF!</v>
      </c>
      <c r="AN19" s="27" t="e">
        <f t="shared" si="31"/>
        <v>#REF!</v>
      </c>
      <c r="AO19" s="17">
        <v>9170</v>
      </c>
      <c r="AP19" s="17">
        <v>9120</v>
      </c>
      <c r="AQ19" s="17">
        <v>8910</v>
      </c>
      <c r="AR19" s="17" t="e">
        <f t="shared" si="32"/>
        <v>#REF!</v>
      </c>
      <c r="AS19" s="14" t="s">
        <v>131</v>
      </c>
    </row>
    <row r="20" s="1" customFormat="1" ht="15" customHeight="1" spans="1:45">
      <c r="A20" s="9">
        <v>18</v>
      </c>
      <c r="B20" s="10" t="s">
        <v>55</v>
      </c>
      <c r="C20" s="11" t="s">
        <v>132</v>
      </c>
      <c r="D20" s="12" t="s">
        <v>133</v>
      </c>
      <c r="E20" s="13" t="s">
        <v>134</v>
      </c>
      <c r="F20" s="14" t="s">
        <v>135</v>
      </c>
      <c r="G20" s="10" t="s">
        <v>60</v>
      </c>
      <c r="H20" s="11" t="s">
        <v>136</v>
      </c>
      <c r="I20" s="12" t="s">
        <v>137</v>
      </c>
      <c r="J20" s="10">
        <v>1</v>
      </c>
      <c r="K20" s="10"/>
      <c r="L20" s="10">
        <v>1</v>
      </c>
      <c r="M20" s="17">
        <f>VLOOKUP(I20,[1]职能管理职级薪级表!$C$4:$G$47,5,0)</f>
        <v>7000</v>
      </c>
      <c r="N20" s="17">
        <f t="shared" si="17"/>
        <v>7000</v>
      </c>
      <c r="O20" s="17">
        <f t="shared" si="18"/>
        <v>2800</v>
      </c>
      <c r="P20" s="17">
        <f t="shared" si="19"/>
        <v>2100</v>
      </c>
      <c r="Q20" s="17">
        <f t="shared" si="20"/>
        <v>2100</v>
      </c>
      <c r="R20" s="26">
        <v>1</v>
      </c>
      <c r="S20" s="17">
        <f t="shared" si="21"/>
        <v>2100</v>
      </c>
      <c r="T20" s="27">
        <f t="shared" si="22"/>
        <v>84000</v>
      </c>
      <c r="U20" s="28">
        <f>[1]莞城收入!$V$8</f>
        <v>42784338.33</v>
      </c>
      <c r="V20" s="29">
        <f>VLOOKUP(I20,[1]职能管理职级薪级表!$C$4:$I$28,7,0)</f>
        <v>0.0005</v>
      </c>
      <c r="W20" s="30">
        <v>1</v>
      </c>
      <c r="X20" s="31">
        <f t="shared" si="23"/>
        <v>21392.169165</v>
      </c>
      <c r="Y20" s="31">
        <f t="shared" si="24"/>
        <v>1782.68076375</v>
      </c>
      <c r="Z20" s="33" t="e">
        <f>Z19</f>
        <v>#REF!</v>
      </c>
      <c r="AA20" s="34">
        <f>VLOOKUP(I20,[1]职能管理职级薪级表!$C$4:$J$28,8,0)</f>
        <v>50</v>
      </c>
      <c r="AB20" s="17">
        <f>VLOOKUP(I20,[1]职能管理职级薪级表!$C$4:$K$28,9,0)</f>
        <v>1000</v>
      </c>
      <c r="AC20" s="31" t="e">
        <f t="shared" si="25"/>
        <v>#REF!</v>
      </c>
      <c r="AD20" s="27" t="e">
        <f t="shared" si="26"/>
        <v>#REF!</v>
      </c>
      <c r="AE20" s="30">
        <v>1</v>
      </c>
      <c r="AF20" s="35">
        <f t="shared" si="27"/>
        <v>1140000</v>
      </c>
      <c r="AG20" s="38">
        <f>'[1]套级表（管理 干部总表）'!$AB$69/'[1]方案二 职能管理套级表（M）'!AF27</f>
        <v>0.64878947368421</v>
      </c>
      <c r="AH20" s="27" t="e">
        <f t="shared" si="28"/>
        <v>#REF!</v>
      </c>
      <c r="AI20" s="27"/>
      <c r="AJ20" s="17" t="e">
        <f t="shared" si="29"/>
        <v>#REF!</v>
      </c>
      <c r="AK20" s="17">
        <v>110000</v>
      </c>
      <c r="AL20" s="17" t="e">
        <f t="shared" si="30"/>
        <v>#REF!</v>
      </c>
      <c r="AM20" s="39" t="e">
        <f t="shared" si="14"/>
        <v>#REF!</v>
      </c>
      <c r="AN20" s="27" t="e">
        <f t="shared" si="31"/>
        <v>#REF!</v>
      </c>
      <c r="AO20" s="17">
        <v>7098.7</v>
      </c>
      <c r="AP20" s="17">
        <v>11053.63</v>
      </c>
      <c r="AQ20" s="17">
        <v>6733.88583333333</v>
      </c>
      <c r="AR20" s="17" t="e">
        <f t="shared" si="32"/>
        <v>#REF!</v>
      </c>
      <c r="AS20" s="14" t="s">
        <v>138</v>
      </c>
    </row>
    <row r="21" s="1" customFormat="1" ht="15" customHeight="1" spans="1:45">
      <c r="A21" s="9">
        <v>19</v>
      </c>
      <c r="B21" s="10" t="s">
        <v>77</v>
      </c>
      <c r="C21" s="11" t="s">
        <v>139</v>
      </c>
      <c r="D21" s="12" t="s">
        <v>140</v>
      </c>
      <c r="E21" s="13" t="s">
        <v>141</v>
      </c>
      <c r="F21" s="10" t="s">
        <v>142</v>
      </c>
      <c r="G21" s="10" t="s">
        <v>60</v>
      </c>
      <c r="H21" s="11" t="s">
        <v>136</v>
      </c>
      <c r="I21" s="12" t="s">
        <v>137</v>
      </c>
      <c r="J21" s="10">
        <v>1</v>
      </c>
      <c r="K21" s="10"/>
      <c r="L21" s="10">
        <v>1</v>
      </c>
      <c r="M21" s="17">
        <f>VLOOKUP(I21,[1]职能管理职级薪级表!$C$4:$G$47,5,0)</f>
        <v>7000</v>
      </c>
      <c r="N21" s="17">
        <f t="shared" si="17"/>
        <v>7000</v>
      </c>
      <c r="O21" s="17">
        <f t="shared" si="18"/>
        <v>2800</v>
      </c>
      <c r="P21" s="17">
        <f t="shared" si="19"/>
        <v>2100</v>
      </c>
      <c r="Q21" s="17">
        <f t="shared" si="20"/>
        <v>2100</v>
      </c>
      <c r="R21" s="26">
        <v>1</v>
      </c>
      <c r="S21" s="17">
        <f t="shared" si="21"/>
        <v>2100</v>
      </c>
      <c r="T21" s="27">
        <f t="shared" si="22"/>
        <v>84000</v>
      </c>
      <c r="U21" s="28">
        <f>[1]莞城收入!$V$8</f>
        <v>42784338.33</v>
      </c>
      <c r="V21" s="29">
        <f>VLOOKUP(I21,[1]职能管理职级薪级表!$C$4:$I$28,7,0)</f>
        <v>0.0005</v>
      </c>
      <c r="W21" s="30">
        <v>1</v>
      </c>
      <c r="X21" s="31">
        <f t="shared" si="23"/>
        <v>21392.169165</v>
      </c>
      <c r="Y21" s="31">
        <f t="shared" si="24"/>
        <v>1782.68076375</v>
      </c>
      <c r="Z21" s="33" t="e">
        <f>Z20</f>
        <v>#REF!</v>
      </c>
      <c r="AA21" s="34">
        <f>VLOOKUP(I21,[1]职能管理职级薪级表!$C$4:$J$28,8,0)</f>
        <v>50</v>
      </c>
      <c r="AB21" s="17">
        <f>VLOOKUP(I21,[1]职能管理职级薪级表!$C$4:$K$28,9,0)</f>
        <v>1000</v>
      </c>
      <c r="AC21" s="31" t="e">
        <f t="shared" si="25"/>
        <v>#REF!</v>
      </c>
      <c r="AD21" s="27" t="e">
        <f t="shared" si="26"/>
        <v>#REF!</v>
      </c>
      <c r="AE21" s="30">
        <v>1</v>
      </c>
      <c r="AF21" s="35">
        <f t="shared" si="27"/>
        <v>1140000</v>
      </c>
      <c r="AG21" s="38">
        <f>'[1]套级表（管理 干部总表）'!$AB$69/'[1]方案二 职能管理套级表（M）'!AF28</f>
        <v>0.64878947368421</v>
      </c>
      <c r="AH21" s="27" t="e">
        <f t="shared" si="28"/>
        <v>#REF!</v>
      </c>
      <c r="AI21" s="27"/>
      <c r="AJ21" s="17" t="e">
        <f t="shared" si="29"/>
        <v>#REF!</v>
      </c>
      <c r="AK21" s="17">
        <v>75998.5</v>
      </c>
      <c r="AL21" s="17" t="e">
        <f t="shared" si="30"/>
        <v>#REF!</v>
      </c>
      <c r="AM21" s="39" t="e">
        <f>(AN21-AO21)/AO21</f>
        <v>#REF!</v>
      </c>
      <c r="AN21" s="27" t="e">
        <f t="shared" si="31"/>
        <v>#REF!</v>
      </c>
      <c r="AO21" s="17">
        <v>7106</v>
      </c>
      <c r="AP21" s="17">
        <v>7106</v>
      </c>
      <c r="AQ21" s="17">
        <v>6016.54166666667</v>
      </c>
      <c r="AR21" s="17" t="e">
        <f t="shared" si="32"/>
        <v>#REF!</v>
      </c>
      <c r="AS21" s="14" t="s">
        <v>138</v>
      </c>
    </row>
    <row r="22" s="1" customFormat="1" ht="15" customHeight="1" spans="1:45">
      <c r="A22" s="9">
        <v>20</v>
      </c>
      <c r="B22" s="10" t="s">
        <v>77</v>
      </c>
      <c r="C22" s="11" t="s">
        <v>107</v>
      </c>
      <c r="D22" s="12" t="s">
        <v>143</v>
      </c>
      <c r="E22" s="13" t="s">
        <v>144</v>
      </c>
      <c r="F22" s="14" t="s">
        <v>145</v>
      </c>
      <c r="G22" s="10" t="s">
        <v>60</v>
      </c>
      <c r="H22" s="11" t="s">
        <v>136</v>
      </c>
      <c r="I22" s="12" t="s">
        <v>137</v>
      </c>
      <c r="J22" s="10">
        <v>1</v>
      </c>
      <c r="K22" s="10"/>
      <c r="L22" s="10">
        <v>1</v>
      </c>
      <c r="M22" s="17">
        <f>VLOOKUP(I22,[1]职能管理职级薪级表!$C$4:$G$47,5,0)</f>
        <v>7000</v>
      </c>
      <c r="N22" s="17">
        <f t="shared" si="17"/>
        <v>7000</v>
      </c>
      <c r="O22" s="17">
        <f t="shared" si="18"/>
        <v>2800</v>
      </c>
      <c r="P22" s="17">
        <f t="shared" si="19"/>
        <v>2100</v>
      </c>
      <c r="Q22" s="17">
        <f t="shared" si="20"/>
        <v>2100</v>
      </c>
      <c r="R22" s="26">
        <v>1</v>
      </c>
      <c r="S22" s="17">
        <f t="shared" si="21"/>
        <v>2100</v>
      </c>
      <c r="T22" s="27">
        <f t="shared" si="22"/>
        <v>84000</v>
      </c>
      <c r="U22" s="28">
        <f>[1]莞城收入!$V$8</f>
        <v>42784338.33</v>
      </c>
      <c r="V22" s="29">
        <f>VLOOKUP(I22,[1]职能管理职级薪级表!$C$4:$I$28,7,0)</f>
        <v>0.0005</v>
      </c>
      <c r="W22" s="30">
        <v>1</v>
      </c>
      <c r="X22" s="31">
        <f t="shared" si="23"/>
        <v>21392.169165</v>
      </c>
      <c r="Y22" s="31">
        <f t="shared" si="24"/>
        <v>1782.68076375</v>
      </c>
      <c r="Z22" s="33" t="e">
        <f>Z21</f>
        <v>#REF!</v>
      </c>
      <c r="AA22" s="34">
        <f>VLOOKUP(I22,[1]职能管理职级薪级表!$C$4:$J$28,8,0)</f>
        <v>50</v>
      </c>
      <c r="AB22" s="17">
        <f>VLOOKUP(I22,[1]职能管理职级薪级表!$C$4:$K$28,9,0)</f>
        <v>1000</v>
      </c>
      <c r="AC22" s="31" t="e">
        <f t="shared" si="25"/>
        <v>#REF!</v>
      </c>
      <c r="AD22" s="27" t="e">
        <f t="shared" si="26"/>
        <v>#REF!</v>
      </c>
      <c r="AE22" s="30">
        <v>1</v>
      </c>
      <c r="AF22" s="35">
        <f t="shared" si="27"/>
        <v>1140000</v>
      </c>
      <c r="AG22" s="38">
        <f>'[1]套级表（管理 干部总表）'!$AB$69/'[1]方案二 职能管理套级表（M）'!AF33</f>
        <v>0.64878947368421</v>
      </c>
      <c r="AH22" s="27" t="e">
        <f t="shared" si="28"/>
        <v>#REF!</v>
      </c>
      <c r="AI22" s="27"/>
      <c r="AJ22" s="17" t="e">
        <f t="shared" si="29"/>
        <v>#REF!</v>
      </c>
      <c r="AK22" s="17">
        <f>8073*13.5</f>
        <v>108985.5</v>
      </c>
      <c r="AL22" s="17" t="e">
        <f t="shared" si="30"/>
        <v>#REF!</v>
      </c>
      <c r="AM22" s="39" t="e">
        <f>AL22/AK22</f>
        <v>#REF!</v>
      </c>
      <c r="AN22" s="27" t="e">
        <f t="shared" si="31"/>
        <v>#REF!</v>
      </c>
      <c r="AO22" s="17">
        <v>8350</v>
      </c>
      <c r="AP22" s="17">
        <v>8350</v>
      </c>
      <c r="AQ22" s="17">
        <v>6766.66666666667</v>
      </c>
      <c r="AR22" s="17" t="e">
        <f t="shared" si="32"/>
        <v>#REF!</v>
      </c>
      <c r="AS22" s="14"/>
    </row>
    <row r="23" s="1" customFormat="1" spans="1:44">
      <c r="A23" s="2"/>
      <c r="D23" s="2"/>
      <c r="E23" s="2"/>
      <c r="I23" s="2"/>
      <c r="L23" s="3"/>
      <c r="M23" s="3"/>
      <c r="N23" s="3">
        <f>SUM(N3:N22)</f>
        <v>238800</v>
      </c>
      <c r="O23" s="3">
        <f t="shared" si="18"/>
        <v>95520</v>
      </c>
      <c r="P23" s="3">
        <f t="shared" si="19"/>
        <v>71640</v>
      </c>
      <c r="Q23" s="3">
        <f t="shared" si="20"/>
        <v>71640</v>
      </c>
      <c r="R23" s="3"/>
      <c r="S23" s="3"/>
      <c r="T23" s="2">
        <f t="shared" si="22"/>
        <v>2865600</v>
      </c>
      <c r="U23" s="28">
        <f>[1]莞城收入!$V$8</f>
        <v>42784338.33</v>
      </c>
      <c r="V23" s="5"/>
      <c r="W23" s="5"/>
      <c r="X23" s="32"/>
      <c r="Y23" s="3">
        <f>SUM(Y3:Y22)</f>
        <v>77439.6523773</v>
      </c>
      <c r="Z23" s="5"/>
      <c r="AA23" s="5"/>
      <c r="AB23" s="3"/>
      <c r="AC23" s="3" t="e">
        <f>SUM(AC3:AC22)</f>
        <v>#REF!</v>
      </c>
      <c r="AD23" s="3" t="e">
        <f>SUM(AD3:AD22)</f>
        <v>#REF!</v>
      </c>
      <c r="AE23" s="6"/>
      <c r="AF23" s="4"/>
      <c r="AG23" s="6"/>
      <c r="AH23" s="3" t="e">
        <f>SUM(AH3:AH22)</f>
        <v>#REF!</v>
      </c>
      <c r="AI23" s="3">
        <f>SUM(AI3:AI22)</f>
        <v>90000</v>
      </c>
      <c r="AJ23" s="3" t="e">
        <f>SUM(AJ3:AJ22)</f>
        <v>#REF!</v>
      </c>
      <c r="AK23" s="3">
        <f>SUM(AK3:AK22)</f>
        <v>4042395.07727273</v>
      </c>
      <c r="AL23" s="3" t="e">
        <f>SUM(AL3:AL22)</f>
        <v>#REF!</v>
      </c>
      <c r="AM23" s="39" t="e">
        <f>AL23/AK23</f>
        <v>#REF!</v>
      </c>
      <c r="AN23" s="27" t="e">
        <f t="shared" si="31"/>
        <v>#REF!</v>
      </c>
      <c r="AO23" s="43">
        <f>SUM(AO3:AO22)</f>
        <v>237036.73</v>
      </c>
      <c r="AP23" s="43">
        <f>SUM(AP3:AP22)</f>
        <v>321252.36</v>
      </c>
      <c r="AQ23" s="43">
        <f>SUM(AQ3:AQ22)</f>
        <v>272542.811439394</v>
      </c>
      <c r="AR23" s="43" t="e">
        <f>SUM(AR3:AR22)</f>
        <v>#REF!</v>
      </c>
    </row>
    <row r="24" s="1" customFormat="1" hidden="1" spans="1:40">
      <c r="A24" s="2"/>
      <c r="D24" s="2"/>
      <c r="E24" s="2"/>
      <c r="I24" s="2"/>
      <c r="M24" s="3"/>
      <c r="N24" s="3"/>
      <c r="O24" s="3"/>
      <c r="P24" s="3"/>
      <c r="Q24" s="3"/>
      <c r="R24" s="3"/>
      <c r="S24" s="3"/>
      <c r="T24" s="32"/>
      <c r="V24" s="2"/>
      <c r="W24" s="2"/>
      <c r="X24" s="32"/>
      <c r="Y24" s="32"/>
      <c r="Z24" s="2"/>
      <c r="AA24" s="2"/>
      <c r="AC24" s="32"/>
      <c r="AD24" s="32"/>
      <c r="AE24" s="36"/>
      <c r="AF24" s="32"/>
      <c r="AG24" s="36"/>
      <c r="AH24" s="32"/>
      <c r="AI24" s="32"/>
      <c r="AM24" s="32"/>
      <c r="AN24" s="32"/>
    </row>
    <row r="25" s="1" customFormat="1" ht="15" hidden="1" customHeight="1" spans="1:45">
      <c r="A25" s="9">
        <v>31</v>
      </c>
      <c r="B25" s="10" t="s">
        <v>146</v>
      </c>
      <c r="C25" s="11" t="s">
        <v>147</v>
      </c>
      <c r="D25" s="9" t="s">
        <v>148</v>
      </c>
      <c r="E25" s="9" t="s">
        <v>149</v>
      </c>
      <c r="F25" s="14" t="s">
        <v>150</v>
      </c>
      <c r="G25" s="10" t="s">
        <v>60</v>
      </c>
      <c r="H25" s="11" t="s">
        <v>151</v>
      </c>
      <c r="I25" s="12" t="s">
        <v>100</v>
      </c>
      <c r="J25" s="10">
        <v>1</v>
      </c>
      <c r="K25" s="10"/>
      <c r="L25" s="10">
        <v>0.8</v>
      </c>
      <c r="M25" s="17">
        <f>VLOOKUP(I25,[1]职能管理职级薪级表!$C$4:$G$47,5,0)</f>
        <v>10000</v>
      </c>
      <c r="N25" s="17">
        <f>M25*J25*L25</f>
        <v>8000</v>
      </c>
      <c r="O25" s="17">
        <f>N25*0.4</f>
        <v>3200</v>
      </c>
      <c r="P25" s="17">
        <f>N25*0.3</f>
        <v>2400</v>
      </c>
      <c r="Q25" s="17">
        <f>N25*0.3</f>
        <v>2400</v>
      </c>
      <c r="R25" s="26">
        <v>1</v>
      </c>
      <c r="S25" s="17">
        <f>Q25*R25</f>
        <v>2400</v>
      </c>
      <c r="T25" s="27">
        <f>N25*12</f>
        <v>96000</v>
      </c>
      <c r="U25" s="28">
        <f>[1]莞城收入!$V$8</f>
        <v>42784338.33</v>
      </c>
      <c r="V25" s="29">
        <f>VLOOKUP(I25,[1]职能管理职级薪级表!$C$4:$I$28,7,0)</f>
        <v>0.0008</v>
      </c>
      <c r="W25" s="30">
        <v>1</v>
      </c>
      <c r="X25" s="31">
        <f>U25*V25*J25*W25*L25</f>
        <v>27381.9765312</v>
      </c>
      <c r="Y25" s="31">
        <f>X25/12</f>
        <v>2281.8313776</v>
      </c>
      <c r="Z25" s="34" t="e">
        <f>Z16</f>
        <v>#REF!</v>
      </c>
      <c r="AA25" s="34">
        <f>VLOOKUP(I25,[1]职能管理职级薪级表!$C$4:$J$28,8,0)</f>
        <v>100</v>
      </c>
      <c r="AB25" s="17">
        <f>VLOOKUP(I25,[1]职能管理职级薪级表!$C$4:$K$28,9,0)</f>
        <v>2000</v>
      </c>
      <c r="AC25" s="31" t="e">
        <f>IF(Z25*AA25&gt;=AB25,AB25,Z25*AA25)</f>
        <v>#REF!</v>
      </c>
      <c r="AD25" s="27" t="e">
        <f>(T25+X25+AC25*12)/12*IF(43496-E25&gt;=730,1,(43496-E25)/730)</f>
        <v>#REF!</v>
      </c>
      <c r="AE25" s="30">
        <v>1</v>
      </c>
      <c r="AF25" s="35">
        <f>11400000*0.1</f>
        <v>1140000</v>
      </c>
      <c r="AG25" s="38">
        <f>'[1]套级表（管理 干部总表）'!$AB$69/'[1]方案二 职能管理套级表（M）'!AF43</f>
        <v>0.64878947368421</v>
      </c>
      <c r="AH25" s="27" t="e">
        <f>(T25+X25+AC25*12)/12*AE25*AG25</f>
        <v>#REF!</v>
      </c>
      <c r="AI25" s="27"/>
      <c r="AJ25" s="17" t="e">
        <f>T25+X25+AC25*12+AD25+AH25+AI25</f>
        <v>#REF!</v>
      </c>
      <c r="AK25" s="17">
        <v>123600</v>
      </c>
      <c r="AL25" s="17" t="e">
        <f>AJ25-AK25</f>
        <v>#REF!</v>
      </c>
      <c r="AM25" s="39" t="e">
        <f>AL25/AK25</f>
        <v>#REF!</v>
      </c>
      <c r="AN25" s="27" t="e">
        <f>O25+P25+S25+Y25+AC25</f>
        <v>#REF!</v>
      </c>
      <c r="AO25" s="17">
        <v>10300</v>
      </c>
      <c r="AP25" s="17">
        <v>10300</v>
      </c>
      <c r="AQ25" s="17">
        <v>10300</v>
      </c>
      <c r="AR25" s="17" t="e">
        <f>AN25-AQ25</f>
        <v>#REF!</v>
      </c>
      <c r="AS25" s="14"/>
    </row>
    <row r="26" s="1" customFormat="1" ht="15" hidden="1" customHeight="1" spans="1:45">
      <c r="A26" s="9">
        <v>32</v>
      </c>
      <c r="B26" s="14" t="s">
        <v>77</v>
      </c>
      <c r="C26" s="11" t="s">
        <v>152</v>
      </c>
      <c r="D26" s="9" t="s">
        <v>153</v>
      </c>
      <c r="E26" s="9" t="s">
        <v>154</v>
      </c>
      <c r="F26" s="14" t="s">
        <v>145</v>
      </c>
      <c r="G26" s="10" t="s">
        <v>48</v>
      </c>
      <c r="H26" s="15" t="s">
        <v>155</v>
      </c>
      <c r="I26" s="12" t="s">
        <v>156</v>
      </c>
      <c r="J26" s="10">
        <v>1</v>
      </c>
      <c r="K26" s="10"/>
      <c r="L26" s="10">
        <v>1.2</v>
      </c>
      <c r="M26" s="17"/>
      <c r="N26" s="17"/>
      <c r="O26" s="17"/>
      <c r="P26" s="17"/>
      <c r="Q26" s="17"/>
      <c r="R26" s="26"/>
      <c r="S26" s="17"/>
      <c r="T26" s="27"/>
      <c r="U26" s="28"/>
      <c r="V26" s="29"/>
      <c r="W26" s="30"/>
      <c r="X26" s="31"/>
      <c r="Y26" s="31"/>
      <c r="Z26" s="34" t="e">
        <f>Z21</f>
        <v>#REF!</v>
      </c>
      <c r="AA26" s="34"/>
      <c r="AB26" s="17"/>
      <c r="AC26" s="31"/>
      <c r="AD26" s="27"/>
      <c r="AE26" s="30"/>
      <c r="AF26" s="35"/>
      <c r="AG26" s="38"/>
      <c r="AH26" s="27"/>
      <c r="AI26" s="27"/>
      <c r="AJ26" s="17"/>
      <c r="AK26" s="17"/>
      <c r="AL26" s="17">
        <f>AJ26-AK26</f>
        <v>0</v>
      </c>
      <c r="AM26" s="39" t="e">
        <f>AL26/AK26</f>
        <v>#DIV/0!</v>
      </c>
      <c r="AN26" s="27">
        <f>O26+P26+S26+Y26+AC26</f>
        <v>0</v>
      </c>
      <c r="AO26" s="17"/>
      <c r="AP26" s="17"/>
      <c r="AQ26" s="17"/>
      <c r="AR26" s="17"/>
      <c r="AS26" s="14"/>
    </row>
    <row r="27" s="1" customFormat="1" hidden="1" spans="1:40">
      <c r="A27" s="2"/>
      <c r="D27" s="2"/>
      <c r="E27" s="2"/>
      <c r="I27" s="2"/>
      <c r="M27" s="3"/>
      <c r="N27" s="3"/>
      <c r="O27" s="3"/>
      <c r="P27" s="3"/>
      <c r="Q27" s="3"/>
      <c r="R27" s="3"/>
      <c r="S27" s="3"/>
      <c r="T27" s="32"/>
      <c r="V27" s="2"/>
      <c r="W27" s="2"/>
      <c r="X27" s="32"/>
      <c r="Y27" s="32"/>
      <c r="Z27" s="2"/>
      <c r="AA27" s="2"/>
      <c r="AC27" s="32"/>
      <c r="AD27" s="32"/>
      <c r="AE27" s="36"/>
      <c r="AF27" s="32"/>
      <c r="AG27" s="36"/>
      <c r="AH27" s="32"/>
      <c r="AI27" s="32"/>
      <c r="AM27" s="32"/>
      <c r="AN27" s="32"/>
    </row>
    <row r="28" s="1" customFormat="1" hidden="1" spans="1:40">
      <c r="A28" s="2"/>
      <c r="D28" s="2"/>
      <c r="E28" s="2"/>
      <c r="I28" s="2"/>
      <c r="M28" s="3"/>
      <c r="N28" s="3"/>
      <c r="O28" s="3"/>
      <c r="P28" s="3"/>
      <c r="Q28" s="3"/>
      <c r="R28" s="3"/>
      <c r="S28" s="3"/>
      <c r="T28" s="32"/>
      <c r="V28" s="2"/>
      <c r="W28" s="2"/>
      <c r="X28" s="32"/>
      <c r="Y28" s="32"/>
      <c r="Z28" s="2"/>
      <c r="AA28" s="2"/>
      <c r="AC28" s="32"/>
      <c r="AD28" s="32"/>
      <c r="AE28" s="36"/>
      <c r="AF28" s="32"/>
      <c r="AG28" s="36"/>
      <c r="AH28" s="32"/>
      <c r="AI28" s="32"/>
      <c r="AM28" s="32"/>
      <c r="AN28" s="32"/>
    </row>
    <row r="29" s="1" customFormat="1" hidden="1" spans="1:40">
      <c r="A29" s="2"/>
      <c r="D29" s="2"/>
      <c r="E29" s="2"/>
      <c r="I29" s="2"/>
      <c r="M29" s="3"/>
      <c r="N29" s="3"/>
      <c r="O29" s="3"/>
      <c r="P29" s="3"/>
      <c r="Q29" s="3"/>
      <c r="R29" s="3"/>
      <c r="S29" s="3"/>
      <c r="T29" s="32"/>
      <c r="V29" s="2"/>
      <c r="W29" s="2"/>
      <c r="X29" s="32"/>
      <c r="Y29" s="32"/>
      <c r="Z29" s="2"/>
      <c r="AA29" s="2"/>
      <c r="AC29" s="32"/>
      <c r="AD29" s="32"/>
      <c r="AE29" s="36"/>
      <c r="AF29" s="32"/>
      <c r="AG29" s="36"/>
      <c r="AH29" s="32"/>
      <c r="AI29" s="32"/>
      <c r="AM29" s="32"/>
      <c r="AN29" s="32"/>
    </row>
    <row r="30" s="1" customFormat="1" hidden="1" spans="1:40">
      <c r="A30" s="2"/>
      <c r="D30" s="2"/>
      <c r="E30" s="2"/>
      <c r="I30" s="2"/>
      <c r="M30" s="3"/>
      <c r="N30" s="3"/>
      <c r="O30" s="3"/>
      <c r="P30" s="3"/>
      <c r="Q30" s="3"/>
      <c r="R30" s="3"/>
      <c r="S30" s="3"/>
      <c r="T30" s="32"/>
      <c r="V30" s="2"/>
      <c r="W30" s="2"/>
      <c r="X30" s="32"/>
      <c r="Y30" s="32"/>
      <c r="Z30" s="2"/>
      <c r="AA30" s="2"/>
      <c r="AC30" s="32"/>
      <c r="AD30" s="32"/>
      <c r="AE30" s="36"/>
      <c r="AF30" s="32"/>
      <c r="AG30" s="36"/>
      <c r="AH30" s="32"/>
      <c r="AI30" s="32"/>
      <c r="AM30" s="32"/>
      <c r="AN30" s="32"/>
    </row>
    <row r="31" s="1" customFormat="1" spans="1:40">
      <c r="A31" s="2"/>
      <c r="D31" s="2"/>
      <c r="E31" s="2"/>
      <c r="I31" s="2"/>
      <c r="M31" s="3"/>
      <c r="N31" s="3"/>
      <c r="O31" s="3"/>
      <c r="P31" s="3"/>
      <c r="Q31" s="3"/>
      <c r="R31" s="3"/>
      <c r="S31" s="3"/>
      <c r="T31" s="32"/>
      <c r="V31" s="2"/>
      <c r="W31" s="2"/>
      <c r="X31" s="32"/>
      <c r="Y31" s="32"/>
      <c r="Z31" s="2"/>
      <c r="AA31" s="2"/>
      <c r="AC31" s="32"/>
      <c r="AD31" s="32"/>
      <c r="AE31" s="36"/>
      <c r="AF31" s="32"/>
      <c r="AG31" s="36"/>
      <c r="AH31" s="32"/>
      <c r="AI31" s="32"/>
      <c r="AM31" s="32"/>
      <c r="AN31" s="32"/>
    </row>
    <row r="32" s="1" customFormat="1" spans="1:40">
      <c r="A32" s="2"/>
      <c r="D32" s="2"/>
      <c r="E32" s="2"/>
      <c r="I32" s="2"/>
      <c r="M32" s="3"/>
      <c r="N32" s="3"/>
      <c r="O32" s="3"/>
      <c r="P32" s="3"/>
      <c r="Q32" s="3"/>
      <c r="R32" s="3"/>
      <c r="S32" s="3"/>
      <c r="T32" s="32"/>
      <c r="V32" s="2"/>
      <c r="W32" s="2"/>
      <c r="X32" s="32"/>
      <c r="Y32" s="32"/>
      <c r="Z32" s="2"/>
      <c r="AA32" s="2"/>
      <c r="AC32" s="32"/>
      <c r="AD32" s="32"/>
      <c r="AE32" s="36"/>
      <c r="AF32" s="32"/>
      <c r="AG32" s="36"/>
      <c r="AH32" s="32"/>
      <c r="AI32" s="32"/>
      <c r="AM32" s="32"/>
      <c r="AN32" s="32"/>
    </row>
    <row r="33" s="1" customFormat="1" spans="1:40">
      <c r="A33" s="2"/>
      <c r="D33" s="2"/>
      <c r="E33" s="2"/>
      <c r="I33" s="2"/>
      <c r="M33" s="3"/>
      <c r="N33" s="3"/>
      <c r="O33" s="3"/>
      <c r="P33" s="3"/>
      <c r="Q33" s="3"/>
      <c r="R33" s="3"/>
      <c r="S33" s="3"/>
      <c r="T33" s="32"/>
      <c r="V33" s="2"/>
      <c r="W33" s="2"/>
      <c r="X33" s="32"/>
      <c r="Y33" s="32"/>
      <c r="Z33" s="2"/>
      <c r="AA33" s="2"/>
      <c r="AC33" s="32"/>
      <c r="AD33" s="32"/>
      <c r="AE33" s="36"/>
      <c r="AF33" s="32"/>
      <c r="AG33" s="36"/>
      <c r="AH33" s="32"/>
      <c r="AI33" s="32"/>
      <c r="AM33" s="32"/>
      <c r="AN33" s="32"/>
    </row>
    <row r="34" s="1" customFormat="1" spans="1:40">
      <c r="A34" s="2"/>
      <c r="D34" s="2"/>
      <c r="E34" s="2"/>
      <c r="I34" s="2"/>
      <c r="M34" s="3"/>
      <c r="N34" s="3"/>
      <c r="O34" s="3"/>
      <c r="P34" s="3"/>
      <c r="Q34" s="3"/>
      <c r="R34" s="3"/>
      <c r="S34" s="3"/>
      <c r="T34" s="32"/>
      <c r="V34" s="2"/>
      <c r="W34" s="2"/>
      <c r="X34" s="32"/>
      <c r="Y34" s="32"/>
      <c r="Z34" s="2"/>
      <c r="AA34" s="2"/>
      <c r="AC34" s="32"/>
      <c r="AD34" s="32"/>
      <c r="AE34" s="36"/>
      <c r="AF34" s="32"/>
      <c r="AG34" s="36"/>
      <c r="AH34" s="32"/>
      <c r="AI34" s="32"/>
      <c r="AM34" s="32"/>
      <c r="AN34" s="32"/>
    </row>
    <row r="35" s="1" customFormat="1" spans="1:40">
      <c r="A35" s="2"/>
      <c r="D35" s="2"/>
      <c r="E35" s="2"/>
      <c r="I35" s="2"/>
      <c r="M35" s="3"/>
      <c r="N35" s="3"/>
      <c r="O35" s="3"/>
      <c r="P35" s="3"/>
      <c r="Q35" s="3"/>
      <c r="R35" s="3"/>
      <c r="S35" s="3"/>
      <c r="T35" s="32"/>
      <c r="V35" s="2"/>
      <c r="W35" s="2"/>
      <c r="X35" s="32"/>
      <c r="Y35" s="32"/>
      <c r="Z35" s="2"/>
      <c r="AA35" s="2"/>
      <c r="AC35" s="32"/>
      <c r="AD35" s="32"/>
      <c r="AE35" s="36"/>
      <c r="AF35" s="32"/>
      <c r="AG35" s="36"/>
      <c r="AH35" s="32"/>
      <c r="AI35" s="32"/>
      <c r="AM35" s="32"/>
      <c r="AN35" s="32"/>
    </row>
    <row r="36" s="1" customFormat="1" spans="1:40">
      <c r="A36" s="2"/>
      <c r="D36" s="2"/>
      <c r="E36" s="2"/>
      <c r="I36" s="2"/>
      <c r="M36" s="3"/>
      <c r="N36" s="3"/>
      <c r="O36" s="3"/>
      <c r="P36" s="3"/>
      <c r="Q36" s="3"/>
      <c r="R36" s="3"/>
      <c r="S36" s="3"/>
      <c r="T36" s="32"/>
      <c r="V36" s="2"/>
      <c r="W36" s="2"/>
      <c r="X36" s="32"/>
      <c r="Y36" s="32"/>
      <c r="Z36" s="2"/>
      <c r="AA36" s="2"/>
      <c r="AC36" s="32"/>
      <c r="AD36" s="32"/>
      <c r="AE36" s="36"/>
      <c r="AF36" s="32"/>
      <c r="AG36" s="36"/>
      <c r="AH36" s="32"/>
      <c r="AI36" s="32"/>
      <c r="AM36" s="32"/>
      <c r="AN36" s="32"/>
    </row>
    <row r="37" s="1" customFormat="1" spans="1:40">
      <c r="A37" s="2"/>
      <c r="D37" s="2"/>
      <c r="E37" s="2"/>
      <c r="I37" s="2"/>
      <c r="M37" s="3"/>
      <c r="N37" s="3"/>
      <c r="O37" s="3"/>
      <c r="P37" s="3"/>
      <c r="Q37" s="3"/>
      <c r="R37" s="3"/>
      <c r="S37" s="3"/>
      <c r="T37" s="32"/>
      <c r="V37" s="2"/>
      <c r="W37" s="2"/>
      <c r="X37" s="32"/>
      <c r="Y37" s="32"/>
      <c r="Z37" s="2"/>
      <c r="AA37" s="2"/>
      <c r="AC37" s="32"/>
      <c r="AD37" s="32"/>
      <c r="AE37" s="36"/>
      <c r="AF37" s="32"/>
      <c r="AG37" s="36"/>
      <c r="AH37" s="32"/>
      <c r="AI37" s="32"/>
      <c r="AM37" s="32"/>
      <c r="AN37" s="32"/>
    </row>
    <row r="38" s="1" customFormat="1" spans="1:40">
      <c r="A38" s="2"/>
      <c r="D38" s="2"/>
      <c r="E38" s="2"/>
      <c r="I38" s="2"/>
      <c r="M38" s="3"/>
      <c r="N38" s="3"/>
      <c r="O38" s="3"/>
      <c r="P38" s="3"/>
      <c r="Q38" s="3"/>
      <c r="R38" s="3"/>
      <c r="S38" s="3"/>
      <c r="T38" s="32"/>
      <c r="V38" s="2"/>
      <c r="W38" s="2"/>
      <c r="X38" s="32"/>
      <c r="Y38" s="32"/>
      <c r="Z38" s="2"/>
      <c r="AA38" s="2"/>
      <c r="AC38" s="32"/>
      <c r="AD38" s="32"/>
      <c r="AE38" s="36"/>
      <c r="AF38" s="32"/>
      <c r="AG38" s="36"/>
      <c r="AH38" s="32"/>
      <c r="AI38" s="32"/>
      <c r="AM38" s="32"/>
      <c r="AN38" s="32"/>
    </row>
    <row r="39" s="1" customFormat="1" spans="1:40">
      <c r="A39" s="2"/>
      <c r="D39" s="2"/>
      <c r="E39" s="2"/>
      <c r="I39" s="2"/>
      <c r="M39" s="3"/>
      <c r="N39" s="3"/>
      <c r="O39" s="3"/>
      <c r="P39" s="3"/>
      <c r="Q39" s="3"/>
      <c r="R39" s="3"/>
      <c r="S39" s="3"/>
      <c r="T39" s="32"/>
      <c r="V39" s="2"/>
      <c r="W39" s="2"/>
      <c r="X39" s="32"/>
      <c r="Y39" s="32"/>
      <c r="Z39" s="2"/>
      <c r="AA39" s="2"/>
      <c r="AC39" s="32"/>
      <c r="AD39" s="32"/>
      <c r="AE39" s="36"/>
      <c r="AF39" s="32"/>
      <c r="AG39" s="36"/>
      <c r="AH39" s="32"/>
      <c r="AI39" s="32"/>
      <c r="AM39" s="32"/>
      <c r="AN39" s="32"/>
    </row>
    <row r="40" s="1" customFormat="1" spans="1:40">
      <c r="A40" s="2"/>
      <c r="D40" s="2"/>
      <c r="E40" s="2"/>
      <c r="I40" s="2"/>
      <c r="M40" s="3"/>
      <c r="N40" s="3"/>
      <c r="O40" s="3"/>
      <c r="P40" s="3"/>
      <c r="Q40" s="3"/>
      <c r="R40" s="3"/>
      <c r="S40" s="3"/>
      <c r="T40" s="32"/>
      <c r="V40" s="2"/>
      <c r="W40" s="2"/>
      <c r="X40" s="32"/>
      <c r="Y40" s="32"/>
      <c r="Z40" s="2"/>
      <c r="AA40" s="2"/>
      <c r="AC40" s="32"/>
      <c r="AD40" s="32"/>
      <c r="AE40" s="36"/>
      <c r="AF40" s="32"/>
      <c r="AG40" s="36"/>
      <c r="AH40" s="32"/>
      <c r="AI40" s="32"/>
      <c r="AM40" s="32"/>
      <c r="AN40" s="32"/>
    </row>
    <row r="41" s="1" customFormat="1" spans="1:40">
      <c r="A41" s="2"/>
      <c r="D41" s="2"/>
      <c r="E41" s="2"/>
      <c r="I41" s="2"/>
      <c r="M41" s="3"/>
      <c r="N41" s="3"/>
      <c r="O41" s="3"/>
      <c r="P41" s="3"/>
      <c r="Q41" s="3"/>
      <c r="R41" s="3"/>
      <c r="S41" s="3"/>
      <c r="T41" s="32"/>
      <c r="V41" s="2"/>
      <c r="W41" s="2"/>
      <c r="X41" s="32"/>
      <c r="Y41" s="32"/>
      <c r="Z41" s="2"/>
      <c r="AA41" s="2"/>
      <c r="AC41" s="32"/>
      <c r="AD41" s="32"/>
      <c r="AE41" s="36"/>
      <c r="AF41" s="32"/>
      <c r="AG41" s="36"/>
      <c r="AH41" s="32"/>
      <c r="AI41" s="32"/>
      <c r="AM41" s="32"/>
      <c r="AN41" s="32"/>
    </row>
    <row r="42" s="1" customFormat="1" spans="1:40">
      <c r="A42" s="2"/>
      <c r="D42" s="2"/>
      <c r="E42" s="2"/>
      <c r="I42" s="2"/>
      <c r="M42" s="3"/>
      <c r="N42" s="3"/>
      <c r="O42" s="3"/>
      <c r="P42" s="3"/>
      <c r="Q42" s="3"/>
      <c r="R42" s="3"/>
      <c r="S42" s="3"/>
      <c r="T42" s="32"/>
      <c r="V42" s="2"/>
      <c r="W42" s="2"/>
      <c r="X42" s="32"/>
      <c r="Y42" s="32"/>
      <c r="Z42" s="2"/>
      <c r="AA42" s="2"/>
      <c r="AC42" s="32"/>
      <c r="AD42" s="32"/>
      <c r="AE42" s="36"/>
      <c r="AF42" s="32"/>
      <c r="AG42" s="36"/>
      <c r="AH42" s="32"/>
      <c r="AI42" s="32"/>
      <c r="AM42" s="32"/>
      <c r="AN42" s="32"/>
    </row>
    <row r="43" s="1" customFormat="1" spans="1:40">
      <c r="A43" s="2"/>
      <c r="D43" s="2"/>
      <c r="E43" s="2"/>
      <c r="I43" s="2"/>
      <c r="M43" s="3"/>
      <c r="N43" s="3"/>
      <c r="O43" s="3"/>
      <c r="P43" s="3"/>
      <c r="Q43" s="3"/>
      <c r="R43" s="3"/>
      <c r="S43" s="3"/>
      <c r="T43" s="32"/>
      <c r="V43" s="2"/>
      <c r="W43" s="2"/>
      <c r="X43" s="32"/>
      <c r="Y43" s="32"/>
      <c r="Z43" s="2"/>
      <c r="AA43" s="2"/>
      <c r="AC43" s="32"/>
      <c r="AD43" s="32"/>
      <c r="AE43" s="36"/>
      <c r="AF43" s="32"/>
      <c r="AG43" s="36"/>
      <c r="AH43" s="32"/>
      <c r="AI43" s="32"/>
      <c r="AM43" s="32"/>
      <c r="AN43" s="32"/>
    </row>
    <row r="44" s="1" customFormat="1" spans="1:40">
      <c r="A44" s="2"/>
      <c r="D44" s="2"/>
      <c r="E44" s="2"/>
      <c r="I44" s="2"/>
      <c r="M44" s="3"/>
      <c r="N44" s="3"/>
      <c r="O44" s="3"/>
      <c r="P44" s="3"/>
      <c r="Q44" s="3"/>
      <c r="R44" s="3"/>
      <c r="S44" s="3"/>
      <c r="T44" s="32"/>
      <c r="V44" s="2"/>
      <c r="W44" s="2"/>
      <c r="X44" s="32"/>
      <c r="Y44" s="32"/>
      <c r="Z44" s="2"/>
      <c r="AA44" s="2"/>
      <c r="AC44" s="32"/>
      <c r="AD44" s="32"/>
      <c r="AE44" s="36"/>
      <c r="AF44" s="32"/>
      <c r="AG44" s="36"/>
      <c r="AH44" s="32"/>
      <c r="AI44" s="32"/>
      <c r="AM44" s="32"/>
      <c r="AN44" s="32"/>
    </row>
    <row r="45" s="1" customFormat="1" spans="1:40">
      <c r="A45" s="2"/>
      <c r="D45" s="2"/>
      <c r="E45" s="2"/>
      <c r="I45" s="2"/>
      <c r="M45" s="3"/>
      <c r="N45" s="3"/>
      <c r="O45" s="3"/>
      <c r="P45" s="3"/>
      <c r="Q45" s="3"/>
      <c r="R45" s="3"/>
      <c r="S45" s="3"/>
      <c r="T45" s="32"/>
      <c r="V45" s="2"/>
      <c r="W45" s="2"/>
      <c r="X45" s="32"/>
      <c r="Y45" s="32"/>
      <c r="Z45" s="2"/>
      <c r="AA45" s="2"/>
      <c r="AC45" s="32"/>
      <c r="AD45" s="32"/>
      <c r="AE45" s="36"/>
      <c r="AF45" s="32"/>
      <c r="AG45" s="36"/>
      <c r="AH45" s="32"/>
      <c r="AI45" s="32"/>
      <c r="AM45" s="32"/>
      <c r="AN45" s="32"/>
    </row>
    <row r="46" s="1" customFormat="1" spans="1:40">
      <c r="A46" s="2"/>
      <c r="D46" s="2"/>
      <c r="E46" s="2"/>
      <c r="I46" s="2"/>
      <c r="M46" s="3"/>
      <c r="N46" s="3"/>
      <c r="O46" s="3"/>
      <c r="P46" s="3"/>
      <c r="Q46" s="3"/>
      <c r="R46" s="3"/>
      <c r="S46" s="3"/>
      <c r="T46" s="32"/>
      <c r="V46" s="2"/>
      <c r="W46" s="2"/>
      <c r="X46" s="32"/>
      <c r="Y46" s="32"/>
      <c r="Z46" s="2"/>
      <c r="AA46" s="2"/>
      <c r="AC46" s="32"/>
      <c r="AD46" s="32"/>
      <c r="AE46" s="36"/>
      <c r="AF46" s="32"/>
      <c r="AG46" s="36"/>
      <c r="AH46" s="32"/>
      <c r="AI46" s="32"/>
      <c r="AM46" s="32"/>
      <c r="AN46" s="32"/>
    </row>
    <row r="47" s="1" customFormat="1" spans="1:40">
      <c r="A47" s="2"/>
      <c r="D47" s="2"/>
      <c r="E47" s="2"/>
      <c r="I47" s="2"/>
      <c r="M47" s="3"/>
      <c r="N47" s="3"/>
      <c r="O47" s="3"/>
      <c r="P47" s="3"/>
      <c r="Q47" s="3"/>
      <c r="R47" s="3"/>
      <c r="S47" s="3"/>
      <c r="T47" s="32"/>
      <c r="V47" s="2"/>
      <c r="W47" s="2"/>
      <c r="X47" s="32"/>
      <c r="Y47" s="32"/>
      <c r="Z47" s="2"/>
      <c r="AA47" s="2"/>
      <c r="AC47" s="32"/>
      <c r="AD47" s="32"/>
      <c r="AE47" s="36"/>
      <c r="AF47" s="32"/>
      <c r="AG47" s="36"/>
      <c r="AH47" s="32"/>
      <c r="AI47" s="32"/>
      <c r="AM47" s="32"/>
      <c r="AN47" s="32"/>
    </row>
    <row r="48" s="1" customFormat="1" spans="1:40">
      <c r="A48" s="2"/>
      <c r="D48" s="2"/>
      <c r="E48" s="2"/>
      <c r="I48" s="2"/>
      <c r="M48" s="3"/>
      <c r="N48" s="3"/>
      <c r="O48" s="3"/>
      <c r="P48" s="3"/>
      <c r="Q48" s="3"/>
      <c r="R48" s="3"/>
      <c r="S48" s="3"/>
      <c r="T48" s="32"/>
      <c r="V48" s="2"/>
      <c r="W48" s="2"/>
      <c r="X48" s="32"/>
      <c r="Y48" s="32"/>
      <c r="Z48" s="2"/>
      <c r="AA48" s="2"/>
      <c r="AC48" s="32"/>
      <c r="AD48" s="32"/>
      <c r="AE48" s="36"/>
      <c r="AF48" s="32"/>
      <c r="AG48" s="36"/>
      <c r="AH48" s="32"/>
      <c r="AI48" s="32"/>
      <c r="AM48" s="32"/>
      <c r="AN48" s="32"/>
    </row>
    <row r="49" s="1" customFormat="1" spans="1:40">
      <c r="A49" s="2"/>
      <c r="D49" s="2"/>
      <c r="E49" s="2"/>
      <c r="I49" s="2"/>
      <c r="M49" s="3"/>
      <c r="N49" s="3"/>
      <c r="O49" s="3"/>
      <c r="P49" s="3"/>
      <c r="Q49" s="3"/>
      <c r="R49" s="3"/>
      <c r="S49" s="3"/>
      <c r="T49" s="32"/>
      <c r="V49" s="2"/>
      <c r="W49" s="2"/>
      <c r="X49" s="32"/>
      <c r="Y49" s="32"/>
      <c r="Z49" s="2"/>
      <c r="AA49" s="2"/>
      <c r="AC49" s="32"/>
      <c r="AD49" s="32"/>
      <c r="AE49" s="36"/>
      <c r="AF49" s="32"/>
      <c r="AG49" s="36"/>
      <c r="AH49" s="32"/>
      <c r="AI49" s="32"/>
      <c r="AM49" s="32"/>
      <c r="AN49" s="32"/>
    </row>
    <row r="50" s="1" customFormat="1" spans="1:40">
      <c r="A50" s="2"/>
      <c r="D50" s="2"/>
      <c r="E50" s="2"/>
      <c r="I50" s="2"/>
      <c r="M50" s="3"/>
      <c r="N50" s="3"/>
      <c r="O50" s="3"/>
      <c r="P50" s="3"/>
      <c r="Q50" s="3"/>
      <c r="R50" s="3"/>
      <c r="S50" s="3"/>
      <c r="T50" s="32"/>
      <c r="V50" s="2"/>
      <c r="W50" s="2"/>
      <c r="X50" s="32"/>
      <c r="Y50" s="32"/>
      <c r="Z50" s="2"/>
      <c r="AA50" s="2"/>
      <c r="AC50" s="32"/>
      <c r="AD50" s="32"/>
      <c r="AE50" s="36"/>
      <c r="AF50" s="32"/>
      <c r="AG50" s="36"/>
      <c r="AH50" s="32"/>
      <c r="AI50" s="32"/>
      <c r="AM50" s="32"/>
      <c r="AN50" s="32"/>
    </row>
    <row r="51" s="1" customFormat="1" spans="1:40">
      <c r="A51" s="2"/>
      <c r="D51" s="2"/>
      <c r="E51" s="2"/>
      <c r="I51" s="2"/>
      <c r="M51" s="3"/>
      <c r="N51" s="3"/>
      <c r="O51" s="3"/>
      <c r="P51" s="3"/>
      <c r="Q51" s="3"/>
      <c r="R51" s="3"/>
      <c r="S51" s="3"/>
      <c r="T51" s="32"/>
      <c r="V51" s="2"/>
      <c r="W51" s="2"/>
      <c r="X51" s="32"/>
      <c r="Y51" s="32"/>
      <c r="Z51" s="2"/>
      <c r="AA51" s="2"/>
      <c r="AC51" s="32"/>
      <c r="AD51" s="32"/>
      <c r="AE51" s="36"/>
      <c r="AF51" s="32"/>
      <c r="AG51" s="36"/>
      <c r="AH51" s="32"/>
      <c r="AI51" s="32"/>
      <c r="AM51" s="32"/>
      <c r="AN51" s="32"/>
    </row>
    <row r="52" s="1" customFormat="1" spans="1:40">
      <c r="A52" s="2"/>
      <c r="D52" s="2"/>
      <c r="E52" s="2"/>
      <c r="I52" s="2"/>
      <c r="M52" s="3"/>
      <c r="N52" s="3"/>
      <c r="O52" s="3"/>
      <c r="P52" s="3"/>
      <c r="Q52" s="3"/>
      <c r="R52" s="3"/>
      <c r="S52" s="3"/>
      <c r="T52" s="32"/>
      <c r="V52" s="2"/>
      <c r="W52" s="2"/>
      <c r="X52" s="32"/>
      <c r="Y52" s="32"/>
      <c r="Z52" s="2"/>
      <c r="AA52" s="2"/>
      <c r="AC52" s="32"/>
      <c r="AD52" s="32"/>
      <c r="AE52" s="36"/>
      <c r="AF52" s="32"/>
      <c r="AG52" s="36"/>
      <c r="AH52" s="32"/>
      <c r="AI52" s="32"/>
      <c r="AM52" s="32"/>
      <c r="AN52" s="32"/>
    </row>
    <row r="53" s="1" customFormat="1" spans="1:40">
      <c r="A53" s="2"/>
      <c r="D53" s="2"/>
      <c r="E53" s="2"/>
      <c r="I53" s="2"/>
      <c r="M53" s="3"/>
      <c r="N53" s="3"/>
      <c r="O53" s="3"/>
      <c r="P53" s="3"/>
      <c r="Q53" s="3"/>
      <c r="R53" s="3"/>
      <c r="S53" s="3"/>
      <c r="T53" s="32"/>
      <c r="V53" s="2"/>
      <c r="W53" s="2"/>
      <c r="X53" s="32"/>
      <c r="Y53" s="32"/>
      <c r="Z53" s="2"/>
      <c r="AA53" s="2"/>
      <c r="AC53" s="32"/>
      <c r="AD53" s="32"/>
      <c r="AE53" s="36"/>
      <c r="AF53" s="32"/>
      <c r="AG53" s="36"/>
      <c r="AH53" s="32"/>
      <c r="AI53" s="32"/>
      <c r="AM53" s="32"/>
      <c r="AN53" s="32"/>
    </row>
    <row r="54" s="1" customFormat="1" spans="1:40">
      <c r="A54" s="2"/>
      <c r="D54" s="2"/>
      <c r="E54" s="2"/>
      <c r="I54" s="2"/>
      <c r="M54" s="3"/>
      <c r="N54" s="3"/>
      <c r="O54" s="3"/>
      <c r="P54" s="3"/>
      <c r="Q54" s="3"/>
      <c r="R54" s="3"/>
      <c r="S54" s="3"/>
      <c r="T54" s="32"/>
      <c r="V54" s="2"/>
      <c r="W54" s="2"/>
      <c r="X54" s="32"/>
      <c r="Y54" s="32"/>
      <c r="Z54" s="2"/>
      <c r="AA54" s="2"/>
      <c r="AC54" s="32"/>
      <c r="AD54" s="32"/>
      <c r="AE54" s="36"/>
      <c r="AF54" s="32"/>
      <c r="AG54" s="36"/>
      <c r="AH54" s="32"/>
      <c r="AI54" s="32"/>
      <c r="AM54" s="32"/>
      <c r="AN54" s="32"/>
    </row>
  </sheetData>
  <mergeCells count="9">
    <mergeCell ref="A1:A2"/>
    <mergeCell ref="B1:B2"/>
    <mergeCell ref="C1:C2"/>
    <mergeCell ref="D1:D2"/>
    <mergeCell ref="E1:E2"/>
    <mergeCell ref="G1:G2"/>
    <mergeCell ref="H1:H2"/>
    <mergeCell ref="I1:I2"/>
    <mergeCell ref="AS1:AS2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61677</dc:creator>
  <cp:lastModifiedBy>静～</cp:lastModifiedBy>
  <dcterms:created xsi:type="dcterms:W3CDTF">2018-12-12T10:03:00Z</dcterms:created>
  <dcterms:modified xsi:type="dcterms:W3CDTF">2018-12-12T10:30:28Z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