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osArbol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43">
      <text>
        <t xml:space="preserve">sdasd</t>
      </text>
    </comment>
  </commentList>
</comments>
</file>

<file path=xl/sharedStrings.xml><?xml version="1.0" encoding="utf-8"?>
<sst xmlns="http://schemas.openxmlformats.org/spreadsheetml/2006/main" count="102" uniqueCount="20">
  <si>
    <t>index</t>
  </si>
  <si>
    <t>ACCELEROMETER X (m/s²)</t>
  </si>
  <si>
    <t>ACCELEROMETER Y (m/s²)</t>
  </si>
  <si>
    <t>ACCELEROMETER Z (m/s²)</t>
  </si>
  <si>
    <t>Activity</t>
  </si>
  <si>
    <t>TOTAL</t>
  </si>
  <si>
    <t>Sitting</t>
  </si>
  <si>
    <t>Cycling</t>
  </si>
  <si>
    <t>Football</t>
  </si>
  <si>
    <t>Entropia</t>
  </si>
  <si>
    <t>Ganancia</t>
  </si>
  <si>
    <t>[-16  a -8[</t>
  </si>
  <si>
    <t>[-8 a -0[</t>
  </si>
  <si>
    <t>0 a 8[</t>
  </si>
  <si>
    <t>[-16 a -10[</t>
  </si>
  <si>
    <t>[-10  a -4[</t>
  </si>
  <si>
    <t>[-4 a 2[</t>
  </si>
  <si>
    <t>[-11 a -4[</t>
  </si>
  <si>
    <t>[-4 a 3[</t>
  </si>
  <si>
    <t>[3 a 10[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</si>
</sst>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9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color rgb="FF000000"/>
      <name val="Arial"/>
    </font>
    <font>
      <color theme="1"/>
      <name val="Arial"/>
    </font>
    <font>
      <sz val="9.0"/>
      <color rgb="FF000000"/>
      <name val="&quot;Google Sans Mono&quot;"/>
    </font>
    <font>
      <sz val="11.0"/>
      <color rgb="FF1F1F1F"/>
      <name val="&quot;Google Sans&quot;"/>
    </font>
    <font>
      <color rgb="FF000000"/>
      <name val="Arial"/>
    </font>
    <font>
      <sz val="9.0"/>
      <color rgb="FF008000"/>
      <name val="Google Sans Mono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CFE2F3"/>
        <bgColor rgb="FFCFE2F3"/>
      </patternFill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3" fontId="1" numFmtId="0" xfId="0" applyAlignment="1" applyFill="1" applyFont="1">
      <alignment readingOrder="0"/>
    </xf>
    <xf borderId="0" fillId="3" fontId="1" numFmtId="164" xfId="0" applyAlignment="1" applyFont="1" applyNumberFormat="1">
      <alignment horizontal="right" readingOrder="0"/>
    </xf>
    <xf borderId="0" fillId="3" fontId="1" numFmtId="164" xfId="0" applyAlignment="1" applyFont="1" applyNumberFormat="1">
      <alignment readingOrder="0"/>
    </xf>
    <xf borderId="0" fillId="3" fontId="1" numFmtId="0" xfId="0" applyAlignment="1" applyFont="1">
      <alignment horizontal="right" readingOrder="0"/>
    </xf>
    <xf borderId="0" fillId="0" fontId="4" numFmtId="0" xfId="0" applyAlignment="1" applyFont="1">
      <alignment vertical="bottom"/>
    </xf>
    <xf borderId="0" fillId="2" fontId="5" numFmtId="0" xfId="0" applyFont="1"/>
    <xf borderId="0" fillId="4" fontId="1" numFmtId="0" xfId="0" applyAlignment="1" applyFill="1" applyFont="1">
      <alignment readingOrder="0"/>
    </xf>
    <xf borderId="0" fillId="4" fontId="1" numFmtId="164" xfId="0" applyAlignment="1" applyFont="1" applyNumberFormat="1">
      <alignment readingOrder="0"/>
    </xf>
    <xf borderId="0" fillId="4" fontId="1" numFmtId="0" xfId="0" applyAlignment="1" applyFont="1">
      <alignment horizontal="right" readingOrder="0"/>
    </xf>
    <xf borderId="0" fillId="2" fontId="6" numFmtId="0" xfId="0" applyAlignment="1" applyFont="1">
      <alignment readingOrder="0"/>
    </xf>
    <xf borderId="0" fillId="2" fontId="5" numFmtId="0" xfId="0" applyAlignment="1" applyFont="1">
      <alignment horizontal="left"/>
    </xf>
    <xf borderId="0" fillId="5" fontId="4" numFmtId="0" xfId="0" applyAlignment="1" applyFill="1" applyFont="1">
      <alignment readingOrder="0" vertical="bottom"/>
    </xf>
    <xf borderId="0" fillId="0" fontId="1" numFmtId="0" xfId="0" applyFont="1"/>
    <xf borderId="0" fillId="6" fontId="1" numFmtId="0" xfId="0" applyAlignment="1" applyFill="1" applyFont="1">
      <alignment readingOrder="0"/>
    </xf>
    <xf borderId="0" fillId="6" fontId="1" numFmtId="164" xfId="0" applyAlignment="1" applyFont="1" applyNumberFormat="1">
      <alignment readingOrder="0"/>
    </xf>
    <xf borderId="0" fillId="6" fontId="1" numFmtId="0" xfId="0" applyAlignment="1" applyFont="1">
      <alignment horizontal="right" readingOrder="0"/>
    </xf>
    <xf borderId="0" fillId="5" fontId="4" numFmtId="164" xfId="0" applyAlignment="1" applyFont="1" applyNumberFormat="1">
      <alignment readingOrder="0" vertical="bottom"/>
    </xf>
    <xf borderId="0" fillId="2" fontId="5" numFmtId="0" xfId="0" applyAlignment="1" applyFont="1">
      <alignment readingOrder="0"/>
    </xf>
    <xf borderId="0" fillId="2" fontId="7" numFmtId="0" xfId="0" applyAlignment="1" applyFont="1">
      <alignment horizontal="left" readingOrder="0"/>
    </xf>
    <xf borderId="0" fillId="2" fontId="8" numFmtId="0" xfId="0" applyAlignment="1" applyFont="1">
      <alignment horizontal="left" readingOrder="0"/>
    </xf>
    <xf borderId="0" fillId="7" fontId="5" numFmtId="0" xfId="0" applyFill="1" applyFont="1"/>
    <xf borderId="0" fillId="4" fontId="1" numFmtId="164" xfId="0" applyAlignment="1" applyFont="1" applyNumberFormat="1">
      <alignment horizontal="right" readingOrder="0"/>
    </xf>
    <xf borderId="0" fillId="6" fontId="7" numFmtId="0" xfId="0" applyAlignment="1" applyFont="1">
      <alignment horizontal="left" readingOrder="0"/>
    </xf>
    <xf borderId="0" fillId="8" fontId="1" numFmtId="164" xfId="0" applyAlignment="1" applyFill="1" applyFont="1" applyNumberFormat="1">
      <alignment readingOrder="0"/>
    </xf>
    <xf borderId="0" fillId="0" fontId="5" numFmtId="0" xfId="0" applyAlignment="1" applyFont="1">
      <alignment horizontal="left"/>
    </xf>
    <xf borderId="0" fillId="0" fontId="5" numFmtId="0" xfId="0" applyFont="1"/>
    <xf borderId="0" fillId="8" fontId="1" numFmtId="164" xfId="0" applyAlignment="1" applyFont="1" applyNumberFormat="1">
      <alignment horizontal="right" readingOrder="0"/>
    </xf>
    <xf borderId="0" fillId="0" fontId="2" numFmtId="0" xfId="0" applyFont="1"/>
    <xf borderId="0" fillId="7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123825</xdr:colOff>
      <xdr:row>53</xdr:row>
      <xdr:rowOff>28575</xdr:rowOff>
    </xdr:from>
    <xdr:ext cx="3667125" cy="1971675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819150</xdr:colOff>
      <xdr:row>53</xdr:row>
      <xdr:rowOff>152400</xdr:rowOff>
    </xdr:from>
    <xdr:ext cx="2105025" cy="1724025"/>
    <xdr:pic>
      <xdr:nvPicPr>
        <xdr:cNvPr id="0" name="image2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790575</xdr:colOff>
      <xdr:row>60</xdr:row>
      <xdr:rowOff>38100</xdr:rowOff>
    </xdr:from>
    <xdr:ext cx="3524250" cy="2333625"/>
    <xdr:pic>
      <xdr:nvPicPr>
        <xdr:cNvPr id="0" name="image3.png" title="Imagen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5"/>
    <col customWidth="1" min="3" max="3" width="17.63"/>
    <col customWidth="1" min="4" max="4" width="17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/>
      <c r="H1" s="2"/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3" t="s">
        <v>10</v>
      </c>
    </row>
    <row r="2">
      <c r="A2" s="4">
        <v>15761.0</v>
      </c>
      <c r="B2" s="5">
        <v>-9.17</v>
      </c>
      <c r="C2" s="6">
        <v>1.113</v>
      </c>
      <c r="D2" s="6">
        <v>-3.529</v>
      </c>
      <c r="E2" s="7" t="s">
        <v>6</v>
      </c>
      <c r="F2" s="8"/>
      <c r="G2" s="1"/>
      <c r="H2" s="1" t="s">
        <v>5</v>
      </c>
      <c r="I2" s="1">
        <v>20.0</v>
      </c>
      <c r="J2" s="9">
        <f>COUNTIF(E2:E21,"Sitting")</f>
        <v>8</v>
      </c>
      <c r="K2" s="9">
        <f>COUNTIF(E2:E21,"Cycling")</f>
        <v>4</v>
      </c>
      <c r="L2" s="9">
        <f>COUNTIF(E2:E21,"Football")</f>
        <v>8</v>
      </c>
      <c r="M2" s="9">
        <f>(-(J2/I2)*IMLOG2(J2/I2))+(-(K2/I2)*IMLOG2(K2/I2))+(-(L2/I2)*IMLOG2(L2/I2))</f>
        <v>1.521928095</v>
      </c>
    </row>
    <row r="3">
      <c r="A3" s="10">
        <v>6313.0</v>
      </c>
      <c r="B3" s="11">
        <v>-8.519</v>
      </c>
      <c r="C3" s="11">
        <v>-2.121</v>
      </c>
      <c r="D3" s="11">
        <v>-1.444</v>
      </c>
      <c r="E3" s="12" t="s">
        <v>7</v>
      </c>
      <c r="F3" s="8"/>
      <c r="H3" s="13" t="s">
        <v>1</v>
      </c>
      <c r="M3" s="9"/>
      <c r="N3" s="14">
        <f>$M$2-((I4/$I$2)*M4)-((I5/$I$2)*M5)-((I6/$I$2)*M6)</f>
        <v>0.6820915208</v>
      </c>
    </row>
    <row r="4">
      <c r="A4" s="4">
        <v>9503.0</v>
      </c>
      <c r="B4" s="6">
        <v>-8.349</v>
      </c>
      <c r="C4" s="6">
        <v>-1.231</v>
      </c>
      <c r="D4" s="6">
        <v>-5.097</v>
      </c>
      <c r="E4" s="7" t="s">
        <v>6</v>
      </c>
      <c r="F4" s="8"/>
      <c r="H4" s="15" t="s">
        <v>11</v>
      </c>
      <c r="I4" s="16">
        <f>COUNTIF(B2:B21,"&gt;=-16,0")-COUNTIF(B2:B21,"&gt;=-8")</f>
        <v>7</v>
      </c>
      <c r="J4" s="9">
        <f>COUNTIFS($B$2:$B$21,"&gt;=-16,0",$E$2:$E$21,"Sitting")- COUNTIFS($B$2:$B$21,"&gt;=-8,0",$E$2:$E$21,"Sitting")</f>
        <v>5</v>
      </c>
      <c r="K4" s="9">
        <f>COUNTIFS($B$2:$B$21,"&gt;=-16,0",$E$2:$E$21,"Cycling")- COUNTIFS($B$2:$B$21,"&gt;=-8,0",$E$2:$E$21,"Cycling")</f>
        <v>1</v>
      </c>
      <c r="L4" s="9">
        <f>COUNTIFS($B$2:$B$21,"&gt;=-16,0",$E$2:$E$21,"Football")- COUNTIFS($B$2:$B$21,"&gt;=-8,0",$E$2:$E$21,"Football")</f>
        <v>1</v>
      </c>
      <c r="M4" s="9">
        <f t="shared" ref="M4:M5" si="1">(-(J4/I4)*IMLOG2(J4/I4))+(-(K4/I4)*IMLOG2(K4/I4))+(-(L4/I4)*IMLOG2(L4/I4))</f>
        <v>1.148834854</v>
      </c>
    </row>
    <row r="5">
      <c r="A5" s="17">
        <v>4415.0</v>
      </c>
      <c r="B5" s="18">
        <v>7.0077</v>
      </c>
      <c r="C5" s="18">
        <v>-8.8011</v>
      </c>
      <c r="D5" s="18">
        <v>-0.5922</v>
      </c>
      <c r="E5" s="19" t="s">
        <v>8</v>
      </c>
      <c r="F5" s="8"/>
      <c r="H5" s="20" t="s">
        <v>12</v>
      </c>
      <c r="I5" s="16">
        <f>COUNTIF(B2:B21,"&gt;=-8,0")-COUNTIF(B2:B21,"&gt;=-0")</f>
        <v>6</v>
      </c>
      <c r="J5" s="16">
        <f>COUNTIFS($B$2:$B$21,"&gt;=-8,0",$E$2:$E$21,"Sitting")- COUNTIFS($B$2:$B$21,"&gt;=0",$E$2:$E$21,"Sitting")</f>
        <v>3</v>
      </c>
      <c r="K5" s="16">
        <f>COUNTIFS($B$2:$B$21,"&gt;=-8,0",$E$2:$E$21,"Cycling")- COUNTIFS($B$2:$B$21,"&gt;=0",$E$2:$E$21,"Cycling")</f>
        <v>1</v>
      </c>
      <c r="L5" s="16">
        <f>COUNTIFS($B$2:$B$21,"&gt;=-8,0",$E$2:$E$21,"Football")- COUNTIFS($B$2:$B$21,"&gt;=0",$E$2:$E$21,"Football")</f>
        <v>2</v>
      </c>
      <c r="M5" s="9">
        <f t="shared" si="1"/>
        <v>1.459147917</v>
      </c>
    </row>
    <row r="6">
      <c r="A6" s="17">
        <v>2478.0</v>
      </c>
      <c r="B6" s="18">
        <v>0.7065</v>
      </c>
      <c r="C6" s="18">
        <v>-15.428</v>
      </c>
      <c r="D6" s="18">
        <v>-1.6146</v>
      </c>
      <c r="E6" s="19" t="s">
        <v>8</v>
      </c>
      <c r="F6" s="8"/>
      <c r="H6" s="20" t="s">
        <v>13</v>
      </c>
      <c r="I6" s="16">
        <f>COUNTIF(B2:B21,"&gt;=0")-COUNTIF(B2:B21,"&gt;=8")</f>
        <v>7</v>
      </c>
      <c r="J6" s="16">
        <f>COUNTIFS($B$2:$B$21,"&gt;=0",$E$2:$E$21,"Sitting")- COUNTIFS($B$2:$B$21,"&gt;=8",$E$2:$E$21,"Sitting")</f>
        <v>0</v>
      </c>
      <c r="K6" s="16">
        <f>COUNTIFS($B$2:$B$21,"&gt;=0",$E$2:$E$21,"Cycling")- COUNTIFS($B$2:$B$21,"&gt;=8",$E$2:$E$21,"Cycling")</f>
        <v>2</v>
      </c>
      <c r="L6" s="16">
        <f>COUNTIFS($B$2:$B$21,"&gt;=0",$E$2:$E$21,"Football")- COUNTIFS($B$2:$B$21,"&gt;=8",$E$2:$E$21,"Football")</f>
        <v>5</v>
      </c>
      <c r="M6" s="21">
        <v>0.0</v>
      </c>
    </row>
    <row r="7">
      <c r="A7" s="10">
        <v>412.0</v>
      </c>
      <c r="B7" s="11">
        <v>1.4676</v>
      </c>
      <c r="C7" s="11">
        <v>-9.7683</v>
      </c>
      <c r="D7" s="11">
        <v>0.3112</v>
      </c>
      <c r="E7" s="12" t="s">
        <v>7</v>
      </c>
      <c r="F7" s="8"/>
      <c r="M7" s="21"/>
    </row>
    <row r="8">
      <c r="A8" s="17">
        <v>3250.0</v>
      </c>
      <c r="B8" s="18">
        <v>-5.1712</v>
      </c>
      <c r="C8" s="18">
        <v>-9.6547</v>
      </c>
      <c r="D8" s="18">
        <v>-0.2776</v>
      </c>
      <c r="E8" s="19" t="s">
        <v>8</v>
      </c>
      <c r="G8" s="22"/>
      <c r="M8" s="21"/>
    </row>
    <row r="9">
      <c r="A9" s="4">
        <v>11928.0</v>
      </c>
      <c r="B9" s="6">
        <v>-8.803</v>
      </c>
      <c r="C9" s="6">
        <v>-0.505</v>
      </c>
      <c r="D9" s="6">
        <v>-4.391</v>
      </c>
      <c r="E9" s="7" t="s">
        <v>6</v>
      </c>
      <c r="G9" s="23"/>
      <c r="H9" s="13" t="s">
        <v>2</v>
      </c>
      <c r="M9" s="21"/>
      <c r="N9" s="24">
        <f>$M$2-((I10/$I$2)*M10)-((I11/$I$2)*M11)-(I12/$I$2)*M12</f>
        <v>0.9192407046</v>
      </c>
    </row>
    <row r="10">
      <c r="A10" s="17">
        <v>3517.0</v>
      </c>
      <c r="B10" s="18">
        <v>-14.6913</v>
      </c>
      <c r="C10" s="18">
        <v>-15.7346</v>
      </c>
      <c r="D10" s="18">
        <v>9.0583</v>
      </c>
      <c r="E10" s="19" t="s">
        <v>8</v>
      </c>
      <c r="H10" s="10" t="s">
        <v>14</v>
      </c>
      <c r="I10" s="9">
        <f>COUNTIF($C$2:$C$21,"&gt;=-16,0")-COUNTIF($C$2:$C$21,"&gt;=-10")</f>
        <v>2</v>
      </c>
      <c r="J10" s="16">
        <f>COUNTIFS($C$2:$C$21,"&gt;=-16",$E$2:$E$21,"Sitting")- COUNTIFS($C$2:$C$21,"&gt;=-10",$E$2:$E$21,"Sitting")</f>
        <v>0</v>
      </c>
      <c r="K10" s="16">
        <f>COUNTIFS($C$2:$C$21,"&gt;=-16",$E$2:$E$21,"Cycling")- COUNTIFS($C$2:$C$21,"&gt;=-10",$E$2:$E$21,"Cycling")</f>
        <v>0</v>
      </c>
      <c r="L10" s="16">
        <f>COUNTIFS($C$2:$C$21,"&gt;=-16",$E$2:$E$21,"Football")- COUNTIFS($C$2:$C$21,"&gt;=-10",$E$2:$E$21,"Football")</f>
        <v>2</v>
      </c>
      <c r="M10" s="21">
        <v>0.0</v>
      </c>
    </row>
    <row r="11">
      <c r="A11" s="17">
        <v>4577.0</v>
      </c>
      <c r="B11" s="18">
        <v>-5.6369</v>
      </c>
      <c r="C11" s="18">
        <v>-1.0884</v>
      </c>
      <c r="D11" s="18">
        <v>2.582663</v>
      </c>
      <c r="E11" s="19" t="s">
        <v>8</v>
      </c>
      <c r="H11" s="10" t="s">
        <v>15</v>
      </c>
      <c r="I11" s="9">
        <f>COUNTIF($C$2:$C$21,"&gt;=-10,0")-COUNTIF($C$2:$C$21,"&gt;=-4")</f>
        <v>7</v>
      </c>
      <c r="J11" s="16">
        <f>COUNTIFS($C$2:$C$21,"&gt;=-10,0",$E$2:$E$21,"Sitting")- COUNTIFS($C$2:$C$21,"&gt;=-4,0",$E$2:$E$21,"Sitting")</f>
        <v>0</v>
      </c>
      <c r="K11" s="16">
        <f>COUNTIFS($C$2:$C$21,"&gt;=-10,0",$E$2:$E$21,"Cycling")- COUNTIFS($C$2:$C$21,"&gt;=-4,0",$E$2:$E$21,"Cycling")</f>
        <v>2</v>
      </c>
      <c r="L11" s="16">
        <f>COUNTIFS($C$2:$C$21,"&gt;=-10,0",$E$2:$E$21,"Football")- COUNTIFS($C$2:$C$21,"&gt;=-4,0",$E$2:$E$21,"Football")</f>
        <v>5</v>
      </c>
      <c r="M11" s="21">
        <v>0.0</v>
      </c>
    </row>
    <row r="12">
      <c r="A12" s="4">
        <v>1682.0</v>
      </c>
      <c r="B12" s="6">
        <v>-4.262</v>
      </c>
      <c r="C12" s="5">
        <v>1.76</v>
      </c>
      <c r="D12" s="6">
        <v>-8.803</v>
      </c>
      <c r="E12" s="7" t="s">
        <v>6</v>
      </c>
      <c r="H12" s="10" t="s">
        <v>16</v>
      </c>
      <c r="I12" s="9">
        <f>COUNTIF($C$2:$C$21,"&gt;=-4")-COUNTIF($C$2:$C$21,"&gt;=2")</f>
        <v>11</v>
      </c>
      <c r="J12" s="16">
        <f>COUNTIFS($C$2:$C$21,"&gt;=-4,0",$E$2:$E$21,"Sitting")- COUNTIFS($C$2:$C$21,"&gt;=2",$E$2:$E$21,"Sitting")</f>
        <v>8</v>
      </c>
      <c r="K12" s="16">
        <f>COUNTIFS($C$2:$C$21,"&gt;=-4,0",$E$2:$E$21,"Cycling")- COUNTIFS($C$2:$C$21,"&gt;=2",$E$2:$E$21,"Cycling")</f>
        <v>2</v>
      </c>
      <c r="L12" s="16">
        <f>COUNTIFS($C$2:$C$21,"&gt;=-4,0",$E$2:$E$21,"Football")- COUNTIFS($C$2:$C$21,"&gt;=2",$E$2:$E$21,"Football")</f>
        <v>1</v>
      </c>
      <c r="M12" s="24">
        <f>(-(J12/I12)*IMLOG2(J12/I12))+(-(K12/I12)*IMLOG2(K12/I12))+(-(L12/I12)*IMLOG2(L12/I12))</f>
        <v>1.095795255</v>
      </c>
    </row>
    <row r="13">
      <c r="A13" s="4">
        <v>11724.0</v>
      </c>
      <c r="B13" s="6">
        <v>-8.818</v>
      </c>
      <c r="C13" s="6">
        <v>-0.103</v>
      </c>
      <c r="D13" s="6">
        <v>-4.326</v>
      </c>
      <c r="E13" s="7" t="s">
        <v>6</v>
      </c>
      <c r="M13" s="9"/>
    </row>
    <row r="14">
      <c r="A14" s="4">
        <v>1638.0</v>
      </c>
      <c r="B14" s="6">
        <v>-4.252</v>
      </c>
      <c r="C14" s="6">
        <v>1.623</v>
      </c>
      <c r="D14" s="6">
        <v>-8.801</v>
      </c>
      <c r="E14" s="7" t="s">
        <v>6</v>
      </c>
      <c r="M14" s="9"/>
    </row>
    <row r="15">
      <c r="A15" s="17">
        <v>193.0</v>
      </c>
      <c r="B15" s="18">
        <v>1.6687</v>
      </c>
      <c r="C15" s="18">
        <v>-9.0814</v>
      </c>
      <c r="D15" s="18">
        <v>-3.1744</v>
      </c>
      <c r="E15" s="19" t="s">
        <v>8</v>
      </c>
      <c r="H15" s="1" t="s">
        <v>3</v>
      </c>
      <c r="M15" s="9"/>
      <c r="N15" s="9">
        <f>$M$2-((I16/$I$2)*M16)-((I17/$I$2)*M17)-((I18/$I$2)*M18)</f>
        <v>0.7947294549</v>
      </c>
    </row>
    <row r="16">
      <c r="A16" s="4">
        <v>2266.0</v>
      </c>
      <c r="B16" s="6">
        <v>-5.004</v>
      </c>
      <c r="C16" s="6">
        <v>1.281</v>
      </c>
      <c r="D16" s="6">
        <v>-8.447</v>
      </c>
      <c r="E16" s="7" t="s">
        <v>6</v>
      </c>
      <c r="H16" s="17" t="s">
        <v>17</v>
      </c>
      <c r="I16" s="9">
        <f>COUNTIF($D$2:$D$21,"&gt;=-11,0")-COUNTIF($D$2:$D$21,"&gt;=-4,0")</f>
        <v>8</v>
      </c>
      <c r="J16" s="9">
        <f>COUNTIFS($D$2:$D$21,"&gt;=-11,0",$E$2:$E$21,"Sitting")- COUNTIFS($D$2:$D$21,"&gt;=-4,0",$E$2:$E$21,"Sitting")</f>
        <v>7</v>
      </c>
      <c r="K16" s="9">
        <f>COUNTIFS($D$2:$D$21,"&gt;=-11,0",$E$2:$E$21,"Cycling")- COUNTIFS($D$2:$D$21,"&gt;=-4,0",$E$2:$E$21,"Cycling")</f>
        <v>0</v>
      </c>
      <c r="L16" s="9">
        <f>COUNTIFS($D$2:$D$21,"&gt;=-11,0",$E$2:$E$21,"Football")- COUNTIFS($D$2:$D$21,"&gt;=-4,0",$E$2:$E$21,"Football")</f>
        <v>1</v>
      </c>
      <c r="M16" s="21">
        <v>0.0</v>
      </c>
    </row>
    <row r="17">
      <c r="A17" s="10">
        <v>1980.0</v>
      </c>
      <c r="B17" s="25">
        <v>-2.32</v>
      </c>
      <c r="C17" s="11">
        <v>-1.209</v>
      </c>
      <c r="D17" s="11">
        <v>-3.833</v>
      </c>
      <c r="E17" s="12" t="s">
        <v>7</v>
      </c>
      <c r="H17" s="26" t="s">
        <v>18</v>
      </c>
      <c r="I17" s="9">
        <f>COUNTIF($D$2:$D$21,"&gt;=-4,0")-COUNTIF($D$2:$D$21,"&gt;=3,0")</f>
        <v>11</v>
      </c>
      <c r="J17" s="9">
        <f>COUNTIFS($D$2:$D$21,"&gt;=-4,0",$E$2:$E$21,"Sitting")- COUNTIFS($D$2:$D$21,"&gt;=3,0",$E$2:$E$21,"Sitting")</f>
        <v>1</v>
      </c>
      <c r="K17" s="9">
        <f>COUNTIFS($D$2:$D$21,"&gt;=-4,0",$E$2:$E$21,"Cycling")- COUNTIFS($D$2:$D$21,"&gt;=3,0",$E$2:$E$21,"Cycling")</f>
        <v>4</v>
      </c>
      <c r="L17" s="9">
        <f>COUNTIFS($D$2:$D$21,"&gt;=-4,0",$E$2:$E$21,"Football")- COUNTIFS($D$2:$D$21,"&gt;=3,0",$E$2:$E$21,"Football")</f>
        <v>6</v>
      </c>
      <c r="M17" s="9">
        <f>(-(J17/I17)*IMLOG2(J17/I17))+(-(K17/I17)*IMLOG2(K17/I17))+(-(L17/I17)*IMLOG2(L17/I17))</f>
        <v>1.322179346</v>
      </c>
    </row>
    <row r="18">
      <c r="A18" s="17">
        <v>2346.0</v>
      </c>
      <c r="B18" s="18">
        <v>3.5518</v>
      </c>
      <c r="C18" s="18">
        <v>-5.5379</v>
      </c>
      <c r="D18" s="18">
        <v>-0.7169</v>
      </c>
      <c r="E18" s="19" t="s">
        <v>8</v>
      </c>
      <c r="H18" s="26" t="s">
        <v>19</v>
      </c>
      <c r="I18" s="9">
        <f>COUNTIF($D$2:$D$21,"&gt;=3")-COUNTIF($D$2:$D$21,"&gt;=10")</f>
        <v>1</v>
      </c>
      <c r="J18" s="21">
        <f>COUNTIFS($D$2:$D$21,"&gt;=3",$E$2:$E$21,"Sitting")- COUNTIFS($D$2:$D$21,"&gt;=10",$E$2:$E$21,"Sitting")</f>
        <v>0</v>
      </c>
      <c r="K18" s="21">
        <f>COUNTIFS($D$2:$D$21,"&gt;=3",$E$2:$E$21,"Cycling")- COUNTIFS($D$2:$D$21,"&gt;=10",$E$2:$E$21,"Cycling")</f>
        <v>0</v>
      </c>
      <c r="L18" s="21">
        <f>COUNTIFS($D$2:$D$21,"&gt;=3",$E$2:$E$21,"Football")- COUNTIFS($D$2:$D$21,"&gt;=10",$E$2:$E$21,"Football")</f>
        <v>1</v>
      </c>
      <c r="M18" s="21">
        <v>0.0</v>
      </c>
    </row>
    <row r="19">
      <c r="A19" s="4">
        <v>11064.0</v>
      </c>
      <c r="B19" s="6">
        <v>-8.315</v>
      </c>
      <c r="C19" s="6">
        <v>0.891</v>
      </c>
      <c r="D19" s="6">
        <v>-5.174</v>
      </c>
      <c r="E19" s="7" t="s">
        <v>6</v>
      </c>
    </row>
    <row r="20">
      <c r="A20" s="10">
        <v>280.0</v>
      </c>
      <c r="B20" s="11">
        <v>7.6351</v>
      </c>
      <c r="C20" s="11">
        <v>-6.0214</v>
      </c>
      <c r="D20" s="11">
        <v>-3.6033</v>
      </c>
      <c r="E20" s="12" t="s">
        <v>7</v>
      </c>
    </row>
    <row r="21">
      <c r="A21" s="17">
        <v>6234.0</v>
      </c>
      <c r="B21" s="18">
        <v>4.2915</v>
      </c>
      <c r="C21" s="18">
        <v>-9.6966</v>
      </c>
      <c r="D21" s="18">
        <v>-4.4073</v>
      </c>
      <c r="E21" s="19" t="s">
        <v>8</v>
      </c>
    </row>
    <row r="29">
      <c r="A29" s="1" t="s">
        <v>0</v>
      </c>
      <c r="B29" s="1" t="s">
        <v>1</v>
      </c>
      <c r="C29" s="1" t="s">
        <v>2</v>
      </c>
      <c r="D29" s="1" t="s">
        <v>3</v>
      </c>
      <c r="E29" s="1" t="s">
        <v>4</v>
      </c>
      <c r="G29" s="1"/>
      <c r="H29" s="2"/>
      <c r="I29" s="2" t="s">
        <v>5</v>
      </c>
      <c r="J29" s="2" t="s">
        <v>6</v>
      </c>
      <c r="K29" s="2" t="s">
        <v>7</v>
      </c>
      <c r="L29" s="2" t="s">
        <v>8</v>
      </c>
      <c r="M29" s="2" t="s">
        <v>9</v>
      </c>
      <c r="N29" s="3" t="s">
        <v>10</v>
      </c>
    </row>
    <row r="30">
      <c r="A30" s="4">
        <v>15761.0</v>
      </c>
      <c r="B30" s="5">
        <v>-9.17</v>
      </c>
      <c r="C30" s="27">
        <v>1.113</v>
      </c>
      <c r="D30" s="6">
        <v>-3.529</v>
      </c>
      <c r="E30" s="7" t="s">
        <v>6</v>
      </c>
      <c r="F30" s="8"/>
      <c r="G30" s="1"/>
      <c r="H30" s="1" t="s">
        <v>5</v>
      </c>
      <c r="I30" s="1">
        <v>11.0</v>
      </c>
      <c r="J30" s="9">
        <f>COUNTIF(E30:E40,"Sitting")</f>
        <v>8</v>
      </c>
      <c r="K30" s="9">
        <f>COUNTIF(E30:E40,"Cycling")</f>
        <v>2</v>
      </c>
      <c r="L30" s="9">
        <f>COUNTIF(E30:E40,"Football")</f>
        <v>1</v>
      </c>
      <c r="M30" s="9">
        <f>(-(J30/I30)*IMLOG2(J30/I30))+(-(K30/I30)*IMLOG2(K30/I30))+(-(L30/I30)*IMLOG2(L30/I30))</f>
        <v>1.095795255</v>
      </c>
    </row>
    <row r="31">
      <c r="A31" s="10">
        <v>6313.0</v>
      </c>
      <c r="B31" s="11">
        <v>-8.519</v>
      </c>
      <c r="C31" s="27">
        <v>-2.121</v>
      </c>
      <c r="D31" s="11">
        <v>-1.444</v>
      </c>
      <c r="E31" s="12" t="s">
        <v>7</v>
      </c>
      <c r="F31" s="8"/>
      <c r="H31" s="13" t="s">
        <v>1</v>
      </c>
      <c r="M31" s="9"/>
      <c r="N31" s="28">
        <f>$M$30-((I32/$I$30)*M32)-((I33/$I$30)*M33)-((I34/$I$30)*M34)</f>
        <v>0.4726358939</v>
      </c>
    </row>
    <row r="32">
      <c r="A32" s="4">
        <v>9503.0</v>
      </c>
      <c r="B32" s="6">
        <v>-8.349</v>
      </c>
      <c r="C32" s="27">
        <v>-1.231</v>
      </c>
      <c r="D32" s="6">
        <v>-5.097</v>
      </c>
      <c r="E32" s="7" t="s">
        <v>6</v>
      </c>
      <c r="H32" s="15" t="s">
        <v>11</v>
      </c>
      <c r="I32" s="16">
        <f>COUNTIF($B$30:$B$40,"&gt;=-16,0")-COUNTIF($B$30:$B$40,"&gt;=-8")</f>
        <v>6</v>
      </c>
      <c r="J32" s="9">
        <f>COUNTIFS($B$30:$B$40,"&gt;=-16,0",$E$30:$E$40,"Sitting")- COUNTIFS($B$30:$B$40,"&gt;=-8,0",$E$30:$E$40,"Sitting")</f>
        <v>5</v>
      </c>
      <c r="K32" s="9">
        <f>COUNTIFS($B$30:$B$40,"&gt;=-16,0",$E$30:$E$40,"Cycling")- COUNTIFS($B$30:$B$40,"&gt;=-8,0",$E$30:$E$40,"Cycling")</f>
        <v>1</v>
      </c>
      <c r="L32" s="9">
        <f>COUNTIFS($B$30:$B$40,"&gt;=-16,0",$E$30:$E$40,"Football")- COUNTIFS($B$30:$B$40,"&gt;=-8,0",$E$30:$E$40,"Football")</f>
        <v>0</v>
      </c>
      <c r="M32" s="21">
        <v>0.0</v>
      </c>
    </row>
    <row r="33">
      <c r="A33" s="4">
        <v>11928.0</v>
      </c>
      <c r="B33" s="6">
        <v>-8.803</v>
      </c>
      <c r="C33" s="27">
        <v>-0.505</v>
      </c>
      <c r="D33" s="6">
        <v>-4.391</v>
      </c>
      <c r="E33" s="7" t="s">
        <v>6</v>
      </c>
      <c r="H33" s="20" t="s">
        <v>12</v>
      </c>
      <c r="I33" s="16">
        <f>COUNTIF($B$30:$B$40,"&gt;=-8,0")-COUNTIF($B$30:$B$40,"&gt;=-0")</f>
        <v>5</v>
      </c>
      <c r="J33" s="16">
        <f>COUNTIFS($B$30:$B$40,"&gt;=-8,0",$E$30:$E$40,"Sitting")- COUNTIFS($B$30:$B$40,"&gt;=0",$E$30:$E$40,"Sitting")</f>
        <v>3</v>
      </c>
      <c r="K33" s="16">
        <f>COUNTIFS($B$30:$B$40,"&gt;=-8,0",$E$30:$E$40,"Cycling")- COUNTIFS($B$30:$B$40,"&gt;=0",$E$30:$E$40,"Cycling")</f>
        <v>1</v>
      </c>
      <c r="L33" s="16">
        <f>COUNTIFS($B$30:$B$40,"&gt;=-8,0",$E$30:$E$40,"Football")- COUNTIFS($B$30:$B$40,"&gt;=0",$E$30:$E$40,"Football")</f>
        <v>1</v>
      </c>
      <c r="M33" s="29">
        <f>(-(J33/I33)*IMLOG2(J33/I33))+(-(K33/I33)*IMLOG2(K33/I33))+(-(L33/I33)*IMLOG2(L33/I33))</f>
        <v>1.370950594</v>
      </c>
    </row>
    <row r="34">
      <c r="A34" s="17">
        <v>4577.0</v>
      </c>
      <c r="B34" s="18">
        <v>-5.6369</v>
      </c>
      <c r="C34" s="27">
        <v>-1.0884</v>
      </c>
      <c r="D34" s="18">
        <v>2.582663</v>
      </c>
      <c r="E34" s="19" t="s">
        <v>8</v>
      </c>
      <c r="H34" s="20" t="s">
        <v>13</v>
      </c>
      <c r="I34" s="16">
        <f>COUNTIF($B$30:$B$40,"&gt;=0")-COUNTIF($B$30:$B$40,"&gt;=8")</f>
        <v>0</v>
      </c>
      <c r="J34" s="16">
        <f>COUNTIFS($B$30:$B$40,"&gt;=0",$E$30:$E$40,"Sitting")- COUNTIFS($B$30:$B$40,"&gt;=8",$E$30:$E$40,"Sitting")</f>
        <v>0</v>
      </c>
      <c r="K34" s="16">
        <f>COUNTIFS($B$30:$B$40,"&gt;=0",$E$30:$E$40,"Cycling")- COUNTIFS($B$30:$B$40,"&gt;=8",$E$30:$E$40,"Cycling")</f>
        <v>0</v>
      </c>
      <c r="L34" s="16">
        <f>COUNTIFS($B$30:$B$40,"&gt;=0",$E$30:$E$40,"Football")- COUNTIFS($B$30:$B$40,"&gt;=8",$E$30:$E$40,"Football")</f>
        <v>0</v>
      </c>
      <c r="M34" s="21">
        <v>0.0</v>
      </c>
    </row>
    <row r="35">
      <c r="A35" s="4">
        <v>1682.0</v>
      </c>
      <c r="B35" s="6">
        <v>-4.262</v>
      </c>
      <c r="C35" s="30">
        <v>1.76</v>
      </c>
      <c r="D35" s="6">
        <v>-8.803</v>
      </c>
      <c r="E35" s="7" t="s">
        <v>6</v>
      </c>
      <c r="M35" s="21"/>
    </row>
    <row r="36">
      <c r="A36" s="4">
        <v>11724.0</v>
      </c>
      <c r="B36" s="6">
        <v>-8.818</v>
      </c>
      <c r="C36" s="27">
        <v>-0.103</v>
      </c>
      <c r="D36" s="6">
        <v>-4.326</v>
      </c>
      <c r="E36" s="7" t="s">
        <v>6</v>
      </c>
      <c r="G36" s="22"/>
      <c r="H36" s="1" t="s">
        <v>3</v>
      </c>
      <c r="M36" s="9"/>
      <c r="N36" s="24">
        <f>$M$30-((I37/$I$30)*M37)-((I38/$I$30)*M38)-((I39/$I$30)*M39)</f>
        <v>0.5503407095</v>
      </c>
    </row>
    <row r="37">
      <c r="A37" s="4">
        <v>1638.0</v>
      </c>
      <c r="B37" s="6">
        <v>-4.252</v>
      </c>
      <c r="C37" s="27">
        <v>1.623</v>
      </c>
      <c r="D37" s="6">
        <v>-8.801</v>
      </c>
      <c r="E37" s="7" t="s">
        <v>6</v>
      </c>
      <c r="G37" s="23"/>
      <c r="H37" s="17" t="s">
        <v>17</v>
      </c>
      <c r="I37" s="9">
        <f>COUNTIF($D$30:$D$40,"&gt;=-11,0")-COUNTIF($D$30:$D$40,"&gt;=-4,0")</f>
        <v>7</v>
      </c>
      <c r="J37" s="9">
        <f>COUNTIFS($D$30:$D$40,"&gt;=-11,0",$E$30:$E$40,"Sitting")- COUNTIFS($D$30:$D$40,"&gt;=-4,0",$E$30:$E$40,"Sitting")</f>
        <v>7</v>
      </c>
      <c r="K37" s="9">
        <f>COUNTIFS($D$30:$D$40,"&gt;=-11,0",$E$30:$E$40,"Cycling")- COUNTIFS($D$30:$D$40,"&gt;=-4,0",$E$30:$E$40,"Cycling")</f>
        <v>0</v>
      </c>
      <c r="L37" s="9">
        <f>COUNTIFS($D$30:$D$40,"&gt;=-11,0",$E$30:$E$40,"Football")- COUNTIFS($D$30:$D$40,"&gt;=-4,0",$E$30:$E$40,"Football")</f>
        <v>0</v>
      </c>
      <c r="M37" s="21">
        <v>0.0</v>
      </c>
    </row>
    <row r="38">
      <c r="A38" s="4">
        <v>2266.0</v>
      </c>
      <c r="B38" s="6">
        <v>-5.004</v>
      </c>
      <c r="C38" s="27">
        <v>1.281</v>
      </c>
      <c r="D38" s="6">
        <v>-8.447</v>
      </c>
      <c r="E38" s="7" t="s">
        <v>6</v>
      </c>
      <c r="H38" s="26" t="s">
        <v>18</v>
      </c>
      <c r="I38" s="9">
        <f>COUNTIF($D$30:$D$40,"&gt;=-4,0")-COUNTIF($D$30:$D$40,"&gt;=3,0")</f>
        <v>4</v>
      </c>
      <c r="J38" s="9">
        <f>COUNTIFS($D$30:$D$40,"&gt;=-4,0",$E$30:$E$40,"Sitting")- COUNTIFS($D$30:$D$40,"&gt;=3,0",$E$30:$E$40,"Sitting")</f>
        <v>1</v>
      </c>
      <c r="K38" s="9">
        <f>COUNTIFS($D$30:$D$40,"&gt;=-4,0",$E$30:$E$40,"Cycling")- COUNTIFS($D$30:$D$40,"&gt;=3,0",$E$30:$E$40,"Cycling")</f>
        <v>2</v>
      </c>
      <c r="L38" s="9">
        <f>COUNTIFS($D$30:$D$40,"&gt;=-4,0",$E$30:$E$40,"Football")- COUNTIFS($D$30:$D$40,"&gt;=3,0",$E$30:$E$40,"Football")</f>
        <v>1</v>
      </c>
      <c r="M38" s="24">
        <f>(-(J38/I38)*IMLOG2(J38/I38))+(-(K38/I38)*IMLOG2(K38/I38))+(-(L38/I38)*IMLOG2(L38/I38))</f>
        <v>1.5</v>
      </c>
    </row>
    <row r="39">
      <c r="A39" s="10">
        <v>1980.0</v>
      </c>
      <c r="B39" s="25">
        <v>-2.32</v>
      </c>
      <c r="C39" s="27">
        <v>-1.209</v>
      </c>
      <c r="D39" s="11">
        <v>-3.833</v>
      </c>
      <c r="E39" s="12" t="s">
        <v>7</v>
      </c>
      <c r="H39" s="26" t="s">
        <v>19</v>
      </c>
      <c r="I39" s="9">
        <f>COUNTIF($D$30:$D$40,"&gt;=3")-COUNTIF($D$30:$D$40,"&gt;=10")</f>
        <v>0</v>
      </c>
      <c r="J39" s="21">
        <f>COUNTIFS($D$30:$D$40,"&gt;=3",$E$30:$E$40,"Sitting")- COUNTIFS($D$30:$D$40,"&gt;=10",$E$30:$E$40,"Sitting")</f>
        <v>0</v>
      </c>
      <c r="K39" s="21">
        <f>COUNTIFS($D$30:$D$40,"&gt;=3",$E$30:$E$40,"Cycling")- COUNTIFS($D$30:$D$40,"&gt;=10",$E$30:$E$40,"Cycling")</f>
        <v>0</v>
      </c>
      <c r="L39" s="21">
        <f>COUNTIFS($D$30:$D$40,"&gt;=3",$E$30:$E$40,"Football")- COUNTIFS($D$30:$D$40,"&gt;=10",$E$30:$E$40,"Football")</f>
        <v>0</v>
      </c>
      <c r="M39" s="21">
        <v>0.0</v>
      </c>
    </row>
    <row r="40">
      <c r="A40" s="4">
        <v>11064.0</v>
      </c>
      <c r="B40" s="6">
        <v>-8.315</v>
      </c>
      <c r="C40" s="27">
        <v>0.891</v>
      </c>
      <c r="D40" s="6">
        <v>-5.174</v>
      </c>
      <c r="E40" s="7" t="s">
        <v>6</v>
      </c>
    </row>
    <row r="42">
      <c r="D42" s="31"/>
    </row>
    <row r="43">
      <c r="C43" s="16"/>
    </row>
    <row r="45">
      <c r="A45" s="22" t="s">
        <v>0</v>
      </c>
      <c r="B45" s="1" t="s">
        <v>1</v>
      </c>
      <c r="C45" s="1" t="s">
        <v>2</v>
      </c>
      <c r="D45" s="1" t="s">
        <v>3</v>
      </c>
      <c r="E45" s="1" t="s">
        <v>4</v>
      </c>
      <c r="G45" s="1"/>
      <c r="H45" s="1"/>
      <c r="I45" s="2" t="s">
        <v>5</v>
      </c>
      <c r="J45" s="2" t="s">
        <v>6</v>
      </c>
      <c r="K45" s="2" t="s">
        <v>7</v>
      </c>
      <c r="L45" s="2" t="s">
        <v>8</v>
      </c>
      <c r="M45" s="2" t="s">
        <v>9</v>
      </c>
      <c r="N45" s="3" t="s">
        <v>10</v>
      </c>
    </row>
    <row r="46">
      <c r="A46" s="4">
        <v>15761.0</v>
      </c>
      <c r="B46" s="5">
        <v>-9.17</v>
      </c>
      <c r="C46" s="27">
        <v>1.113</v>
      </c>
      <c r="D46" s="27">
        <v>-3.529</v>
      </c>
      <c r="E46" s="7" t="s">
        <v>6</v>
      </c>
      <c r="G46" s="1"/>
      <c r="H46" s="1" t="s">
        <v>5</v>
      </c>
      <c r="I46" s="1">
        <v>4.0</v>
      </c>
      <c r="J46" s="9">
        <f>COUNTIF(E46:E49,"Sitting")</f>
        <v>1</v>
      </c>
      <c r="K46" s="9">
        <f>COUNTIF(E46:E49,"Cycling")</f>
        <v>2</v>
      </c>
      <c r="L46" s="9">
        <f>COUNTIF(E46:E49,"Football")</f>
        <v>1</v>
      </c>
      <c r="M46" s="9">
        <f>(-(J46/I46)*IMLOG2(J46/I46))+(-(K46/I46)*IMLOG2(K46/I46))+(-(L46/I46)*IMLOG2(L46/I46))</f>
        <v>1.5</v>
      </c>
    </row>
    <row r="47">
      <c r="A47" s="10">
        <v>6313.0</v>
      </c>
      <c r="B47" s="11">
        <v>-8.519</v>
      </c>
      <c r="C47" s="27">
        <v>-2.121</v>
      </c>
      <c r="D47" s="27">
        <v>-1.444</v>
      </c>
      <c r="E47" s="12" t="s">
        <v>7</v>
      </c>
      <c r="H47" s="13" t="s">
        <v>1</v>
      </c>
      <c r="M47" s="9"/>
      <c r="N47" s="32">
        <f>$M$30-((I48/$I$30)*M48)-((I49/$I$30)*M46)-((I50/$I$30)*M50)</f>
        <v>0.6412498004</v>
      </c>
    </row>
    <row r="48">
      <c r="A48" s="17">
        <v>4577.0</v>
      </c>
      <c r="B48" s="18">
        <v>-5.6369</v>
      </c>
      <c r="C48" s="27">
        <v>-1.0884</v>
      </c>
      <c r="D48" s="27">
        <v>2.582663</v>
      </c>
      <c r="E48" s="19" t="s">
        <v>8</v>
      </c>
      <c r="H48" s="15" t="s">
        <v>11</v>
      </c>
      <c r="I48" s="16">
        <f>COUNTIF($B$46:$B$49,"&gt;=-16,0")-COUNTIF($B$46:$B$49,"&gt;=-8")</f>
        <v>2</v>
      </c>
      <c r="J48" s="9">
        <f>COUNTIFS($B$46:$B$49,"&gt;=-16,0",$E$46:$E$49,"Sitting")- COUNTIFS($B$46:$B$49,"&gt;=-8,0",$E$46:$E$49,"Sitting")</f>
        <v>1</v>
      </c>
      <c r="K48" s="9">
        <f>COUNTIFS($B$46:$B$49,"&gt;=-16,0",$E$46:$E$49,"Cycling")- COUNTIFS($B$46:$B$49,"&gt;=-8,0",$E$46:$E$49,"Cycling")</f>
        <v>1</v>
      </c>
      <c r="L48" s="21">
        <v>1.0E-11</v>
      </c>
      <c r="M48" s="29">
        <f t="shared" ref="M48:M49" si="2">(-(J48/I48)*IMLOG2(J48/I48))+(-(K48/I48)*IMLOG2(K48/I48))+(-(L48/I48)*IMLOG2(L48/I48))</f>
        <v>1</v>
      </c>
    </row>
    <row r="49">
      <c r="A49" s="10">
        <v>1980.0</v>
      </c>
      <c r="B49" s="25">
        <v>-2.32</v>
      </c>
      <c r="C49" s="27">
        <v>-1.209</v>
      </c>
      <c r="D49" s="27">
        <v>-3.833</v>
      </c>
      <c r="E49" s="12" t="s">
        <v>7</v>
      </c>
      <c r="H49" s="20" t="s">
        <v>12</v>
      </c>
      <c r="I49" s="16">
        <f>COUNTIF($B$46:$B$49,"&gt;=-8,0")-COUNTIF($B$46:$B$49,"&gt;=-0")</f>
        <v>2</v>
      </c>
      <c r="J49" s="1">
        <v>1.0E-11</v>
      </c>
      <c r="K49" s="16">
        <f>COUNTIFS($B$46:$B$49,"&gt;=-8,0",$E$46:$E$49,"Cycling")- COUNTIFS($B$46:$B$49,"&gt;=0",$E$46:$E$49,"Cycling")</f>
        <v>1</v>
      </c>
      <c r="L49" s="16">
        <f>COUNTIFS($B$46:$B$49,"&gt;=-8,0",$E$46:$E$49,"Football")- COUNTIFS($B$46:$B$49,"&gt;=0",$E$46:$E$49,"Football")</f>
        <v>1</v>
      </c>
      <c r="M49" s="24">
        <f t="shared" si="2"/>
        <v>1</v>
      </c>
    </row>
    <row r="50">
      <c r="H50" s="20" t="s">
        <v>13</v>
      </c>
      <c r="I50" s="16">
        <f>COUNTIF($B$46:$B$49,"&gt;=0")-COUNTIF($B$46:$B$49,"&gt;=8")</f>
        <v>0</v>
      </c>
      <c r="J50" s="16">
        <f>COUNTIFS($B$46:$B$49,"&gt;=0",$E$46:$E$49,"Sitting")- COUNTIFS($B$46:$B$49,"&gt;=8",$E$46:$E$49,"Sitting")</f>
        <v>0</v>
      </c>
      <c r="K50" s="16">
        <f>COUNTIFS($B$46:$B$49,"&gt;=0",$E$46:$E$49,"Cycling")- COUNTIFS($B$46:$B$49,"&gt;=8",$E$46:$E$49,"Cycling")</f>
        <v>0</v>
      </c>
      <c r="L50" s="16">
        <f>COUNTIFS($B$46:$B$49,"&gt;=0",$E$46:$E$49,"Football")- COUNTIFS($B$46:$B$49,"&gt;=8",$E$46:$E$49,"Football")</f>
        <v>0</v>
      </c>
      <c r="M50" s="21">
        <v>0.0</v>
      </c>
    </row>
    <row r="51">
      <c r="M51" s="21"/>
    </row>
    <row r="52">
      <c r="G52" s="22"/>
      <c r="H52" s="22"/>
      <c r="I52" s="22"/>
      <c r="J52" s="22"/>
      <c r="K52" s="22"/>
      <c r="L52" s="22"/>
      <c r="M52" s="22"/>
      <c r="N52" s="22"/>
    </row>
    <row r="55">
      <c r="H55" s="1"/>
    </row>
    <row r="56">
      <c r="H56" s="1"/>
    </row>
    <row r="57">
      <c r="A57" s="22" t="s">
        <v>0</v>
      </c>
      <c r="B57" s="1" t="s">
        <v>1</v>
      </c>
      <c r="C57" s="1" t="s">
        <v>2</v>
      </c>
      <c r="D57" s="1" t="s">
        <v>3</v>
      </c>
      <c r="E57" s="1" t="s">
        <v>4</v>
      </c>
    </row>
    <row r="58">
      <c r="A58" s="17">
        <v>4577.0</v>
      </c>
      <c r="B58" s="27">
        <v>-5.6369</v>
      </c>
      <c r="C58" s="27">
        <v>-1.0884</v>
      </c>
      <c r="D58" s="27">
        <v>2.582663</v>
      </c>
      <c r="E58" s="19" t="s">
        <v>8</v>
      </c>
    </row>
    <row r="59">
      <c r="A59" s="10">
        <v>1980.0</v>
      </c>
      <c r="B59" s="30">
        <v>-2.32</v>
      </c>
      <c r="C59" s="27">
        <v>-1.209</v>
      </c>
      <c r="D59" s="27">
        <v>-3.833</v>
      </c>
      <c r="E59" s="12" t="s">
        <v>7</v>
      </c>
    </row>
    <row r="69">
      <c r="K69" s="31"/>
    </row>
  </sheetData>
  <drawing r:id="rId2"/>
  <legacyDrawing r:id="rId3"/>
</worksheet>
</file>