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threadedComments/threadedComment2.xml" ContentType="application/vnd.ms-excel.threadedcomments+xml"/>
  <Override PartName="/xl/comments11.xml" ContentType="application/vnd.openxmlformats-officedocument.spreadsheetml.comments+xml"/>
  <Override PartName="/xl/threadedComments/threadedComment3.xml" ContentType="application/vnd.ms-excel.threadedcomments+xml"/>
  <Override PartName="/xl/comments12.xml" ContentType="application/vnd.openxmlformats-officedocument.spreadsheetml.comments+xml"/>
  <Override PartName="/xl/threadedComments/threadedComment4.xml" ContentType="application/vnd.ms-excel.threadedcomments+xml"/>
  <Override PartName="/xl/comments13.xml" ContentType="application/vnd.openxmlformats-officedocument.spreadsheetml.comments+xml"/>
  <Override PartName="/xl/threadedComments/threadedComment5.xml" ContentType="application/vnd.ms-excel.threadedcomments+xml"/>
  <Override PartName="/xl/comments14.xml" ContentType="application/vnd.openxmlformats-officedocument.spreadsheetml.comments+xml"/>
  <Override PartName="/xl/threadedComments/threadedComment6.xml" ContentType="application/vnd.ms-excel.threadedcomments+xml"/>
  <Override PartName="/xl/comments15.xml" ContentType="application/vnd.openxmlformats-officedocument.spreadsheetml.comments+xml"/>
  <Override PartName="/xl/threadedComments/threadedComment7.xml" ContentType="application/vnd.ms-excel.threadedcomments+xml"/>
  <Override PartName="/xl/comments16.xml" ContentType="application/vnd.openxmlformats-officedocument.spreadsheetml.comments+xml"/>
  <Override PartName="/xl/threadedComments/threadedComment8.xml" ContentType="application/vnd.ms-excel.threadedcomments+xml"/>
  <Override PartName="/xl/comments17.xml" ContentType="application/vnd.openxmlformats-officedocument.spreadsheetml.comments+xml"/>
  <Override PartName="/xl/threadedComments/threadedComment9.xml" ContentType="application/vnd.ms-excel.threadedcomments+xml"/>
  <Override PartName="/xl/comments18.xml" ContentType="application/vnd.openxmlformats-officedocument.spreadsheetml.comments+xml"/>
  <Override PartName="/xl/threadedComments/threadedComment10.xml" ContentType="application/vnd.ms-excel.threadedcomments+xml"/>
  <Override PartName="/xl/comments19.xml" ContentType="application/vnd.openxmlformats-officedocument.spreadsheetml.comments+xml"/>
  <Override PartName="/xl/threadedComments/threadedComment11.xml" ContentType="application/vnd.ms-excel.threadedcomments+xml"/>
  <Override PartName="/xl/comments20.xml" ContentType="application/vnd.openxmlformats-officedocument.spreadsheetml.comments+xml"/>
  <Override PartName="/xl/threadedComments/threadedComment12.xml" ContentType="application/vnd.ms-excel.threadedcomments+xml"/>
  <Override PartName="/xl/comments21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asaklayen\Desktop\"/>
    </mc:Choice>
  </mc:AlternateContent>
  <xr:revisionPtr revIDLastSave="0" documentId="8_{545BBC32-C134-4477-86E4-282753CEC71F}" xr6:coauthVersionLast="46" xr6:coauthVersionMax="46" xr10:uidLastSave="{00000000-0000-0000-0000-000000000000}"/>
  <bookViews>
    <workbookView xWindow="-15108" yWindow="6012" windowWidth="23016" windowHeight="6000" firstSheet="18" activeTab="20" xr2:uid="{00000000-000D-0000-FFFF-FFFF00000000}"/>
  </bookViews>
  <sheets>
    <sheet name="Advance" sheetId="2" r:id="rId1"/>
    <sheet name="Meal Nov'20 &amp; Rent December'20" sheetId="1" r:id="rId2"/>
    <sheet name="Meal Dec'20 &amp; Rent January'21" sheetId="3" r:id="rId3"/>
    <sheet name="Meal Jan'21 &amp; Rent February" sheetId="4" r:id="rId4"/>
    <sheet name="Meal Feb'21 &amp; Rent March" sheetId="5" r:id="rId5"/>
    <sheet name="Meal Mar'21 &amp; Rent April" sheetId="6" r:id="rId6"/>
    <sheet name="Meal April'21 &amp; Rent May (2)" sheetId="7" r:id="rId7"/>
    <sheet name="Iftar accounts-2021" sheetId="8" r:id="rId8"/>
    <sheet name="Meal May'21 &amp; Rent June 2021" sheetId="9" r:id="rId9"/>
    <sheet name="Meal June'21 &amp; Rent July 2021" sheetId="10" r:id="rId10"/>
    <sheet name="Meal July'21 &amp; Rent Augut" sheetId="13" r:id="rId11"/>
    <sheet name="Meal August'21 &amp; Rent Sept 21" sheetId="12" r:id="rId12"/>
    <sheet name="Meal August'21 &amp; Rent Sept  (2)" sheetId="14" state="hidden" r:id="rId13"/>
    <sheet name="Meal Septem'21 &amp; Rent October" sheetId="15" r:id="rId14"/>
    <sheet name="Meal October'21 &amp; Rent November" sheetId="20" r:id="rId15"/>
    <sheet name="Meal Nov'21 &amp; Rent Dec'21" sheetId="21" r:id="rId16"/>
    <sheet name="Meal Dec'21 &amp; Rent Jan'22" sheetId="22" r:id="rId17"/>
    <sheet name="Meal Dec'21 &amp; Rent Jan'22 v2" sheetId="23" r:id="rId18"/>
    <sheet name="Meal Jan'22 &amp; Rent Feb'22 " sheetId="24" r:id="rId19"/>
    <sheet name="Meal Feb 22 &amp; Rent Mar 22" sheetId="25" r:id="rId20"/>
    <sheet name="Meal Mar 22 &amp; Rent April 22" sheetId="26" r:id="rId21"/>
    <sheet name="Adjustment" sheetId="16" r:id="rId22"/>
    <sheet name="Adjustment (2)" sheetId="17" r:id="rId23"/>
    <sheet name="Meal June'21 &amp; Rent July 20 (2)" sheetId="11" state="hidden" r:id="rId24"/>
  </sheets>
  <definedNames>
    <definedName name="_xlnm.Print_Area" localSheetId="0">Advance!$A$1:$F$21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17" i="26" l="1"/>
  <c r="N47" i="26" l="1"/>
  <c r="N46" i="26"/>
  <c r="N43" i="26"/>
  <c r="N42" i="26"/>
  <c r="N38" i="26"/>
  <c r="D38" i="26"/>
  <c r="N37" i="26"/>
  <c r="G37" i="26"/>
  <c r="H37" i="26" s="1"/>
  <c r="F37" i="26"/>
  <c r="G36" i="26"/>
  <c r="F36" i="26"/>
  <c r="G35" i="26"/>
  <c r="F35" i="26"/>
  <c r="H35" i="26" s="1"/>
  <c r="L32" i="26"/>
  <c r="N45" i="26" s="1"/>
  <c r="J32" i="26"/>
  <c r="J31" i="26" s="1"/>
  <c r="G32" i="26"/>
  <c r="N36" i="26" s="1"/>
  <c r="F32" i="26"/>
  <c r="F27" i="26" s="1"/>
  <c r="M31" i="26"/>
  <c r="K31" i="26"/>
  <c r="I31" i="26"/>
  <c r="H31" i="26"/>
  <c r="G31" i="26"/>
  <c r="F31" i="26"/>
  <c r="D31" i="26"/>
  <c r="M30" i="26"/>
  <c r="K30" i="26"/>
  <c r="I30" i="26"/>
  <c r="H30" i="26"/>
  <c r="D30" i="26"/>
  <c r="M29" i="26"/>
  <c r="K29" i="26"/>
  <c r="I29" i="26"/>
  <c r="H29" i="26"/>
  <c r="G29" i="26"/>
  <c r="F29" i="26"/>
  <c r="E29" i="26"/>
  <c r="D29" i="26"/>
  <c r="M28" i="26"/>
  <c r="K28" i="26"/>
  <c r="I28" i="26"/>
  <c r="H28" i="26"/>
  <c r="G28" i="26"/>
  <c r="F28" i="26"/>
  <c r="E28" i="26"/>
  <c r="D28" i="26"/>
  <c r="M27" i="26"/>
  <c r="L27" i="26"/>
  <c r="K27" i="26"/>
  <c r="I27" i="26"/>
  <c r="H27" i="26"/>
  <c r="G27" i="26"/>
  <c r="E27" i="26"/>
  <c r="D27" i="26"/>
  <c r="M26" i="26"/>
  <c r="K26" i="26"/>
  <c r="I26" i="26"/>
  <c r="H26" i="26"/>
  <c r="G26" i="26"/>
  <c r="F26" i="26"/>
  <c r="E26" i="26"/>
  <c r="D26" i="26"/>
  <c r="M25" i="26"/>
  <c r="K25" i="26"/>
  <c r="I25" i="26"/>
  <c r="H25" i="26"/>
  <c r="E25" i="26"/>
  <c r="D25" i="26"/>
  <c r="AH21" i="26"/>
  <c r="AH20" i="26"/>
  <c r="AM10" i="26" s="1"/>
  <c r="AH19" i="26"/>
  <c r="AH18" i="26"/>
  <c r="AM8" i="26" s="1"/>
  <c r="AH17" i="26"/>
  <c r="AM7" i="26" s="1"/>
  <c r="AH16" i="26"/>
  <c r="AM6" i="26" s="1"/>
  <c r="AH15" i="26"/>
  <c r="AH22" i="26" s="1"/>
  <c r="AV12" i="26"/>
  <c r="AD12" i="26"/>
  <c r="AC12" i="26"/>
  <c r="AB12" i="26"/>
  <c r="AA12" i="26"/>
  <c r="Z12" i="26"/>
  <c r="Y12" i="26"/>
  <c r="X12" i="26"/>
  <c r="W12" i="26"/>
  <c r="V12" i="26"/>
  <c r="U12" i="26"/>
  <c r="T12" i="26"/>
  <c r="S12" i="26"/>
  <c r="R12" i="26"/>
  <c r="Q12" i="26"/>
  <c r="P12" i="26"/>
  <c r="O12" i="26"/>
  <c r="N12" i="26"/>
  <c r="M12" i="26"/>
  <c r="L12" i="26"/>
  <c r="K12" i="26"/>
  <c r="J12" i="26"/>
  <c r="I12" i="26"/>
  <c r="H12" i="26"/>
  <c r="G12" i="26"/>
  <c r="F12" i="26"/>
  <c r="E12" i="26"/>
  <c r="D12" i="26"/>
  <c r="C12" i="26"/>
  <c r="AS11" i="26"/>
  <c r="AM11" i="26"/>
  <c r="AH11" i="26"/>
  <c r="AH10" i="26"/>
  <c r="AS9" i="26"/>
  <c r="AM9" i="26"/>
  <c r="AH9" i="26"/>
  <c r="AS8" i="26"/>
  <c r="AH8" i="26"/>
  <c r="BA7" i="26"/>
  <c r="BA9" i="26" s="1"/>
  <c r="AZ7" i="26"/>
  <c r="AS7" i="26"/>
  <c r="AH7" i="26"/>
  <c r="AS6" i="26"/>
  <c r="AH6" i="26"/>
  <c r="AS5" i="26"/>
  <c r="AS12" i="26" s="1"/>
  <c r="AH5" i="26"/>
  <c r="AL22" i="25"/>
  <c r="AT15" i="25"/>
  <c r="AT17" i="25" s="1"/>
  <c r="AS5" i="25"/>
  <c r="AZ7" i="25"/>
  <c r="BA7" i="25" s="1"/>
  <c r="BA9" i="25" s="1"/>
  <c r="AS7" i="25"/>
  <c r="AV12" i="25"/>
  <c r="AS8" i="25"/>
  <c r="AS6" i="25"/>
  <c r="AS11" i="25"/>
  <c r="R40" i="25"/>
  <c r="Q40" i="25"/>
  <c r="R28" i="25"/>
  <c r="AS9" i="25"/>
  <c r="N47" i="25"/>
  <c r="N46" i="25"/>
  <c r="N43" i="25"/>
  <c r="N42" i="25"/>
  <c r="N38" i="25"/>
  <c r="D38" i="25"/>
  <c r="N37" i="25"/>
  <c r="G37" i="25"/>
  <c r="F37" i="25"/>
  <c r="G36" i="25"/>
  <c r="F36" i="25"/>
  <c r="G35" i="25"/>
  <c r="F35" i="25"/>
  <c r="L32" i="25"/>
  <c r="L30" i="25" s="1"/>
  <c r="J32" i="25"/>
  <c r="J28" i="25" s="1"/>
  <c r="G32" i="25"/>
  <c r="N36" i="25" s="1"/>
  <c r="F32" i="25"/>
  <c r="N44" i="25" s="1"/>
  <c r="M31" i="25"/>
  <c r="R36" i="25" s="1"/>
  <c r="K31" i="25"/>
  <c r="R34" i="25" s="1"/>
  <c r="I31" i="25"/>
  <c r="R32" i="25" s="1"/>
  <c r="H31" i="25"/>
  <c r="R31" i="25" s="1"/>
  <c r="D31" i="25"/>
  <c r="R27" i="25" s="1"/>
  <c r="M30" i="25"/>
  <c r="K30" i="25"/>
  <c r="I30" i="25"/>
  <c r="H30" i="25"/>
  <c r="D30" i="25"/>
  <c r="M29" i="25"/>
  <c r="K29" i="25"/>
  <c r="I29" i="25"/>
  <c r="H29" i="25"/>
  <c r="E29" i="25"/>
  <c r="D29" i="25"/>
  <c r="M28" i="25"/>
  <c r="K28" i="25"/>
  <c r="I28" i="25"/>
  <c r="H28" i="25"/>
  <c r="E28" i="25"/>
  <c r="D28" i="25"/>
  <c r="M27" i="25"/>
  <c r="K27" i="25"/>
  <c r="I27" i="25"/>
  <c r="H27" i="25"/>
  <c r="E27" i="25"/>
  <c r="D27" i="25"/>
  <c r="M26" i="25"/>
  <c r="K26" i="25"/>
  <c r="I26" i="25"/>
  <c r="H26" i="25"/>
  <c r="E26" i="25"/>
  <c r="D26" i="25"/>
  <c r="M25" i="25"/>
  <c r="K25" i="25"/>
  <c r="I25" i="25"/>
  <c r="H25" i="25"/>
  <c r="E25" i="25"/>
  <c r="D25" i="25"/>
  <c r="AH21" i="25"/>
  <c r="AM11" i="25" s="1"/>
  <c r="AH20" i="25"/>
  <c r="AM10" i="25" s="1"/>
  <c r="AH19" i="25"/>
  <c r="AM9" i="25" s="1"/>
  <c r="AH18" i="25"/>
  <c r="AM8" i="25" s="1"/>
  <c r="AH17" i="25"/>
  <c r="AM7" i="25" s="1"/>
  <c r="AH16" i="25"/>
  <c r="AM6" i="25" s="1"/>
  <c r="AH15" i="25"/>
  <c r="AM5" i="25" s="1"/>
  <c r="AD12" i="25"/>
  <c r="AC12" i="25"/>
  <c r="AB12" i="25"/>
  <c r="AA12" i="25"/>
  <c r="Z12" i="25"/>
  <c r="Y12" i="25"/>
  <c r="X12" i="25"/>
  <c r="W12" i="25"/>
  <c r="V12" i="25"/>
  <c r="U12" i="25"/>
  <c r="T12" i="25"/>
  <c r="S12" i="25"/>
  <c r="R12" i="25"/>
  <c r="Q12" i="25"/>
  <c r="P12" i="25"/>
  <c r="O12" i="25"/>
  <c r="N12" i="25"/>
  <c r="M12" i="25"/>
  <c r="L12" i="25"/>
  <c r="K12" i="25"/>
  <c r="J12" i="25"/>
  <c r="I12" i="25"/>
  <c r="H12" i="25"/>
  <c r="G12" i="25"/>
  <c r="F12" i="25"/>
  <c r="E12" i="25"/>
  <c r="D12" i="25"/>
  <c r="C12" i="25"/>
  <c r="AH11" i="25"/>
  <c r="AH10" i="25"/>
  <c r="AH9" i="25"/>
  <c r="AH8" i="25"/>
  <c r="AH7" i="25"/>
  <c r="AH6" i="25"/>
  <c r="AH5" i="25"/>
  <c r="AY22" i="24"/>
  <c r="AY24" i="24" s="1"/>
  <c r="AY26" i="24" s="1"/>
  <c r="BE14" i="24"/>
  <c r="AR18" i="24"/>
  <c r="AY7" i="24"/>
  <c r="AS6" i="24"/>
  <c r="AX16" i="24"/>
  <c r="AS11" i="24"/>
  <c r="AS7" i="24"/>
  <c r="AS10" i="24"/>
  <c r="AS9" i="24"/>
  <c r="AS5" i="24"/>
  <c r="AS8" i="24"/>
  <c r="AS8" i="23"/>
  <c r="AS7" i="23"/>
  <c r="AS5" i="23"/>
  <c r="AG12" i="24"/>
  <c r="AH15" i="24"/>
  <c r="AH6" i="24"/>
  <c r="J28" i="26" l="1"/>
  <c r="L28" i="26"/>
  <c r="J29" i="26"/>
  <c r="BA7" i="24"/>
  <c r="BC7" i="24" s="1"/>
  <c r="BD7" i="24" s="1"/>
  <c r="J25" i="26"/>
  <c r="L30" i="26"/>
  <c r="N39" i="26"/>
  <c r="L29" i="26"/>
  <c r="L31" i="26"/>
  <c r="H36" i="26"/>
  <c r="C29" i="26" s="1"/>
  <c r="N29" i="26" s="1"/>
  <c r="AO9" i="26" s="1"/>
  <c r="L25" i="26"/>
  <c r="J26" i="26"/>
  <c r="J27" i="26"/>
  <c r="J30" i="26"/>
  <c r="L26" i="26"/>
  <c r="C31" i="26"/>
  <c r="I37" i="26"/>
  <c r="C30" i="26"/>
  <c r="I35" i="26"/>
  <c r="C26" i="26"/>
  <c r="N26" i="26" s="1"/>
  <c r="AO6" i="26" s="1"/>
  <c r="C25" i="26"/>
  <c r="AH12" i="26"/>
  <c r="E1" i="26" s="1"/>
  <c r="F25" i="26"/>
  <c r="F30" i="26"/>
  <c r="N44" i="26"/>
  <c r="N48" i="26" s="1"/>
  <c r="G25" i="26"/>
  <c r="G30" i="26"/>
  <c r="AM5" i="26"/>
  <c r="F29" i="25"/>
  <c r="F31" i="25"/>
  <c r="R29" i="25" s="1"/>
  <c r="F26" i="25"/>
  <c r="H35" i="25"/>
  <c r="C26" i="25" s="1"/>
  <c r="F25" i="25"/>
  <c r="F28" i="25"/>
  <c r="F27" i="25"/>
  <c r="F30" i="25"/>
  <c r="H36" i="25"/>
  <c r="C27" i="25" s="1"/>
  <c r="G31" i="25"/>
  <c r="R30" i="25" s="1"/>
  <c r="G26" i="25"/>
  <c r="G28" i="25"/>
  <c r="G29" i="25"/>
  <c r="J31" i="25"/>
  <c r="R33" i="25" s="1"/>
  <c r="J25" i="25"/>
  <c r="G25" i="25"/>
  <c r="G30" i="25"/>
  <c r="G27" i="25"/>
  <c r="H37" i="25"/>
  <c r="C31" i="25" s="1"/>
  <c r="Q26" i="25" s="1"/>
  <c r="Q37" i="25" s="1"/>
  <c r="AS12" i="25"/>
  <c r="L25" i="25"/>
  <c r="L27" i="25"/>
  <c r="L28" i="25"/>
  <c r="L29" i="25"/>
  <c r="AH22" i="25"/>
  <c r="C28" i="25"/>
  <c r="J27" i="25"/>
  <c r="J29" i="25"/>
  <c r="L31" i="25"/>
  <c r="R35" i="25" s="1"/>
  <c r="N45" i="25"/>
  <c r="N48" i="25" s="1"/>
  <c r="AH12" i="25"/>
  <c r="AM12" i="25"/>
  <c r="J26" i="25"/>
  <c r="J30" i="25"/>
  <c r="N39" i="25"/>
  <c r="L26" i="25"/>
  <c r="AS12" i="24"/>
  <c r="N47" i="24"/>
  <c r="N43" i="24"/>
  <c r="N42" i="24"/>
  <c r="D38" i="24"/>
  <c r="N38" i="24"/>
  <c r="G37" i="24"/>
  <c r="F37" i="24"/>
  <c r="N37" i="24"/>
  <c r="G36" i="24"/>
  <c r="F36" i="24"/>
  <c r="G35" i="24"/>
  <c r="H35" i="24" s="1"/>
  <c r="F35" i="24"/>
  <c r="L32" i="24"/>
  <c r="L30" i="24" s="1"/>
  <c r="N46" i="24"/>
  <c r="J32" i="24"/>
  <c r="N39" i="24" s="1"/>
  <c r="G32" i="24"/>
  <c r="G27" i="24" s="1"/>
  <c r="F32" i="24"/>
  <c r="N44" i="24" s="1"/>
  <c r="M31" i="24"/>
  <c r="I31" i="24"/>
  <c r="H31" i="24"/>
  <c r="D31" i="24"/>
  <c r="M30" i="24"/>
  <c r="I30" i="24"/>
  <c r="H30" i="24"/>
  <c r="F30" i="24"/>
  <c r="D30" i="24"/>
  <c r="M29" i="24"/>
  <c r="I29" i="24"/>
  <c r="H29" i="24"/>
  <c r="G29" i="24"/>
  <c r="F29" i="24"/>
  <c r="E29" i="24"/>
  <c r="D29" i="24"/>
  <c r="M28" i="24"/>
  <c r="K28" i="24"/>
  <c r="I28" i="24"/>
  <c r="H28" i="24"/>
  <c r="G28" i="24"/>
  <c r="E28" i="24"/>
  <c r="D28" i="24"/>
  <c r="M27" i="24"/>
  <c r="K27" i="24"/>
  <c r="I27" i="24"/>
  <c r="H27" i="24"/>
  <c r="E27" i="24"/>
  <c r="D27" i="24"/>
  <c r="M26" i="24"/>
  <c r="K26" i="24"/>
  <c r="I26" i="24"/>
  <c r="H26" i="24"/>
  <c r="G26" i="24"/>
  <c r="E26" i="24"/>
  <c r="D26" i="24"/>
  <c r="M25" i="24"/>
  <c r="L25" i="24"/>
  <c r="K25" i="24"/>
  <c r="I25" i="24"/>
  <c r="H25" i="24"/>
  <c r="G25" i="24"/>
  <c r="E25" i="24"/>
  <c r="D25" i="24"/>
  <c r="AH21" i="24"/>
  <c r="AM11" i="24" s="1"/>
  <c r="AH20" i="24"/>
  <c r="AM10" i="24" s="1"/>
  <c r="AH19" i="24"/>
  <c r="AM9" i="24" s="1"/>
  <c r="AH18" i="24"/>
  <c r="AM8" i="24" s="1"/>
  <c r="AH17" i="24"/>
  <c r="AM7" i="24" s="1"/>
  <c r="AH16" i="24"/>
  <c r="AM6" i="24" s="1"/>
  <c r="AM5" i="24"/>
  <c r="AF12" i="24"/>
  <c r="AE12" i="24"/>
  <c r="AD12" i="24"/>
  <c r="AC12" i="24"/>
  <c r="AB12" i="24"/>
  <c r="AA12" i="24"/>
  <c r="Z12" i="24"/>
  <c r="Y12" i="24"/>
  <c r="X12" i="24"/>
  <c r="W12" i="24"/>
  <c r="V12" i="24"/>
  <c r="U12" i="24"/>
  <c r="T12" i="24"/>
  <c r="S12" i="24"/>
  <c r="R12" i="24"/>
  <c r="Q12" i="24"/>
  <c r="P12" i="24"/>
  <c r="O12" i="24"/>
  <c r="N12" i="24"/>
  <c r="M12" i="24"/>
  <c r="L12" i="24"/>
  <c r="K12" i="24"/>
  <c r="J12" i="24"/>
  <c r="I12" i="24"/>
  <c r="H12" i="24"/>
  <c r="G12" i="24"/>
  <c r="F12" i="24"/>
  <c r="E12" i="24"/>
  <c r="D12" i="24"/>
  <c r="C12" i="24"/>
  <c r="AH11" i="24"/>
  <c r="AH10" i="24"/>
  <c r="AH9" i="24"/>
  <c r="AH8" i="24"/>
  <c r="AH7" i="24"/>
  <c r="AH5" i="24"/>
  <c r="O47" i="23"/>
  <c r="O43" i="23"/>
  <c r="O42" i="23"/>
  <c r="O38" i="23"/>
  <c r="D38" i="23"/>
  <c r="O37" i="23"/>
  <c r="G37" i="23"/>
  <c r="F37" i="23"/>
  <c r="H37" i="23" s="1"/>
  <c r="C30" i="23" s="1"/>
  <c r="O36" i="23"/>
  <c r="G36" i="23"/>
  <c r="F36" i="23"/>
  <c r="H36" i="23" s="1"/>
  <c r="O35" i="23"/>
  <c r="G35" i="23"/>
  <c r="F35" i="23"/>
  <c r="AY33" i="23"/>
  <c r="L32" i="23"/>
  <c r="L25" i="23" s="1"/>
  <c r="K32" i="23"/>
  <c r="K28" i="23" s="1"/>
  <c r="J32" i="23"/>
  <c r="J29" i="23" s="1"/>
  <c r="G32" i="23"/>
  <c r="G26" i="23" s="1"/>
  <c r="F32" i="23"/>
  <c r="F30" i="23" s="1"/>
  <c r="M31" i="23"/>
  <c r="I31" i="23"/>
  <c r="H31" i="23"/>
  <c r="G31" i="23"/>
  <c r="D31" i="23"/>
  <c r="M30" i="23"/>
  <c r="I30" i="23"/>
  <c r="H30" i="23"/>
  <c r="G30" i="23"/>
  <c r="D30" i="23"/>
  <c r="M29" i="23"/>
  <c r="L29" i="23"/>
  <c r="I29" i="23"/>
  <c r="H29" i="23"/>
  <c r="G29" i="23"/>
  <c r="E29" i="23"/>
  <c r="D29" i="23"/>
  <c r="C29" i="23"/>
  <c r="M28" i="23"/>
  <c r="J28" i="23"/>
  <c r="I28" i="23"/>
  <c r="H28" i="23"/>
  <c r="G28" i="23"/>
  <c r="E28" i="23"/>
  <c r="D28" i="23"/>
  <c r="AY27" i="23"/>
  <c r="AY29" i="23" s="1"/>
  <c r="M27" i="23"/>
  <c r="L27" i="23"/>
  <c r="K27" i="23"/>
  <c r="J27" i="23"/>
  <c r="I27" i="23"/>
  <c r="H27" i="23"/>
  <c r="G27" i="23"/>
  <c r="E27" i="23"/>
  <c r="D27" i="23"/>
  <c r="M26" i="23"/>
  <c r="J26" i="23"/>
  <c r="I26" i="23"/>
  <c r="H26" i="23"/>
  <c r="E26" i="23"/>
  <c r="D26" i="23"/>
  <c r="M25" i="23"/>
  <c r="K25" i="23"/>
  <c r="J25" i="23"/>
  <c r="I25" i="23"/>
  <c r="H25" i="23"/>
  <c r="G25" i="23"/>
  <c r="E25" i="23"/>
  <c r="D25" i="23"/>
  <c r="BJ23" i="23"/>
  <c r="AH21" i="23"/>
  <c r="AM12" i="23" s="1"/>
  <c r="AH20" i="23"/>
  <c r="AM11" i="23" s="1"/>
  <c r="BJ19" i="23"/>
  <c r="AH19" i="23"/>
  <c r="AM10" i="23" s="1"/>
  <c r="AH18" i="23"/>
  <c r="AM9" i="23" s="1"/>
  <c r="BK17" i="23"/>
  <c r="BJ17" i="23"/>
  <c r="BJ20" i="23" s="1"/>
  <c r="Z17" i="23"/>
  <c r="AH17" i="23" s="1"/>
  <c r="AM8" i="23" s="1"/>
  <c r="AH16" i="23"/>
  <c r="AM6" i="23" s="1"/>
  <c r="AY15" i="23"/>
  <c r="AH15" i="23"/>
  <c r="AF12" i="23"/>
  <c r="AE12" i="23"/>
  <c r="AD12" i="23"/>
  <c r="AC12" i="23"/>
  <c r="AB12" i="23"/>
  <c r="AA12" i="23"/>
  <c r="Z12" i="23"/>
  <c r="Y12" i="23"/>
  <c r="X12" i="23"/>
  <c r="W12" i="23"/>
  <c r="V12" i="23"/>
  <c r="U12" i="23"/>
  <c r="T12" i="23"/>
  <c r="S12" i="23"/>
  <c r="R12" i="23"/>
  <c r="Q12" i="23"/>
  <c r="P12" i="23"/>
  <c r="O12" i="23"/>
  <c r="N12" i="23"/>
  <c r="M12" i="23"/>
  <c r="L12" i="23"/>
  <c r="K12" i="23"/>
  <c r="J12" i="23"/>
  <c r="I12" i="23"/>
  <c r="H12" i="23"/>
  <c r="G12" i="23"/>
  <c r="F12" i="23"/>
  <c r="E12" i="23"/>
  <c r="D12" i="23"/>
  <c r="C12" i="23"/>
  <c r="AH11" i="23"/>
  <c r="AH10" i="23"/>
  <c r="AH9" i="23"/>
  <c r="AH8" i="23"/>
  <c r="AH7" i="23"/>
  <c r="AH6" i="23"/>
  <c r="AS13" i="23"/>
  <c r="AH5" i="23"/>
  <c r="AH12" i="23" s="1"/>
  <c r="K32" i="22"/>
  <c r="K26" i="22" s="1"/>
  <c r="Z17" i="22"/>
  <c r="AH17" i="22" s="1"/>
  <c r="AM8" i="22" s="1"/>
  <c r="AS10" i="22"/>
  <c r="AS5" i="22"/>
  <c r="C12" i="22"/>
  <c r="O47" i="22"/>
  <c r="O43" i="22"/>
  <c r="O42" i="22"/>
  <c r="D38" i="22"/>
  <c r="O37" i="22"/>
  <c r="G37" i="22"/>
  <c r="F37" i="22"/>
  <c r="H37" i="22" s="1"/>
  <c r="O36" i="22"/>
  <c r="G36" i="22"/>
  <c r="F36" i="22"/>
  <c r="G35" i="22"/>
  <c r="H35" i="22" s="1"/>
  <c r="I35" i="22" s="1"/>
  <c r="F35" i="22"/>
  <c r="AY33" i="22"/>
  <c r="L32" i="22"/>
  <c r="L26" i="22" s="1"/>
  <c r="J32" i="22"/>
  <c r="O38" i="22" s="1"/>
  <c r="G32" i="22"/>
  <c r="G29" i="22" s="1"/>
  <c r="F32" i="22"/>
  <c r="F31" i="22" s="1"/>
  <c r="M31" i="22"/>
  <c r="K31" i="22"/>
  <c r="I31" i="22"/>
  <c r="H31" i="22"/>
  <c r="D31" i="22"/>
  <c r="M30" i="22"/>
  <c r="L30" i="22"/>
  <c r="J30" i="22"/>
  <c r="I30" i="22"/>
  <c r="H30" i="22"/>
  <c r="D30" i="22"/>
  <c r="M29" i="22"/>
  <c r="J29" i="22"/>
  <c r="I29" i="22"/>
  <c r="H29" i="22"/>
  <c r="E29" i="22"/>
  <c r="D29" i="22"/>
  <c r="M28" i="22"/>
  <c r="L28" i="22"/>
  <c r="I28" i="22"/>
  <c r="H28" i="22"/>
  <c r="E28" i="22"/>
  <c r="D28" i="22"/>
  <c r="AY27" i="22"/>
  <c r="AY29" i="22" s="1"/>
  <c r="M27" i="22"/>
  <c r="I27" i="22"/>
  <c r="H27" i="22"/>
  <c r="E27" i="22"/>
  <c r="D27" i="22"/>
  <c r="M26" i="22"/>
  <c r="I26" i="22"/>
  <c r="H26" i="22"/>
  <c r="E26" i="22"/>
  <c r="D26" i="22"/>
  <c r="M25" i="22"/>
  <c r="K25" i="22"/>
  <c r="I25" i="22"/>
  <c r="H25" i="22"/>
  <c r="E25" i="22"/>
  <c r="D25" i="22"/>
  <c r="AH21" i="22"/>
  <c r="AM12" i="22" s="1"/>
  <c r="AH20" i="22"/>
  <c r="AM11" i="22" s="1"/>
  <c r="AH19" i="22"/>
  <c r="AM10" i="22" s="1"/>
  <c r="AH18" i="22"/>
  <c r="AM9" i="22" s="1"/>
  <c r="BJ17" i="22"/>
  <c r="BJ22" i="22" s="1"/>
  <c r="AH16" i="22"/>
  <c r="AM6" i="22" s="1"/>
  <c r="AY15" i="22"/>
  <c r="BA19" i="22" s="1"/>
  <c r="AH15" i="22"/>
  <c r="AM5" i="22" s="1"/>
  <c r="AF12" i="22"/>
  <c r="AE12" i="22"/>
  <c r="AD12" i="22"/>
  <c r="AC12" i="22"/>
  <c r="AB12" i="22"/>
  <c r="AA12" i="22"/>
  <c r="Z12" i="22"/>
  <c r="Y12" i="22"/>
  <c r="X12" i="22"/>
  <c r="W12" i="22"/>
  <c r="V12" i="22"/>
  <c r="U12" i="22"/>
  <c r="T12" i="22"/>
  <c r="S12" i="22"/>
  <c r="R12" i="22"/>
  <c r="Q12" i="22"/>
  <c r="P12" i="22"/>
  <c r="O12" i="22"/>
  <c r="N12" i="22"/>
  <c r="M12" i="22"/>
  <c r="L12" i="22"/>
  <c r="K12" i="22"/>
  <c r="J12" i="22"/>
  <c r="I12" i="22"/>
  <c r="H12" i="22"/>
  <c r="G12" i="22"/>
  <c r="F12" i="22"/>
  <c r="E12" i="22"/>
  <c r="D12" i="22"/>
  <c r="AH11" i="22"/>
  <c r="AH10" i="22"/>
  <c r="AH9" i="22"/>
  <c r="AH8" i="22"/>
  <c r="AH7" i="22"/>
  <c r="AH6" i="22"/>
  <c r="AH5" i="22"/>
  <c r="AS8" i="21"/>
  <c r="AS6" i="21"/>
  <c r="AS11" i="21"/>
  <c r="AS5" i="21"/>
  <c r="D12" i="21"/>
  <c r="E12" i="21"/>
  <c r="F12" i="21"/>
  <c r="G12" i="21"/>
  <c r="H12" i="21"/>
  <c r="I12" i="21"/>
  <c r="J12" i="21"/>
  <c r="K12" i="21"/>
  <c r="L12" i="21"/>
  <c r="M12" i="21"/>
  <c r="N12" i="21"/>
  <c r="O12" i="21"/>
  <c r="P12" i="21"/>
  <c r="Q12" i="21"/>
  <c r="R12" i="21"/>
  <c r="S12" i="21"/>
  <c r="T12" i="21"/>
  <c r="U12" i="21"/>
  <c r="V12" i="21"/>
  <c r="W12" i="21"/>
  <c r="X12" i="21"/>
  <c r="Y12" i="21"/>
  <c r="Z12" i="21"/>
  <c r="AA12" i="21"/>
  <c r="AB12" i="21"/>
  <c r="AC12" i="21"/>
  <c r="AD12" i="21"/>
  <c r="AE12" i="21"/>
  <c r="AF12" i="21"/>
  <c r="C12" i="21"/>
  <c r="F25" i="23" l="1"/>
  <c r="F27" i="23"/>
  <c r="K29" i="23"/>
  <c r="K30" i="23"/>
  <c r="K31" i="23"/>
  <c r="H35" i="23"/>
  <c r="C26" i="23" s="1"/>
  <c r="N30" i="26"/>
  <c r="AO10" i="26" s="1"/>
  <c r="K30" i="22"/>
  <c r="O44" i="22"/>
  <c r="BJ21" i="23"/>
  <c r="F31" i="23"/>
  <c r="C28" i="26"/>
  <c r="N28" i="26" s="1"/>
  <c r="AO8" i="26" s="1"/>
  <c r="N29" i="23"/>
  <c r="AO10" i="23" s="1"/>
  <c r="J25" i="22"/>
  <c r="BJ22" i="23"/>
  <c r="BJ24" i="23" s="1"/>
  <c r="K26" i="23"/>
  <c r="F29" i="23"/>
  <c r="C27" i="26"/>
  <c r="N27" i="26" s="1"/>
  <c r="AO7" i="26" s="1"/>
  <c r="O44" i="23"/>
  <c r="I36" i="26"/>
  <c r="J28" i="22"/>
  <c r="O46" i="23"/>
  <c r="I38" i="26"/>
  <c r="BJ23" i="22"/>
  <c r="J30" i="23"/>
  <c r="J31" i="23"/>
  <c r="AL7" i="26"/>
  <c r="AN7" i="26" s="1"/>
  <c r="AP7" i="26" s="1"/>
  <c r="AL9" i="26"/>
  <c r="AN9" i="26" s="1"/>
  <c r="AP9" i="26" s="1"/>
  <c r="AL5" i="26"/>
  <c r="AL10" i="26"/>
  <c r="AN10" i="26" s="1"/>
  <c r="AL11" i="26"/>
  <c r="AL8" i="26"/>
  <c r="AN8" i="26" s="1"/>
  <c r="AP8" i="26" s="1"/>
  <c r="AL6" i="26"/>
  <c r="AN6" i="26" s="1"/>
  <c r="AP6" i="26" s="1"/>
  <c r="N31" i="26"/>
  <c r="AO11" i="26" s="1"/>
  <c r="N25" i="26"/>
  <c r="C32" i="26"/>
  <c r="N35" i="26" s="1"/>
  <c r="N40" i="26" s="1"/>
  <c r="N50" i="26"/>
  <c r="AM12" i="26"/>
  <c r="C25" i="25"/>
  <c r="I35" i="25"/>
  <c r="Q42" i="25"/>
  <c r="Q43" i="25" s="1"/>
  <c r="I36" i="25"/>
  <c r="N28" i="25"/>
  <c r="AO8" i="25" s="1"/>
  <c r="R37" i="25"/>
  <c r="C29" i="25"/>
  <c r="N29" i="25" s="1"/>
  <c r="AO9" i="25" s="1"/>
  <c r="I37" i="25"/>
  <c r="C30" i="25"/>
  <c r="N30" i="25" s="1"/>
  <c r="AO10" i="25" s="1"/>
  <c r="E1" i="25"/>
  <c r="AL9" i="25" s="1"/>
  <c r="AN9" i="25" s="1"/>
  <c r="N25" i="25"/>
  <c r="N26" i="25"/>
  <c r="AO6" i="25" s="1"/>
  <c r="N27" i="25"/>
  <c r="AO7" i="25" s="1"/>
  <c r="N31" i="25"/>
  <c r="AO11" i="25" s="1"/>
  <c r="J27" i="24"/>
  <c r="J25" i="24"/>
  <c r="G31" i="24"/>
  <c r="J28" i="24"/>
  <c r="H37" i="24"/>
  <c r="C30" i="24" s="1"/>
  <c r="G30" i="24"/>
  <c r="H36" i="24"/>
  <c r="C29" i="24" s="1"/>
  <c r="AM12" i="24"/>
  <c r="L31" i="24"/>
  <c r="AH12" i="24"/>
  <c r="AH22" i="24"/>
  <c r="L27" i="24"/>
  <c r="F31" i="24"/>
  <c r="I35" i="24"/>
  <c r="C26" i="24"/>
  <c r="C25" i="24"/>
  <c r="F26" i="24"/>
  <c r="N36" i="24"/>
  <c r="F27" i="24"/>
  <c r="J29" i="24"/>
  <c r="J30" i="24"/>
  <c r="J31" i="24"/>
  <c r="J26" i="24"/>
  <c r="K29" i="24"/>
  <c r="K30" i="24"/>
  <c r="K31" i="24"/>
  <c r="F25" i="24"/>
  <c r="F28" i="24"/>
  <c r="C31" i="24"/>
  <c r="L29" i="24"/>
  <c r="N45" i="24"/>
  <c r="N48" i="24" s="1"/>
  <c r="L26" i="24"/>
  <c r="L28" i="24"/>
  <c r="C27" i="23"/>
  <c r="N27" i="23" s="1"/>
  <c r="AO8" i="23" s="1"/>
  <c r="I36" i="23"/>
  <c r="C28" i="23"/>
  <c r="AM5" i="23"/>
  <c r="AH22" i="23"/>
  <c r="E1" i="23" s="1"/>
  <c r="AL5" i="23" s="1"/>
  <c r="BA19" i="23"/>
  <c r="L30" i="23"/>
  <c r="N30" i="23" s="1"/>
  <c r="AO11" i="23" s="1"/>
  <c r="L28" i="23"/>
  <c r="L26" i="23"/>
  <c r="O45" i="23"/>
  <c r="C31" i="23"/>
  <c r="L31" i="23"/>
  <c r="I35" i="23"/>
  <c r="I38" i="23" s="1"/>
  <c r="C25" i="23"/>
  <c r="I37" i="23"/>
  <c r="F26" i="23"/>
  <c r="F28" i="23"/>
  <c r="O46" i="22"/>
  <c r="K28" i="22"/>
  <c r="K29" i="22"/>
  <c r="K27" i="22"/>
  <c r="H36" i="22"/>
  <c r="F28" i="22"/>
  <c r="F30" i="22"/>
  <c r="F26" i="22"/>
  <c r="F29" i="22"/>
  <c r="J27" i="22"/>
  <c r="J31" i="22"/>
  <c r="AS13" i="22"/>
  <c r="AM13" i="22"/>
  <c r="AH22" i="22"/>
  <c r="AH12" i="22"/>
  <c r="C28" i="22"/>
  <c r="I36" i="22"/>
  <c r="C29" i="22"/>
  <c r="C27" i="22"/>
  <c r="I37" i="22"/>
  <c r="C31" i="22"/>
  <c r="C30" i="22"/>
  <c r="BJ20" i="22"/>
  <c r="C25" i="22"/>
  <c r="G26" i="22"/>
  <c r="O35" i="22"/>
  <c r="BK17" i="22"/>
  <c r="L25" i="22"/>
  <c r="L27" i="22"/>
  <c r="G28" i="22"/>
  <c r="G30" i="22"/>
  <c r="L31" i="22"/>
  <c r="BJ21" i="22"/>
  <c r="L29" i="22"/>
  <c r="O45" i="22"/>
  <c r="F25" i="22"/>
  <c r="J26" i="22"/>
  <c r="F27" i="22"/>
  <c r="G25" i="22"/>
  <c r="C26" i="22"/>
  <c r="G27" i="22"/>
  <c r="G31" i="22"/>
  <c r="BJ19" i="22"/>
  <c r="O47" i="21"/>
  <c r="O46" i="21"/>
  <c r="O43" i="21"/>
  <c r="O42" i="21"/>
  <c r="D38" i="21"/>
  <c r="O37" i="21"/>
  <c r="G37" i="21"/>
  <c r="F37" i="21"/>
  <c r="H37" i="21" s="1"/>
  <c r="O36" i="21"/>
  <c r="G36" i="21"/>
  <c r="F36" i="21"/>
  <c r="H36" i="21" s="1"/>
  <c r="G35" i="21"/>
  <c r="F35" i="21"/>
  <c r="AY33" i="21"/>
  <c r="L32" i="21"/>
  <c r="O45" i="21" s="1"/>
  <c r="J32" i="21"/>
  <c r="J30" i="21" s="1"/>
  <c r="G32" i="21"/>
  <c r="G31" i="21" s="1"/>
  <c r="F32" i="21"/>
  <c r="F26" i="21" s="1"/>
  <c r="M31" i="21"/>
  <c r="K31" i="21"/>
  <c r="I31" i="21"/>
  <c r="H31" i="21"/>
  <c r="D31" i="21"/>
  <c r="M30" i="21"/>
  <c r="K30" i="21"/>
  <c r="I30" i="21"/>
  <c r="H30" i="21"/>
  <c r="G30" i="21"/>
  <c r="D30" i="21"/>
  <c r="M29" i="21"/>
  <c r="K29" i="21"/>
  <c r="I29" i="21"/>
  <c r="H29" i="21"/>
  <c r="G29" i="21"/>
  <c r="E29" i="21"/>
  <c r="D29" i="21"/>
  <c r="M28" i="21"/>
  <c r="K28" i="21"/>
  <c r="I28" i="21"/>
  <c r="H28" i="21"/>
  <c r="G28" i="21"/>
  <c r="E28" i="21"/>
  <c r="D28" i="21"/>
  <c r="AY27" i="21"/>
  <c r="AY29" i="21" s="1"/>
  <c r="M27" i="21"/>
  <c r="K27" i="21"/>
  <c r="I27" i="21"/>
  <c r="H27" i="21"/>
  <c r="G27" i="21"/>
  <c r="E27" i="21"/>
  <c r="D27" i="21"/>
  <c r="M26" i="21"/>
  <c r="K26" i="21"/>
  <c r="I26" i="21"/>
  <c r="H26" i="21"/>
  <c r="E26" i="21"/>
  <c r="D26" i="21"/>
  <c r="M25" i="21"/>
  <c r="K25" i="21"/>
  <c r="I25" i="21"/>
  <c r="H25" i="21"/>
  <c r="G25" i="21"/>
  <c r="E25" i="21"/>
  <c r="D25" i="21"/>
  <c r="AH21" i="21"/>
  <c r="AM11" i="21" s="1"/>
  <c r="AH20" i="21"/>
  <c r="AM10" i="21" s="1"/>
  <c r="BA19" i="21"/>
  <c r="AH19" i="21"/>
  <c r="AM9" i="21" s="1"/>
  <c r="AH18" i="21"/>
  <c r="AM8" i="21" s="1"/>
  <c r="BJ17" i="21"/>
  <c r="BJ20" i="21" s="1"/>
  <c r="AH17" i="21"/>
  <c r="AM7" i="21" s="1"/>
  <c r="AH16" i="21"/>
  <c r="AM6" i="21" s="1"/>
  <c r="AY15" i="21"/>
  <c r="AH15" i="21"/>
  <c r="AH11" i="21"/>
  <c r="AH10" i="21"/>
  <c r="AH9" i="21"/>
  <c r="AH8" i="21"/>
  <c r="AH7" i="21"/>
  <c r="AH6" i="21"/>
  <c r="AM5" i="21"/>
  <c r="AH5" i="21"/>
  <c r="AS5" i="20"/>
  <c r="AS6" i="20"/>
  <c r="AS8" i="20"/>
  <c r="AS10" i="20"/>
  <c r="AS9" i="20"/>
  <c r="O46" i="20"/>
  <c r="O37" i="20"/>
  <c r="O36" i="20"/>
  <c r="K31" i="20"/>
  <c r="K30" i="20"/>
  <c r="K29" i="20"/>
  <c r="K28" i="20"/>
  <c r="K27" i="20"/>
  <c r="K26" i="20"/>
  <c r="K25" i="20"/>
  <c r="O47" i="20"/>
  <c r="O43" i="20"/>
  <c r="O42" i="20"/>
  <c r="D38" i="20"/>
  <c r="G37" i="20"/>
  <c r="F37" i="20"/>
  <c r="H37" i="20" s="1"/>
  <c r="G36" i="20"/>
  <c r="F36" i="20"/>
  <c r="H36" i="20" s="1"/>
  <c r="G35" i="20"/>
  <c r="F35" i="20"/>
  <c r="H35" i="20" s="1"/>
  <c r="AY33" i="20"/>
  <c r="L32" i="20"/>
  <c r="O45" i="20" s="1"/>
  <c r="O48" i="20" s="1"/>
  <c r="J32" i="20"/>
  <c r="J25" i="20" s="1"/>
  <c r="G32" i="20"/>
  <c r="G29" i="20" s="1"/>
  <c r="F32" i="20"/>
  <c r="O44" i="20" s="1"/>
  <c r="M31" i="20"/>
  <c r="I31" i="20"/>
  <c r="H31" i="20"/>
  <c r="F31" i="20"/>
  <c r="D31" i="20"/>
  <c r="M30" i="20"/>
  <c r="I30" i="20"/>
  <c r="H30" i="20"/>
  <c r="F30" i="20"/>
  <c r="D30" i="20"/>
  <c r="M29" i="20"/>
  <c r="I29" i="20"/>
  <c r="H29" i="20"/>
  <c r="F29" i="20"/>
  <c r="E29" i="20"/>
  <c r="D29" i="20"/>
  <c r="M28" i="20"/>
  <c r="I28" i="20"/>
  <c r="H28" i="20"/>
  <c r="F28" i="20"/>
  <c r="E28" i="20"/>
  <c r="D28" i="20"/>
  <c r="AY27" i="20"/>
  <c r="AY29" i="20" s="1"/>
  <c r="M27" i="20"/>
  <c r="I27" i="20"/>
  <c r="H27" i="20"/>
  <c r="F27" i="20"/>
  <c r="E27" i="20"/>
  <c r="D27" i="20"/>
  <c r="M26" i="20"/>
  <c r="I26" i="20"/>
  <c r="H26" i="20"/>
  <c r="F26" i="20"/>
  <c r="E26" i="20"/>
  <c r="D26" i="20"/>
  <c r="M25" i="20"/>
  <c r="I25" i="20"/>
  <c r="H25" i="20"/>
  <c r="F25" i="20"/>
  <c r="E25" i="20"/>
  <c r="D25" i="20"/>
  <c r="AH21" i="20"/>
  <c r="AM11" i="20" s="1"/>
  <c r="AH20" i="20"/>
  <c r="AM10" i="20" s="1"/>
  <c r="AH19" i="20"/>
  <c r="AH18" i="20"/>
  <c r="BJ17" i="20"/>
  <c r="BJ23" i="20" s="1"/>
  <c r="AH17" i="20"/>
  <c r="AM7" i="20" s="1"/>
  <c r="AH16" i="20"/>
  <c r="AH15" i="20"/>
  <c r="AM5" i="20" s="1"/>
  <c r="AG12" i="20"/>
  <c r="AF12" i="20"/>
  <c r="AE12" i="20"/>
  <c r="AD12" i="20"/>
  <c r="AC12" i="20"/>
  <c r="AB12" i="20"/>
  <c r="AA12" i="20"/>
  <c r="Z12" i="20"/>
  <c r="Y12" i="20"/>
  <c r="X12" i="20"/>
  <c r="W12" i="20"/>
  <c r="V12" i="20"/>
  <c r="U12" i="20"/>
  <c r="T12" i="20"/>
  <c r="S12" i="20"/>
  <c r="R12" i="20"/>
  <c r="Q12" i="20"/>
  <c r="P12" i="20"/>
  <c r="O12" i="20"/>
  <c r="N12" i="20"/>
  <c r="M12" i="20"/>
  <c r="L12" i="20"/>
  <c r="K12" i="20"/>
  <c r="J12" i="20"/>
  <c r="I12" i="20"/>
  <c r="H12" i="20"/>
  <c r="G12" i="20"/>
  <c r="F12" i="20"/>
  <c r="E12" i="20"/>
  <c r="D12" i="20"/>
  <c r="C12" i="20"/>
  <c r="AH11" i="20"/>
  <c r="AH10" i="20"/>
  <c r="AM9" i="20"/>
  <c r="AH9" i="20"/>
  <c r="AM8" i="20"/>
  <c r="AH8" i="20"/>
  <c r="AH7" i="20"/>
  <c r="AM6" i="20"/>
  <c r="AH6" i="20"/>
  <c r="AH5" i="20"/>
  <c r="AH12" i="20" s="1"/>
  <c r="C30" i="20" l="1"/>
  <c r="C31" i="20"/>
  <c r="C26" i="20"/>
  <c r="I35" i="20"/>
  <c r="C25" i="20"/>
  <c r="AR7" i="26"/>
  <c r="AU7" i="26" s="1"/>
  <c r="AH22" i="20"/>
  <c r="E1" i="20" s="1"/>
  <c r="BJ24" i="22"/>
  <c r="L26" i="21"/>
  <c r="G25" i="20"/>
  <c r="G26" i="20"/>
  <c r="G28" i="20"/>
  <c r="J31" i="20"/>
  <c r="BJ23" i="21"/>
  <c r="L25" i="21"/>
  <c r="L27" i="21"/>
  <c r="L31" i="21"/>
  <c r="H35" i="21"/>
  <c r="I35" i="21" s="1"/>
  <c r="I38" i="21" s="1"/>
  <c r="O38" i="21"/>
  <c r="N28" i="22"/>
  <c r="AO9" i="22" s="1"/>
  <c r="O48" i="23"/>
  <c r="AL7" i="20"/>
  <c r="AN7" i="20" s="1"/>
  <c r="G30" i="20"/>
  <c r="BJ21" i="21"/>
  <c r="J27" i="21"/>
  <c r="J31" i="21"/>
  <c r="AP10" i="26"/>
  <c r="AR10" i="26" s="1"/>
  <c r="AU10" i="26" s="1"/>
  <c r="O38" i="20"/>
  <c r="BJ22" i="21"/>
  <c r="L31" i="20"/>
  <c r="AH12" i="21"/>
  <c r="L28" i="21"/>
  <c r="L29" i="21"/>
  <c r="L30" i="21"/>
  <c r="G27" i="20"/>
  <c r="BK17" i="21"/>
  <c r="J27" i="20"/>
  <c r="J29" i="20"/>
  <c r="N30" i="22"/>
  <c r="AO11" i="22" s="1"/>
  <c r="O35" i="20"/>
  <c r="G31" i="20"/>
  <c r="J25" i="21"/>
  <c r="BJ19" i="21"/>
  <c r="AO5" i="26"/>
  <c r="N32" i="26"/>
  <c r="N52" i="26" s="1"/>
  <c r="AN11" i="26"/>
  <c r="AP11" i="26" s="1"/>
  <c r="AL12" i="26"/>
  <c r="AN5" i="26"/>
  <c r="I38" i="25"/>
  <c r="C32" i="25"/>
  <c r="N35" i="25" s="1"/>
  <c r="N40" i="25" s="1"/>
  <c r="AP9" i="25"/>
  <c r="AR9" i="25" s="1"/>
  <c r="AU9" i="25" s="1"/>
  <c r="AQ9" i="26" s="1"/>
  <c r="AR9" i="26" s="1"/>
  <c r="AU9" i="26" s="1"/>
  <c r="AL8" i="25"/>
  <c r="AN8" i="25" s="1"/>
  <c r="AP8" i="25" s="1"/>
  <c r="AR8" i="25" s="1"/>
  <c r="AU8" i="25" s="1"/>
  <c r="AQ8" i="26" s="1"/>
  <c r="AR8" i="26" s="1"/>
  <c r="AU8" i="26" s="1"/>
  <c r="AL11" i="25"/>
  <c r="AL7" i="25"/>
  <c r="AN7" i="25" s="1"/>
  <c r="AP7" i="25" s="1"/>
  <c r="AR7" i="25" s="1"/>
  <c r="AU7" i="25" s="1"/>
  <c r="AQ7" i="26" s="1"/>
  <c r="AL5" i="25"/>
  <c r="AL6" i="25"/>
  <c r="AN6" i="25" s="1"/>
  <c r="AP6" i="25" s="1"/>
  <c r="AL10" i="25"/>
  <c r="AN10" i="25" s="1"/>
  <c r="AP10" i="25" s="1"/>
  <c r="AR10" i="25" s="1"/>
  <c r="AU10" i="25" s="1"/>
  <c r="AQ10" i="26" s="1"/>
  <c r="AO5" i="25"/>
  <c r="N32" i="25"/>
  <c r="I36" i="24"/>
  <c r="I38" i="24" s="1"/>
  <c r="N25" i="24"/>
  <c r="C28" i="24"/>
  <c r="N28" i="24" s="1"/>
  <c r="AO8" i="24" s="1"/>
  <c r="C27" i="24"/>
  <c r="N27" i="24" s="1"/>
  <c r="AO7" i="24" s="1"/>
  <c r="I37" i="24"/>
  <c r="N31" i="24"/>
  <c r="AO11" i="24" s="1"/>
  <c r="N30" i="24"/>
  <c r="AO10" i="24" s="1"/>
  <c r="E1" i="24"/>
  <c r="N29" i="24"/>
  <c r="AO9" i="24" s="1"/>
  <c r="N26" i="24"/>
  <c r="AO6" i="24" s="1"/>
  <c r="AO5" i="24"/>
  <c r="C32" i="24"/>
  <c r="N35" i="24" s="1"/>
  <c r="N40" i="24" s="1"/>
  <c r="AL16" i="24" s="1"/>
  <c r="N31" i="23"/>
  <c r="AO12" i="23" s="1"/>
  <c r="AL10" i="23"/>
  <c r="AN10" i="23" s="1"/>
  <c r="AP10" i="23" s="1"/>
  <c r="AL12" i="23"/>
  <c r="AN12" i="23" s="1"/>
  <c r="AP8" i="23"/>
  <c r="N28" i="23"/>
  <c r="AO9" i="23" s="1"/>
  <c r="N26" i="23"/>
  <c r="C32" i="23"/>
  <c r="O34" i="23" s="1"/>
  <c r="O39" i="23" s="1"/>
  <c r="N25" i="23"/>
  <c r="AL8" i="23"/>
  <c r="AN8" i="23" s="1"/>
  <c r="AL11" i="23"/>
  <c r="AN11" i="23" s="1"/>
  <c r="AP11" i="23" s="1"/>
  <c r="AL9" i="23"/>
  <c r="AN9" i="23" s="1"/>
  <c r="AN5" i="23"/>
  <c r="AN13" i="23" s="1"/>
  <c r="AM13" i="23"/>
  <c r="AL6" i="23"/>
  <c r="AN6" i="23" s="1"/>
  <c r="O48" i="22"/>
  <c r="N27" i="22"/>
  <c r="AO8" i="22" s="1"/>
  <c r="I38" i="22"/>
  <c r="N26" i="22"/>
  <c r="E1" i="22"/>
  <c r="AL8" i="22" s="1"/>
  <c r="AN8" i="22" s="1"/>
  <c r="AP8" i="22" s="1"/>
  <c r="N31" i="22"/>
  <c r="AO12" i="22" s="1"/>
  <c r="N29" i="22"/>
  <c r="AO10" i="22" s="1"/>
  <c r="C32" i="22"/>
  <c r="O34" i="22" s="1"/>
  <c r="O39" i="22" s="1"/>
  <c r="N25" i="22"/>
  <c r="AH22" i="21"/>
  <c r="AM12" i="21"/>
  <c r="C30" i="21"/>
  <c r="N30" i="21" s="1"/>
  <c r="AO10" i="21" s="1"/>
  <c r="I37" i="21"/>
  <c r="C31" i="21"/>
  <c r="N31" i="21" s="1"/>
  <c r="AO11" i="21" s="1"/>
  <c r="C28" i="21"/>
  <c r="I36" i="21"/>
  <c r="C29" i="21"/>
  <c r="C27" i="21"/>
  <c r="O48" i="21"/>
  <c r="AS12" i="21"/>
  <c r="G26" i="21"/>
  <c r="F28" i="21"/>
  <c r="J29" i="21"/>
  <c r="F30" i="21"/>
  <c r="O35" i="21"/>
  <c r="O44" i="21"/>
  <c r="F25" i="21"/>
  <c r="J26" i="21"/>
  <c r="F27" i="21"/>
  <c r="F31" i="21"/>
  <c r="J28" i="21"/>
  <c r="F29" i="21"/>
  <c r="AS12" i="20"/>
  <c r="N31" i="20"/>
  <c r="AO11" i="20" s="1"/>
  <c r="AL8" i="20"/>
  <c r="AN8" i="20" s="1"/>
  <c r="AL9" i="20"/>
  <c r="AN9" i="20"/>
  <c r="AL5" i="20"/>
  <c r="AN5" i="20" s="1"/>
  <c r="AL10" i="20"/>
  <c r="AN10" i="20" s="1"/>
  <c r="AL6" i="20"/>
  <c r="AN6" i="20" s="1"/>
  <c r="AL11" i="20"/>
  <c r="AN11" i="20" s="1"/>
  <c r="C28" i="20"/>
  <c r="I36" i="20"/>
  <c r="C29" i="20"/>
  <c r="C27" i="20"/>
  <c r="BK17" i="20"/>
  <c r="L25" i="20"/>
  <c r="N25" i="20" s="1"/>
  <c r="L27" i="20"/>
  <c r="AM12" i="20"/>
  <c r="BJ21" i="20"/>
  <c r="J26" i="20"/>
  <c r="J30" i="20"/>
  <c r="BJ20" i="20"/>
  <c r="N26" i="20"/>
  <c r="AO6" i="20" s="1"/>
  <c r="J28" i="20"/>
  <c r="L29" i="20"/>
  <c r="I37" i="20"/>
  <c r="BJ19" i="20"/>
  <c r="BJ22" i="20"/>
  <c r="L26" i="20"/>
  <c r="L28" i="20"/>
  <c r="L30" i="20"/>
  <c r="BJ24" i="21" l="1"/>
  <c r="N27" i="20"/>
  <c r="AO7" i="20" s="1"/>
  <c r="AP7" i="20" s="1"/>
  <c r="N32" i="22"/>
  <c r="O52" i="22" s="1"/>
  <c r="N28" i="21"/>
  <c r="AO8" i="21" s="1"/>
  <c r="N30" i="20"/>
  <c r="AO10" i="20" s="1"/>
  <c r="C25" i="21"/>
  <c r="C32" i="21" s="1"/>
  <c r="O34" i="21" s="1"/>
  <c r="O39" i="21" s="1"/>
  <c r="O50" i="21" s="1"/>
  <c r="O50" i="23"/>
  <c r="I38" i="20"/>
  <c r="C26" i="21"/>
  <c r="N26" i="21" s="1"/>
  <c r="AO6" i="21" s="1"/>
  <c r="AR11" i="26"/>
  <c r="AU11" i="26" s="1"/>
  <c r="AN12" i="26"/>
  <c r="AO12" i="26"/>
  <c r="AP5" i="26"/>
  <c r="AN11" i="25"/>
  <c r="AP11" i="25" s="1"/>
  <c r="AR11" i="25" s="1"/>
  <c r="AU11" i="25" s="1"/>
  <c r="AQ11" i="26" s="1"/>
  <c r="R41" i="25"/>
  <c r="R47" i="25" s="1"/>
  <c r="N50" i="25"/>
  <c r="N52" i="25" s="1"/>
  <c r="AL12" i="25"/>
  <c r="AN5" i="25"/>
  <c r="AN12" i="25" s="1"/>
  <c r="AO12" i="25"/>
  <c r="AL6" i="24"/>
  <c r="AN6" i="24" s="1"/>
  <c r="AL10" i="24"/>
  <c r="AL7" i="24"/>
  <c r="AN7" i="24" s="1"/>
  <c r="AP7" i="24" s="1"/>
  <c r="AR7" i="24" s="1"/>
  <c r="AU7" i="24" s="1"/>
  <c r="AL11" i="24"/>
  <c r="AN11" i="24" s="1"/>
  <c r="AP11" i="24" s="1"/>
  <c r="AL9" i="24"/>
  <c r="AL5" i="24"/>
  <c r="AN5" i="24" s="1"/>
  <c r="AL8" i="24"/>
  <c r="AN8" i="24" s="1"/>
  <c r="AP8" i="24" s="1"/>
  <c r="N50" i="24"/>
  <c r="AN10" i="24"/>
  <c r="AP10" i="24" s="1"/>
  <c r="AR10" i="24" s="1"/>
  <c r="AU10" i="24" s="1"/>
  <c r="N32" i="24"/>
  <c r="AP9" i="23"/>
  <c r="AP12" i="23"/>
  <c r="AO5" i="23"/>
  <c r="N32" i="23"/>
  <c r="O52" i="23" s="1"/>
  <c r="AL13" i="23"/>
  <c r="O50" i="22"/>
  <c r="AL11" i="22"/>
  <c r="AN11" i="22" s="1"/>
  <c r="AP11" i="22" s="1"/>
  <c r="AL9" i="22"/>
  <c r="AN9" i="22" s="1"/>
  <c r="AP9" i="22" s="1"/>
  <c r="AL10" i="22"/>
  <c r="AN10" i="22" s="1"/>
  <c r="AP10" i="22" s="1"/>
  <c r="AL5" i="22"/>
  <c r="AN5" i="22" s="1"/>
  <c r="AL6" i="22"/>
  <c r="AN6" i="22" s="1"/>
  <c r="AL12" i="22"/>
  <c r="AN12" i="22" s="1"/>
  <c r="AP12" i="22" s="1"/>
  <c r="AO5" i="22"/>
  <c r="E1" i="21"/>
  <c r="AL11" i="21" s="1"/>
  <c r="AN11" i="21" s="1"/>
  <c r="AP11" i="21" s="1"/>
  <c r="AL10" i="21"/>
  <c r="AN10" i="21" s="1"/>
  <c r="AP10" i="21" s="1"/>
  <c r="AL5" i="21"/>
  <c r="AL9" i="21"/>
  <c r="AN9" i="21" s="1"/>
  <c r="AL6" i="21"/>
  <c r="AN6" i="21" s="1"/>
  <c r="AL8" i="21"/>
  <c r="AN8" i="21" s="1"/>
  <c r="AP8" i="21" s="1"/>
  <c r="N27" i="21"/>
  <c r="AO7" i="21" s="1"/>
  <c r="N29" i="21"/>
  <c r="AO9" i="21" s="1"/>
  <c r="AP10" i="20"/>
  <c r="AP6" i="20"/>
  <c r="AP11" i="20"/>
  <c r="AO5" i="20"/>
  <c r="AN12" i="20"/>
  <c r="BJ24" i="20"/>
  <c r="N29" i="20"/>
  <c r="AO9" i="20" s="1"/>
  <c r="N28" i="20"/>
  <c r="AO8" i="20" s="1"/>
  <c r="AP8" i="20" s="1"/>
  <c r="AL12" i="20"/>
  <c r="C32" i="20"/>
  <c r="O34" i="20" s="1"/>
  <c r="O39" i="20" s="1"/>
  <c r="O50" i="20" s="1"/>
  <c r="N25" i="21" l="1"/>
  <c r="AO5" i="21" s="1"/>
  <c r="AP9" i="20"/>
  <c r="AP12" i="26"/>
  <c r="R44" i="25"/>
  <c r="R42" i="25"/>
  <c r="AP5" i="25"/>
  <c r="AP12" i="25" s="1"/>
  <c r="N52" i="24"/>
  <c r="AR8" i="24"/>
  <c r="AU8" i="24" s="1"/>
  <c r="AR11" i="24"/>
  <c r="AU11" i="24" s="1"/>
  <c r="AN9" i="24"/>
  <c r="AN12" i="24" s="1"/>
  <c r="AL12" i="24"/>
  <c r="AP5" i="24"/>
  <c r="AP6" i="24"/>
  <c r="AP5" i="23"/>
  <c r="AO6" i="23"/>
  <c r="AP6" i="23" s="1"/>
  <c r="AO6" i="22"/>
  <c r="AO7" i="22" s="1"/>
  <c r="AN13" i="22"/>
  <c r="AL13" i="22"/>
  <c r="AP5" i="22"/>
  <c r="AL7" i="21"/>
  <c r="AN7" i="21" s="1"/>
  <c r="AP7" i="21" s="1"/>
  <c r="AP9" i="21"/>
  <c r="AP6" i="21"/>
  <c r="AN5" i="21"/>
  <c r="N32" i="20"/>
  <c r="O52" i="20" s="1"/>
  <c r="AP5" i="20"/>
  <c r="AO12" i="20"/>
  <c r="AY15" i="20"/>
  <c r="N32" i="21" l="1"/>
  <c r="O52" i="21" s="1"/>
  <c r="AN12" i="21"/>
  <c r="AL12" i="21"/>
  <c r="R43" i="25"/>
  <c r="R46" i="25"/>
  <c r="R48" i="25" s="1"/>
  <c r="AR5" i="25"/>
  <c r="AU5" i="25" s="1"/>
  <c r="AQ5" i="26" s="1"/>
  <c r="AP9" i="24"/>
  <c r="AR9" i="24" s="1"/>
  <c r="AU9" i="24" s="1"/>
  <c r="AO12" i="24"/>
  <c r="AO7" i="23"/>
  <c r="AP7" i="23" s="1"/>
  <c r="AR7" i="23" s="1"/>
  <c r="AU7" i="23" s="1"/>
  <c r="AO13" i="23"/>
  <c r="AP6" i="22"/>
  <c r="AP7" i="22"/>
  <c r="AR7" i="22" s="1"/>
  <c r="AU7" i="22" s="1"/>
  <c r="AO13" i="22"/>
  <c r="AO12" i="21"/>
  <c r="AP5" i="21"/>
  <c r="BA19" i="20"/>
  <c r="AP12" i="20"/>
  <c r="AR5" i="26" l="1"/>
  <c r="AU5" i="26" s="1"/>
  <c r="AP13" i="23"/>
  <c r="AR5" i="24"/>
  <c r="AU5" i="24" s="1"/>
  <c r="AQ12" i="24"/>
  <c r="AL18" i="24" s="1"/>
  <c r="AR6" i="24"/>
  <c r="AU6" i="24" s="1"/>
  <c r="AP12" i="24"/>
  <c r="AP13" i="22"/>
  <c r="AP12" i="21"/>
  <c r="AS6" i="15"/>
  <c r="AS7" i="15"/>
  <c r="AQ6" i="25" l="1"/>
  <c r="AV15" i="24"/>
  <c r="AQ18" i="24"/>
  <c r="AS18" i="24" s="1"/>
  <c r="AU12" i="24"/>
  <c r="AR12" i="24"/>
  <c r="F8" i="17"/>
  <c r="F7" i="17"/>
  <c r="F9" i="17" s="1"/>
  <c r="E5" i="17"/>
  <c r="C5" i="17"/>
  <c r="B5" i="17"/>
  <c r="D4" i="17"/>
  <c r="F4" i="17" s="1"/>
  <c r="D3" i="17"/>
  <c r="F3" i="17" s="1"/>
  <c r="D2" i="17"/>
  <c r="F2" i="17" s="1"/>
  <c r="F11" i="17" s="1"/>
  <c r="AW15" i="15"/>
  <c r="AQ12" i="25" l="1"/>
  <c r="AR12" i="25" s="1"/>
  <c r="AR6" i="25"/>
  <c r="AU6" i="25" s="1"/>
  <c r="AL21" i="24"/>
  <c r="AL23" i="24" s="1"/>
  <c r="AL25" i="24" s="1"/>
  <c r="F5" i="17"/>
  <c r="D5" i="17"/>
  <c r="C5" i="16"/>
  <c r="D5" i="16"/>
  <c r="E5" i="16"/>
  <c r="B5" i="16"/>
  <c r="D4" i="16"/>
  <c r="F4" i="16" s="1"/>
  <c r="D3" i="16"/>
  <c r="F3" i="16" s="1"/>
  <c r="D2" i="16"/>
  <c r="F2" i="16" s="1"/>
  <c r="F5" i="16" s="1"/>
  <c r="K5" i="16" s="1"/>
  <c r="K7" i="16" s="1"/>
  <c r="AS13" i="12"/>
  <c r="F8" i="16"/>
  <c r="F7" i="16"/>
  <c r="F9" i="16" s="1"/>
  <c r="AR20" i="12"/>
  <c r="AR18" i="12"/>
  <c r="AS10" i="15"/>
  <c r="AS9" i="15"/>
  <c r="AM7" i="15"/>
  <c r="D31" i="15"/>
  <c r="M33" i="15"/>
  <c r="H31" i="15"/>
  <c r="I31" i="15"/>
  <c r="G44" i="15"/>
  <c r="G45" i="15"/>
  <c r="G46" i="15"/>
  <c r="AH27" i="15"/>
  <c r="AH14" i="15"/>
  <c r="D15" i="15"/>
  <c r="E15" i="15"/>
  <c r="F15" i="15"/>
  <c r="G15" i="15"/>
  <c r="H15" i="15"/>
  <c r="I15" i="15"/>
  <c r="J15" i="15"/>
  <c r="K15" i="15"/>
  <c r="L15" i="15"/>
  <c r="M15" i="15"/>
  <c r="N15" i="15"/>
  <c r="O15" i="15"/>
  <c r="P15" i="15"/>
  <c r="Q15" i="15"/>
  <c r="R15" i="15"/>
  <c r="S15" i="15"/>
  <c r="T15" i="15"/>
  <c r="U15" i="15"/>
  <c r="V15" i="15"/>
  <c r="W15" i="15"/>
  <c r="X15" i="15"/>
  <c r="Y15" i="15"/>
  <c r="Z15" i="15"/>
  <c r="AA15" i="15"/>
  <c r="AB15" i="15"/>
  <c r="AC15" i="15"/>
  <c r="AD15" i="15"/>
  <c r="AE15" i="15"/>
  <c r="AF15" i="15"/>
  <c r="AG15" i="15"/>
  <c r="C15" i="15"/>
  <c r="AQ6" i="26" l="1"/>
  <c r="AU12" i="25"/>
  <c r="AL17" i="25" s="1"/>
  <c r="AL18" i="25" s="1"/>
  <c r="AL23" i="25"/>
  <c r="K5" i="17"/>
  <c r="K7" i="17" s="1"/>
  <c r="H5" i="17"/>
  <c r="H7" i="17" s="1"/>
  <c r="H5" i="16"/>
  <c r="H7" i="16" s="1"/>
  <c r="O55" i="15"/>
  <c r="O52" i="15"/>
  <c r="O51" i="15"/>
  <c r="D47" i="15"/>
  <c r="F46" i="15"/>
  <c r="H46" i="15" s="1"/>
  <c r="F45" i="15"/>
  <c r="H45" i="15" s="1"/>
  <c r="F44" i="15"/>
  <c r="H44" i="15" s="1"/>
  <c r="C33" i="15" s="1"/>
  <c r="N33" i="15" s="1"/>
  <c r="AO7" i="15" s="1"/>
  <c r="L41" i="15"/>
  <c r="L39" i="15" s="1"/>
  <c r="K41" i="15"/>
  <c r="J41" i="15"/>
  <c r="G41" i="15"/>
  <c r="F41" i="15"/>
  <c r="F32" i="15" s="1"/>
  <c r="M40" i="15"/>
  <c r="J40" i="15"/>
  <c r="I40" i="15"/>
  <c r="H40" i="15"/>
  <c r="D40" i="15"/>
  <c r="M39" i="15"/>
  <c r="J39" i="15"/>
  <c r="I39" i="15"/>
  <c r="H39" i="15"/>
  <c r="G39" i="15"/>
  <c r="D39" i="15"/>
  <c r="AY38" i="15"/>
  <c r="M38" i="15"/>
  <c r="L38" i="15"/>
  <c r="K38" i="15"/>
  <c r="J38" i="15"/>
  <c r="I38" i="15"/>
  <c r="H38" i="15"/>
  <c r="G38" i="15"/>
  <c r="F38" i="15"/>
  <c r="E38" i="15"/>
  <c r="M37" i="15"/>
  <c r="L37" i="15"/>
  <c r="K37" i="15"/>
  <c r="J37" i="15"/>
  <c r="I37" i="15"/>
  <c r="H37" i="15"/>
  <c r="G37" i="15"/>
  <c r="F37" i="15"/>
  <c r="E37" i="15"/>
  <c r="M36" i="15"/>
  <c r="J36" i="15"/>
  <c r="I36" i="15"/>
  <c r="H36" i="15"/>
  <c r="G36" i="15"/>
  <c r="E36" i="15"/>
  <c r="D36" i="15"/>
  <c r="M35" i="15"/>
  <c r="J35" i="15"/>
  <c r="I35" i="15"/>
  <c r="H35" i="15"/>
  <c r="G35" i="15"/>
  <c r="E35" i="15"/>
  <c r="D35" i="15"/>
  <c r="M34" i="15"/>
  <c r="J34" i="15"/>
  <c r="I34" i="15"/>
  <c r="H34" i="15"/>
  <c r="G34" i="15"/>
  <c r="E34" i="15"/>
  <c r="D34" i="15"/>
  <c r="M32" i="15"/>
  <c r="J32" i="15"/>
  <c r="I32" i="15"/>
  <c r="H32" i="15"/>
  <c r="G32" i="15"/>
  <c r="E32" i="15"/>
  <c r="D32" i="15"/>
  <c r="AY31" i="15"/>
  <c r="AY34" i="15" s="1"/>
  <c r="E31" i="15"/>
  <c r="AH26" i="15"/>
  <c r="AM14" i="15" s="1"/>
  <c r="AH25" i="15"/>
  <c r="AM13" i="15" s="1"/>
  <c r="AH24" i="15"/>
  <c r="AM12" i="15" s="1"/>
  <c r="AH23" i="15"/>
  <c r="AM11" i="15" s="1"/>
  <c r="AH22" i="15"/>
  <c r="AM10" i="15" s="1"/>
  <c r="AH21" i="15"/>
  <c r="AM9" i="15" s="1"/>
  <c r="BJ20" i="15"/>
  <c r="BJ25" i="15" s="1"/>
  <c r="AH20" i="15"/>
  <c r="AH19" i="15"/>
  <c r="AM6" i="15" s="1"/>
  <c r="AH18" i="15"/>
  <c r="AH13" i="15"/>
  <c r="AH12" i="15"/>
  <c r="AH11" i="15"/>
  <c r="AH10" i="15"/>
  <c r="AH9" i="15"/>
  <c r="AH8" i="15"/>
  <c r="AH7" i="15"/>
  <c r="AH6" i="15"/>
  <c r="AH5" i="15"/>
  <c r="O52" i="14"/>
  <c r="O49" i="14"/>
  <c r="O48" i="14"/>
  <c r="D44" i="14"/>
  <c r="O43" i="14"/>
  <c r="G43" i="14"/>
  <c r="F43" i="14"/>
  <c r="H43" i="14" s="1"/>
  <c r="O42" i="14"/>
  <c r="G42" i="14"/>
  <c r="F42" i="14"/>
  <c r="H42" i="14" s="1"/>
  <c r="G41" i="14"/>
  <c r="F41" i="14"/>
  <c r="H41" i="14" s="1"/>
  <c r="L38" i="14"/>
  <c r="L36" i="14" s="1"/>
  <c r="K38" i="14"/>
  <c r="J38" i="14"/>
  <c r="O44" i="14" s="1"/>
  <c r="G38" i="14"/>
  <c r="G30" i="14" s="1"/>
  <c r="F38" i="14"/>
  <c r="O50" i="14" s="1"/>
  <c r="M37" i="14"/>
  <c r="K37" i="14"/>
  <c r="J37" i="14"/>
  <c r="I37" i="14"/>
  <c r="H37" i="14"/>
  <c r="F37" i="14"/>
  <c r="D37" i="14"/>
  <c r="M36" i="14"/>
  <c r="K36" i="14"/>
  <c r="I36" i="14"/>
  <c r="H36" i="14"/>
  <c r="D36" i="14"/>
  <c r="AY35" i="14"/>
  <c r="M35" i="14"/>
  <c r="L35" i="14"/>
  <c r="K35" i="14"/>
  <c r="J35" i="14"/>
  <c r="I35" i="14"/>
  <c r="H35" i="14"/>
  <c r="G35" i="14"/>
  <c r="F35" i="14"/>
  <c r="E35" i="14"/>
  <c r="M34" i="14"/>
  <c r="L34" i="14"/>
  <c r="K34" i="14"/>
  <c r="J34" i="14"/>
  <c r="I34" i="14"/>
  <c r="H34" i="14"/>
  <c r="G34" i="14"/>
  <c r="F34" i="14"/>
  <c r="E34" i="14"/>
  <c r="M33" i="14"/>
  <c r="K33" i="14"/>
  <c r="J33" i="14"/>
  <c r="I33" i="14"/>
  <c r="H33" i="14"/>
  <c r="G33" i="14"/>
  <c r="F33" i="14"/>
  <c r="E33" i="14"/>
  <c r="D33" i="14"/>
  <c r="M32" i="14"/>
  <c r="J32" i="14"/>
  <c r="I32" i="14"/>
  <c r="H32" i="14"/>
  <c r="G32" i="14"/>
  <c r="F32" i="14"/>
  <c r="E32" i="14"/>
  <c r="D32" i="14"/>
  <c r="AY31" i="14"/>
  <c r="M31" i="14"/>
  <c r="K31" i="14"/>
  <c r="J31" i="14"/>
  <c r="I31" i="14"/>
  <c r="H31" i="14"/>
  <c r="F31" i="14"/>
  <c r="E31" i="14"/>
  <c r="D31" i="14"/>
  <c r="M30" i="14"/>
  <c r="K30" i="14"/>
  <c r="J30" i="14"/>
  <c r="I30" i="14"/>
  <c r="H30" i="14"/>
  <c r="F30" i="14"/>
  <c r="E30" i="14"/>
  <c r="D30" i="14"/>
  <c r="AY29" i="14"/>
  <c r="M29" i="14"/>
  <c r="K29" i="14"/>
  <c r="J29" i="14"/>
  <c r="I29" i="14"/>
  <c r="H29" i="14"/>
  <c r="F29" i="14"/>
  <c r="E29" i="14"/>
  <c r="D29" i="14"/>
  <c r="AH25" i="14"/>
  <c r="AM13" i="14" s="1"/>
  <c r="AH24" i="14"/>
  <c r="BJ23" i="14"/>
  <c r="AH23" i="14"/>
  <c r="AH22" i="14"/>
  <c r="AM10" i="14" s="1"/>
  <c r="AH21" i="14"/>
  <c r="AH20" i="14"/>
  <c r="BJ19" i="14"/>
  <c r="BJ22" i="14" s="1"/>
  <c r="AH19" i="14"/>
  <c r="AH18" i="14"/>
  <c r="AM6" i="14" s="1"/>
  <c r="AH17" i="14"/>
  <c r="AH26" i="14" s="1"/>
  <c r="AG14" i="14"/>
  <c r="AF14" i="14"/>
  <c r="AE14" i="14"/>
  <c r="AD14" i="14"/>
  <c r="AC14" i="14"/>
  <c r="AB14" i="14"/>
  <c r="AA14" i="14"/>
  <c r="Z14" i="14"/>
  <c r="Y14" i="14"/>
  <c r="X14" i="14"/>
  <c r="W14" i="14"/>
  <c r="V14" i="14"/>
  <c r="U14" i="14"/>
  <c r="T14" i="14"/>
  <c r="S14" i="14"/>
  <c r="R14" i="14"/>
  <c r="Q14" i="14"/>
  <c r="P14" i="14"/>
  <c r="O14" i="14"/>
  <c r="N14" i="14"/>
  <c r="M14" i="14"/>
  <c r="L14" i="14"/>
  <c r="K14" i="14"/>
  <c r="J14" i="14"/>
  <c r="I14" i="14"/>
  <c r="H14" i="14"/>
  <c r="G14" i="14"/>
  <c r="F14" i="14"/>
  <c r="E14" i="14"/>
  <c r="D14" i="14"/>
  <c r="C14" i="14"/>
  <c r="AH13" i="14"/>
  <c r="AM12" i="14"/>
  <c r="AH12" i="14"/>
  <c r="AM11" i="14"/>
  <c r="AH11" i="14"/>
  <c r="AH10" i="14"/>
  <c r="AS9" i="14"/>
  <c r="AM9" i="14"/>
  <c r="AH9" i="14"/>
  <c r="AW8" i="14"/>
  <c r="AW14" i="14" s="1"/>
  <c r="AS8" i="14"/>
  <c r="AM8" i="14"/>
  <c r="AH8" i="14"/>
  <c r="AW7" i="14"/>
  <c r="AS7" i="14"/>
  <c r="AM7" i="14"/>
  <c r="AH7" i="14"/>
  <c r="AS6" i="14"/>
  <c r="AH6" i="14"/>
  <c r="AH5" i="14"/>
  <c r="AH14" i="14" s="1"/>
  <c r="K39" i="15" l="1"/>
  <c r="K31" i="15"/>
  <c r="L37" i="14"/>
  <c r="G31" i="14"/>
  <c r="N34" i="14"/>
  <c r="AO10" i="14" s="1"/>
  <c r="BK20" i="15"/>
  <c r="K32" i="15"/>
  <c r="K40" i="15"/>
  <c r="BK19" i="14"/>
  <c r="BJ24" i="14"/>
  <c r="N35" i="14"/>
  <c r="AO11" i="14" s="1"/>
  <c r="AH15" i="15"/>
  <c r="K34" i="15"/>
  <c r="K36" i="15"/>
  <c r="AM5" i="14"/>
  <c r="AM14" i="14" s="1"/>
  <c r="AS14" i="14"/>
  <c r="BJ25" i="14"/>
  <c r="G40" i="15"/>
  <c r="G31" i="15"/>
  <c r="AR6" i="26"/>
  <c r="AU6" i="26" s="1"/>
  <c r="AU12" i="26" s="1"/>
  <c r="AL17" i="26" s="1"/>
  <c r="AL18" i="26" s="1"/>
  <c r="AQ12" i="26"/>
  <c r="O53" i="15"/>
  <c r="F31" i="15"/>
  <c r="N31" i="15" s="1"/>
  <c r="BJ21" i="14"/>
  <c r="G36" i="14"/>
  <c r="AM5" i="15"/>
  <c r="AH28" i="15"/>
  <c r="F34" i="15"/>
  <c r="O47" i="15"/>
  <c r="J31" i="15"/>
  <c r="AL25" i="25"/>
  <c r="C32" i="15"/>
  <c r="AS16" i="15"/>
  <c r="BJ26" i="15"/>
  <c r="L40" i="15"/>
  <c r="F35" i="15"/>
  <c r="F36" i="15"/>
  <c r="F40" i="15"/>
  <c r="F39" i="15"/>
  <c r="N37" i="15"/>
  <c r="AO11" i="15" s="1"/>
  <c r="N38" i="15"/>
  <c r="AO12" i="15" s="1"/>
  <c r="I44" i="15"/>
  <c r="AM8" i="15"/>
  <c r="C40" i="15"/>
  <c r="C39" i="15"/>
  <c r="I46" i="15"/>
  <c r="N32" i="15"/>
  <c r="AO6" i="15" s="1"/>
  <c r="I45" i="15"/>
  <c r="C36" i="15"/>
  <c r="C34" i="15"/>
  <c r="C35" i="15"/>
  <c r="BJ23" i="15"/>
  <c r="L32" i="15"/>
  <c r="L35" i="15"/>
  <c r="O44" i="15"/>
  <c r="BJ24" i="15"/>
  <c r="L31" i="15"/>
  <c r="O54" i="15"/>
  <c r="L34" i="15"/>
  <c r="L36" i="15"/>
  <c r="BJ22" i="15"/>
  <c r="BJ28" i="15" s="1"/>
  <c r="C36" i="14"/>
  <c r="I43" i="14"/>
  <c r="C37" i="14"/>
  <c r="C29" i="14"/>
  <c r="I41" i="14"/>
  <c r="C30" i="14"/>
  <c r="E1" i="14"/>
  <c r="AL13" i="14" s="1"/>
  <c r="AN13" i="14" s="1"/>
  <c r="AL9" i="14"/>
  <c r="AN9" i="14" s="1"/>
  <c r="I42" i="14"/>
  <c r="C33" i="14"/>
  <c r="C31" i="14"/>
  <c r="C32" i="14"/>
  <c r="N32" i="14" s="1"/>
  <c r="AO8" i="14" s="1"/>
  <c r="G29" i="14"/>
  <c r="F36" i="14"/>
  <c r="L30" i="14"/>
  <c r="L32" i="14"/>
  <c r="O41" i="14"/>
  <c r="J36" i="14"/>
  <c r="G37" i="14"/>
  <c r="L29" i="14"/>
  <c r="O51" i="14"/>
  <c r="O53" i="14" s="1"/>
  <c r="L31" i="14"/>
  <c r="L33" i="14"/>
  <c r="D17" i="2"/>
  <c r="AW7" i="12"/>
  <c r="AW8" i="12"/>
  <c r="AS8" i="12"/>
  <c r="AS7" i="12"/>
  <c r="N39" i="15" l="1"/>
  <c r="AO13" i="15" s="1"/>
  <c r="AL22" i="26"/>
  <c r="AL23" i="26" s="1"/>
  <c r="AL25" i="26" s="1"/>
  <c r="AR12" i="26"/>
  <c r="N40" i="15"/>
  <c r="AO14" i="15" s="1"/>
  <c r="E1" i="15"/>
  <c r="AL7" i="15" s="1"/>
  <c r="AN7" i="15" s="1"/>
  <c r="AP7" i="15" s="1"/>
  <c r="AR7" i="15" s="1"/>
  <c r="AU7" i="15" s="1"/>
  <c r="AQ6" i="20" s="1"/>
  <c r="AR6" i="20" s="1"/>
  <c r="AU6" i="20" s="1"/>
  <c r="AQ6" i="21" s="1"/>
  <c r="AR6" i="21" s="1"/>
  <c r="AU6" i="21" s="1"/>
  <c r="AM16" i="15"/>
  <c r="AL11" i="14"/>
  <c r="AN11" i="14" s="1"/>
  <c r="AP11" i="14" s="1"/>
  <c r="O56" i="15"/>
  <c r="N31" i="14"/>
  <c r="AO7" i="14" s="1"/>
  <c r="N33" i="14"/>
  <c r="AO9" i="14" s="1"/>
  <c r="BJ26" i="14"/>
  <c r="N36" i="15"/>
  <c r="AO10" i="15" s="1"/>
  <c r="AN12" i="15"/>
  <c r="AP12" i="15" s="1"/>
  <c r="I47" i="15"/>
  <c r="AO5" i="15"/>
  <c r="C41" i="15"/>
  <c r="O43" i="15" s="1"/>
  <c r="O48" i="15" s="1"/>
  <c r="N35" i="15"/>
  <c r="AO9" i="15" s="1"/>
  <c r="N34" i="15"/>
  <c r="AO8" i="15" s="1"/>
  <c r="AL11" i="15"/>
  <c r="AN11" i="15" s="1"/>
  <c r="AP11" i="15" s="1"/>
  <c r="AL8" i="15"/>
  <c r="AN8" i="15" s="1"/>
  <c r="AP9" i="14"/>
  <c r="N37" i="14"/>
  <c r="AO13" i="14" s="1"/>
  <c r="AP13" i="14" s="1"/>
  <c r="N36" i="14"/>
  <c r="AO12" i="14" s="1"/>
  <c r="N30" i="14"/>
  <c r="AO6" i="14" s="1"/>
  <c r="AP7" i="14"/>
  <c r="AL5" i="14"/>
  <c r="AL8" i="14"/>
  <c r="AN8" i="14" s="1"/>
  <c r="AP8" i="14" s="1"/>
  <c r="I44" i="14"/>
  <c r="AL12" i="14"/>
  <c r="AN12" i="14" s="1"/>
  <c r="AL6" i="14"/>
  <c r="AN6" i="14" s="1"/>
  <c r="AL7" i="14"/>
  <c r="AN7" i="14" s="1"/>
  <c r="N29" i="14"/>
  <c r="C38" i="14"/>
  <c r="O40" i="14" s="1"/>
  <c r="O45" i="14" s="1"/>
  <c r="AL10" i="14"/>
  <c r="AN10" i="14" s="1"/>
  <c r="AP10" i="14" s="1"/>
  <c r="AS6" i="12"/>
  <c r="AQ6" i="23" l="1"/>
  <c r="AR6" i="23" s="1"/>
  <c r="AU6" i="23" s="1"/>
  <c r="AQ6" i="22"/>
  <c r="AR6" i="22" s="1"/>
  <c r="AU6" i="22" s="1"/>
  <c r="AP6" i="14"/>
  <c r="AP12" i="14"/>
  <c r="O58" i="15"/>
  <c r="AL5" i="15"/>
  <c r="AL10" i="15"/>
  <c r="AN10" i="15" s="1"/>
  <c r="AP10" i="15" s="1"/>
  <c r="AL13" i="15"/>
  <c r="AN13" i="15" s="1"/>
  <c r="AP13" i="15" s="1"/>
  <c r="N41" i="15"/>
  <c r="AN5" i="15"/>
  <c r="AP5" i="15" s="1"/>
  <c r="AL9" i="15"/>
  <c r="AN9" i="15" s="1"/>
  <c r="AP9" i="15" s="1"/>
  <c r="AL14" i="15"/>
  <c r="AN14" i="15" s="1"/>
  <c r="AP14" i="15" s="1"/>
  <c r="AL6" i="15"/>
  <c r="AN6" i="15" s="1"/>
  <c r="AP6" i="15" s="1"/>
  <c r="AY18" i="15"/>
  <c r="O41" i="15"/>
  <c r="P50" i="15"/>
  <c r="AP8" i="15"/>
  <c r="AO16" i="15"/>
  <c r="AY17" i="14"/>
  <c r="O38" i="14"/>
  <c r="P47" i="14"/>
  <c r="AL14" i="14"/>
  <c r="AN5" i="14"/>
  <c r="AN14" i="14" s="1"/>
  <c r="AO5" i="14"/>
  <c r="N38" i="14"/>
  <c r="P38" i="14" s="1"/>
  <c r="AH5" i="12"/>
  <c r="C14" i="12"/>
  <c r="AS9" i="12"/>
  <c r="AM13" i="12"/>
  <c r="AM12" i="12"/>
  <c r="L38" i="12"/>
  <c r="G38" i="12"/>
  <c r="F38" i="12"/>
  <c r="G35" i="12"/>
  <c r="H35" i="12"/>
  <c r="I35" i="12"/>
  <c r="J35" i="12"/>
  <c r="K35" i="12"/>
  <c r="L35" i="12"/>
  <c r="M35" i="12"/>
  <c r="G34" i="12"/>
  <c r="H34" i="12"/>
  <c r="I34" i="12"/>
  <c r="J34" i="12"/>
  <c r="K34" i="12"/>
  <c r="L34" i="12"/>
  <c r="M34" i="12"/>
  <c r="F34" i="12"/>
  <c r="F35" i="12"/>
  <c r="AH22" i="12"/>
  <c r="AH23" i="12"/>
  <c r="AH24" i="12"/>
  <c r="AH25" i="12"/>
  <c r="D14" i="12"/>
  <c r="E14" i="12"/>
  <c r="F14" i="12"/>
  <c r="G14" i="12"/>
  <c r="H14" i="12"/>
  <c r="I14" i="12"/>
  <c r="J14" i="12"/>
  <c r="K14" i="12"/>
  <c r="L14" i="12"/>
  <c r="M14" i="12"/>
  <c r="N14" i="12"/>
  <c r="O14" i="12"/>
  <c r="P14" i="12"/>
  <c r="Q14" i="12"/>
  <c r="R14" i="12"/>
  <c r="S14" i="12"/>
  <c r="T14" i="12"/>
  <c r="U14" i="12"/>
  <c r="V14" i="12"/>
  <c r="W14" i="12"/>
  <c r="X14" i="12"/>
  <c r="Y14" i="12"/>
  <c r="Z14" i="12"/>
  <c r="AA14" i="12"/>
  <c r="AB14" i="12"/>
  <c r="AC14" i="12"/>
  <c r="AD14" i="12"/>
  <c r="AE14" i="12"/>
  <c r="AF14" i="12"/>
  <c r="AG14" i="12"/>
  <c r="AH12" i="12"/>
  <c r="AH13" i="12"/>
  <c r="O49" i="13"/>
  <c r="O46" i="13"/>
  <c r="O45" i="13"/>
  <c r="D41" i="13"/>
  <c r="O40" i="13"/>
  <c r="G40" i="13"/>
  <c r="F40" i="13"/>
  <c r="H40" i="13" s="1"/>
  <c r="O39" i="13"/>
  <c r="G39" i="13"/>
  <c r="F39" i="13"/>
  <c r="H39" i="13" s="1"/>
  <c r="H38" i="13"/>
  <c r="I38" i="13" s="1"/>
  <c r="G38" i="13"/>
  <c r="F38" i="13"/>
  <c r="AY35" i="13"/>
  <c r="L35" i="13"/>
  <c r="L31" i="13" s="1"/>
  <c r="K35" i="13"/>
  <c r="K30" i="13" s="1"/>
  <c r="J35" i="13"/>
  <c r="O41" i="13" s="1"/>
  <c r="G35" i="13"/>
  <c r="G26" i="13" s="1"/>
  <c r="F35" i="13"/>
  <c r="O47" i="13" s="1"/>
  <c r="M32" i="13"/>
  <c r="K32" i="13"/>
  <c r="J32" i="13"/>
  <c r="I32" i="13"/>
  <c r="H32" i="13"/>
  <c r="E32" i="13"/>
  <c r="D32" i="13"/>
  <c r="M31" i="13"/>
  <c r="K31" i="13"/>
  <c r="I31" i="13"/>
  <c r="H31" i="13"/>
  <c r="G31" i="13"/>
  <c r="E31" i="13"/>
  <c r="D31" i="13"/>
  <c r="M30" i="13"/>
  <c r="I30" i="13"/>
  <c r="H30" i="13"/>
  <c r="G30" i="13"/>
  <c r="F30" i="13"/>
  <c r="E30" i="13"/>
  <c r="D30" i="13"/>
  <c r="AY29" i="13"/>
  <c r="AY31" i="13" s="1"/>
  <c r="M29" i="13"/>
  <c r="L29" i="13"/>
  <c r="I29" i="13"/>
  <c r="H29" i="13"/>
  <c r="G29" i="13"/>
  <c r="E29" i="13"/>
  <c r="D29" i="13"/>
  <c r="M28" i="13"/>
  <c r="I28" i="13"/>
  <c r="H28" i="13"/>
  <c r="G28" i="13"/>
  <c r="E28" i="13"/>
  <c r="D28" i="13"/>
  <c r="M27" i="13"/>
  <c r="K27" i="13"/>
  <c r="I27" i="13"/>
  <c r="H27" i="13"/>
  <c r="G27" i="13"/>
  <c r="E27" i="13"/>
  <c r="D27" i="13"/>
  <c r="M26" i="13"/>
  <c r="K26" i="13"/>
  <c r="J26" i="13"/>
  <c r="I26" i="13"/>
  <c r="H26" i="13"/>
  <c r="E26" i="13"/>
  <c r="D26" i="13"/>
  <c r="BJ23" i="13"/>
  <c r="AH23" i="13"/>
  <c r="AH22" i="13"/>
  <c r="AM10" i="13" s="1"/>
  <c r="AH21" i="13"/>
  <c r="AH20" i="13"/>
  <c r="BJ19" i="13"/>
  <c r="BJ22" i="13" s="1"/>
  <c r="AH19" i="13"/>
  <c r="AH18" i="13"/>
  <c r="AM6" i="13" s="1"/>
  <c r="AH17" i="13"/>
  <c r="AG12" i="13"/>
  <c r="AF12" i="13"/>
  <c r="AE12" i="13"/>
  <c r="AD12" i="13"/>
  <c r="AC12" i="13"/>
  <c r="AB12" i="13"/>
  <c r="AA12" i="13"/>
  <c r="Z12" i="13"/>
  <c r="Y12" i="13"/>
  <c r="X12" i="13"/>
  <c r="W12" i="13"/>
  <c r="V12" i="13"/>
  <c r="U12" i="13"/>
  <c r="T12" i="13"/>
  <c r="S12" i="13"/>
  <c r="R12" i="13"/>
  <c r="Q12" i="13"/>
  <c r="P12" i="13"/>
  <c r="O12" i="13"/>
  <c r="N12" i="13"/>
  <c r="M12" i="13"/>
  <c r="L12" i="13"/>
  <c r="K12" i="13"/>
  <c r="J12" i="13"/>
  <c r="I12" i="13"/>
  <c r="H12" i="13"/>
  <c r="G12" i="13"/>
  <c r="F12" i="13"/>
  <c r="E12" i="13"/>
  <c r="D12" i="13"/>
  <c r="C12" i="13"/>
  <c r="AM11" i="13"/>
  <c r="AH11" i="13"/>
  <c r="AH10" i="13"/>
  <c r="AS9" i="13"/>
  <c r="AM9" i="13"/>
  <c r="AH9" i="13"/>
  <c r="AS8" i="13"/>
  <c r="AM8" i="13"/>
  <c r="AH8" i="13"/>
  <c r="AM7" i="13"/>
  <c r="AH7" i="13"/>
  <c r="AW6" i="13"/>
  <c r="AW14" i="13" s="1"/>
  <c r="AS6" i="13"/>
  <c r="AH6" i="13"/>
  <c r="AS5" i="13"/>
  <c r="AM5" i="13"/>
  <c r="AH5" i="13"/>
  <c r="AS14" i="13" l="1"/>
  <c r="BK19" i="13"/>
  <c r="G32" i="13"/>
  <c r="J28" i="13"/>
  <c r="BJ24" i="13"/>
  <c r="F32" i="13"/>
  <c r="BJ25" i="13"/>
  <c r="C27" i="13"/>
  <c r="J30" i="13"/>
  <c r="J31" i="13"/>
  <c r="N31" i="13" s="1"/>
  <c r="AO10" i="13" s="1"/>
  <c r="F31" i="13"/>
  <c r="O38" i="13"/>
  <c r="F26" i="13"/>
  <c r="AH24" i="13"/>
  <c r="E1" i="13" s="1"/>
  <c r="AL8" i="13" s="1"/>
  <c r="AN8" i="13" s="1"/>
  <c r="BJ21" i="13"/>
  <c r="BJ26" i="13" s="1"/>
  <c r="AH12" i="13"/>
  <c r="F27" i="13"/>
  <c r="F28" i="13"/>
  <c r="F29" i="13"/>
  <c r="O59" i="15"/>
  <c r="AL16" i="15"/>
  <c r="AN16" i="15"/>
  <c r="BA22" i="15"/>
  <c r="AP16" i="15"/>
  <c r="P41" i="15"/>
  <c r="BA21" i="14"/>
  <c r="AP5" i="14"/>
  <c r="AO14" i="14"/>
  <c r="C29" i="13"/>
  <c r="N29" i="13" s="1"/>
  <c r="AO8" i="13" s="1"/>
  <c r="I39" i="13"/>
  <c r="C30" i="13"/>
  <c r="C28" i="13"/>
  <c r="AL10" i="13"/>
  <c r="AN10" i="13" s="1"/>
  <c r="C33" i="13"/>
  <c r="C34" i="13"/>
  <c r="I40" i="13"/>
  <c r="AL9" i="13"/>
  <c r="AN9" i="13" s="1"/>
  <c r="AM14" i="13"/>
  <c r="AL5" i="13"/>
  <c r="AN5" i="13" s="1"/>
  <c r="C26" i="13"/>
  <c r="L26" i="13"/>
  <c r="K28" i="13"/>
  <c r="L32" i="13"/>
  <c r="N32" i="13" s="1"/>
  <c r="AO11" i="13" s="1"/>
  <c r="L27" i="13"/>
  <c r="L28" i="13"/>
  <c r="L30" i="13"/>
  <c r="O48" i="13"/>
  <c r="O50" i="13" s="1"/>
  <c r="J27" i="13"/>
  <c r="N27" i="13" s="1"/>
  <c r="AO6" i="13" s="1"/>
  <c r="J29" i="13"/>
  <c r="AP8" i="13" l="1"/>
  <c r="AL7" i="13"/>
  <c r="AN7" i="13" s="1"/>
  <c r="AL11" i="13"/>
  <c r="AN11" i="13" s="1"/>
  <c r="AP11" i="13" s="1"/>
  <c r="AL6" i="13"/>
  <c r="AN6" i="13" s="1"/>
  <c r="AP6" i="13"/>
  <c r="I41" i="13"/>
  <c r="AP14" i="14"/>
  <c r="N26" i="13"/>
  <c r="C35" i="13"/>
  <c r="O37" i="13" s="1"/>
  <c r="O42" i="13" s="1"/>
  <c r="AO13" i="13"/>
  <c r="AP13" i="13" s="1"/>
  <c r="AR13" i="13" s="1"/>
  <c r="AU13" i="13" s="1"/>
  <c r="N34" i="13"/>
  <c r="N33" i="13"/>
  <c r="AO12" i="13"/>
  <c r="AP12" i="13" s="1"/>
  <c r="AR12" i="13" s="1"/>
  <c r="AU12" i="13" s="1"/>
  <c r="AL14" i="13"/>
  <c r="AP10" i="13"/>
  <c r="N28" i="13"/>
  <c r="AO7" i="13" s="1"/>
  <c r="AP7" i="13" s="1"/>
  <c r="AN14" i="13"/>
  <c r="N30" i="13"/>
  <c r="AO9" i="13" s="1"/>
  <c r="AP9" i="13" s="1"/>
  <c r="AW14" i="12"/>
  <c r="AQ12" i="14" l="1"/>
  <c r="AR12" i="14" s="1"/>
  <c r="AQ12" i="12"/>
  <c r="AQ13" i="14"/>
  <c r="AR13" i="14" s="1"/>
  <c r="AQ13" i="12"/>
  <c r="AO5" i="13"/>
  <c r="N35" i="13"/>
  <c r="AY17" i="13"/>
  <c r="O35" i="13"/>
  <c r="P44" i="13"/>
  <c r="P35" i="13" l="1"/>
  <c r="AU13" i="14"/>
  <c r="AU17" i="14"/>
  <c r="AU16" i="14"/>
  <c r="AU12" i="14"/>
  <c r="AO14" i="13"/>
  <c r="AP5" i="13"/>
  <c r="BA21" i="13"/>
  <c r="AS14" i="12"/>
  <c r="AQ11" i="10"/>
  <c r="AQ6" i="10"/>
  <c r="L36" i="12"/>
  <c r="J38" i="12"/>
  <c r="C32" i="12"/>
  <c r="C31" i="12"/>
  <c r="O52" i="12"/>
  <c r="O50" i="12"/>
  <c r="O49" i="12"/>
  <c r="D44" i="12"/>
  <c r="O43" i="12"/>
  <c r="G43" i="12"/>
  <c r="F43" i="12"/>
  <c r="O42" i="12"/>
  <c r="G42" i="12"/>
  <c r="F42" i="12"/>
  <c r="H42" i="12" s="1"/>
  <c r="C33" i="12" s="1"/>
  <c r="O41" i="12"/>
  <c r="G41" i="12"/>
  <c r="F41" i="12"/>
  <c r="H41" i="12" s="1"/>
  <c r="C30" i="12" s="1"/>
  <c r="AY35" i="12"/>
  <c r="K38" i="12"/>
  <c r="K33" i="12" s="1"/>
  <c r="O44" i="12"/>
  <c r="F33" i="12"/>
  <c r="D37" i="12"/>
  <c r="M37" i="12"/>
  <c r="I37" i="12"/>
  <c r="H37" i="12"/>
  <c r="G37" i="12"/>
  <c r="F37" i="12"/>
  <c r="E35" i="12"/>
  <c r="M36" i="12"/>
  <c r="I36" i="12"/>
  <c r="H36" i="12"/>
  <c r="G36" i="12"/>
  <c r="F36" i="12"/>
  <c r="E34" i="12"/>
  <c r="M33" i="12"/>
  <c r="I33" i="12"/>
  <c r="H33" i="12"/>
  <c r="G33" i="12"/>
  <c r="E33" i="12"/>
  <c r="D33" i="12"/>
  <c r="AY29" i="12"/>
  <c r="AY31" i="12" s="1"/>
  <c r="M32" i="12"/>
  <c r="I32" i="12"/>
  <c r="H32" i="12"/>
  <c r="G32" i="12"/>
  <c r="F32" i="12"/>
  <c r="E32" i="12"/>
  <c r="D32" i="12"/>
  <c r="M31" i="12"/>
  <c r="K31" i="12"/>
  <c r="I31" i="12"/>
  <c r="H31" i="12"/>
  <c r="G31" i="12"/>
  <c r="E31" i="12"/>
  <c r="D31" i="12"/>
  <c r="M30" i="12"/>
  <c r="K30" i="12"/>
  <c r="I30" i="12"/>
  <c r="H30" i="12"/>
  <c r="G30" i="12"/>
  <c r="F30" i="12"/>
  <c r="E30" i="12"/>
  <c r="D30" i="12"/>
  <c r="M29" i="12"/>
  <c r="K29" i="12"/>
  <c r="I29" i="12"/>
  <c r="H29" i="12"/>
  <c r="G29" i="12"/>
  <c r="E29" i="12"/>
  <c r="D29" i="12"/>
  <c r="AM11" i="12"/>
  <c r="AM10" i="12"/>
  <c r="AH21" i="12"/>
  <c r="AM9" i="12" s="1"/>
  <c r="AH20" i="12"/>
  <c r="AH19" i="12"/>
  <c r="AM7" i="12" s="1"/>
  <c r="AH18" i="12"/>
  <c r="AM6" i="12" s="1"/>
  <c r="AH17" i="12"/>
  <c r="AH11" i="12"/>
  <c r="AH10" i="12"/>
  <c r="AH9" i="12"/>
  <c r="AH8" i="12"/>
  <c r="AH7" i="12"/>
  <c r="BJ19" i="12"/>
  <c r="BJ23" i="12" s="1"/>
  <c r="AH6" i="12"/>
  <c r="AU11" i="10"/>
  <c r="H43" i="12" l="1"/>
  <c r="C37" i="12" s="1"/>
  <c r="K37" i="12"/>
  <c r="AH26" i="12"/>
  <c r="K36" i="12"/>
  <c r="AM5" i="12"/>
  <c r="C36" i="12"/>
  <c r="AH14" i="12"/>
  <c r="AP14" i="13"/>
  <c r="L37" i="12"/>
  <c r="L29" i="12"/>
  <c r="L30" i="12"/>
  <c r="L31" i="12"/>
  <c r="L32" i="12"/>
  <c r="L33" i="12"/>
  <c r="I42" i="12"/>
  <c r="I43" i="12"/>
  <c r="C29" i="12"/>
  <c r="I41" i="12"/>
  <c r="BJ25" i="12"/>
  <c r="BK19" i="12"/>
  <c r="F29" i="12"/>
  <c r="J30" i="12"/>
  <c r="F31" i="12"/>
  <c r="J32" i="12"/>
  <c r="J36" i="12"/>
  <c r="D36" i="12"/>
  <c r="O48" i="12"/>
  <c r="AM8" i="12"/>
  <c r="BJ21" i="12"/>
  <c r="BJ24" i="12"/>
  <c r="J29" i="12"/>
  <c r="J31" i="12"/>
  <c r="J33" i="12"/>
  <c r="BJ22" i="12"/>
  <c r="J37" i="12"/>
  <c r="N37" i="12" s="1"/>
  <c r="AO13" i="12" s="1"/>
  <c r="O51" i="12"/>
  <c r="AW31" i="10"/>
  <c r="AW27" i="10"/>
  <c r="AW29" i="10" s="1"/>
  <c r="C38" i="12" l="1"/>
  <c r="N33" i="12"/>
  <c r="AO9" i="12" s="1"/>
  <c r="AM14" i="12"/>
  <c r="I44" i="12"/>
  <c r="N36" i="12"/>
  <c r="AO12" i="12" s="1"/>
  <c r="BJ26" i="12"/>
  <c r="E1" i="12"/>
  <c r="O40" i="12"/>
  <c r="O45" i="12" s="1"/>
  <c r="N29" i="12"/>
  <c r="O53" i="12"/>
  <c r="N30" i="12"/>
  <c r="AO6" i="12" s="1"/>
  <c r="N32" i="12"/>
  <c r="AO8" i="12" s="1"/>
  <c r="N34" i="12"/>
  <c r="AO10" i="12" s="1"/>
  <c r="N35" i="12"/>
  <c r="AO11" i="12" s="1"/>
  <c r="N31" i="12"/>
  <c r="AO7" i="12" s="1"/>
  <c r="AQ8" i="10"/>
  <c r="AU12" i="10"/>
  <c r="N38" i="12" l="1"/>
  <c r="AY17" i="12"/>
  <c r="BA21" i="12" s="1"/>
  <c r="P47" i="12"/>
  <c r="AL12" i="12"/>
  <c r="AN12" i="12" s="1"/>
  <c r="AP12" i="12" s="1"/>
  <c r="AR12" i="12" s="1"/>
  <c r="AL13" i="12"/>
  <c r="AN13" i="12" s="1"/>
  <c r="AP13" i="12" s="1"/>
  <c r="AR13" i="12" s="1"/>
  <c r="AL10" i="12"/>
  <c r="AN10" i="12" s="1"/>
  <c r="AL5" i="12"/>
  <c r="AL6" i="12"/>
  <c r="AN6" i="12" s="1"/>
  <c r="AL11" i="12"/>
  <c r="AN11" i="12" s="1"/>
  <c r="AL8" i="12"/>
  <c r="AN8" i="12" s="1"/>
  <c r="AL7" i="12"/>
  <c r="AN7" i="12" s="1"/>
  <c r="AL9" i="12"/>
  <c r="AN9" i="12" s="1"/>
  <c r="AO5" i="12"/>
  <c r="AO14" i="12" s="1"/>
  <c r="O38" i="12"/>
  <c r="L31" i="10"/>
  <c r="AU13" i="12" l="1"/>
  <c r="AQ14" i="15" s="1"/>
  <c r="AU17" i="12"/>
  <c r="AU12" i="12"/>
  <c r="AQ13" i="15" s="1"/>
  <c r="AR13" i="15" s="1"/>
  <c r="AU13" i="15" s="1"/>
  <c r="AQ10" i="20" s="1"/>
  <c r="AR10" i="20" s="1"/>
  <c r="AU10" i="20" s="1"/>
  <c r="AQ10" i="21" s="1"/>
  <c r="AR10" i="21" s="1"/>
  <c r="AU10" i="21" s="1"/>
  <c r="AU16" i="12"/>
  <c r="AL14" i="12"/>
  <c r="P38" i="12"/>
  <c r="AR14" i="15"/>
  <c r="AP7" i="12"/>
  <c r="AP6" i="12"/>
  <c r="AP11" i="12"/>
  <c r="AP9" i="12"/>
  <c r="AP8" i="12"/>
  <c r="AP10" i="12"/>
  <c r="AN5" i="12"/>
  <c r="AN14" i="12" s="1"/>
  <c r="O45" i="11"/>
  <c r="O42" i="11"/>
  <c r="D37" i="11"/>
  <c r="O36" i="11"/>
  <c r="G36" i="11"/>
  <c r="F36" i="11"/>
  <c r="H36" i="11" s="1"/>
  <c r="O35" i="11"/>
  <c r="G35" i="11"/>
  <c r="F35" i="11"/>
  <c r="G34" i="11"/>
  <c r="F34" i="11"/>
  <c r="H34" i="11" s="1"/>
  <c r="L31" i="11"/>
  <c r="O44" i="11" s="1"/>
  <c r="K31" i="11"/>
  <c r="K30" i="11" s="1"/>
  <c r="J31" i="11"/>
  <c r="O37" i="11" s="1"/>
  <c r="G31" i="11"/>
  <c r="O34" i="11" s="1"/>
  <c r="F31" i="11"/>
  <c r="F27" i="11" s="1"/>
  <c r="D31" i="11"/>
  <c r="O41" i="11" s="1"/>
  <c r="M30" i="11"/>
  <c r="I30" i="11"/>
  <c r="H30" i="11"/>
  <c r="G30" i="11"/>
  <c r="E30" i="11"/>
  <c r="D30" i="11"/>
  <c r="M29" i="11"/>
  <c r="I29" i="11"/>
  <c r="H29" i="11"/>
  <c r="E29" i="11"/>
  <c r="D29" i="11"/>
  <c r="M28" i="11"/>
  <c r="L28" i="11"/>
  <c r="I28" i="11"/>
  <c r="H28" i="11"/>
  <c r="E28" i="11"/>
  <c r="D28" i="11"/>
  <c r="M27" i="11"/>
  <c r="L27" i="11"/>
  <c r="I27" i="11"/>
  <c r="H27" i="11"/>
  <c r="E27" i="11"/>
  <c r="D27" i="11"/>
  <c r="M26" i="11"/>
  <c r="L26" i="11"/>
  <c r="K26" i="11"/>
  <c r="J26" i="11"/>
  <c r="I26" i="11"/>
  <c r="H26" i="11"/>
  <c r="F26" i="11"/>
  <c r="E26" i="11"/>
  <c r="D26" i="11"/>
  <c r="M25" i="11"/>
  <c r="L25" i="11"/>
  <c r="I25" i="11"/>
  <c r="H25" i="11"/>
  <c r="G25" i="11"/>
  <c r="E25" i="11"/>
  <c r="D25" i="11"/>
  <c r="M24" i="11"/>
  <c r="L24" i="11"/>
  <c r="I24" i="11"/>
  <c r="H24" i="11"/>
  <c r="G24" i="11"/>
  <c r="F24" i="11"/>
  <c r="E24" i="11"/>
  <c r="D24" i="11"/>
  <c r="AH21" i="11"/>
  <c r="AK11" i="11" s="1"/>
  <c r="AH20" i="11"/>
  <c r="AK10" i="11" s="1"/>
  <c r="AH19" i="11"/>
  <c r="AK9" i="11" s="1"/>
  <c r="AH18" i="11"/>
  <c r="AH17" i="11"/>
  <c r="AH16" i="11"/>
  <c r="AH15" i="11"/>
  <c r="AH22" i="11" s="1"/>
  <c r="AG12" i="11"/>
  <c r="AF12" i="11"/>
  <c r="AE12" i="11"/>
  <c r="AD12" i="11"/>
  <c r="AC12" i="11"/>
  <c r="AB12" i="11"/>
  <c r="AA12" i="11"/>
  <c r="Z12" i="11"/>
  <c r="Y12" i="11"/>
  <c r="X12" i="11"/>
  <c r="W12" i="11"/>
  <c r="V12" i="11"/>
  <c r="U12" i="11"/>
  <c r="T12" i="11"/>
  <c r="S12" i="11"/>
  <c r="R12" i="11"/>
  <c r="Q12" i="11"/>
  <c r="P12" i="11"/>
  <c r="O12" i="11"/>
  <c r="N12" i="11"/>
  <c r="M12" i="11"/>
  <c r="L12" i="11"/>
  <c r="K12" i="11"/>
  <c r="J12" i="11"/>
  <c r="I12" i="11"/>
  <c r="H12" i="11"/>
  <c r="G12" i="11"/>
  <c r="F12" i="11"/>
  <c r="E12" i="11"/>
  <c r="D12" i="11"/>
  <c r="C12" i="11"/>
  <c r="AQ11" i="11"/>
  <c r="AH11" i="11"/>
  <c r="AH10" i="11"/>
  <c r="AH9" i="11"/>
  <c r="AK8" i="11"/>
  <c r="AH8" i="11"/>
  <c r="AK7" i="11"/>
  <c r="AH7" i="11"/>
  <c r="BA6" i="11"/>
  <c r="BA11" i="11" s="1"/>
  <c r="AK6" i="11"/>
  <c r="AH6" i="11"/>
  <c r="AQ5" i="11"/>
  <c r="AH5" i="11"/>
  <c r="I34" i="11" l="1"/>
  <c r="C24" i="11"/>
  <c r="N24" i="11" s="1"/>
  <c r="AM5" i="11" s="1"/>
  <c r="K24" i="11"/>
  <c r="J25" i="11"/>
  <c r="K29" i="11"/>
  <c r="J30" i="11"/>
  <c r="J27" i="11"/>
  <c r="J28" i="11"/>
  <c r="J29" i="11"/>
  <c r="AH12" i="11"/>
  <c r="E1" i="11" s="1"/>
  <c r="L29" i="11"/>
  <c r="L30" i="11"/>
  <c r="AQ11" i="23"/>
  <c r="AR11" i="23" s="1"/>
  <c r="AU11" i="23" s="1"/>
  <c r="AQ11" i="22"/>
  <c r="AR11" i="22" s="1"/>
  <c r="AU11" i="22" s="1"/>
  <c r="G26" i="11"/>
  <c r="AK5" i="11"/>
  <c r="AK12" i="11" s="1"/>
  <c r="AQ12" i="11"/>
  <c r="J24" i="11"/>
  <c r="G27" i="11"/>
  <c r="G28" i="11"/>
  <c r="G29" i="11"/>
  <c r="H35" i="11"/>
  <c r="C30" i="11" s="1"/>
  <c r="N30" i="11" s="1"/>
  <c r="AM11" i="11" s="1"/>
  <c r="AU14" i="15"/>
  <c r="AP5" i="12"/>
  <c r="C28" i="11"/>
  <c r="C27" i="11"/>
  <c r="N27" i="11" s="1"/>
  <c r="AM8" i="11" s="1"/>
  <c r="I36" i="11"/>
  <c r="C26" i="11"/>
  <c r="N26" i="11" s="1"/>
  <c r="AM7" i="11" s="1"/>
  <c r="I35" i="11"/>
  <c r="C25" i="11"/>
  <c r="C29" i="11"/>
  <c r="BA8" i="11"/>
  <c r="BA12" i="11"/>
  <c r="BB6" i="11"/>
  <c r="BA9" i="11"/>
  <c r="F28" i="11"/>
  <c r="F30" i="11"/>
  <c r="BA10" i="11"/>
  <c r="K25" i="11"/>
  <c r="O43" i="11"/>
  <c r="O46" i="11" s="1"/>
  <c r="F29" i="11"/>
  <c r="F25" i="11"/>
  <c r="K28" i="11"/>
  <c r="BA6" i="10"/>
  <c r="BA9" i="10" s="1"/>
  <c r="AH11" i="10"/>
  <c r="AQ5" i="10"/>
  <c r="D31" i="10"/>
  <c r="O41" i="10" s="1"/>
  <c r="O45" i="10"/>
  <c r="O42" i="10"/>
  <c r="D37" i="10"/>
  <c r="O36" i="10"/>
  <c r="G36" i="10"/>
  <c r="F36" i="10"/>
  <c r="O35" i="10"/>
  <c r="G35" i="10"/>
  <c r="F35" i="10"/>
  <c r="G34" i="10"/>
  <c r="F34" i="10"/>
  <c r="H34" i="10" s="1"/>
  <c r="O44" i="10"/>
  <c r="K31" i="10"/>
  <c r="K26" i="10" s="1"/>
  <c r="J31" i="10"/>
  <c r="G31" i="10"/>
  <c r="O34" i="10" s="1"/>
  <c r="F31" i="10"/>
  <c r="F25" i="10" s="1"/>
  <c r="M30" i="10"/>
  <c r="I30" i="10"/>
  <c r="H30" i="10"/>
  <c r="F30" i="10"/>
  <c r="E30" i="10"/>
  <c r="M29" i="10"/>
  <c r="I29" i="10"/>
  <c r="H29" i="10"/>
  <c r="F29" i="10"/>
  <c r="E29" i="10"/>
  <c r="M28" i="10"/>
  <c r="I28" i="10"/>
  <c r="H28" i="10"/>
  <c r="F28" i="10"/>
  <c r="E28" i="10"/>
  <c r="M27" i="10"/>
  <c r="I27" i="10"/>
  <c r="H27" i="10"/>
  <c r="E27" i="10"/>
  <c r="M26" i="10"/>
  <c r="I26" i="10"/>
  <c r="H26" i="10"/>
  <c r="E26" i="10"/>
  <c r="M25" i="10"/>
  <c r="L25" i="10"/>
  <c r="I25" i="10"/>
  <c r="H25" i="10"/>
  <c r="E25" i="10"/>
  <c r="M24" i="10"/>
  <c r="L24" i="10"/>
  <c r="I24" i="10"/>
  <c r="H24" i="10"/>
  <c r="E24" i="10"/>
  <c r="AH21" i="10"/>
  <c r="AK11" i="10" s="1"/>
  <c r="AH20" i="10"/>
  <c r="AK10" i="10" s="1"/>
  <c r="AH19" i="10"/>
  <c r="AK9" i="10" s="1"/>
  <c r="AH18" i="10"/>
  <c r="AK8" i="10" s="1"/>
  <c r="AH17" i="10"/>
  <c r="AK7" i="10" s="1"/>
  <c r="AH16" i="10"/>
  <c r="AK6" i="10" s="1"/>
  <c r="AH15" i="10"/>
  <c r="AG12" i="10"/>
  <c r="AF12" i="10"/>
  <c r="AE12" i="10"/>
  <c r="AD12" i="10"/>
  <c r="AC12" i="10"/>
  <c r="AB12" i="10"/>
  <c r="AA12" i="10"/>
  <c r="Z12" i="10"/>
  <c r="Y12" i="10"/>
  <c r="X12" i="10"/>
  <c r="W12" i="10"/>
  <c r="V12" i="10"/>
  <c r="U12" i="10"/>
  <c r="T12" i="10"/>
  <c r="S12" i="10"/>
  <c r="R12" i="10"/>
  <c r="Q12" i="10"/>
  <c r="P12" i="10"/>
  <c r="O12" i="10"/>
  <c r="N12" i="10"/>
  <c r="M12" i="10"/>
  <c r="L12" i="10"/>
  <c r="K12" i="10"/>
  <c r="J12" i="10"/>
  <c r="I12" i="10"/>
  <c r="H12" i="10"/>
  <c r="G12" i="10"/>
  <c r="F12" i="10"/>
  <c r="E12" i="10"/>
  <c r="D12" i="10"/>
  <c r="C12" i="10"/>
  <c r="AH10" i="10"/>
  <c r="AH9" i="10"/>
  <c r="AH8" i="10"/>
  <c r="AH7" i="10"/>
  <c r="AH6" i="10"/>
  <c r="AH5" i="10"/>
  <c r="AV13" i="9"/>
  <c r="AQ9" i="9"/>
  <c r="AQ12" i="9" s="1"/>
  <c r="AQ10" i="9"/>
  <c r="AT13" i="9"/>
  <c r="AS20" i="9"/>
  <c r="AR16" i="9"/>
  <c r="AR17" i="9" s="1"/>
  <c r="AQ11" i="9"/>
  <c r="AP17" i="9"/>
  <c r="AQ6" i="7"/>
  <c r="AQ8" i="7"/>
  <c r="AQ10" i="7"/>
  <c r="F17" i="9"/>
  <c r="AH17" i="9" s="1"/>
  <c r="AK7" i="9" s="1"/>
  <c r="AB20" i="9"/>
  <c r="AH20" i="9" s="1"/>
  <c r="AK10" i="9" s="1"/>
  <c r="W21" i="9"/>
  <c r="AH21" i="9" s="1"/>
  <c r="AK11" i="9" s="1"/>
  <c r="AH6" i="9"/>
  <c r="AH5" i="9"/>
  <c r="O42" i="9"/>
  <c r="O41" i="9"/>
  <c r="D37" i="9"/>
  <c r="O36" i="9"/>
  <c r="H36" i="9"/>
  <c r="C27" i="9" s="1"/>
  <c r="G36" i="9"/>
  <c r="F36" i="9"/>
  <c r="O35" i="9"/>
  <c r="G35" i="9"/>
  <c r="F35" i="9"/>
  <c r="H35" i="9" s="1"/>
  <c r="O34" i="9"/>
  <c r="G34" i="9"/>
  <c r="F34" i="9"/>
  <c r="O45" i="9"/>
  <c r="L31" i="9"/>
  <c r="O44" i="9" s="1"/>
  <c r="K31" i="9"/>
  <c r="K30" i="9" s="1"/>
  <c r="J31" i="9"/>
  <c r="O37" i="9" s="1"/>
  <c r="G31" i="9"/>
  <c r="G30" i="9" s="1"/>
  <c r="F31" i="9"/>
  <c r="F24" i="9" s="1"/>
  <c r="M30" i="9"/>
  <c r="L30" i="9"/>
  <c r="I30" i="9"/>
  <c r="H30" i="9"/>
  <c r="E30" i="9"/>
  <c r="D30" i="9"/>
  <c r="M29" i="9"/>
  <c r="L29" i="9"/>
  <c r="K29" i="9"/>
  <c r="J29" i="9"/>
  <c r="I29" i="9"/>
  <c r="H29" i="9"/>
  <c r="G29" i="9"/>
  <c r="E29" i="9"/>
  <c r="D29" i="9"/>
  <c r="M28" i="9"/>
  <c r="L28" i="9"/>
  <c r="J28" i="9"/>
  <c r="I28" i="9"/>
  <c r="H28" i="9"/>
  <c r="E28" i="9"/>
  <c r="D28" i="9"/>
  <c r="M27" i="9"/>
  <c r="L27" i="9"/>
  <c r="I27" i="9"/>
  <c r="H27" i="9"/>
  <c r="E27" i="9"/>
  <c r="D27" i="9"/>
  <c r="M26" i="9"/>
  <c r="I26" i="9"/>
  <c r="H26" i="9"/>
  <c r="E26" i="9"/>
  <c r="D26" i="9"/>
  <c r="M25" i="9"/>
  <c r="I25" i="9"/>
  <c r="H25" i="9"/>
  <c r="F25" i="9"/>
  <c r="E25" i="9"/>
  <c r="D25" i="9"/>
  <c r="M24" i="9"/>
  <c r="L24" i="9"/>
  <c r="I24" i="9"/>
  <c r="H24" i="9"/>
  <c r="G24" i="9"/>
  <c r="E24" i="9"/>
  <c r="D24" i="9"/>
  <c r="AH19" i="9"/>
  <c r="AK9" i="9" s="1"/>
  <c r="AH18" i="9"/>
  <c r="AK8" i="9" s="1"/>
  <c r="AH16" i="9"/>
  <c r="AK6" i="9" s="1"/>
  <c r="AH15" i="9"/>
  <c r="AK5" i="9" s="1"/>
  <c r="AG12" i="9"/>
  <c r="AF12" i="9"/>
  <c r="AE12" i="9"/>
  <c r="AD12" i="9"/>
  <c r="AC12" i="9"/>
  <c r="AB12" i="9"/>
  <c r="AA12" i="9"/>
  <c r="Z12" i="9"/>
  <c r="Y12" i="9"/>
  <c r="X12" i="9"/>
  <c r="W12" i="9"/>
  <c r="V12" i="9"/>
  <c r="U12" i="9"/>
  <c r="T12" i="9"/>
  <c r="S12" i="9"/>
  <c r="R12" i="9"/>
  <c r="Q12" i="9"/>
  <c r="P12" i="9"/>
  <c r="O12" i="9"/>
  <c r="N12" i="9"/>
  <c r="M12" i="9"/>
  <c r="L12" i="9"/>
  <c r="K12" i="9"/>
  <c r="J12" i="9"/>
  <c r="I12" i="9"/>
  <c r="H12" i="9"/>
  <c r="G12" i="9"/>
  <c r="F12" i="9"/>
  <c r="E12" i="9"/>
  <c r="D12" i="9"/>
  <c r="C12" i="9"/>
  <c r="AH11" i="9"/>
  <c r="AH10" i="9"/>
  <c r="AH12" i="9" s="1"/>
  <c r="AH9" i="9"/>
  <c r="AH8" i="9"/>
  <c r="AH7" i="9"/>
  <c r="T20" i="8"/>
  <c r="S21" i="8"/>
  <c r="AH21" i="8" s="1"/>
  <c r="AK11" i="8" s="1"/>
  <c r="S20" i="8"/>
  <c r="P18" i="8"/>
  <c r="AH18" i="8" s="1"/>
  <c r="AK8" i="8" s="1"/>
  <c r="N19" i="8"/>
  <c r="AH19" i="8" s="1"/>
  <c r="AK9" i="8" s="1"/>
  <c r="K19" i="8"/>
  <c r="O43" i="8"/>
  <c r="O42" i="8"/>
  <c r="O41" i="8"/>
  <c r="O37" i="8"/>
  <c r="D37" i="8"/>
  <c r="O36" i="8"/>
  <c r="G36" i="8"/>
  <c r="F36" i="8"/>
  <c r="O35" i="8"/>
  <c r="G35" i="8"/>
  <c r="F35" i="8"/>
  <c r="H35" i="8" s="1"/>
  <c r="G34" i="8"/>
  <c r="F34" i="8"/>
  <c r="O44" i="8"/>
  <c r="O34" i="8"/>
  <c r="AH17" i="8"/>
  <c r="AK7" i="8" s="1"/>
  <c r="AH16" i="8"/>
  <c r="AK6" i="8" s="1"/>
  <c r="AH15" i="8"/>
  <c r="AG12" i="8"/>
  <c r="AF12" i="8"/>
  <c r="AE12" i="8"/>
  <c r="AD12" i="8"/>
  <c r="AC12" i="8"/>
  <c r="AB12" i="8"/>
  <c r="AA12" i="8"/>
  <c r="Z12" i="8"/>
  <c r="Y12" i="8"/>
  <c r="X12" i="8"/>
  <c r="W12" i="8"/>
  <c r="V12" i="8"/>
  <c r="U12" i="8"/>
  <c r="T12" i="8"/>
  <c r="S12" i="8"/>
  <c r="R12" i="8"/>
  <c r="Q12" i="8"/>
  <c r="P12" i="8"/>
  <c r="O12" i="8"/>
  <c r="N12" i="8"/>
  <c r="M12" i="8"/>
  <c r="L12" i="8"/>
  <c r="K12" i="8"/>
  <c r="J12" i="8"/>
  <c r="I12" i="8"/>
  <c r="H12" i="8"/>
  <c r="G12" i="8"/>
  <c r="F12" i="8"/>
  <c r="E12" i="8"/>
  <c r="D12" i="8"/>
  <c r="C12" i="8"/>
  <c r="AH11" i="8"/>
  <c r="AH10" i="8"/>
  <c r="AH9" i="8"/>
  <c r="AH8" i="8"/>
  <c r="AH7" i="8"/>
  <c r="AO12" i="8"/>
  <c r="AH6" i="8"/>
  <c r="AQ12" i="8"/>
  <c r="AH5" i="8"/>
  <c r="AQ5" i="7"/>
  <c r="AQ12" i="7" s="1"/>
  <c r="AQ9" i="7"/>
  <c r="E28" i="7"/>
  <c r="E29" i="7"/>
  <c r="E30" i="7"/>
  <c r="E27" i="7"/>
  <c r="E26" i="7"/>
  <c r="E25" i="7"/>
  <c r="E24" i="7"/>
  <c r="J31" i="7"/>
  <c r="J25" i="7" s="1"/>
  <c r="O42" i="7"/>
  <c r="O41" i="7"/>
  <c r="O36" i="7"/>
  <c r="O35" i="7"/>
  <c r="AQ11" i="7"/>
  <c r="M31" i="7"/>
  <c r="M25" i="7" s="1"/>
  <c r="F20" i="7"/>
  <c r="AH20" i="7" s="1"/>
  <c r="AK10" i="7" s="1"/>
  <c r="D37" i="7"/>
  <c r="G36" i="7"/>
  <c r="F36" i="7"/>
  <c r="G35" i="7"/>
  <c r="F35" i="7"/>
  <c r="G34" i="7"/>
  <c r="F34" i="7"/>
  <c r="L31" i="7"/>
  <c r="L26" i="7" s="1"/>
  <c r="K31" i="7"/>
  <c r="G31" i="7"/>
  <c r="G26" i="7" s="1"/>
  <c r="F31" i="7"/>
  <c r="F27" i="7" s="1"/>
  <c r="I30" i="7"/>
  <c r="H30" i="7"/>
  <c r="D30" i="7"/>
  <c r="I29" i="7"/>
  <c r="H29" i="7"/>
  <c r="G29" i="7"/>
  <c r="D29" i="7"/>
  <c r="I28" i="7"/>
  <c r="H28" i="7"/>
  <c r="D28" i="7"/>
  <c r="I27" i="7"/>
  <c r="H27" i="7"/>
  <c r="D27" i="7"/>
  <c r="K26" i="7"/>
  <c r="I26" i="7"/>
  <c r="H26" i="7"/>
  <c r="D26" i="7"/>
  <c r="I25" i="7"/>
  <c r="H25" i="7"/>
  <c r="D25" i="7"/>
  <c r="I24" i="7"/>
  <c r="H24" i="7"/>
  <c r="D24" i="7"/>
  <c r="AH21" i="7"/>
  <c r="AK11" i="7" s="1"/>
  <c r="AH19" i="7"/>
  <c r="AK9" i="7" s="1"/>
  <c r="AH18" i="7"/>
  <c r="AK8" i="7" s="1"/>
  <c r="AH17" i="7"/>
  <c r="AK7" i="7" s="1"/>
  <c r="AH16" i="7"/>
  <c r="AK6" i="7" s="1"/>
  <c r="AH15" i="7"/>
  <c r="AK5" i="7" s="1"/>
  <c r="AG12" i="7"/>
  <c r="AF12" i="7"/>
  <c r="AE12" i="7"/>
  <c r="AD12" i="7"/>
  <c r="AC12" i="7"/>
  <c r="AB12" i="7"/>
  <c r="AA12" i="7"/>
  <c r="Z12" i="7"/>
  <c r="Y12" i="7"/>
  <c r="X12" i="7"/>
  <c r="W12" i="7"/>
  <c r="V12" i="7"/>
  <c r="U12" i="7"/>
  <c r="T12" i="7"/>
  <c r="S12" i="7"/>
  <c r="R12" i="7"/>
  <c r="Q12" i="7"/>
  <c r="P12" i="7"/>
  <c r="O12" i="7"/>
  <c r="N12" i="7"/>
  <c r="M12" i="7"/>
  <c r="L12" i="7"/>
  <c r="K12" i="7"/>
  <c r="J12" i="7"/>
  <c r="I12" i="7"/>
  <c r="H12" i="7"/>
  <c r="G12" i="7"/>
  <c r="F12" i="7"/>
  <c r="E12" i="7"/>
  <c r="D12" i="7"/>
  <c r="C12" i="7"/>
  <c r="AH11" i="7"/>
  <c r="AH10" i="7"/>
  <c r="AH9" i="7"/>
  <c r="AH8" i="7"/>
  <c r="AH7" i="7"/>
  <c r="AH6" i="7"/>
  <c r="AH5" i="7"/>
  <c r="AQ10" i="6"/>
  <c r="AQ6" i="6"/>
  <c r="AQ5" i="6"/>
  <c r="AQ7" i="6"/>
  <c r="AQ11" i="6"/>
  <c r="AQ9" i="5"/>
  <c r="AH5" i="6"/>
  <c r="AG12" i="6"/>
  <c r="AQ11" i="5"/>
  <c r="D37" i="6"/>
  <c r="G36" i="6"/>
  <c r="H36" i="6" s="1"/>
  <c r="F36" i="6"/>
  <c r="G35" i="6"/>
  <c r="F35" i="6"/>
  <c r="H35" i="6" s="1"/>
  <c r="G34" i="6"/>
  <c r="F34" i="6"/>
  <c r="O33" i="6"/>
  <c r="O37" i="6" s="1"/>
  <c r="M30" i="6"/>
  <c r="L31" i="6"/>
  <c r="L30" i="6" s="1"/>
  <c r="K31" i="6"/>
  <c r="J31" i="6"/>
  <c r="J30" i="6" s="1"/>
  <c r="G31" i="6"/>
  <c r="G27" i="6" s="1"/>
  <c r="F31" i="6"/>
  <c r="F29" i="6" s="1"/>
  <c r="E31" i="6"/>
  <c r="E24" i="6" s="1"/>
  <c r="K30" i="6"/>
  <c r="I30" i="6"/>
  <c r="H30" i="6"/>
  <c r="D30" i="6"/>
  <c r="C30" i="6"/>
  <c r="M29" i="6"/>
  <c r="K29" i="6"/>
  <c r="I29" i="6"/>
  <c r="H29" i="6"/>
  <c r="D29" i="6"/>
  <c r="M28" i="6"/>
  <c r="K28" i="6"/>
  <c r="I28" i="6"/>
  <c r="H28" i="6"/>
  <c r="D28" i="6"/>
  <c r="M27" i="6"/>
  <c r="J27" i="6"/>
  <c r="I27" i="6"/>
  <c r="H27" i="6"/>
  <c r="D27" i="6"/>
  <c r="M26" i="6"/>
  <c r="K26" i="6"/>
  <c r="J26" i="6"/>
  <c r="I26" i="6"/>
  <c r="H26" i="6"/>
  <c r="D26" i="6"/>
  <c r="M25" i="6"/>
  <c r="K25" i="6"/>
  <c r="J25" i="6"/>
  <c r="I25" i="6"/>
  <c r="H25" i="6"/>
  <c r="D25" i="6"/>
  <c r="M24" i="6"/>
  <c r="K24" i="6"/>
  <c r="I24" i="6"/>
  <c r="H24" i="6"/>
  <c r="D24" i="6"/>
  <c r="AH21" i="6"/>
  <c r="AK11" i="6" s="1"/>
  <c r="AH20" i="6"/>
  <c r="AK10" i="6" s="1"/>
  <c r="AH19" i="6"/>
  <c r="AK9" i="6" s="1"/>
  <c r="AH18" i="6"/>
  <c r="AH17" i="6"/>
  <c r="AK7" i="6" s="1"/>
  <c r="AH16" i="6"/>
  <c r="AK6" i="6" s="1"/>
  <c r="AH15" i="6"/>
  <c r="AF12" i="6"/>
  <c r="AE12" i="6"/>
  <c r="AC12" i="6"/>
  <c r="AA12" i="6"/>
  <c r="Y12" i="6"/>
  <c r="W12" i="6"/>
  <c r="U12" i="6"/>
  <c r="S12" i="6"/>
  <c r="Q12" i="6"/>
  <c r="O12" i="6"/>
  <c r="M12" i="6"/>
  <c r="K12" i="6"/>
  <c r="I12" i="6"/>
  <c r="G12" i="6"/>
  <c r="E12" i="6"/>
  <c r="C12" i="6"/>
  <c r="AH11" i="6"/>
  <c r="AD12" i="6"/>
  <c r="AB12" i="6"/>
  <c r="Z12" i="6"/>
  <c r="X12" i="6"/>
  <c r="V12" i="6"/>
  <c r="T12" i="6"/>
  <c r="R12" i="6"/>
  <c r="P12" i="6"/>
  <c r="N12" i="6"/>
  <c r="L12" i="6"/>
  <c r="J12" i="6"/>
  <c r="H12" i="6"/>
  <c r="F12" i="6"/>
  <c r="D12" i="6"/>
  <c r="AH10" i="6"/>
  <c r="AH9" i="6"/>
  <c r="AH8" i="6"/>
  <c r="AH7" i="6"/>
  <c r="AH6" i="6"/>
  <c r="M28" i="5"/>
  <c r="M31" i="5"/>
  <c r="M30" i="5" s="1"/>
  <c r="AQ8" i="5"/>
  <c r="AQ5" i="5"/>
  <c r="O33" i="5"/>
  <c r="O37" i="5" s="1"/>
  <c r="L25" i="5"/>
  <c r="L26" i="5"/>
  <c r="L24" i="5"/>
  <c r="J28" i="5"/>
  <c r="I25" i="5"/>
  <c r="I26" i="5"/>
  <c r="I27" i="5"/>
  <c r="I28" i="5"/>
  <c r="I29" i="5"/>
  <c r="I30" i="5"/>
  <c r="I24" i="5"/>
  <c r="H25" i="5"/>
  <c r="H26" i="5"/>
  <c r="H27" i="5"/>
  <c r="H28" i="5"/>
  <c r="H29" i="5"/>
  <c r="H30" i="5"/>
  <c r="H24" i="5"/>
  <c r="F31" i="5"/>
  <c r="F30" i="5" s="1"/>
  <c r="D25" i="5"/>
  <c r="D26" i="5"/>
  <c r="D27" i="5"/>
  <c r="D28" i="5"/>
  <c r="D29" i="5"/>
  <c r="D30" i="5"/>
  <c r="D24" i="5"/>
  <c r="G35" i="5"/>
  <c r="G36" i="5"/>
  <c r="G34" i="5"/>
  <c r="AH11" i="5"/>
  <c r="AH9" i="5"/>
  <c r="AH8" i="5"/>
  <c r="AH7" i="5"/>
  <c r="AH6" i="5"/>
  <c r="AH5" i="5"/>
  <c r="AD10" i="5"/>
  <c r="AD12" i="5" s="1"/>
  <c r="AC10" i="5"/>
  <c r="AB10" i="5"/>
  <c r="AB12" i="5" s="1"/>
  <c r="AA10" i="5"/>
  <c r="AA12" i="5" s="1"/>
  <c r="Z10" i="5"/>
  <c r="Y10" i="5"/>
  <c r="X10" i="5"/>
  <c r="X12" i="5" s="1"/>
  <c r="W10" i="5"/>
  <c r="W12" i="5" s="1"/>
  <c r="V10" i="5"/>
  <c r="V12" i="5" s="1"/>
  <c r="U10" i="5"/>
  <c r="T10" i="5"/>
  <c r="S10" i="5"/>
  <c r="R10" i="5"/>
  <c r="Q10" i="5"/>
  <c r="Q12" i="5" s="1"/>
  <c r="P10" i="5"/>
  <c r="P12" i="5" s="1"/>
  <c r="O10" i="5"/>
  <c r="O12" i="5" s="1"/>
  <c r="N10" i="5"/>
  <c r="N12" i="5" s="1"/>
  <c r="M10" i="5"/>
  <c r="L10" i="5"/>
  <c r="L12" i="5" s="1"/>
  <c r="K10" i="5"/>
  <c r="K12" i="5" s="1"/>
  <c r="J10" i="5"/>
  <c r="J12" i="5" s="1"/>
  <c r="I10" i="5"/>
  <c r="I12" i="5" s="1"/>
  <c r="H10" i="5"/>
  <c r="H12" i="5" s="1"/>
  <c r="G10" i="5"/>
  <c r="G12" i="5" s="1"/>
  <c r="F10" i="5"/>
  <c r="F12" i="5" s="1"/>
  <c r="E10" i="5"/>
  <c r="D10" i="5"/>
  <c r="C10" i="5"/>
  <c r="D37" i="5"/>
  <c r="F36" i="5"/>
  <c r="H36" i="5" s="1"/>
  <c r="F35" i="5"/>
  <c r="F34" i="5"/>
  <c r="L31" i="5"/>
  <c r="L29" i="5" s="1"/>
  <c r="K31" i="5"/>
  <c r="K30" i="5" s="1"/>
  <c r="J31" i="5"/>
  <c r="J30" i="5" s="1"/>
  <c r="G31" i="5"/>
  <c r="G25" i="5" s="1"/>
  <c r="E31" i="5"/>
  <c r="E30" i="5" s="1"/>
  <c r="K28" i="5"/>
  <c r="K26" i="5"/>
  <c r="K25" i="5"/>
  <c r="K24" i="5"/>
  <c r="AH21" i="5"/>
  <c r="AK11" i="5" s="1"/>
  <c r="AH20" i="5"/>
  <c r="AK10" i="5" s="1"/>
  <c r="AH19" i="5"/>
  <c r="AK9" i="5" s="1"/>
  <c r="AH18" i="5"/>
  <c r="AK8" i="5" s="1"/>
  <c r="AH17" i="5"/>
  <c r="AK7" i="5" s="1"/>
  <c r="AH16" i="5"/>
  <c r="AK6" i="5" s="1"/>
  <c r="AH15" i="5"/>
  <c r="AF12" i="5"/>
  <c r="AE12" i="5"/>
  <c r="AC12" i="5"/>
  <c r="Z12" i="5"/>
  <c r="Y12" i="5"/>
  <c r="U12" i="5"/>
  <c r="T12" i="5"/>
  <c r="S12" i="5"/>
  <c r="R12" i="5"/>
  <c r="M12" i="5"/>
  <c r="E12" i="5"/>
  <c r="D12" i="5"/>
  <c r="C12" i="5"/>
  <c r="AS16" i="4"/>
  <c r="AS17" i="4" s="1"/>
  <c r="AS15" i="4"/>
  <c r="AQ11" i="4"/>
  <c r="AU4" i="4"/>
  <c r="AQ13" i="4"/>
  <c r="AH13" i="4"/>
  <c r="AH13" i="3"/>
  <c r="AQ7" i="4"/>
  <c r="D31" i="4"/>
  <c r="D29" i="4" s="1"/>
  <c r="H28" i="4"/>
  <c r="I28" i="4"/>
  <c r="D28" i="4"/>
  <c r="U21" i="4"/>
  <c r="AH21" i="4" s="1"/>
  <c r="AK11" i="4" s="1"/>
  <c r="J19" i="4"/>
  <c r="D37" i="4"/>
  <c r="G36" i="4"/>
  <c r="F36" i="4"/>
  <c r="G35" i="4"/>
  <c r="F35" i="4"/>
  <c r="G34" i="4"/>
  <c r="H34" i="4" s="1"/>
  <c r="F34" i="4"/>
  <c r="M31" i="4"/>
  <c r="M30" i="4" s="1"/>
  <c r="L31" i="4"/>
  <c r="L30" i="4" s="1"/>
  <c r="K31" i="4"/>
  <c r="K30" i="4" s="1"/>
  <c r="J31" i="4"/>
  <c r="G31" i="4"/>
  <c r="G29" i="4" s="1"/>
  <c r="F31" i="4"/>
  <c r="F26" i="4" s="1"/>
  <c r="E31" i="4"/>
  <c r="E25" i="4" s="1"/>
  <c r="I30" i="4"/>
  <c r="H30" i="4"/>
  <c r="G30" i="4"/>
  <c r="I29" i="4"/>
  <c r="H29" i="4"/>
  <c r="E29" i="4"/>
  <c r="I26" i="4"/>
  <c r="H26" i="4"/>
  <c r="G26" i="4"/>
  <c r="I25" i="4"/>
  <c r="H25" i="4"/>
  <c r="K24" i="4"/>
  <c r="I24" i="4"/>
  <c r="H24" i="4"/>
  <c r="D24" i="4"/>
  <c r="AH20" i="4"/>
  <c r="AK10" i="4" s="1"/>
  <c r="AH19" i="4"/>
  <c r="AK9" i="4" s="1"/>
  <c r="AH18" i="4"/>
  <c r="AH17" i="4"/>
  <c r="AK7" i="4" s="1"/>
  <c r="AH16" i="4"/>
  <c r="AK6" i="4" s="1"/>
  <c r="AH15" i="4"/>
  <c r="AK5" i="4" s="1"/>
  <c r="AF12" i="4"/>
  <c r="AE12" i="4"/>
  <c r="AD12" i="4"/>
  <c r="AC12" i="4"/>
  <c r="AB12" i="4"/>
  <c r="AA12" i="4"/>
  <c r="Z12" i="4"/>
  <c r="Y12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AH11" i="4"/>
  <c r="AH10" i="4"/>
  <c r="AH9" i="4"/>
  <c r="AK8" i="4"/>
  <c r="AH8" i="4"/>
  <c r="AH7" i="4"/>
  <c r="AH6" i="4"/>
  <c r="AH5" i="4"/>
  <c r="AQ6" i="3"/>
  <c r="AQ5" i="3"/>
  <c r="AP8" i="1"/>
  <c r="AJ7" i="11" l="1"/>
  <c r="AL7" i="11" s="1"/>
  <c r="AJ5" i="11"/>
  <c r="AJ12" i="11" s="1"/>
  <c r="AJ10" i="11"/>
  <c r="AL10" i="11" s="1"/>
  <c r="AJ8" i="11"/>
  <c r="AL8" i="11" s="1"/>
  <c r="AJ9" i="11"/>
  <c r="AL9" i="11" s="1"/>
  <c r="AJ6" i="11"/>
  <c r="AL6" i="11" s="1"/>
  <c r="AJ11" i="11"/>
  <c r="AL11" i="11" s="1"/>
  <c r="AN11" i="11" s="1"/>
  <c r="E27" i="4"/>
  <c r="G30" i="5"/>
  <c r="J29" i="5"/>
  <c r="M29" i="5"/>
  <c r="L27" i="6"/>
  <c r="F29" i="7"/>
  <c r="K28" i="9"/>
  <c r="H36" i="10"/>
  <c r="C27" i="10" s="1"/>
  <c r="G29" i="5"/>
  <c r="K25" i="4"/>
  <c r="E28" i="4"/>
  <c r="J27" i="5"/>
  <c r="M27" i="5"/>
  <c r="L26" i="6"/>
  <c r="E29" i="6"/>
  <c r="N29" i="6" s="1"/>
  <c r="AM10" i="6" s="1"/>
  <c r="K26" i="9"/>
  <c r="BB6" i="10"/>
  <c r="D26" i="4"/>
  <c r="M28" i="4"/>
  <c r="E25" i="5"/>
  <c r="J26" i="5"/>
  <c r="M26" i="5"/>
  <c r="L25" i="6"/>
  <c r="G28" i="6"/>
  <c r="G29" i="6"/>
  <c r="E30" i="6"/>
  <c r="F25" i="7"/>
  <c r="F28" i="7"/>
  <c r="O43" i="7"/>
  <c r="AH20" i="8"/>
  <c r="AK10" i="8" s="1"/>
  <c r="L26" i="9"/>
  <c r="F27" i="10"/>
  <c r="BA8" i="10"/>
  <c r="E24" i="4"/>
  <c r="F26" i="7"/>
  <c r="H36" i="7"/>
  <c r="AQ11" i="20"/>
  <c r="AR11" i="20" s="1"/>
  <c r="AU11" i="20" s="1"/>
  <c r="AQ11" i="21" s="1"/>
  <c r="AR11" i="21" s="1"/>
  <c r="AU11" i="21" s="1"/>
  <c r="E26" i="4"/>
  <c r="D30" i="4"/>
  <c r="L28" i="4"/>
  <c r="J25" i="5"/>
  <c r="M25" i="5"/>
  <c r="L24" i="6"/>
  <c r="G25" i="7"/>
  <c r="G28" i="7"/>
  <c r="K24" i="9"/>
  <c r="L25" i="9"/>
  <c r="F24" i="10"/>
  <c r="BA12" i="10"/>
  <c r="N29" i="11"/>
  <c r="AM10" i="11" s="1"/>
  <c r="AN10" i="11" s="1"/>
  <c r="E30" i="4"/>
  <c r="D25" i="4"/>
  <c r="L28" i="5"/>
  <c r="M24" i="5"/>
  <c r="F24" i="7"/>
  <c r="G30" i="7"/>
  <c r="I37" i="11"/>
  <c r="AH12" i="4"/>
  <c r="F30" i="7"/>
  <c r="BA11" i="10"/>
  <c r="G24" i="5"/>
  <c r="L27" i="5"/>
  <c r="L28" i="6"/>
  <c r="L29" i="6"/>
  <c r="G24" i="7"/>
  <c r="L25" i="7"/>
  <c r="AH12" i="10"/>
  <c r="AP14" i="12"/>
  <c r="N25" i="11"/>
  <c r="C31" i="11"/>
  <c r="O33" i="11" s="1"/>
  <c r="O38" i="11" s="1"/>
  <c r="AN7" i="11"/>
  <c r="BA13" i="11"/>
  <c r="AN8" i="11"/>
  <c r="AL5" i="11"/>
  <c r="AL12" i="11" s="1"/>
  <c r="N28" i="11"/>
  <c r="AM9" i="11" s="1"/>
  <c r="C28" i="5"/>
  <c r="C26" i="5"/>
  <c r="C27" i="5"/>
  <c r="M27" i="7"/>
  <c r="O45" i="7"/>
  <c r="M28" i="7"/>
  <c r="F29" i="4"/>
  <c r="G28" i="4"/>
  <c r="E28" i="5"/>
  <c r="E26" i="5"/>
  <c r="E27" i="5"/>
  <c r="E24" i="5"/>
  <c r="F26" i="5"/>
  <c r="F28" i="5"/>
  <c r="F29" i="5"/>
  <c r="F27" i="5"/>
  <c r="F25" i="5"/>
  <c r="AK5" i="6"/>
  <c r="AH22" i="6"/>
  <c r="K29" i="7"/>
  <c r="K28" i="7"/>
  <c r="K24" i="7"/>
  <c r="K30" i="7"/>
  <c r="K25" i="7"/>
  <c r="F27" i="6"/>
  <c r="F25" i="6"/>
  <c r="F26" i="6"/>
  <c r="F30" i="6"/>
  <c r="F24" i="6"/>
  <c r="F28" i="6"/>
  <c r="I35" i="6"/>
  <c r="C29" i="6"/>
  <c r="M24" i="7"/>
  <c r="I36" i="6"/>
  <c r="I37" i="6" s="1"/>
  <c r="C28" i="6"/>
  <c r="F28" i="4"/>
  <c r="AH10" i="5"/>
  <c r="AH12" i="5" s="1"/>
  <c r="F24" i="5"/>
  <c r="E28" i="6"/>
  <c r="E25" i="6"/>
  <c r="E27" i="6"/>
  <c r="E26" i="6"/>
  <c r="H34" i="6"/>
  <c r="I34" i="6" s="1"/>
  <c r="L30" i="7"/>
  <c r="O44" i="7"/>
  <c r="O46" i="7" s="1"/>
  <c r="L29" i="7"/>
  <c r="L28" i="7"/>
  <c r="L24" i="7"/>
  <c r="AH22" i="10"/>
  <c r="E1" i="10" s="1"/>
  <c r="AK5" i="10"/>
  <c r="G24" i="4"/>
  <c r="G25" i="4"/>
  <c r="J25" i="4"/>
  <c r="J28" i="4"/>
  <c r="J30" i="4"/>
  <c r="J29" i="4"/>
  <c r="J26" i="4"/>
  <c r="J24" i="4"/>
  <c r="L27" i="7"/>
  <c r="I35" i="9"/>
  <c r="C29" i="9"/>
  <c r="N29" i="9" s="1"/>
  <c r="AM10" i="9" s="1"/>
  <c r="C30" i="9"/>
  <c r="C25" i="9"/>
  <c r="J27" i="10"/>
  <c r="J30" i="10"/>
  <c r="J29" i="10"/>
  <c r="J28" i="10"/>
  <c r="H35" i="4"/>
  <c r="C25" i="4" s="1"/>
  <c r="O43" i="9"/>
  <c r="O46" i="9" s="1"/>
  <c r="F27" i="9"/>
  <c r="N27" i="9" s="1"/>
  <c r="AM8" i="9" s="1"/>
  <c r="F26" i="9"/>
  <c r="F28" i="9"/>
  <c r="F30" i="9"/>
  <c r="F29" i="9"/>
  <c r="F30" i="4"/>
  <c r="E29" i="5"/>
  <c r="H34" i="8"/>
  <c r="I34" i="8" s="1"/>
  <c r="I37" i="8" s="1"/>
  <c r="J26" i="7"/>
  <c r="J27" i="7"/>
  <c r="O37" i="7"/>
  <c r="H34" i="9"/>
  <c r="I34" i="9" s="1"/>
  <c r="L26" i="10"/>
  <c r="O43" i="10"/>
  <c r="H34" i="7"/>
  <c r="I34" i="7" s="1"/>
  <c r="K28" i="4"/>
  <c r="G27" i="5"/>
  <c r="G27" i="7"/>
  <c r="O34" i="7"/>
  <c r="G26" i="9"/>
  <c r="F26" i="10"/>
  <c r="K28" i="10"/>
  <c r="K29" i="10"/>
  <c r="K30" i="10"/>
  <c r="BA10" i="10"/>
  <c r="BA13" i="10" s="1"/>
  <c r="G26" i="5"/>
  <c r="J24" i="5"/>
  <c r="L30" i="5"/>
  <c r="J24" i="7"/>
  <c r="H35" i="7"/>
  <c r="C30" i="7" s="1"/>
  <c r="G27" i="9"/>
  <c r="G28" i="9"/>
  <c r="J30" i="9"/>
  <c r="L27" i="10"/>
  <c r="L28" i="10"/>
  <c r="L29" i="10"/>
  <c r="L30" i="10"/>
  <c r="H36" i="4"/>
  <c r="G28" i="5"/>
  <c r="G25" i="9"/>
  <c r="G30" i="6"/>
  <c r="J30" i="7"/>
  <c r="K26" i="4"/>
  <c r="K29" i="4"/>
  <c r="J24" i="6"/>
  <c r="H36" i="8"/>
  <c r="I36" i="8" s="1"/>
  <c r="K25" i="9"/>
  <c r="H35" i="10"/>
  <c r="I35" i="10" s="1"/>
  <c r="AQ12" i="10"/>
  <c r="D25" i="10"/>
  <c r="D24" i="10"/>
  <c r="D28" i="10"/>
  <c r="D27" i="10"/>
  <c r="D29" i="10"/>
  <c r="D26" i="10"/>
  <c r="D30" i="10"/>
  <c r="I34" i="10"/>
  <c r="C24" i="10"/>
  <c r="O46" i="10"/>
  <c r="AK12" i="10"/>
  <c r="I36" i="10"/>
  <c r="O37" i="10"/>
  <c r="J24" i="10"/>
  <c r="J25" i="10"/>
  <c r="J26" i="10"/>
  <c r="C28" i="10"/>
  <c r="G28" i="10"/>
  <c r="G29" i="10"/>
  <c r="G30" i="10"/>
  <c r="G24" i="10"/>
  <c r="K24" i="10"/>
  <c r="G25" i="10"/>
  <c r="K25" i="10"/>
  <c r="C26" i="10"/>
  <c r="G26" i="10"/>
  <c r="G27" i="10"/>
  <c r="AH22" i="9"/>
  <c r="E1" i="9" s="1"/>
  <c r="AK12" i="9"/>
  <c r="C24" i="9"/>
  <c r="J24" i="9"/>
  <c r="J25" i="9"/>
  <c r="J26" i="9"/>
  <c r="J27" i="9"/>
  <c r="C28" i="9"/>
  <c r="I36" i="9"/>
  <c r="C26" i="9"/>
  <c r="AH12" i="8"/>
  <c r="N28" i="8"/>
  <c r="AM9" i="8" s="1"/>
  <c r="N27" i="8"/>
  <c r="AM8" i="8" s="1"/>
  <c r="N26" i="8"/>
  <c r="AM7" i="8" s="1"/>
  <c r="I35" i="8"/>
  <c r="N30" i="8"/>
  <c r="AM11" i="8" s="1"/>
  <c r="N29" i="8"/>
  <c r="AM10" i="8" s="1"/>
  <c r="AK5" i="8"/>
  <c r="O45" i="8"/>
  <c r="O46" i="8" s="1"/>
  <c r="M29" i="7"/>
  <c r="M30" i="7"/>
  <c r="M26" i="7"/>
  <c r="AK12" i="7"/>
  <c r="AH12" i="7"/>
  <c r="C29" i="7"/>
  <c r="N29" i="7" s="1"/>
  <c r="C28" i="7"/>
  <c r="I36" i="7"/>
  <c r="C27" i="7"/>
  <c r="N27" i="7" s="1"/>
  <c r="C26" i="7"/>
  <c r="AH22" i="7"/>
  <c r="J28" i="7"/>
  <c r="J29" i="7"/>
  <c r="AH12" i="6"/>
  <c r="AK8" i="6"/>
  <c r="AK12" i="6" s="1"/>
  <c r="C24" i="6"/>
  <c r="G24" i="6"/>
  <c r="C25" i="6"/>
  <c r="G25" i="6"/>
  <c r="C26" i="6"/>
  <c r="G26" i="6"/>
  <c r="C27" i="6"/>
  <c r="N27" i="6" s="1"/>
  <c r="AM8" i="6" s="1"/>
  <c r="J28" i="6"/>
  <c r="N28" i="6" s="1"/>
  <c r="AM9" i="6" s="1"/>
  <c r="J29" i="6"/>
  <c r="H34" i="5"/>
  <c r="H35" i="5"/>
  <c r="AH22" i="5"/>
  <c r="AK5" i="5"/>
  <c r="AK12" i="5"/>
  <c r="K29" i="5"/>
  <c r="C30" i="4"/>
  <c r="N30" i="4" s="1"/>
  <c r="AM11" i="4" s="1"/>
  <c r="AK12" i="4"/>
  <c r="AH22" i="4"/>
  <c r="N27" i="4"/>
  <c r="AM8" i="4" s="1"/>
  <c r="C24" i="4"/>
  <c r="I34" i="4"/>
  <c r="C28" i="4"/>
  <c r="C26" i="4"/>
  <c r="I36" i="4"/>
  <c r="L24" i="4"/>
  <c r="L25" i="4"/>
  <c r="L26" i="4"/>
  <c r="M24" i="4"/>
  <c r="M25" i="4"/>
  <c r="M26" i="4"/>
  <c r="L29" i="4"/>
  <c r="F24" i="4"/>
  <c r="F25" i="4"/>
  <c r="M29" i="4"/>
  <c r="AQ9" i="3"/>
  <c r="D14" i="2"/>
  <c r="C25" i="10" l="1"/>
  <c r="N25" i="10" s="1"/>
  <c r="AM6" i="10" s="1"/>
  <c r="C29" i="4"/>
  <c r="N29" i="4" s="1"/>
  <c r="AM10" i="4" s="1"/>
  <c r="N27" i="5"/>
  <c r="AM8" i="5" s="1"/>
  <c r="N30" i="9"/>
  <c r="AM11" i="9" s="1"/>
  <c r="AN9" i="11"/>
  <c r="N28" i="7"/>
  <c r="AQ12" i="23"/>
  <c r="AR12" i="23" s="1"/>
  <c r="AU12" i="23" s="1"/>
  <c r="AQ12" i="22"/>
  <c r="C24" i="7"/>
  <c r="N24" i="7" s="1"/>
  <c r="C29" i="10"/>
  <c r="N30" i="6"/>
  <c r="AM11" i="6" s="1"/>
  <c r="N28" i="4"/>
  <c r="AM9" i="4" s="1"/>
  <c r="C30" i="10"/>
  <c r="AH22" i="8"/>
  <c r="E1" i="8" s="1"/>
  <c r="AJ5" i="8" s="1"/>
  <c r="AL5" i="8" s="1"/>
  <c r="AW15" i="11"/>
  <c r="P40" i="11"/>
  <c r="O31" i="11"/>
  <c r="AM6" i="11"/>
  <c r="N31" i="11"/>
  <c r="AN5" i="11"/>
  <c r="AJ11" i="10"/>
  <c r="AJ7" i="10"/>
  <c r="AJ10" i="10"/>
  <c r="AJ5" i="10"/>
  <c r="AJ6" i="10"/>
  <c r="AJ9" i="10"/>
  <c r="AJ8" i="10"/>
  <c r="N30" i="7"/>
  <c r="AM11" i="7" s="1"/>
  <c r="I35" i="4"/>
  <c r="N25" i="6"/>
  <c r="AM6" i="6" s="1"/>
  <c r="I35" i="7"/>
  <c r="I37" i="7" s="1"/>
  <c r="N28" i="9"/>
  <c r="AM9" i="9" s="1"/>
  <c r="N26" i="7"/>
  <c r="AM7" i="7" s="1"/>
  <c r="C25" i="7"/>
  <c r="I35" i="5"/>
  <c r="C25" i="5"/>
  <c r="C29" i="5"/>
  <c r="N29" i="5" s="1"/>
  <c r="AM10" i="5" s="1"/>
  <c r="C30" i="5"/>
  <c r="N30" i="5" s="1"/>
  <c r="AM11" i="5" s="1"/>
  <c r="I34" i="5"/>
  <c r="C24" i="5"/>
  <c r="AM8" i="7"/>
  <c r="N25" i="9"/>
  <c r="AM6" i="9" s="1"/>
  <c r="N30" i="10"/>
  <c r="AM11" i="10" s="1"/>
  <c r="N27" i="10"/>
  <c r="AM8" i="10" s="1"/>
  <c r="N29" i="10"/>
  <c r="AM10" i="10" s="1"/>
  <c r="N26" i="10"/>
  <c r="AM7" i="10" s="1"/>
  <c r="N28" i="10"/>
  <c r="AM9" i="10" s="1"/>
  <c r="N24" i="10"/>
  <c r="I37" i="10"/>
  <c r="AJ7" i="9"/>
  <c r="AL7" i="9" s="1"/>
  <c r="AJ5" i="9"/>
  <c r="AL5" i="9" s="1"/>
  <c r="AJ10" i="9"/>
  <c r="AL10" i="9" s="1"/>
  <c r="AN10" i="9" s="1"/>
  <c r="AJ6" i="9"/>
  <c r="AL6" i="9" s="1"/>
  <c r="AJ11" i="9"/>
  <c r="AL11" i="9" s="1"/>
  <c r="AN11" i="9" s="1"/>
  <c r="N26" i="9"/>
  <c r="AM7" i="9" s="1"/>
  <c r="AJ8" i="9"/>
  <c r="AL8" i="9" s="1"/>
  <c r="AN8" i="9" s="1"/>
  <c r="AJ9" i="9"/>
  <c r="AL9" i="9" s="1"/>
  <c r="AN9" i="9" s="1"/>
  <c r="C31" i="9"/>
  <c r="O33" i="9" s="1"/>
  <c r="O38" i="9" s="1"/>
  <c r="N24" i="9"/>
  <c r="I37" i="9"/>
  <c r="N25" i="8"/>
  <c r="AM6" i="8" s="1"/>
  <c r="AK12" i="8"/>
  <c r="O33" i="8"/>
  <c r="O38" i="8" s="1"/>
  <c r="O31" i="8" s="1"/>
  <c r="N24" i="8"/>
  <c r="E1" i="7"/>
  <c r="AJ5" i="7" s="1"/>
  <c r="AL5" i="7" s="1"/>
  <c r="AM9" i="7"/>
  <c r="AM10" i="7"/>
  <c r="E1" i="6"/>
  <c r="AJ7" i="6" s="1"/>
  <c r="AL7" i="6" s="1"/>
  <c r="C31" i="6"/>
  <c r="N24" i="6"/>
  <c r="N26" i="6"/>
  <c r="AM7" i="6" s="1"/>
  <c r="I36" i="5"/>
  <c r="I37" i="5" s="1"/>
  <c r="N26" i="5"/>
  <c r="AM7" i="5" s="1"/>
  <c r="E1" i="5"/>
  <c r="AJ7" i="5" s="1"/>
  <c r="AL7" i="5" s="1"/>
  <c r="N28" i="5"/>
  <c r="AM9" i="5" s="1"/>
  <c r="N25" i="5"/>
  <c r="AM6" i="5" s="1"/>
  <c r="N24" i="5"/>
  <c r="N24" i="4"/>
  <c r="C31" i="4"/>
  <c r="N26" i="4"/>
  <c r="AM7" i="4" s="1"/>
  <c r="E1" i="4"/>
  <c r="AJ13" i="4" s="1"/>
  <c r="AL13" i="4" s="1"/>
  <c r="AN13" i="4" s="1"/>
  <c r="I37" i="4"/>
  <c r="N25" i="4"/>
  <c r="AM6" i="4" s="1"/>
  <c r="D12" i="2"/>
  <c r="D13" i="2"/>
  <c r="AH19" i="3"/>
  <c r="AK9" i="3" s="1"/>
  <c r="AH9" i="3"/>
  <c r="P21" i="3"/>
  <c r="AH16" i="3"/>
  <c r="AK6" i="3" s="1"/>
  <c r="AH17" i="3"/>
  <c r="AH18" i="3"/>
  <c r="AK8" i="3" s="1"/>
  <c r="AH20" i="3"/>
  <c r="AK10" i="3" s="1"/>
  <c r="AH21" i="3"/>
  <c r="AK11" i="3" s="1"/>
  <c r="AH15" i="3"/>
  <c r="AK5" i="3" s="1"/>
  <c r="AH6" i="3"/>
  <c r="AH7" i="3"/>
  <c r="AH8" i="3"/>
  <c r="AH10" i="3"/>
  <c r="AH11" i="3"/>
  <c r="AH12" i="3" s="1"/>
  <c r="AH5" i="3"/>
  <c r="D37" i="3"/>
  <c r="G36" i="3"/>
  <c r="F36" i="3"/>
  <c r="G35" i="3"/>
  <c r="F35" i="3"/>
  <c r="H35" i="3" s="1"/>
  <c r="G34" i="3"/>
  <c r="F34" i="3"/>
  <c r="H34" i="3" s="1"/>
  <c r="M31" i="3"/>
  <c r="M27" i="3" s="1"/>
  <c r="L31" i="3"/>
  <c r="L29" i="3" s="1"/>
  <c r="K31" i="3"/>
  <c r="K29" i="3" s="1"/>
  <c r="J31" i="3"/>
  <c r="J29" i="3" s="1"/>
  <c r="G31" i="3"/>
  <c r="F31" i="3"/>
  <c r="E31" i="3"/>
  <c r="E26" i="3" s="1"/>
  <c r="D31" i="3"/>
  <c r="D29" i="3" s="1"/>
  <c r="M30" i="3"/>
  <c r="L30" i="3"/>
  <c r="I30" i="3"/>
  <c r="H30" i="3"/>
  <c r="G30" i="3"/>
  <c r="F30" i="3"/>
  <c r="E30" i="3"/>
  <c r="M29" i="3"/>
  <c r="I29" i="3"/>
  <c r="H29" i="3"/>
  <c r="G29" i="3"/>
  <c r="F29" i="3"/>
  <c r="E29" i="3"/>
  <c r="L27" i="3"/>
  <c r="I27" i="3"/>
  <c r="H27" i="3"/>
  <c r="G27" i="3"/>
  <c r="F27" i="3"/>
  <c r="L26" i="3"/>
  <c r="J26" i="3"/>
  <c r="I26" i="3"/>
  <c r="H26" i="3"/>
  <c r="G26" i="3"/>
  <c r="F26" i="3"/>
  <c r="M25" i="3"/>
  <c r="L25" i="3"/>
  <c r="I25" i="3"/>
  <c r="H25" i="3"/>
  <c r="G25" i="3"/>
  <c r="F25" i="3"/>
  <c r="M24" i="3"/>
  <c r="L24" i="3"/>
  <c r="I24" i="3"/>
  <c r="H24" i="3"/>
  <c r="G24" i="3"/>
  <c r="F24" i="3"/>
  <c r="AF12" i="3"/>
  <c r="AE12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J24" i="3" l="1"/>
  <c r="J25" i="3"/>
  <c r="J27" i="3"/>
  <c r="P31" i="11"/>
  <c r="C31" i="10"/>
  <c r="O33" i="10" s="1"/>
  <c r="O38" i="10" s="1"/>
  <c r="AW15" i="10" s="1"/>
  <c r="E24" i="3"/>
  <c r="E25" i="3"/>
  <c r="D26" i="3"/>
  <c r="E27" i="3"/>
  <c r="AJ12" i="10"/>
  <c r="C31" i="7"/>
  <c r="O33" i="7" s="1"/>
  <c r="O38" i="7" s="1"/>
  <c r="O31" i="7" s="1"/>
  <c r="AR12" i="22"/>
  <c r="AU12" i="22" s="1"/>
  <c r="J30" i="3"/>
  <c r="AN6" i="11"/>
  <c r="AM12" i="11"/>
  <c r="AN12" i="11"/>
  <c r="D25" i="3"/>
  <c r="D30" i="3"/>
  <c r="K25" i="3"/>
  <c r="K30" i="3"/>
  <c r="K26" i="3"/>
  <c r="M26" i="3"/>
  <c r="K27" i="3"/>
  <c r="O31" i="9"/>
  <c r="P40" i="9"/>
  <c r="D27" i="3"/>
  <c r="K24" i="3"/>
  <c r="D24" i="3"/>
  <c r="H36" i="3"/>
  <c r="C28" i="3" s="1"/>
  <c r="N28" i="3" s="1"/>
  <c r="AM9" i="3" s="1"/>
  <c r="AN6" i="9"/>
  <c r="AM6" i="7"/>
  <c r="N25" i="7"/>
  <c r="N31" i="7" s="1"/>
  <c r="P31" i="7" s="1"/>
  <c r="AL8" i="10"/>
  <c r="AN8" i="10" s="1"/>
  <c r="AL6" i="10"/>
  <c r="AN6" i="10" s="1"/>
  <c r="AL5" i="10"/>
  <c r="P40" i="10"/>
  <c r="N31" i="10"/>
  <c r="AM5" i="10"/>
  <c r="AN7" i="9"/>
  <c r="AM5" i="9"/>
  <c r="N31" i="9"/>
  <c r="P31" i="9" s="1"/>
  <c r="AL12" i="9"/>
  <c r="AJ12" i="9"/>
  <c r="AJ6" i="8"/>
  <c r="AL6" i="8" s="1"/>
  <c r="AJ8" i="8"/>
  <c r="AL8" i="8" s="1"/>
  <c r="AP8" i="8" s="1"/>
  <c r="AS8" i="8" s="1"/>
  <c r="AJ10" i="8"/>
  <c r="AL10" i="8" s="1"/>
  <c r="AP10" i="8" s="1"/>
  <c r="AS10" i="8" s="1"/>
  <c r="AJ11" i="8"/>
  <c r="AL11" i="8" s="1"/>
  <c r="AP11" i="8" s="1"/>
  <c r="AS11" i="8" s="1"/>
  <c r="AJ7" i="8"/>
  <c r="AL7" i="8" s="1"/>
  <c r="AP7" i="8" s="1"/>
  <c r="AS7" i="8" s="1"/>
  <c r="AJ9" i="8"/>
  <c r="AL9" i="8" s="1"/>
  <c r="AP9" i="8" s="1"/>
  <c r="AS9" i="8" s="1"/>
  <c r="P31" i="8"/>
  <c r="AM5" i="8"/>
  <c r="AP6" i="8"/>
  <c r="AS6" i="8" s="1"/>
  <c r="AJ11" i="7"/>
  <c r="AL11" i="7" s="1"/>
  <c r="AN11" i="7" s="1"/>
  <c r="AJ8" i="7"/>
  <c r="AL8" i="7" s="1"/>
  <c r="AN8" i="7" s="1"/>
  <c r="AJ9" i="7"/>
  <c r="AL9" i="7" s="1"/>
  <c r="AN9" i="7" s="1"/>
  <c r="AJ6" i="7"/>
  <c r="AL6" i="7" s="1"/>
  <c r="AJ7" i="7"/>
  <c r="AL7" i="7" s="1"/>
  <c r="AN7" i="7" s="1"/>
  <c r="AJ10" i="7"/>
  <c r="AL10" i="7" s="1"/>
  <c r="AN10" i="7" s="1"/>
  <c r="AM5" i="7"/>
  <c r="AJ8" i="6"/>
  <c r="AL8" i="6" s="1"/>
  <c r="AN8" i="6" s="1"/>
  <c r="AJ9" i="6"/>
  <c r="AL9" i="6" s="1"/>
  <c r="AN9" i="6" s="1"/>
  <c r="AN7" i="6"/>
  <c r="AJ11" i="6"/>
  <c r="AL11" i="6" s="1"/>
  <c r="AN11" i="6" s="1"/>
  <c r="AJ6" i="6"/>
  <c r="AL6" i="6" s="1"/>
  <c r="AN6" i="6" s="1"/>
  <c r="AJ5" i="6"/>
  <c r="AL5" i="6" s="1"/>
  <c r="AJ10" i="6"/>
  <c r="AL10" i="6" s="1"/>
  <c r="AN10" i="6" s="1"/>
  <c r="AM5" i="6"/>
  <c r="N31" i="6"/>
  <c r="C31" i="5"/>
  <c r="AN7" i="5"/>
  <c r="AJ9" i="5"/>
  <c r="AL9" i="5" s="1"/>
  <c r="AN9" i="5" s="1"/>
  <c r="AJ11" i="5"/>
  <c r="AL11" i="5" s="1"/>
  <c r="AN11" i="5" s="1"/>
  <c r="AJ10" i="5"/>
  <c r="AL10" i="5" s="1"/>
  <c r="AN10" i="5" s="1"/>
  <c r="AJ6" i="5"/>
  <c r="AL6" i="5" s="1"/>
  <c r="AN6" i="5" s="1"/>
  <c r="AJ5" i="5"/>
  <c r="AJ8" i="5"/>
  <c r="AL8" i="5" s="1"/>
  <c r="AN8" i="5" s="1"/>
  <c r="AM5" i="5"/>
  <c r="AM12" i="5" s="1"/>
  <c r="N31" i="5"/>
  <c r="AJ9" i="4"/>
  <c r="AL9" i="4" s="1"/>
  <c r="AN9" i="4" s="1"/>
  <c r="AJ8" i="4"/>
  <c r="AL8" i="4" s="1"/>
  <c r="AN8" i="4" s="1"/>
  <c r="AS8" i="4" s="1"/>
  <c r="AJ7" i="4"/>
  <c r="AL7" i="4" s="1"/>
  <c r="AN7" i="4" s="1"/>
  <c r="AJ11" i="4"/>
  <c r="AL11" i="4" s="1"/>
  <c r="AN11" i="4" s="1"/>
  <c r="AJ10" i="4"/>
  <c r="AL10" i="4" s="1"/>
  <c r="AN10" i="4" s="1"/>
  <c r="AJ6" i="4"/>
  <c r="AL6" i="4" s="1"/>
  <c r="AN6" i="4" s="1"/>
  <c r="AJ5" i="4"/>
  <c r="AM5" i="4"/>
  <c r="N31" i="4"/>
  <c r="AH22" i="3"/>
  <c r="C30" i="3"/>
  <c r="C29" i="3"/>
  <c r="N29" i="3" s="1"/>
  <c r="AM10" i="3" s="1"/>
  <c r="C25" i="3"/>
  <c r="N25" i="3" s="1"/>
  <c r="AM6" i="3" s="1"/>
  <c r="I35" i="3"/>
  <c r="C24" i="3"/>
  <c r="I34" i="3"/>
  <c r="AQ12" i="3"/>
  <c r="AK7" i="3"/>
  <c r="AK12" i="3" s="1"/>
  <c r="AP9" i="1"/>
  <c r="N30" i="3" l="1"/>
  <c r="AM11" i="3" s="1"/>
  <c r="N27" i="3"/>
  <c r="AM8" i="3" s="1"/>
  <c r="AL12" i="8"/>
  <c r="O31" i="10"/>
  <c r="C26" i="3"/>
  <c r="N26" i="3" s="1"/>
  <c r="AM7" i="3" s="1"/>
  <c r="I36" i="3"/>
  <c r="AN6" i="7"/>
  <c r="AL10" i="10"/>
  <c r="AN10" i="10" s="1"/>
  <c r="AL7" i="10"/>
  <c r="AN7" i="10" s="1"/>
  <c r="AL9" i="10"/>
  <c r="AL11" i="10"/>
  <c r="AN11" i="10" s="1"/>
  <c r="P31" i="10"/>
  <c r="AN5" i="10"/>
  <c r="AM12" i="10"/>
  <c r="AM12" i="9"/>
  <c r="AN5" i="9"/>
  <c r="AJ12" i="8"/>
  <c r="AM12" i="8"/>
  <c r="AJ12" i="7"/>
  <c r="AL12" i="7"/>
  <c r="AN5" i="7"/>
  <c r="AM12" i="7"/>
  <c r="AJ12" i="6"/>
  <c r="AL12" i="6"/>
  <c r="AM12" i="6"/>
  <c r="AN5" i="6"/>
  <c r="AL5" i="5"/>
  <c r="AL12" i="5" s="1"/>
  <c r="AJ12" i="5"/>
  <c r="AM12" i="4"/>
  <c r="AL5" i="4"/>
  <c r="AL12" i="4" s="1"/>
  <c r="AJ12" i="4"/>
  <c r="E1" i="3"/>
  <c r="AJ13" i="3" s="1"/>
  <c r="AO13" i="4" s="1"/>
  <c r="AP13" i="4" s="1"/>
  <c r="AS13" i="4" s="1"/>
  <c r="I37" i="3"/>
  <c r="N24" i="3"/>
  <c r="N31" i="3" l="1"/>
  <c r="C31" i="3"/>
  <c r="AQ10" i="5"/>
  <c r="AO8" i="5"/>
  <c r="AP8" i="5" s="1"/>
  <c r="AS8" i="5" s="1"/>
  <c r="AO8" i="6" s="1"/>
  <c r="AP8" i="6" s="1"/>
  <c r="AS8" i="6" s="1"/>
  <c r="AO8" i="7" s="1"/>
  <c r="AP8" i="7" s="1"/>
  <c r="AS8" i="7" s="1"/>
  <c r="AO8" i="9" s="1"/>
  <c r="AP8" i="9" s="1"/>
  <c r="AS8" i="9" s="1"/>
  <c r="AL12" i="10"/>
  <c r="AN9" i="10"/>
  <c r="AN12" i="9"/>
  <c r="AN12" i="8"/>
  <c r="AP12" i="8" s="1"/>
  <c r="AP5" i="8"/>
  <c r="AS5" i="8" s="1"/>
  <c r="AS12" i="8" s="1"/>
  <c r="AN12" i="7"/>
  <c r="AN12" i="6"/>
  <c r="AN5" i="5"/>
  <c r="AN5" i="4"/>
  <c r="AJ7" i="3"/>
  <c r="AL7" i="3" s="1"/>
  <c r="AN7" i="3" s="1"/>
  <c r="AJ9" i="3"/>
  <c r="AL9" i="3" s="1"/>
  <c r="AN9" i="3" s="1"/>
  <c r="AP9" i="3" s="1"/>
  <c r="AS9" i="3" s="1"/>
  <c r="AO9" i="4" s="1"/>
  <c r="AP9" i="4" s="1"/>
  <c r="AS9" i="4" s="1"/>
  <c r="AO9" i="5" s="1"/>
  <c r="AP9" i="5" s="1"/>
  <c r="AS9" i="5" s="1"/>
  <c r="AO9" i="6" s="1"/>
  <c r="AP9" i="6" s="1"/>
  <c r="AS9" i="6" s="1"/>
  <c r="AO9" i="7" s="1"/>
  <c r="AP9" i="7" s="1"/>
  <c r="AS9" i="7" s="1"/>
  <c r="AO9" i="9" s="1"/>
  <c r="AP9" i="9" s="1"/>
  <c r="AS9" i="9" s="1"/>
  <c r="AJ8" i="3"/>
  <c r="AL8" i="3" s="1"/>
  <c r="AJ6" i="3"/>
  <c r="AL6" i="3" s="1"/>
  <c r="AN6" i="3" s="1"/>
  <c r="AJ5" i="3"/>
  <c r="AL5" i="3" s="1"/>
  <c r="AJ10" i="3"/>
  <c r="AL10" i="3" s="1"/>
  <c r="AN10" i="3" s="1"/>
  <c r="AJ11" i="3"/>
  <c r="AL11" i="3" s="1"/>
  <c r="AN11" i="3" s="1"/>
  <c r="AM5" i="3"/>
  <c r="AP7" i="1"/>
  <c r="AO8" i="10" l="1"/>
  <c r="AP8" i="10" s="1"/>
  <c r="AS8" i="10" s="1"/>
  <c r="AQ8" i="13" s="1"/>
  <c r="AR8" i="13" s="1"/>
  <c r="AU8" i="13" s="1"/>
  <c r="AO8" i="11"/>
  <c r="AP8" i="11" s="1"/>
  <c r="AS8" i="11" s="1"/>
  <c r="AO9" i="10"/>
  <c r="AO9" i="11"/>
  <c r="AP9" i="11" s="1"/>
  <c r="AS9" i="11" s="1"/>
  <c r="AN8" i="3"/>
  <c r="AL15" i="3"/>
  <c r="AL16" i="3" s="1"/>
  <c r="AN12" i="4"/>
  <c r="AP9" i="10"/>
  <c r="AS9" i="10" s="1"/>
  <c r="AQ9" i="13" s="1"/>
  <c r="AR9" i="13" s="1"/>
  <c r="AU9" i="13" s="1"/>
  <c r="AN12" i="10"/>
  <c r="AN12" i="5"/>
  <c r="AJ12" i="3"/>
  <c r="AL12" i="3"/>
  <c r="AN5" i="3"/>
  <c r="AM12" i="3"/>
  <c r="AQ9" i="14" l="1"/>
  <c r="AR9" i="14" s="1"/>
  <c r="AU9" i="14" s="1"/>
  <c r="AQ9" i="12"/>
  <c r="AR9" i="12" s="1"/>
  <c r="AU9" i="12" s="1"/>
  <c r="AQ10" i="15" s="1"/>
  <c r="AR10" i="15" s="1"/>
  <c r="AU10" i="15" s="1"/>
  <c r="AQ9" i="20" s="1"/>
  <c r="AR9" i="20" s="1"/>
  <c r="AU9" i="20" s="1"/>
  <c r="AQ9" i="21" s="1"/>
  <c r="AR9" i="21" s="1"/>
  <c r="AU9" i="21" s="1"/>
  <c r="AQ8" i="14"/>
  <c r="AR8" i="14" s="1"/>
  <c r="AU8" i="14" s="1"/>
  <c r="AQ8" i="12"/>
  <c r="AR8" i="12" s="1"/>
  <c r="AU8" i="12" s="1"/>
  <c r="AQ9" i="15" s="1"/>
  <c r="AR9" i="15" s="1"/>
  <c r="AU9" i="15" s="1"/>
  <c r="AQ8" i="20" s="1"/>
  <c r="AR8" i="20" s="1"/>
  <c r="AU8" i="20" s="1"/>
  <c r="AQ8" i="21" s="1"/>
  <c r="AR8" i="21" s="1"/>
  <c r="AU8" i="21" s="1"/>
  <c r="AN12" i="3"/>
  <c r="AP6" i="1"/>
  <c r="AQ9" i="23" l="1"/>
  <c r="AR9" i="23" s="1"/>
  <c r="AU9" i="23" s="1"/>
  <c r="AQ9" i="22"/>
  <c r="AR9" i="22" s="1"/>
  <c r="AU9" i="22" s="1"/>
  <c r="AQ10" i="22"/>
  <c r="AR10" i="22" s="1"/>
  <c r="AU10" i="22" s="1"/>
  <c r="AQ10" i="23"/>
  <c r="AR10" i="23" s="1"/>
  <c r="AU10" i="23" s="1"/>
  <c r="D16" i="2"/>
  <c r="D15" i="2"/>
  <c r="D11" i="2"/>
  <c r="F4" i="2"/>
  <c r="F5" i="2" s="1"/>
  <c r="D6" i="2" s="1"/>
  <c r="D8" i="2" l="1"/>
  <c r="D7" i="2"/>
  <c r="D21" i="2" s="1"/>
  <c r="D9" i="2"/>
  <c r="AP5" i="1"/>
  <c r="H28" i="1"/>
  <c r="AP11" i="1" l="1"/>
  <c r="AN11" i="1"/>
  <c r="M28" i="1"/>
  <c r="M23" i="1" s="1"/>
  <c r="L28" i="1"/>
  <c r="L23" i="1" s="1"/>
  <c r="K28" i="1"/>
  <c r="K24" i="1" s="1"/>
  <c r="J23" i="1"/>
  <c r="J24" i="1"/>
  <c r="J28" i="1"/>
  <c r="J25" i="1" s="1"/>
  <c r="I24" i="1"/>
  <c r="I28" i="1"/>
  <c r="I26" i="1" s="1"/>
  <c r="H23" i="1"/>
  <c r="H24" i="1"/>
  <c r="H25" i="1"/>
  <c r="H26" i="1"/>
  <c r="H27" i="1"/>
  <c r="H22" i="1"/>
  <c r="G23" i="1"/>
  <c r="G24" i="1"/>
  <c r="G25" i="1"/>
  <c r="G26" i="1"/>
  <c r="G27" i="1"/>
  <c r="G28" i="1"/>
  <c r="G22" i="1" s="1"/>
  <c r="F28" i="1"/>
  <c r="F25" i="1" s="1"/>
  <c r="E28" i="1"/>
  <c r="E23" i="1" s="1"/>
  <c r="D28" i="1"/>
  <c r="D24" i="1" s="1"/>
  <c r="G32" i="1"/>
  <c r="G33" i="1"/>
  <c r="G31" i="1"/>
  <c r="D34" i="1"/>
  <c r="F33" i="1"/>
  <c r="F32" i="1"/>
  <c r="F31" i="1"/>
  <c r="D23" i="1" l="1"/>
  <c r="K23" i="1"/>
  <c r="I25" i="1"/>
  <c r="I23" i="1"/>
  <c r="F26" i="1"/>
  <c r="K22" i="1"/>
  <c r="L27" i="1"/>
  <c r="M26" i="1"/>
  <c r="M22" i="1"/>
  <c r="M27" i="1"/>
  <c r="D22" i="1"/>
  <c r="L26" i="1"/>
  <c r="M25" i="1"/>
  <c r="F27" i="1"/>
  <c r="E27" i="1"/>
  <c r="E26" i="1"/>
  <c r="J22" i="1"/>
  <c r="D26" i="1"/>
  <c r="I22" i="1"/>
  <c r="J27" i="1"/>
  <c r="K26" i="1"/>
  <c r="L25" i="1"/>
  <c r="M24" i="1"/>
  <c r="F22" i="1"/>
  <c r="L22" i="1"/>
  <c r="K27" i="1"/>
  <c r="F24" i="1"/>
  <c r="H33" i="1"/>
  <c r="D25" i="1"/>
  <c r="E24" i="1"/>
  <c r="F23" i="1"/>
  <c r="I27" i="1"/>
  <c r="J26" i="1"/>
  <c r="K25" i="1"/>
  <c r="L24" i="1"/>
  <c r="E22" i="1"/>
  <c r="D27" i="1"/>
  <c r="E25" i="1"/>
  <c r="H32" i="1"/>
  <c r="H31" i="1"/>
  <c r="I31" i="1" l="1"/>
  <c r="C22" i="1"/>
  <c r="I33" i="1"/>
  <c r="C25" i="1"/>
  <c r="N25" i="1" s="1"/>
  <c r="AL8" i="1" s="1"/>
  <c r="C24" i="1"/>
  <c r="N24" i="1" s="1"/>
  <c r="AL7" i="1" s="1"/>
  <c r="I32" i="1"/>
  <c r="C27" i="1"/>
  <c r="N27" i="1" s="1"/>
  <c r="AL10" i="1" s="1"/>
  <c r="C23" i="1"/>
  <c r="N23" i="1" s="1"/>
  <c r="AL6" i="1" s="1"/>
  <c r="C26" i="1"/>
  <c r="N26" i="1" s="1"/>
  <c r="AL9" i="1" s="1"/>
  <c r="C28" i="1" l="1"/>
  <c r="N22" i="1"/>
  <c r="I34" i="1"/>
  <c r="AG15" i="1"/>
  <c r="AJ6" i="1" s="1"/>
  <c r="AG16" i="1"/>
  <c r="AJ7" i="1" s="1"/>
  <c r="AG17" i="1"/>
  <c r="AJ8" i="1" s="1"/>
  <c r="AG18" i="1"/>
  <c r="AJ9" i="1" s="1"/>
  <c r="AG19" i="1"/>
  <c r="AJ10" i="1" s="1"/>
  <c r="AG14" i="1"/>
  <c r="AJ5" i="1" s="1"/>
  <c r="AG5" i="1"/>
  <c r="AL5" i="1" l="1"/>
  <c r="N28" i="1"/>
  <c r="AG20" i="1"/>
  <c r="AJ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C11" i="1"/>
  <c r="AG6" i="1"/>
  <c r="AG7" i="1"/>
  <c r="AG8" i="1"/>
  <c r="AG9" i="1"/>
  <c r="AG10" i="1"/>
  <c r="AL11" i="1" l="1"/>
  <c r="AG11" i="1"/>
  <c r="E1" i="1" s="1"/>
  <c r="AI5" i="1" s="1"/>
  <c r="AI9" i="1" l="1"/>
  <c r="AK9" i="1" s="1"/>
  <c r="AM9" i="1" s="1"/>
  <c r="AO9" i="1" s="1"/>
  <c r="AR9" i="1" s="1"/>
  <c r="AO10" i="3" s="1"/>
  <c r="AP10" i="3" s="1"/>
  <c r="AS10" i="3" s="1"/>
  <c r="AO10" i="4" s="1"/>
  <c r="AI6" i="1"/>
  <c r="AK6" i="1" s="1"/>
  <c r="AM6" i="1" s="1"/>
  <c r="AO6" i="1" s="1"/>
  <c r="AR6" i="1" s="1"/>
  <c r="AO6" i="3" s="1"/>
  <c r="AP6" i="3" s="1"/>
  <c r="AS6" i="3" s="1"/>
  <c r="AO6" i="4" s="1"/>
  <c r="AK5" i="1"/>
  <c r="AI8" i="1"/>
  <c r="AK8" i="1" s="1"/>
  <c r="AM8" i="1" s="1"/>
  <c r="AO8" i="1" s="1"/>
  <c r="AR8" i="1" s="1"/>
  <c r="AI7" i="1"/>
  <c r="AK7" i="1" s="1"/>
  <c r="AM7" i="1" s="1"/>
  <c r="AO7" i="1" s="1"/>
  <c r="AR7" i="1" s="1"/>
  <c r="AO7" i="3" s="1"/>
  <c r="AP7" i="3" s="1"/>
  <c r="AS7" i="3" s="1"/>
  <c r="AO7" i="4" s="1"/>
  <c r="AI10" i="1"/>
  <c r="AK10" i="1" s="1"/>
  <c r="AM10" i="1" s="1"/>
  <c r="AO10" i="1" s="1"/>
  <c r="AR10" i="1" s="1"/>
  <c r="AO11" i="3" s="1"/>
  <c r="AP11" i="3" s="1"/>
  <c r="AS11" i="3" s="1"/>
  <c r="AO11" i="4" s="1"/>
  <c r="AP11" i="4" s="1"/>
  <c r="AS11" i="4" s="1"/>
  <c r="AO11" i="5" s="1"/>
  <c r="AP11" i="5" s="1"/>
  <c r="AS11" i="5" s="1"/>
  <c r="AO11" i="6" s="1"/>
  <c r="AP11" i="6" s="1"/>
  <c r="AS11" i="6" s="1"/>
  <c r="AO11" i="7" s="1"/>
  <c r="AP11" i="7" s="1"/>
  <c r="AS11" i="7" s="1"/>
  <c r="AO11" i="9" s="1"/>
  <c r="AP11" i="9" s="1"/>
  <c r="AS11" i="9" s="1"/>
  <c r="AO11" i="10" l="1"/>
  <c r="AP11" i="10" s="1"/>
  <c r="AS11" i="10" s="1"/>
  <c r="AQ11" i="13" s="1"/>
  <c r="AR11" i="13" s="1"/>
  <c r="AU11" i="13" s="1"/>
  <c r="AO11" i="11"/>
  <c r="AP11" i="11" s="1"/>
  <c r="AS11" i="11" s="1"/>
  <c r="AP7" i="4"/>
  <c r="AS7" i="4" s="1"/>
  <c r="AO7" i="5" s="1"/>
  <c r="AP7" i="5" s="1"/>
  <c r="AS7" i="5" s="1"/>
  <c r="AO7" i="6" s="1"/>
  <c r="AP7" i="6" s="1"/>
  <c r="AS7" i="6" s="1"/>
  <c r="AO7" i="7" s="1"/>
  <c r="AP7" i="7" s="1"/>
  <c r="AS7" i="7" s="1"/>
  <c r="AO7" i="9" s="1"/>
  <c r="AP7" i="9" s="1"/>
  <c r="AS7" i="9" s="1"/>
  <c r="AT8" i="1"/>
  <c r="AO8" i="3"/>
  <c r="AP8" i="3" s="1"/>
  <c r="AS8" i="3" s="1"/>
  <c r="AK11" i="1"/>
  <c r="AM5" i="1"/>
  <c r="AI11" i="1"/>
  <c r="AP6" i="4"/>
  <c r="AS6" i="4" s="1"/>
  <c r="AO6" i="5" s="1"/>
  <c r="AP6" i="5" s="1"/>
  <c r="AS6" i="5" s="1"/>
  <c r="AO6" i="6" s="1"/>
  <c r="AP6" i="6" s="1"/>
  <c r="AS6" i="6" s="1"/>
  <c r="AO6" i="7" s="1"/>
  <c r="AP6" i="7" s="1"/>
  <c r="AS6" i="7" s="1"/>
  <c r="AO6" i="9" s="1"/>
  <c r="AP6" i="9" s="1"/>
  <c r="AS6" i="9" s="1"/>
  <c r="AS10" i="4"/>
  <c r="AO10" i="5" s="1"/>
  <c r="AP10" i="5" s="1"/>
  <c r="AS10" i="5" s="1"/>
  <c r="AO10" i="6" s="1"/>
  <c r="AP10" i="6" s="1"/>
  <c r="AS10" i="6" s="1"/>
  <c r="AO10" i="7" s="1"/>
  <c r="AP10" i="7" s="1"/>
  <c r="AS10" i="7" s="1"/>
  <c r="AO10" i="9" s="1"/>
  <c r="AP10" i="9" s="1"/>
  <c r="AS10" i="9" s="1"/>
  <c r="AP10" i="4"/>
  <c r="AO6" i="10" l="1"/>
  <c r="AP6" i="10" s="1"/>
  <c r="AS6" i="10" s="1"/>
  <c r="AQ6" i="13" s="1"/>
  <c r="AO6" i="11"/>
  <c r="AP6" i="11" s="1"/>
  <c r="AS6" i="11" s="1"/>
  <c r="AO7" i="10"/>
  <c r="AP7" i="10" s="1"/>
  <c r="AS7" i="10" s="1"/>
  <c r="AQ7" i="13" s="1"/>
  <c r="AR7" i="13" s="1"/>
  <c r="AU7" i="13" s="1"/>
  <c r="AO7" i="11"/>
  <c r="AP7" i="11" s="1"/>
  <c r="AS7" i="11" s="1"/>
  <c r="AO10" i="10"/>
  <c r="AP10" i="10" s="1"/>
  <c r="AS10" i="10" s="1"/>
  <c r="AQ10" i="13" s="1"/>
  <c r="AR10" i="13" s="1"/>
  <c r="AU10" i="13" s="1"/>
  <c r="AO10" i="11"/>
  <c r="AP10" i="11" s="1"/>
  <c r="AS10" i="11" s="1"/>
  <c r="AQ11" i="14"/>
  <c r="AR11" i="14" s="1"/>
  <c r="AU11" i="14" s="1"/>
  <c r="AQ11" i="12"/>
  <c r="AR11" i="12" s="1"/>
  <c r="AU11" i="12" s="1"/>
  <c r="AQ12" i="15" s="1"/>
  <c r="AR12" i="15" s="1"/>
  <c r="AU12" i="15" s="1"/>
  <c r="AO5" i="1"/>
  <c r="AM11" i="1"/>
  <c r="AQ10" i="14" l="1"/>
  <c r="AR10" i="14" s="1"/>
  <c r="AU10" i="14" s="1"/>
  <c r="AQ10" i="12"/>
  <c r="AR10" i="12" s="1"/>
  <c r="AU10" i="12" s="1"/>
  <c r="AQ11" i="15" s="1"/>
  <c r="AR11" i="15" s="1"/>
  <c r="AU11" i="15" s="1"/>
  <c r="AQ7" i="14"/>
  <c r="AR7" i="14" s="1"/>
  <c r="AU7" i="14" s="1"/>
  <c r="AQ7" i="12"/>
  <c r="AR7" i="12" s="1"/>
  <c r="AU7" i="12" s="1"/>
  <c r="AQ8" i="15" s="1"/>
  <c r="AR8" i="15" s="1"/>
  <c r="AU8" i="15" s="1"/>
  <c r="AQ7" i="20" s="1"/>
  <c r="AR7" i="20" s="1"/>
  <c r="AU7" i="20" s="1"/>
  <c r="AQ7" i="21" s="1"/>
  <c r="AR7" i="21" s="1"/>
  <c r="AU7" i="21" s="1"/>
  <c r="AR6" i="13"/>
  <c r="AU6" i="13" s="1"/>
  <c r="AR5" i="1"/>
  <c r="AO11" i="1"/>
  <c r="AQ8" i="22" l="1"/>
  <c r="AR8" i="22" s="1"/>
  <c r="AU8" i="22" s="1"/>
  <c r="AQ8" i="23"/>
  <c r="AR8" i="23" s="1"/>
  <c r="AU8" i="23" s="1"/>
  <c r="AQ6" i="14"/>
  <c r="AR6" i="14" s="1"/>
  <c r="AU6" i="14" s="1"/>
  <c r="AQ6" i="12"/>
  <c r="AR6" i="12" s="1"/>
  <c r="AU6" i="12" s="1"/>
  <c r="AQ6" i="15" s="1"/>
  <c r="AR6" i="15" s="1"/>
  <c r="AU6" i="15" s="1"/>
  <c r="AQ5" i="20" s="1"/>
  <c r="AR11" i="1"/>
  <c r="AO5" i="3"/>
  <c r="AQ12" i="20" l="1"/>
  <c r="AR5" i="20"/>
  <c r="AU5" i="20" s="1"/>
  <c r="AO12" i="3"/>
  <c r="AP5" i="3"/>
  <c r="AU12" i="20" l="1"/>
  <c r="AY20" i="20" s="1"/>
  <c r="AY22" i="20" s="1"/>
  <c r="AQ5" i="21"/>
  <c r="AY16" i="20"/>
  <c r="AY17" i="20" s="1"/>
  <c r="AR12" i="20"/>
  <c r="AP12" i="3"/>
  <c r="AS5" i="3"/>
  <c r="AQ12" i="21" l="1"/>
  <c r="AR5" i="21"/>
  <c r="AU5" i="21" s="1"/>
  <c r="AO5" i="4"/>
  <c r="AS12" i="3"/>
  <c r="AU12" i="21" l="1"/>
  <c r="AY20" i="21" s="1"/>
  <c r="AY22" i="21" s="1"/>
  <c r="AQ5" i="22"/>
  <c r="AQ5" i="23"/>
  <c r="AY16" i="21"/>
  <c r="AY17" i="21" s="1"/>
  <c r="AR12" i="21"/>
  <c r="AP5" i="4"/>
  <c r="AS5" i="4" s="1"/>
  <c r="AO12" i="4"/>
  <c r="AP12" i="4" s="1"/>
  <c r="AQ13" i="23" l="1"/>
  <c r="AR5" i="23"/>
  <c r="AU5" i="23" s="1"/>
  <c r="AU13" i="23" s="1"/>
  <c r="AY20" i="23" s="1"/>
  <c r="AY22" i="23" s="1"/>
  <c r="AR5" i="22"/>
  <c r="AU5" i="22" s="1"/>
  <c r="AU13" i="22" s="1"/>
  <c r="AY20" i="22" s="1"/>
  <c r="AY22" i="22" s="1"/>
  <c r="AQ13" i="22"/>
  <c r="AS12" i="4"/>
  <c r="AO5" i="5"/>
  <c r="AY16" i="22" l="1"/>
  <c r="AY17" i="22" s="1"/>
  <c r="AR13" i="22"/>
  <c r="AY16" i="23"/>
  <c r="AY17" i="23" s="1"/>
  <c r="AR13" i="23"/>
  <c r="AO12" i="5"/>
  <c r="AP12" i="5" s="1"/>
  <c r="AP5" i="5"/>
  <c r="AS5" i="5" s="1"/>
  <c r="AS12" i="5" l="1"/>
  <c r="AO5" i="6"/>
  <c r="AO12" i="6" l="1"/>
  <c r="AP12" i="6" s="1"/>
  <c r="AP5" i="6"/>
  <c r="AS5" i="6" s="1"/>
  <c r="AO5" i="7" l="1"/>
  <c r="AS12" i="6"/>
  <c r="AO12" i="7" l="1"/>
  <c r="AP12" i="7" s="1"/>
  <c r="AP5" i="7"/>
  <c r="AS5" i="7" s="1"/>
  <c r="AS12" i="7" l="1"/>
  <c r="AO5" i="9"/>
  <c r="AO12" i="9" l="1"/>
  <c r="AP5" i="9"/>
  <c r="AS5" i="9" s="1"/>
  <c r="AO5" i="11" s="1"/>
  <c r="AO12" i="11" l="1"/>
  <c r="AP5" i="11"/>
  <c r="AS5" i="11" s="1"/>
  <c r="AS12" i="11" s="1"/>
  <c r="AW20" i="11" s="1"/>
  <c r="AW22" i="11" s="1"/>
  <c r="AO5" i="10"/>
  <c r="AS12" i="9"/>
  <c r="AT12" i="9" s="1"/>
  <c r="AT14" i="9" s="1"/>
  <c r="AT16" i="9" s="1"/>
  <c r="AP18" i="9"/>
  <c r="AP12" i="9"/>
  <c r="AW16" i="11" l="1"/>
  <c r="AW17" i="11" s="1"/>
  <c r="AP12" i="11"/>
  <c r="AO12" i="10"/>
  <c r="AP5" i="10"/>
  <c r="AS5" i="10" s="1"/>
  <c r="AS12" i="10" l="1"/>
  <c r="AW20" i="10" s="1"/>
  <c r="AW22" i="10" s="1"/>
  <c r="AQ5" i="13"/>
  <c r="AW16" i="10"/>
  <c r="AW17" i="10" s="1"/>
  <c r="AP12" i="10"/>
  <c r="AR5" i="13" l="1"/>
  <c r="AU5" i="13" s="1"/>
  <c r="AQ14" i="13"/>
  <c r="AY18" i="13" l="1"/>
  <c r="AY19" i="13" s="1"/>
  <c r="AR14" i="13"/>
  <c r="AU14" i="13"/>
  <c r="AY22" i="13" s="1"/>
  <c r="AY24" i="13" s="1"/>
  <c r="AQ5" i="14"/>
  <c r="AQ5" i="12"/>
  <c r="AQ14" i="12" l="1"/>
  <c r="AR5" i="12"/>
  <c r="AU5" i="12" s="1"/>
  <c r="AQ14" i="14"/>
  <c r="AR5" i="14"/>
  <c r="AU5" i="14" s="1"/>
  <c r="AU14" i="14" s="1"/>
  <c r="AY22" i="14" s="1"/>
  <c r="AY24" i="14" s="1"/>
  <c r="AY18" i="14" l="1"/>
  <c r="AY19" i="14" s="1"/>
  <c r="AR14" i="14"/>
  <c r="AQ5" i="15"/>
  <c r="AU14" i="12"/>
  <c r="AY22" i="12" s="1"/>
  <c r="AY24" i="12" s="1"/>
  <c r="AY18" i="12"/>
  <c r="AY19" i="12" s="1"/>
  <c r="AR14" i="12"/>
  <c r="AR5" i="15" l="1"/>
  <c r="AU5" i="15" s="1"/>
  <c r="AU16" i="15" s="1"/>
  <c r="AY23" i="15" s="1"/>
  <c r="AY25" i="15" s="1"/>
  <c r="AQ16" i="15"/>
  <c r="AY19" i="15" l="1"/>
  <c r="AY20" i="15" s="1"/>
  <c r="AR16" i="1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  <author>tc={CA8E331F-ACD4-46CE-8561-69A7D50C2F7C}</author>
    <author>tc={00AA401D-899B-451D-A7A8-7CF6938DFAA1}</author>
    <author>tc={F44831A3-29E2-4C6C-9EE2-5BD63C13F094}</author>
  </authors>
  <commentList>
    <comment ref="D6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paid to Mithan 1000</t>
        </r>
      </text>
    </comment>
    <comment ref="D15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paid to Mithan 1000</t>
        </r>
      </text>
    </comment>
    <comment ref="D16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paid by latif and emran on August'2020</t>
        </r>
      </text>
    </comment>
    <comment ref="D17" authorId="1" shapeId="0" xr:uid="{00000000-0006-0000-0000-000004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Repaid 28-Sep-21</t>
      </text>
    </comment>
    <comment ref="E18" authorId="2" shapeId="0" xr:uid="{00000000-0006-0000-0000-000005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28-sep-21</t>
      </text>
    </comment>
    <comment ref="D20" authorId="3" shapeId="0" xr:uid="{00000000-0006-0000-0000-000006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TK 3,000 (28-Sep-21)</t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tc={6E160DB1-1A41-4B00-9829-8E0761D754E6}</author>
    <author>MD. Abdul Latif</author>
  </authors>
  <commentList>
    <comment ref="AQ8" authorId="0" shapeId="0" xr:uid="{00000000-0006-0000-09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2000 Abdul Latif, 15 July 2021</t>
      </text>
    </comment>
    <comment ref="AQ9" authorId="1" shapeId="0" xr:uid="{00000000-0006-0000-0900-000002000000}">
      <text>
        <r>
          <rPr>
            <b/>
            <sz val="9"/>
            <color indexed="81"/>
            <rFont val="Tahoma"/>
            <family val="2"/>
          </rPr>
          <t>MD. Abdul Latif:</t>
        </r>
        <r>
          <rPr>
            <sz val="9"/>
            <color indexed="81"/>
            <rFont val="Tahoma"/>
            <family val="2"/>
          </rPr>
          <t xml:space="preserve">
Maid bill for the Month of Jun'21</t>
        </r>
      </text>
    </comment>
    <comment ref="AQ11" authorId="1" shapeId="0" xr:uid="{00000000-0006-0000-0900-000003000000}">
      <text>
        <r>
          <rPr>
            <b/>
            <sz val="9"/>
            <color indexed="81"/>
            <rFont val="Tahoma"/>
            <family val="2"/>
          </rPr>
          <t>MD. Abdul Latif:</t>
        </r>
        <r>
          <rPr>
            <sz val="9"/>
            <color indexed="81"/>
            <rFont val="Tahoma"/>
            <family val="2"/>
          </rPr>
          <t xml:space="preserve">
Wast bill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tc={7ACC5E37-BA2F-44F2-9EE2-0E351BB5D236}</author>
    <author>tc={6E7EEA30-A5F4-45A8-B580-6128A02AD611}</author>
    <author>tc={3EF02456-075D-4BB0-A549-F75F9E92261D}</author>
  </authors>
  <commentList>
    <comment ref="AS5" authorId="0" shapeId="0" xr:uid="{00000000-0006-0000-0A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Internet bill Tk 500 (10-Aug-21)</t>
      </text>
    </comment>
    <comment ref="AS6" authorId="1" shapeId="0" xr:uid="{00000000-0006-0000-0A00-00000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Waste bill (120+25)</t>
      </text>
    </comment>
    <comment ref="AS9" authorId="2" shapeId="0" xr:uid="{00000000-0006-0000-0A00-000003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Maid bill for the Month of July 21</t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tc={DC65E409-EE56-4D66-A75D-CE07BD9A3240}</author>
    <author>tc={EC753F09-D414-4C3F-BE4B-C89C6A12B1DF}</author>
    <author>tc={1FBBA863-62E2-4938-B48E-5E02AD2F559B}</author>
    <author>tc={E70CEEB4-E63C-4426-BB61-5239DCBAA99F}</author>
  </authors>
  <commentList>
    <comment ref="AS8" authorId="0" shapeId="0" xr:uid="{00000000-0006-0000-0B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17-Aug-21=3500</t>
      </text>
    </comment>
    <comment ref="AS9" authorId="1" shapeId="0" xr:uid="{00000000-0006-0000-0B00-00000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Maid bill and waste bill for the Month of August 21</t>
      </text>
    </comment>
    <comment ref="AS12" authorId="2" shapeId="0" xr:uid="{00000000-0006-0000-0B00-000003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3095+3750 (Advance+Fridge)=6845 (25-Sep-21)</t>
      </text>
    </comment>
    <comment ref="AS13" authorId="3" shapeId="0" xr:uid="{00000000-0006-0000-0B00-000004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4000 (25-Sep-21)</t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tc={CCB0E3CF-E1C7-4846-B97F-2D5524C30410}</author>
    <author>tc={0A98EA7F-23E5-4553-A6E1-CD7D9E2D0893}</author>
    <author>tc={D43EE28B-0461-4794-BC5F-592D07985888}</author>
    <author>tc={86388A37-7C9C-4B03-B252-03E7B6D5C2BF}</author>
  </authors>
  <commentList>
    <comment ref="AS8" authorId="0" shapeId="0" xr:uid="{00000000-0006-0000-0C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17-Aug-21=3500</t>
      </text>
    </comment>
    <comment ref="AS9" authorId="1" shapeId="0" xr:uid="{00000000-0006-0000-0C00-00000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Maid bill and waste bill for the Month of August 21</t>
      </text>
    </comment>
    <comment ref="AS12" authorId="2" shapeId="0" xr:uid="{00000000-0006-0000-0C00-000003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3095+3750 (Advance+Fridge)=6845 (25-Sep-21)</t>
      </text>
    </comment>
    <comment ref="AS13" authorId="3" shapeId="0" xr:uid="{00000000-0006-0000-0C00-000004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4000 (25-Sep-21)</t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tc={609C2B21-E94D-4A93-8D97-631B7E2574E8}</author>
  </authors>
  <commentList>
    <comment ref="AS10" authorId="0" shapeId="0" xr:uid="{00000000-0006-0000-0D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Maid bill for the Month of September 21</t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tc={F5DAD08D-8EC2-4719-BAA5-6E03CE2EDC83}</author>
    <author>tc={26325236-7452-4910-84D3-A4FE780D5BC4}</author>
    <author>tc={4A1C2BA8-F424-4AB3-983E-F8A8D37A3B99}</author>
    <author>tc={ADA15E40-CA79-4787-84B2-F40DAA27523D}</author>
    <author>tc={AE5D13FC-D339-4479-B00E-E7FB4DDF2F3D}</author>
  </authors>
  <commentList>
    <comment ref="AS5" authorId="0" shapeId="0" xr:uid="{00000000-0006-0000-0E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Internet-500
Newspaper-625
Router-1000</t>
      </text>
    </comment>
    <comment ref="AS6" authorId="1" shapeId="0" xr:uid="{00000000-0006-0000-0E00-00000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Router-500</t>
      </text>
    </comment>
    <comment ref="AS8" authorId="2" shapeId="0" xr:uid="{00000000-0006-0000-0E00-000003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Waste Bill 120</t>
      </text>
    </comment>
    <comment ref="AS9" authorId="3" shapeId="0" xr:uid="{00000000-0006-0000-0E00-000004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Maid Bill - 3000
Others (Balb &amp; Harpic)- 200</t>
      </text>
    </comment>
    <comment ref="AS10" authorId="4" shapeId="0" xr:uid="{00000000-0006-0000-0E00-000005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Router-950</t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tc={22F6F421-1376-4DED-8458-5237F3524CF4}</author>
  </authors>
  <commentList>
    <comment ref="B26" authorId="0" shapeId="0" xr:uid="{00000000-0006-0000-10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AnikDa-Rent 3,000 and Aman utilities and others</t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tc={48854F37-13AC-4A94-B608-BEBB201ACAC0}</author>
  </authors>
  <commentList>
    <comment ref="B26" authorId="0" shapeId="0" xr:uid="{00000000-0006-0000-11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AnikDa-Rent 3,000 and Aman utilities and others</t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tc={6F85C5B3-1B49-495B-9AD8-026D3687D1A2}</author>
    <author>tc={E22F92F5-1FC5-4C38-89F1-AD8E11850440}</author>
  </authors>
  <commentList>
    <comment ref="AS7" authorId="0" shapeId="0" xr:uid="{00000000-0006-0000-12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Portion of newspaper bill</t>
      </text>
    </comment>
    <comment ref="AS10" authorId="1" shapeId="0" xr:uid="{00000000-0006-0000-1200-00000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Portion of newspaper bill</t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tc={ABA8C2FC-E041-4BA3-9A50-1AC675BEF436}</author>
    <author>tc={BCAECDB8-3BCA-4014-ABD7-D54A2ACBFA65}</author>
    <author>tc={A600B722-2813-4F29-A046-40260AA99417}</author>
    <author>tc={2310913A-8ED9-4F78-BB69-1BC28FED00B2}</author>
    <author>tc={762FEFAA-AC68-4DBF-9605-51F3E73DFBDC}</author>
    <author>tc={F70FF6E3-2B52-4DC5-857C-00D44EB24A54}</author>
    <author>tc={5B0989B7-61B2-4188-9A86-A621B8E963C6}</author>
    <author>tc={51EBF936-D3DA-4326-8F02-AB625E548CB3}</author>
  </authors>
  <commentList>
    <comment ref="AS5" authorId="0" shapeId="0" xr:uid="{00000000-0006-0000-13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Internet Bill
Reply:
    Rent 3000 TK for Mar 22
Reply:
    181+3=184 deduct for bipu da</t>
      </text>
    </comment>
    <comment ref="AS6" authorId="1" shapeId="0" xr:uid="{00000000-0006-0000-1300-00000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Rent 4000 for Mar 22</t>
      </text>
    </comment>
    <comment ref="AS7" authorId="2" shapeId="0" xr:uid="{00000000-0006-0000-1300-000003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Nayan 500-408=92
Reply:
    6400 Paid for Rent 5700 and 881 and 184 TK from Ranti da, Total 6581 TK</t>
      </text>
    </comment>
    <comment ref="AS8" authorId="3" shapeId="0" xr:uid="{00000000-0006-0000-1300-000004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Dust Bill
Reply:
    Rent 3940 Paid</t>
      </text>
    </comment>
    <comment ref="AS9" authorId="4" shapeId="0" xr:uid="{00000000-0006-0000-1300-000005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Maid Bill</t>
      </text>
    </comment>
    <comment ref="AS10" authorId="5" shapeId="0" xr:uid="{00000000-0006-0000-1300-000006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Rent 3300 for Mar 22</t>
      </text>
    </comment>
    <comment ref="AS11" authorId="6" shapeId="0" xr:uid="{00000000-0006-0000-1300-000007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part of newspaper bill
Reply:
    Rent 3700 for Mar 22</t>
      </text>
    </comment>
    <comment ref="AL22" authorId="7" shapeId="0" xr:uid="{00000000-0006-0000-1300-000008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Bipul Da : 881 TK and Saklayen : 7700 TK
Reply:
    Mohidul Vai 3940
Reply:
    Ranti Da 3000 Paid
Reply:
    Anik Da 4000 Paid
Reply:
    Rent for Saklayen 3300 paid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MD. Abdul Latif</author>
  </authors>
  <commentList>
    <comment ref="AP5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MD. Abdul Latif:</t>
        </r>
        <r>
          <rPr>
            <sz val="9"/>
            <color indexed="81"/>
            <rFont val="Tahoma"/>
            <family val="2"/>
          </rPr>
          <t xml:space="preserve">
Net bill paid 1000</t>
        </r>
      </text>
    </comment>
    <comment ref="AP6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MD. Abdul Latif:</t>
        </r>
        <r>
          <rPr>
            <sz val="9"/>
            <color indexed="81"/>
            <rFont val="Tahoma"/>
            <family val="2"/>
          </rPr>
          <t xml:space="preserve">
Maid bill paid taka 2600 (15 Dec 2020)
dust bill 120 (14 Dec 2020)</t>
        </r>
      </text>
    </comment>
    <comment ref="AR8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MD. Abdul Latif:</t>
        </r>
        <r>
          <rPr>
            <sz val="9"/>
            <color indexed="81"/>
            <rFont val="Tahoma"/>
            <family val="2"/>
          </rPr>
          <t xml:space="preserve">
taka 1390 approx utility bill for the Month of December, as the utility bill added with rent after uses. Taka 45 for previous month adjustment</t>
        </r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tc={0C173361-0435-4AFD-A45C-594E922CC51C}</author>
    <author>tc={885450D8-4447-4108-83CD-AEFCFD4D00D9}</author>
    <author>tc={D8519494-44CB-47CA-8A1B-A71939BF0871}</author>
    <author>tc={89545CB0-9F62-44D7-BD04-21D4578B6FFB}</author>
    <author>tc={35F7BB2B-C0AA-47F7-AC5E-08887480DC14}</author>
    <author>tc={1335E8AA-702E-4FE3-AE08-0C312257C4B8}</author>
    <author>tc={7D64C167-9B48-4C63-8F74-3D6D1EB9E6B2}</author>
  </authors>
  <commentList>
    <comment ref="AS5" authorId="0" shapeId="0" xr:uid="{00000000-0006-0000-14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Internet Bill
Reply:
    Rent 3000 TK for Mar 22
Reply:
    181+3=184 deduct for bipu da</t>
      </text>
    </comment>
    <comment ref="AS6" authorId="1" shapeId="0" xr:uid="{00000000-0006-0000-1400-00000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Rent 4000 for Mar 22</t>
      </text>
    </comment>
    <comment ref="AS7" authorId="2" shapeId="0" xr:uid="{00000000-0006-0000-1400-000003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Nayan 500-408=92
Reply:
    6400 Paid for Rent 5700 and 881 and 184 TK from Ranti da, Total 6581 TK</t>
      </text>
    </comment>
    <comment ref="AS8" authorId="3" shapeId="0" xr:uid="{00000000-0006-0000-1400-000004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Dust Bill
Reply:
    Rent 3940 Paid</t>
      </text>
    </comment>
    <comment ref="AS9" authorId="4" shapeId="0" xr:uid="{00000000-0006-0000-1400-000005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Maid Bill</t>
      </text>
    </comment>
    <comment ref="AS10" authorId="5" shapeId="0" xr:uid="{00000000-0006-0000-1400-000006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Rent 3300 for Mar 22</t>
      </text>
    </comment>
    <comment ref="AS11" authorId="6" shapeId="0" xr:uid="{00000000-0006-0000-1400-000007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part of newspaper bill
Reply:
    Rent 3700 for Mar 22</t>
      </text>
    </comment>
  </commentList>
</comments>
</file>

<file path=xl/comments2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MD. Abdul Latif</author>
  </authors>
  <commentList>
    <comment ref="AQ9" authorId="0" shapeId="0" xr:uid="{00000000-0006-0000-1700-000001000000}">
      <text>
        <r>
          <rPr>
            <b/>
            <sz val="9"/>
            <color indexed="81"/>
            <rFont val="Tahoma"/>
            <family val="2"/>
          </rPr>
          <t>MD. Abdul Latif:</t>
        </r>
        <r>
          <rPr>
            <sz val="9"/>
            <color indexed="81"/>
            <rFont val="Tahoma"/>
            <family val="2"/>
          </rPr>
          <t xml:space="preserve">
Maid bill for the Month of Jun'21</t>
        </r>
      </text>
    </comment>
    <comment ref="AQ11" authorId="0" shapeId="0" xr:uid="{00000000-0006-0000-1700-000002000000}">
      <text>
        <r>
          <rPr>
            <b/>
            <sz val="9"/>
            <color indexed="81"/>
            <rFont val="Tahoma"/>
            <family val="2"/>
          </rPr>
          <t>MD. Abdul Latif:</t>
        </r>
        <r>
          <rPr>
            <sz val="9"/>
            <color indexed="81"/>
            <rFont val="Tahoma"/>
            <family val="2"/>
          </rPr>
          <t xml:space="preserve">
Wast bill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MD. Abdul Latif</author>
  </authors>
  <commentList>
    <comment ref="AQ8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MD. Abdul Latif:</t>
        </r>
        <r>
          <rPr>
            <sz val="9"/>
            <color indexed="81"/>
            <rFont val="Tahoma"/>
            <family val="2"/>
          </rPr>
          <t xml:space="preserve">
paid by Imran</t>
        </r>
      </text>
    </comment>
    <comment ref="AS8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MD. Abdul Latif:</t>
        </r>
        <r>
          <rPr>
            <sz val="9"/>
            <color indexed="81"/>
            <rFont val="Tahoma"/>
            <family val="2"/>
          </rPr>
          <t xml:space="preserve">
Others cost deducted taka 1300 previous month taken against 1246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MD. Abdul Latif</author>
  </authors>
  <commentList>
    <comment ref="AU4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MD. Abdul Latif:</t>
        </r>
        <r>
          <rPr>
            <sz val="9"/>
            <color indexed="81"/>
            <rFont val="Tahoma"/>
            <family val="2"/>
          </rPr>
          <t xml:space="preserve">
birth day cake</t>
        </r>
      </text>
    </comment>
    <comment ref="AS9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MD. Abdul Latif:</t>
        </r>
        <r>
          <rPr>
            <sz val="9"/>
            <color indexed="81"/>
            <rFont val="Tahoma"/>
            <family val="2"/>
          </rPr>
          <t xml:space="preserve">
1000 for freez</t>
        </r>
      </text>
    </comment>
    <comment ref="AQ11" authorId="0" shapeId="0" xr:uid="{00000000-0006-0000-0300-000003000000}">
      <text>
        <r>
          <rPr>
            <b/>
            <sz val="9"/>
            <color indexed="81"/>
            <rFont val="Tahoma"/>
            <family val="2"/>
          </rPr>
          <t>MD. Abdul Latif:</t>
        </r>
        <r>
          <rPr>
            <sz val="9"/>
            <color indexed="81"/>
            <rFont val="Tahoma"/>
            <family val="2"/>
          </rPr>
          <t xml:space="preserve">
birth day cake taka 700</t>
        </r>
      </text>
    </comment>
    <comment ref="AR11" authorId="0" shapeId="0" xr:uid="{00000000-0006-0000-0300-000004000000}">
      <text>
        <r>
          <rPr>
            <b/>
            <sz val="9"/>
            <color indexed="81"/>
            <rFont val="Tahoma"/>
            <family val="2"/>
          </rPr>
          <t>MD. Abdul Latif:</t>
        </r>
        <r>
          <rPr>
            <sz val="9"/>
            <color indexed="81"/>
            <rFont val="Tahoma"/>
            <family val="2"/>
          </rPr>
          <t xml:space="preserve">
taka 9030 paid on 28 Feb'21</t>
        </r>
      </text>
    </comment>
    <comment ref="AS11" authorId="0" shapeId="0" xr:uid="{00000000-0006-0000-0300-000005000000}">
      <text>
        <r>
          <rPr>
            <b/>
            <sz val="9"/>
            <color indexed="81"/>
            <rFont val="Tahoma"/>
            <family val="2"/>
          </rPr>
          <t>MD. Abdul Latif:</t>
        </r>
        <r>
          <rPr>
            <sz val="9"/>
            <color indexed="81"/>
            <rFont val="Tahoma"/>
            <family val="2"/>
          </rPr>
          <t xml:space="preserve">
For sunny taka 800</t>
        </r>
      </text>
    </comment>
    <comment ref="AS13" authorId="0" shapeId="0" xr:uid="{00000000-0006-0000-0300-000006000000}">
      <text>
        <r>
          <rPr>
            <b/>
            <sz val="9"/>
            <color indexed="81"/>
            <rFont val="Tahoma"/>
            <family val="2"/>
          </rPr>
          <t>MD. Abdul Latif:</t>
        </r>
        <r>
          <rPr>
            <sz val="9"/>
            <color indexed="81"/>
            <rFont val="Tahoma"/>
            <family val="2"/>
          </rPr>
          <t xml:space="preserve">
maid bill 400 for Jan'21
</t>
        </r>
      </text>
    </comment>
    <comment ref="D31" authorId="0" shapeId="0" xr:uid="{00000000-0006-0000-0300-000007000000}">
      <text>
        <r>
          <rPr>
            <b/>
            <sz val="9"/>
            <color indexed="81"/>
            <rFont val="Tahoma"/>
            <family val="2"/>
          </rPr>
          <t>MD. Abdul Latif:</t>
        </r>
        <r>
          <rPr>
            <sz val="9"/>
            <color indexed="81"/>
            <rFont val="Tahoma"/>
            <family val="2"/>
          </rPr>
          <t xml:space="preserve">
400 taka for Mohidul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MD. Abdul Latif</author>
  </authors>
  <commentList>
    <comment ref="AO8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MD. Abdul Latif:</t>
        </r>
        <r>
          <rPr>
            <sz val="9"/>
            <color indexed="81"/>
            <rFont val="Tahoma"/>
            <family val="2"/>
          </rPr>
          <t xml:space="preserve">
This cost was included with Md. Abdul Latif meal</t>
        </r>
      </text>
    </comment>
    <comment ref="AQ9" authorId="0" shapeId="0" xr:uid="{00000000-0006-0000-0400-000002000000}">
      <text>
        <r>
          <rPr>
            <b/>
            <sz val="9"/>
            <color indexed="81"/>
            <rFont val="Tahoma"/>
            <family val="2"/>
          </rPr>
          <t>MD. Abdul Latif:</t>
        </r>
        <r>
          <rPr>
            <sz val="9"/>
            <color indexed="81"/>
            <rFont val="Tahoma"/>
            <family val="2"/>
          </rPr>
          <t xml:space="preserve">
Taka 320 (03 April 2021)</t>
        </r>
      </text>
    </comment>
    <comment ref="AQ10" authorId="0" shapeId="0" xr:uid="{00000000-0006-0000-0400-000003000000}">
      <text>
        <r>
          <rPr>
            <b/>
            <sz val="9"/>
            <color indexed="81"/>
            <rFont val="Tahoma"/>
            <family val="2"/>
          </rPr>
          <t>MD. Abdul Latif:</t>
        </r>
        <r>
          <rPr>
            <sz val="9"/>
            <color indexed="81"/>
            <rFont val="Tahoma"/>
            <family val="2"/>
          </rPr>
          <t xml:space="preserve">
Mohidul Islam meal cost was borne by Md. Abdul Latif (Feb'21 Meal) So It will due from Mohidul Islma and Deposited by Md. Abdul Latif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MD. Abdul Latif</author>
  </authors>
  <commentList>
    <comment ref="AQ7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MD. Abdul Latif:</t>
        </r>
        <r>
          <rPr>
            <sz val="9"/>
            <color indexed="81"/>
            <rFont val="Tahoma"/>
            <family val="2"/>
          </rPr>
          <t xml:space="preserve">
Hand wash purchase taka 120</t>
        </r>
      </text>
    </comment>
    <comment ref="M31" authorId="0" shapeId="0" xr:uid="{00000000-0006-0000-0500-000002000000}">
      <text>
        <r>
          <rPr>
            <b/>
            <sz val="9"/>
            <color indexed="81"/>
            <rFont val="Tahoma"/>
            <family val="2"/>
          </rPr>
          <t>MD. Abdul Latif:</t>
        </r>
        <r>
          <rPr>
            <sz val="9"/>
            <color indexed="81"/>
            <rFont val="Tahoma"/>
            <family val="2"/>
          </rPr>
          <t xml:space="preserve">
Hand wash by Bipul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MD. Abdul Latif</author>
  </authors>
  <commentList>
    <comment ref="AQ5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MD. Abdul Latif:</t>
        </r>
        <r>
          <rPr>
            <sz val="9"/>
            <color indexed="81"/>
            <rFont val="Tahoma"/>
            <family val="2"/>
          </rPr>
          <t xml:space="preserve">
wast bill for April'21</t>
        </r>
      </text>
    </comment>
    <comment ref="AQ6" authorId="0" shapeId="0" xr:uid="{00000000-0006-0000-0600-000002000000}">
      <text>
        <r>
          <rPr>
            <b/>
            <sz val="9"/>
            <color indexed="81"/>
            <rFont val="Tahoma"/>
            <family val="2"/>
          </rPr>
          <t>MD. Abdul Latif:</t>
        </r>
        <r>
          <rPr>
            <sz val="9"/>
            <color indexed="81"/>
            <rFont val="Tahoma"/>
            <family val="2"/>
          </rPr>
          <t xml:space="preserve">
120 waste bill for March</t>
        </r>
      </text>
    </comment>
    <comment ref="M31" authorId="0" shapeId="0" xr:uid="{00000000-0006-0000-0600-000003000000}">
      <text>
        <r>
          <rPr>
            <b/>
            <sz val="9"/>
            <color indexed="81"/>
            <rFont val="Tahoma"/>
            <family val="2"/>
          </rPr>
          <t>MD. Abdul Latif:</t>
        </r>
        <r>
          <rPr>
            <sz val="9"/>
            <color indexed="81"/>
            <rFont val="Tahoma"/>
            <family val="2"/>
          </rPr>
          <t xml:space="preserve">
Jharu purchased by Emran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MD. Abdul Latif</author>
  </authors>
  <commentList>
    <comment ref="M31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MD. Abdul Latif:</t>
        </r>
        <r>
          <rPr>
            <sz val="9"/>
            <color indexed="81"/>
            <rFont val="Tahoma"/>
            <family val="2"/>
          </rPr>
          <t xml:space="preserve">
Jharu purchased by Emran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MD. Abdul Latif</author>
  </authors>
  <commentList>
    <comment ref="AJ5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MD. Abdul Latif:</t>
        </r>
        <r>
          <rPr>
            <sz val="9"/>
            <color indexed="81"/>
            <rFont val="Tahoma"/>
            <family val="2"/>
          </rPr>
          <t xml:space="preserve">
150 tk for iftar party</t>
        </r>
      </text>
    </comment>
    <comment ref="AJ6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MD. Abdul Latif:</t>
        </r>
        <r>
          <rPr>
            <sz val="9"/>
            <color indexed="81"/>
            <rFont val="Tahoma"/>
            <family val="2"/>
          </rPr>
          <t xml:space="preserve">
150 tk for iftar party</t>
        </r>
      </text>
    </comment>
    <comment ref="AJ10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MD. Abdul Latif:</t>
        </r>
        <r>
          <rPr>
            <sz val="9"/>
            <color indexed="81"/>
            <rFont val="Tahoma"/>
            <family val="2"/>
          </rPr>
          <t xml:space="preserve">
150 tk for iftar party</t>
        </r>
      </text>
    </comment>
    <comment ref="AK11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MD. Abdul Latif:</t>
        </r>
        <r>
          <rPr>
            <sz val="9"/>
            <color indexed="81"/>
            <rFont val="Tahoma"/>
            <family val="2"/>
          </rPr>
          <t xml:space="preserve">
150*3 tk for iftar party</t>
        </r>
      </text>
    </comment>
  </commentList>
</comments>
</file>

<file path=xl/sharedStrings.xml><?xml version="1.0" encoding="utf-8"?>
<sst xmlns="http://schemas.openxmlformats.org/spreadsheetml/2006/main" count="1712" uniqueCount="174">
  <si>
    <t>SL. No.</t>
  </si>
  <si>
    <t>Total meal</t>
  </si>
  <si>
    <t>Name</t>
  </si>
  <si>
    <t>Omar sany</t>
  </si>
  <si>
    <t>Chandra Shekhar Ganguly</t>
  </si>
  <si>
    <t>Ranti Saha</t>
  </si>
  <si>
    <t>Bipul Kumar</t>
  </si>
  <si>
    <t>Md. Abdul Latif</t>
  </si>
  <si>
    <t>Emranul Haque</t>
  </si>
  <si>
    <t>Rent for December'20</t>
  </si>
  <si>
    <t>Bazar for November'20</t>
  </si>
  <si>
    <t>Basic</t>
  </si>
  <si>
    <t>Maid bill</t>
  </si>
  <si>
    <t>Bonus</t>
  </si>
  <si>
    <t>Internet bill</t>
  </si>
  <si>
    <t>Gas bill</t>
  </si>
  <si>
    <t>Electricity bill</t>
  </si>
  <si>
    <t>Water bill</t>
  </si>
  <si>
    <t>Stair</t>
  </si>
  <si>
    <t>Newspaper bill</t>
  </si>
  <si>
    <t>Dust bill</t>
  </si>
  <si>
    <t xml:space="preserve">Others </t>
  </si>
  <si>
    <t>Total rent</t>
  </si>
  <si>
    <t>Total meal cost per head</t>
  </si>
  <si>
    <t>Total Bazar per head</t>
  </si>
  <si>
    <t>Rent per hear (Dec'20)</t>
  </si>
  <si>
    <t>Meal exp. Surplus/ (Deficit)</t>
  </si>
  <si>
    <t>Reqired payment amount</t>
  </si>
  <si>
    <t>Paid amount</t>
  </si>
  <si>
    <t>Payment date</t>
  </si>
  <si>
    <t>Previous month adjustment (if any)</t>
  </si>
  <si>
    <t>Rent exp. Surplus/ (Deficit)</t>
  </si>
  <si>
    <t>Reqired payment amount after adjustment of previous month</t>
  </si>
  <si>
    <t>Meal rate for Nov'20</t>
  </si>
  <si>
    <t>Advance to Land loard</t>
  </si>
  <si>
    <t>Per Room</t>
  </si>
  <si>
    <t>Per head</t>
  </si>
  <si>
    <t>Latif</t>
  </si>
  <si>
    <t>Bipul</t>
  </si>
  <si>
    <t>Zahid vai</t>
  </si>
  <si>
    <t>Ranti</t>
  </si>
  <si>
    <t>Rashidul</t>
  </si>
  <si>
    <t>Pritom</t>
  </si>
  <si>
    <t>Rono</t>
  </si>
  <si>
    <t>Omar Sunny</t>
  </si>
  <si>
    <t>Imran</t>
  </si>
  <si>
    <t>Mithun</t>
  </si>
  <si>
    <t>Total</t>
  </si>
  <si>
    <t>Zisan</t>
  </si>
  <si>
    <t>Shekhar</t>
  </si>
  <si>
    <t>Meal rate for Dec'20</t>
  </si>
  <si>
    <t>Sazayetul Islam Zisan</t>
  </si>
  <si>
    <t>Rent per hear (Jan'21)</t>
  </si>
  <si>
    <t>Mohidul</t>
  </si>
  <si>
    <t>Total as of Feb'21</t>
  </si>
  <si>
    <t>Diposit as on 01 Mar'21</t>
  </si>
  <si>
    <t>Due as of 01 Mar'21</t>
  </si>
  <si>
    <t>Md. Mohidul Islam</t>
  </si>
  <si>
    <t>Meal rate for Feb'21</t>
  </si>
  <si>
    <t>Bazar for Feb'21</t>
  </si>
  <si>
    <t>Rent for March'21</t>
  </si>
  <si>
    <t>Rent</t>
  </si>
  <si>
    <t>Maid</t>
  </si>
  <si>
    <t>Net</t>
  </si>
  <si>
    <t>Wast</t>
  </si>
  <si>
    <t>Meal rate for Mar'21</t>
  </si>
  <si>
    <t>Bazar for Mar'21</t>
  </si>
  <si>
    <t>Rent per hear (April'21)</t>
  </si>
  <si>
    <t>Rent per hear (Mar'21)</t>
  </si>
  <si>
    <t>Bazar for April'21</t>
  </si>
  <si>
    <t>Meal rate for April'21</t>
  </si>
  <si>
    <t>Gas</t>
  </si>
  <si>
    <t>Water</t>
  </si>
  <si>
    <t>Electricity</t>
  </si>
  <si>
    <t>C/C</t>
  </si>
  <si>
    <t>Rent per hear (May21)</t>
  </si>
  <si>
    <t>Rent for April'21</t>
  </si>
  <si>
    <t>Shariful Islam</t>
  </si>
  <si>
    <t>Bazar for April-May'21</t>
  </si>
  <si>
    <t>Meal rate for May'21</t>
  </si>
  <si>
    <t>Bazar for May'21</t>
  </si>
  <si>
    <t>Rent per hear (June-21)</t>
  </si>
  <si>
    <t>5/26/2021 and 04-Jun-21 and 10 June-2021</t>
  </si>
  <si>
    <t>14 &amp; 15 June-21</t>
  </si>
  <si>
    <t>Meal rate for June'21</t>
  </si>
  <si>
    <t>Rent per hear (July-21)</t>
  </si>
  <si>
    <t>Bazar for June'21</t>
  </si>
  <si>
    <t>Rent for July'21</t>
  </si>
  <si>
    <t>Balance sheet as of 10-Jul-2021</t>
  </si>
  <si>
    <t>Liability:</t>
  </si>
  <si>
    <t>Rent payable for July'21</t>
  </si>
  <si>
    <t>Accrued rent</t>
  </si>
  <si>
    <t>Assets</t>
  </si>
  <si>
    <t>Receivable from member</t>
  </si>
  <si>
    <t>Cash in hand</t>
  </si>
  <si>
    <t>Taka</t>
  </si>
  <si>
    <t>Personal due with Mess</t>
  </si>
  <si>
    <t>Total amount</t>
  </si>
  <si>
    <t>Emran</t>
  </si>
  <si>
    <t>Mithan</t>
  </si>
  <si>
    <t>Rent paid-July 2021</t>
  </si>
  <si>
    <t>Actual Rent paid</t>
  </si>
  <si>
    <t>Accrued rent as on July</t>
  </si>
  <si>
    <t>Paid by Bipu</t>
  </si>
  <si>
    <t>Saklayen Ahmed </t>
  </si>
  <si>
    <t>Imrul</t>
  </si>
  <si>
    <t>Rent per hear (Aug-21)</t>
  </si>
  <si>
    <t>Rent payable for August'21</t>
  </si>
  <si>
    <t>Meal rate for July'21</t>
  </si>
  <si>
    <t>Meal rate for August'21</t>
  </si>
  <si>
    <t>Saklayen</t>
  </si>
  <si>
    <t>Aman</t>
  </si>
  <si>
    <t>Fridge</t>
  </si>
  <si>
    <t>Bazar for Sep'21</t>
  </si>
  <si>
    <t>Meal rate for September'21</t>
  </si>
  <si>
    <t>Abdul Latif</t>
  </si>
  <si>
    <t>Advance</t>
  </si>
  <si>
    <t>Adjustment</t>
  </si>
  <si>
    <t>Emrol</t>
  </si>
  <si>
    <t>Meal rate for October'21</t>
  </si>
  <si>
    <t>Rent per hear (Nov-21)</t>
  </si>
  <si>
    <t>Bazar for October'21</t>
  </si>
  <si>
    <t>Rent for November'21</t>
  </si>
  <si>
    <t>Newspaper</t>
  </si>
  <si>
    <t xml:space="preserve">Total </t>
  </si>
  <si>
    <t>Difference</t>
  </si>
  <si>
    <t>Cash</t>
  </si>
  <si>
    <t>Meal rate for December'21</t>
  </si>
  <si>
    <t>Bazar for December'21</t>
  </si>
  <si>
    <t>Rent for January'22</t>
  </si>
  <si>
    <t>Rent per hear (Jan-22)</t>
  </si>
  <si>
    <t>Anik Das</t>
  </si>
  <si>
    <t>Rent for Dec'21</t>
  </si>
  <si>
    <t>Meal rate for Jan'22</t>
  </si>
  <si>
    <t>Bazar for Jan'22</t>
  </si>
  <si>
    <t>Rent for Feb'22</t>
  </si>
  <si>
    <t>Rent per hear (Feb-22)</t>
  </si>
  <si>
    <t>Rent payable for Feb'22</t>
  </si>
  <si>
    <t>Total Liabilities</t>
  </si>
  <si>
    <t>Total Assets</t>
  </si>
  <si>
    <t>Balance sheet as of 30 Jan-2022</t>
  </si>
  <si>
    <t>Cash in hand (Rocket)</t>
  </si>
  <si>
    <t>Bill Payable (NewsPaper)</t>
  </si>
  <si>
    <t>Bazar for Feb 22</t>
  </si>
  <si>
    <t>Rent for Mar 22</t>
  </si>
  <si>
    <t>Emrol/Nayan</t>
  </si>
  <si>
    <t>Rent per hear (Mar 22)</t>
  </si>
  <si>
    <t>Nayan</t>
  </si>
  <si>
    <t>Particulars</t>
  </si>
  <si>
    <t>For the month of March 22</t>
  </si>
  <si>
    <t>Total in Advance</t>
  </si>
  <si>
    <t>Total Rent</t>
  </si>
  <si>
    <t>Required Payment</t>
  </si>
  <si>
    <t>Total Meal Cost (Feb 22)</t>
  </si>
  <si>
    <t>Paid to Emrol By Nayan</t>
  </si>
  <si>
    <t>Paid to Saklayen By Nayan</t>
  </si>
  <si>
    <t>Required Payment for Nayan</t>
  </si>
  <si>
    <t>Total Required payment for Nayan</t>
  </si>
  <si>
    <t>Rent payable for Mar'22</t>
  </si>
  <si>
    <t>Meal rate for 
Feb 22</t>
  </si>
  <si>
    <t>Balance sheet as on 28 Feb 2022</t>
  </si>
  <si>
    <t>Liability</t>
  </si>
  <si>
    <t>Payable to Members</t>
  </si>
  <si>
    <t>Mohidul Vai</t>
  </si>
  <si>
    <t>Changes deduct from Ranti Da for Bipul Da</t>
  </si>
  <si>
    <t>Cash In Hand</t>
  </si>
  <si>
    <t>Receivable from member (Mahidul Vai)</t>
  </si>
  <si>
    <t>Bipul Da paid to Ranti Da</t>
  </si>
  <si>
    <t>Shortfall Deduct from Ranti Da for Bipul Da</t>
  </si>
  <si>
    <t>Bazar for Mar 22</t>
  </si>
  <si>
    <t>Meal rate for 
Mar 22</t>
  </si>
  <si>
    <t>Rent for April 22</t>
  </si>
  <si>
    <t>Rent per hear (April 22)</t>
  </si>
  <si>
    <t>Balance sheet as on Mar 31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</si>
</sst>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Trebuchet MS"/>
      <family val="2"/>
    </font>
    <font>
      <b/>
      <sz val="11"/>
      <color theme="1"/>
      <name val="Trebuchet MS"/>
      <family val="2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6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2" borderId="1" xfId="0" applyFill="1" applyBorder="1"/>
    <xf numFmtId="15" fontId="0" fillId="2" borderId="1" xfId="0" applyNumberFormat="1" applyFill="1" applyBorder="1"/>
    <xf numFmtId="43" fontId="0" fillId="0" borderId="1" xfId="1" applyFont="1" applyBorder="1"/>
    <xf numFmtId="164" fontId="0" fillId="0" borderId="1" xfId="1" applyNumberFormat="1" applyFont="1" applyBorder="1"/>
    <xf numFmtId="165" fontId="0" fillId="0" borderId="1" xfId="1" applyNumberFormat="1" applyFont="1" applyBorder="1"/>
    <xf numFmtId="165" fontId="0" fillId="0" borderId="0" xfId="0" applyNumberFormat="1"/>
    <xf numFmtId="0" fontId="2" fillId="0" borderId="0" xfId="0" applyFont="1" applyFill="1" applyBorder="1" applyAlignment="1">
      <alignment horizontal="left" vertical="center"/>
    </xf>
    <xf numFmtId="1" fontId="0" fillId="0" borderId="1" xfId="0" applyNumberFormat="1" applyBorder="1"/>
    <xf numFmtId="0" fontId="0" fillId="0" borderId="2" xfId="0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165" fontId="0" fillId="3" borderId="1" xfId="1" applyNumberFormat="1" applyFont="1" applyFill="1" applyBorder="1"/>
    <xf numFmtId="43" fontId="0" fillId="0" borderId="1" xfId="0" applyNumberFormat="1" applyBorder="1"/>
    <xf numFmtId="165" fontId="0" fillId="0" borderId="1" xfId="0" applyNumberFormat="1" applyBorder="1"/>
    <xf numFmtId="15" fontId="0" fillId="0" borderId="1" xfId="0" applyNumberFormat="1" applyBorder="1"/>
    <xf numFmtId="0" fontId="7" fillId="0" borderId="0" xfId="0" applyFont="1"/>
    <xf numFmtId="165" fontId="7" fillId="0" borderId="0" xfId="1" applyNumberFormat="1" applyFont="1"/>
    <xf numFmtId="0" fontId="7" fillId="0" borderId="1" xfId="0" applyFont="1" applyBorder="1"/>
    <xf numFmtId="165" fontId="7" fillId="0" borderId="1" xfId="1" applyNumberFormat="1" applyFont="1" applyBorder="1"/>
    <xf numFmtId="165" fontId="7" fillId="0" borderId="0" xfId="0" applyNumberFormat="1" applyFont="1"/>
    <xf numFmtId="0" fontId="8" fillId="0" borderId="1" xfId="0" applyFont="1" applyBorder="1"/>
    <xf numFmtId="165" fontId="8" fillId="0" borderId="1" xfId="1" applyNumberFormat="1" applyFont="1" applyBorder="1"/>
    <xf numFmtId="43" fontId="0" fillId="0" borderId="0" xfId="0" applyNumberFormat="1"/>
    <xf numFmtId="165" fontId="0" fillId="4" borderId="1" xfId="1" applyNumberFormat="1" applyFont="1" applyFill="1" applyBorder="1"/>
    <xf numFmtId="0" fontId="0" fillId="0" borderId="3" xfId="0" applyFill="1" applyBorder="1" applyAlignment="1">
      <alignment horizontal="left" vertical="center"/>
    </xf>
    <xf numFmtId="164" fontId="0" fillId="0" borderId="3" xfId="1" applyNumberFormat="1" applyFont="1" applyFill="1" applyBorder="1"/>
    <xf numFmtId="0" fontId="0" fillId="4" borderId="0" xfId="0" applyFill="1"/>
    <xf numFmtId="0" fontId="0" fillId="4" borderId="3" xfId="0" applyFill="1" applyBorder="1" applyAlignment="1">
      <alignment horizontal="left" vertical="center"/>
    </xf>
    <xf numFmtId="164" fontId="0" fillId="4" borderId="3" xfId="1" applyNumberFormat="1" applyFont="1" applyFill="1" applyBorder="1"/>
    <xf numFmtId="164" fontId="0" fillId="4" borderId="1" xfId="1" applyNumberFormat="1" applyFont="1" applyFill="1" applyBorder="1"/>
    <xf numFmtId="43" fontId="0" fillId="4" borderId="0" xfId="0" applyNumberFormat="1" applyFill="1"/>
    <xf numFmtId="43" fontId="0" fillId="4" borderId="1" xfId="0" applyNumberFormat="1" applyFill="1" applyBorder="1"/>
    <xf numFmtId="165" fontId="0" fillId="4" borderId="0" xfId="0" applyNumberFormat="1" applyFill="1"/>
    <xf numFmtId="0" fontId="0" fillId="0" borderId="0" xfId="0" applyBorder="1"/>
    <xf numFmtId="164" fontId="0" fillId="0" borderId="0" xfId="1" applyNumberFormat="1" applyFont="1" applyBorder="1"/>
    <xf numFmtId="43" fontId="0" fillId="0" borderId="0" xfId="0" applyNumberFormat="1" applyBorder="1"/>
    <xf numFmtId="165" fontId="0" fillId="0" borderId="0" xfId="0" applyNumberFormat="1" applyBorder="1"/>
    <xf numFmtId="165" fontId="0" fillId="0" borderId="1" xfId="1" applyNumberFormat="1" applyFont="1" applyFill="1" applyBorder="1"/>
    <xf numFmtId="0" fontId="0" fillId="5" borderId="1" xfId="0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0" fillId="2" borderId="0" xfId="0" applyFill="1" applyBorder="1"/>
    <xf numFmtId="165" fontId="2" fillId="0" borderId="0" xfId="0" applyNumberFormat="1" applyFont="1"/>
    <xf numFmtId="0" fontId="0" fillId="0" borderId="0" xfId="0" applyAlignment="1">
      <alignment wrapText="1"/>
    </xf>
    <xf numFmtId="0" fontId="0" fillId="2" borderId="1" xfId="0" applyFill="1" applyBorder="1" applyAlignment="1">
      <alignment horizontal="center" vertical="center" wrapText="1"/>
    </xf>
    <xf numFmtId="165" fontId="0" fillId="0" borderId="0" xfId="1" applyNumberFormat="1" applyFont="1"/>
    <xf numFmtId="165" fontId="2" fillId="0" borderId="0" xfId="1" applyNumberFormat="1" applyFont="1"/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165" fontId="2" fillId="0" borderId="1" xfId="0" applyNumberFormat="1" applyFont="1" applyBorder="1"/>
    <xf numFmtId="0" fontId="0" fillId="0" borderId="1" xfId="0" applyFill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15" fontId="0" fillId="2" borderId="1" xfId="0" applyNumberFormat="1" applyFill="1" applyBorder="1" applyAlignment="1">
      <alignment vertical="center"/>
    </xf>
    <xf numFmtId="164" fontId="2" fillId="0" borderId="4" xfId="1" applyNumberFormat="1" applyFont="1" applyBorder="1"/>
    <xf numFmtId="164" fontId="2" fillId="0" borderId="1" xfId="1" applyNumberFormat="1" applyFont="1" applyBorder="1"/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43" fontId="0" fillId="0" borderId="0" xfId="1" applyFont="1"/>
    <xf numFmtId="43" fontId="2" fillId="0" borderId="0" xfId="1" applyFont="1"/>
    <xf numFmtId="165" fontId="0" fillId="4" borderId="1" xfId="0" applyNumberFormat="1" applyFill="1" applyBorder="1"/>
    <xf numFmtId="15" fontId="0" fillId="4" borderId="1" xfId="0" applyNumberFormat="1" applyFill="1" applyBorder="1"/>
    <xf numFmtId="165" fontId="2" fillId="4" borderId="1" xfId="0" applyNumberFormat="1" applyFont="1" applyFill="1" applyBorder="1"/>
    <xf numFmtId="0" fontId="2" fillId="0" borderId="0" xfId="0" applyFont="1" applyAlignment="1">
      <alignment horizontal="left" vertical="center"/>
    </xf>
    <xf numFmtId="165" fontId="2" fillId="0" borderId="1" xfId="1" applyNumberFormat="1" applyFont="1" applyBorder="1"/>
    <xf numFmtId="0" fontId="2" fillId="2" borderId="1" xfId="0" applyFont="1" applyFill="1" applyBorder="1"/>
    <xf numFmtId="165" fontId="2" fillId="0" borderId="1" xfId="1" applyNumberFormat="1" applyFont="1" applyFill="1" applyBorder="1"/>
    <xf numFmtId="165" fontId="0" fillId="0" borderId="1" xfId="0" applyNumberFormat="1" applyFill="1" applyBorder="1"/>
    <xf numFmtId="165" fontId="2" fillId="0" borderId="1" xfId="0" applyNumberFormat="1" applyFont="1" applyFill="1" applyBorder="1"/>
    <xf numFmtId="0" fontId="2" fillId="0" borderId="0" xfId="0" applyFont="1"/>
    <xf numFmtId="0" fontId="2" fillId="2" borderId="5" xfId="0" applyFont="1" applyFill="1" applyBorder="1" applyAlignment="1">
      <alignment horizontal="center" vertical="center" wrapText="1"/>
    </xf>
    <xf numFmtId="0" fontId="10" fillId="5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left" vertical="center"/>
    </xf>
    <xf numFmtId="165" fontId="10" fillId="5" borderId="1" xfId="0" applyNumberFormat="1" applyFont="1" applyFill="1" applyBorder="1"/>
    <xf numFmtId="165" fontId="10" fillId="5" borderId="1" xfId="1" applyNumberFormat="1" applyFont="1" applyFill="1" applyBorder="1"/>
    <xf numFmtId="15" fontId="10" fillId="5" borderId="1" xfId="0" applyNumberFormat="1" applyFont="1" applyFill="1" applyBorder="1"/>
    <xf numFmtId="165" fontId="2" fillId="4" borderId="1" xfId="1" applyNumberFormat="1" applyFont="1" applyFill="1" applyBorder="1"/>
    <xf numFmtId="0" fontId="2" fillId="0" borderId="1" xfId="0" applyFont="1" applyBorder="1"/>
    <xf numFmtId="0" fontId="2" fillId="0" borderId="6" xfId="0" applyFont="1" applyBorder="1"/>
    <xf numFmtId="165" fontId="2" fillId="0" borderId="6" xfId="0" applyNumberFormat="1" applyFont="1" applyBorder="1"/>
    <xf numFmtId="165" fontId="2" fillId="2" borderId="1" xfId="1" applyNumberFormat="1" applyFont="1" applyFill="1" applyBorder="1" applyAlignment="1">
      <alignment vertical="center"/>
    </xf>
    <xf numFmtId="165" fontId="2" fillId="2" borderId="1" xfId="1" applyNumberFormat="1" applyFont="1" applyFill="1" applyBorder="1" applyAlignment="1">
      <alignment horizontal="center" vertical="center" wrapText="1"/>
    </xf>
    <xf numFmtId="165" fontId="0" fillId="0" borderId="1" xfId="1" applyNumberFormat="1" applyFont="1" applyBorder="1" applyAlignment="1">
      <alignment horizontal="left" vertical="center"/>
    </xf>
    <xf numFmtId="165" fontId="0" fillId="0" borderId="2" xfId="1" applyNumberFormat="1" applyFont="1" applyBorder="1" applyAlignment="1">
      <alignment horizontal="left" vertical="center"/>
    </xf>
    <xf numFmtId="165" fontId="11" fillId="7" borderId="1" xfId="1" applyNumberFormat="1" applyFont="1" applyFill="1" applyBorder="1"/>
    <xf numFmtId="165" fontId="2" fillId="0" borderId="1" xfId="1" applyNumberFormat="1" applyFont="1" applyBorder="1" applyAlignment="1">
      <alignment horizontal="center" vertical="center"/>
    </xf>
    <xf numFmtId="165" fontId="0" fillId="6" borderId="1" xfId="1" applyNumberFormat="1" applyFont="1" applyFill="1" applyBorder="1"/>
    <xf numFmtId="165" fontId="2" fillId="0" borderId="7" xfId="1" applyNumberFormat="1" applyFont="1" applyFill="1" applyBorder="1"/>
    <xf numFmtId="165" fontId="2" fillId="0" borderId="7" xfId="1" applyNumberFormat="1" applyFont="1" applyBorder="1"/>
    <xf numFmtId="165" fontId="1" fillId="3" borderId="7" xfId="1" applyNumberFormat="1" applyFont="1" applyFill="1" applyBorder="1"/>
    <xf numFmtId="43" fontId="12" fillId="0" borderId="1" xfId="1" applyFont="1" applyBorder="1"/>
    <xf numFmtId="0" fontId="12" fillId="0" borderId="1" xfId="0" applyFont="1" applyBorder="1"/>
    <xf numFmtId="43" fontId="1" fillId="3" borderId="7" xfId="1" applyFont="1" applyFill="1" applyBorder="1"/>
    <xf numFmtId="165" fontId="2" fillId="8" borderId="1" xfId="1" applyNumberFormat="1" applyFont="1" applyFill="1" applyBorder="1" applyAlignment="1">
      <alignment horizontal="center" vertical="center" wrapText="1"/>
    </xf>
    <xf numFmtId="14" fontId="0" fillId="0" borderId="1" xfId="1" applyNumberFormat="1" applyFont="1" applyFill="1" applyBorder="1"/>
    <xf numFmtId="0" fontId="0" fillId="2" borderId="0" xfId="0" applyFill="1"/>
    <xf numFmtId="165" fontId="0" fillId="2" borderId="0" xfId="0" applyNumberFormat="1" applyFill="1"/>
    <xf numFmtId="165" fontId="0" fillId="9" borderId="0" xfId="0" applyNumberFormat="1" applyFill="1"/>
    <xf numFmtId="165" fontId="0" fillId="10" borderId="0" xfId="0" applyNumberFormat="1" applyFill="1"/>
    <xf numFmtId="0" fontId="0" fillId="10" borderId="0" xfId="0" applyFill="1" applyAlignment="1">
      <alignment horizontal="right"/>
    </xf>
    <xf numFmtId="0" fontId="0" fillId="10" borderId="0" xfId="0" applyFill="1" applyAlignment="1">
      <alignment horizontal="left"/>
    </xf>
    <xf numFmtId="165" fontId="0" fillId="8" borderId="1" xfId="1" applyNumberFormat="1" applyFont="1" applyFill="1" applyBorder="1"/>
    <xf numFmtId="165" fontId="2" fillId="8" borderId="1" xfId="1" applyNumberFormat="1" applyFont="1" applyFill="1" applyBorder="1"/>
    <xf numFmtId="165" fontId="2" fillId="9" borderId="0" xfId="0" applyNumberFormat="1" applyFont="1" applyFill="1"/>
    <xf numFmtId="165" fontId="0" fillId="9" borderId="0" xfId="1" applyNumberFormat="1" applyFont="1" applyFill="1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2" fontId="3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2" fontId="9" fillId="0" borderId="0" xfId="0" applyNumberFormat="1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 wrapText="1"/>
    </xf>
    <xf numFmtId="2" fontId="3" fillId="6" borderId="1" xfId="0" applyNumberFormat="1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 wrapText="1"/>
    </xf>
    <xf numFmtId="2" fontId="9" fillId="6" borderId="1" xfId="0" applyNumberFormat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11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microsoft.com/office/2017/10/relationships/person" Target="persons/perso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aha, Ranti" id="{5506DF96-4A5E-47BE-AC1D-3F70DF35D86F}" userId="S::rantsaha@deloitte.com::5e4d3fb5-14e6-47b3-a08c-45a0113b56db" providerId="AD"/>
  <person displayName="Ahmed, Saklayen" id="{BC6F4F82-77A8-4284-9466-663C40C780E7}" userId="S::asaklayen@deloitte.com::421148cc-0c49-48ea-80b7-eb4e911cd771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7" dT="2021-09-28T18:07:38.96" personId="{5506DF96-4A5E-47BE-AC1D-3F70DF35D86F}" id="{CA8E331F-ACD4-46CE-8561-69A7D50C2F7C}">
    <text>Repaid 28-Sep-21</text>
  </threadedComment>
  <threadedComment ref="E18" dT="2021-09-28T18:14:50.02" personId="{5506DF96-4A5E-47BE-AC1D-3F70DF35D86F}" id="{00AA401D-899B-451D-A7A8-7CF6938DFAA1}">
    <text>28-sep-21</text>
  </threadedComment>
  <threadedComment ref="D20" dT="2021-09-28T18:05:29.87" personId="{5506DF96-4A5E-47BE-AC1D-3F70DF35D86F}" id="{F44831A3-29E2-4C6C-9EE2-5BD63C13F094}">
    <text>TK 3,000 (28-Sep-21)</text>
  </threadedComment>
</ThreadedComments>
</file>

<file path=xl/threadedComments/threadedComment10.xml><?xml version="1.0" encoding="utf-8"?>
<ThreadedComments xmlns="http://schemas.microsoft.com/office/spreadsheetml/2018/threadedcomments" xmlns:x="http://schemas.openxmlformats.org/spreadsheetml/2006/main">
  <threadedComment ref="AS7" dT="2022-02-20T16:56:36.91" personId="{BC6F4F82-77A8-4284-9466-663C40C780E7}" id="{6F85C5B3-1B49-495B-9AD8-026D3687D1A2}">
    <text>Portion of newspaper bill</text>
  </threadedComment>
  <threadedComment ref="AS10" dT="2022-02-20T16:56:50.56" personId="{BC6F4F82-77A8-4284-9466-663C40C780E7}" id="{E22F92F5-1FC5-4C38-89F1-AD8E11850440}">
    <text>Portion of newspaper bill</text>
  </threadedComment>
</ThreadedComments>
</file>

<file path=xl/threadedComments/threadedComment11.xml><?xml version="1.0" encoding="utf-8"?>
<ThreadedComments xmlns="http://schemas.microsoft.com/office/spreadsheetml/2018/threadedcomments" xmlns:x="http://schemas.openxmlformats.org/spreadsheetml/2006/main">
  <threadedComment ref="AS5" dT="2022-03-17T16:08:01.24" personId="{BC6F4F82-77A8-4284-9466-663C40C780E7}" id="{ABA8C2FC-E041-4BA3-9A50-1AC675BEF436}">
    <text>Internet Bill</text>
  </threadedComment>
  <threadedComment ref="AS5" dT="2022-03-19T15:03:57.95" personId="{BC6F4F82-77A8-4284-9466-663C40C780E7}" id="{5731A627-44D7-4779-8D2E-F8B16E9DBE37}" parentId="{ABA8C2FC-E041-4BA3-9A50-1AC675BEF436}">
    <text>Rent 3000 TK for Mar 22</text>
  </threadedComment>
  <threadedComment ref="AS5" dT="2022-03-22T16:25:02.35" personId="{BC6F4F82-77A8-4284-9466-663C40C780E7}" id="{8670F63A-CFD6-40E4-A1A9-F4A20155D241}" parentId="{ABA8C2FC-E041-4BA3-9A50-1AC675BEF436}">
    <text>181+3=184 deduct for bipu da</text>
  </threadedComment>
  <threadedComment ref="AS6" dT="2022-03-19T14:57:30.09" personId="{BC6F4F82-77A8-4284-9466-663C40C780E7}" id="{BCAECDB8-3BCA-4014-ABD7-D54A2ACBFA65}">
    <text>Rent 4000 for Mar 22</text>
  </threadedComment>
  <threadedComment ref="AS7" dT="2022-03-17T17:22:35.36" personId="{BC6F4F82-77A8-4284-9466-663C40C780E7}" id="{A600B722-2813-4F29-A046-40260AA99417}">
    <text>From Nayan 500-408=92</text>
  </threadedComment>
  <threadedComment ref="AS7" dT="2022-03-22T16:31:18.13" personId="{BC6F4F82-77A8-4284-9466-663C40C780E7}" id="{D258E814-4B0C-407E-ADD4-905FBDCFE954}" parentId="{A600B722-2813-4F29-A046-40260AA99417}">
    <text>6400 Paid for Rent 5700 and 881 and 184 TK from Ranti da, Total 6581 TK</text>
  </threadedComment>
  <threadedComment ref="AS8" dT="2022-03-17T16:08:24.95" personId="{BC6F4F82-77A8-4284-9466-663C40C780E7}" id="{2310913A-8ED9-4F78-BB69-1BC28FED00B2}">
    <text>Dust Bill</text>
  </threadedComment>
  <threadedComment ref="AS8" dT="2022-03-20T15:06:24.58" personId="{BC6F4F82-77A8-4284-9466-663C40C780E7}" id="{8017CDE6-EAF0-4FED-ADCA-191FE4B11C73}" parentId="{2310913A-8ED9-4F78-BB69-1BC28FED00B2}">
    <text>Rent 3940 Paid</text>
  </threadedComment>
  <threadedComment ref="AS9" dT="2022-03-17T16:08:34.43" personId="{BC6F4F82-77A8-4284-9466-663C40C780E7}" id="{762FEFAA-AC68-4DBF-9605-51F3E73DFBDC}">
    <text>Maid Bill</text>
  </threadedComment>
  <threadedComment ref="AS10" dT="2022-03-21T15:02:12.76" personId="{BC6F4F82-77A8-4284-9466-663C40C780E7}" id="{F70FF6E3-2B52-4DC5-857C-00D44EB24A54}">
    <text>Rent 3300 for Mar 22</text>
  </threadedComment>
  <threadedComment ref="AS11" dT="2022-03-17T17:12:40.55" personId="{BC6F4F82-77A8-4284-9466-663C40C780E7}" id="{5B0989B7-61B2-4188-9A86-A621B8E963C6}">
    <text>part of newspaper bill</text>
  </threadedComment>
  <threadedComment ref="AS11" dT="2022-03-19T14:57:14.85" personId="{BC6F4F82-77A8-4284-9466-663C40C780E7}" id="{A2BE7CB3-C1D7-43DD-AE1B-4E5E55E0223D}" parentId="{5B0989B7-61B2-4188-9A86-A621B8E963C6}">
    <text>Rent 3700 for Mar 22</text>
  </threadedComment>
  <threadedComment ref="AL22" dT="2022-03-19T15:00:29.92" personId="{BC6F4F82-77A8-4284-9466-663C40C780E7}" id="{51EBF936-D3DA-4326-8F02-AB625E548CB3}">
    <text>Bipul Da : 881 TK and Saklayen : 7700 TK</text>
  </threadedComment>
  <threadedComment ref="AL22" dT="2022-03-20T15:07:24.12" personId="{BC6F4F82-77A8-4284-9466-663C40C780E7}" id="{1CA9490B-5622-4847-BB83-C96C0A74D033}" parentId="{51EBF936-D3DA-4326-8F02-AB625E548CB3}">
    <text>Mohidul Vai 3940</text>
  </threadedComment>
  <threadedComment ref="AL22" dT="2022-03-20T15:08:01.55" personId="{BC6F4F82-77A8-4284-9466-663C40C780E7}" id="{C4CD38D0-A28B-41F8-8140-A4A9DC9A401A}" parentId="{51EBF936-D3DA-4326-8F02-AB625E548CB3}">
    <text>Ranti Da 3000 Paid</text>
  </threadedComment>
  <threadedComment ref="AL22" dT="2022-03-20T15:08:09.93" personId="{BC6F4F82-77A8-4284-9466-663C40C780E7}" id="{4135B267-B6B2-4DD8-9DB3-92465C982CFA}" parentId="{51EBF936-D3DA-4326-8F02-AB625E548CB3}">
    <text>Anik Da 4000 Paid</text>
  </threadedComment>
  <threadedComment ref="AL22" dT="2022-03-21T15:01:24.14" personId="{BC6F4F82-77A8-4284-9466-663C40C780E7}" id="{3F81156A-EFE6-43C1-B67A-87F68F02C0E3}" parentId="{51EBF936-D3DA-4326-8F02-AB625E548CB3}">
    <text>Rent for Saklayen 3300 paid</text>
  </threadedComment>
</ThreadedComments>
</file>

<file path=xl/threadedComments/threadedComment12.xml><?xml version="1.0" encoding="utf-8"?>
<ThreadedComments xmlns="http://schemas.microsoft.com/office/spreadsheetml/2018/threadedcomments" xmlns:x="http://schemas.openxmlformats.org/spreadsheetml/2006/main">
  <threadedComment ref="AS5" dT="2022-03-17T16:08:01.24" personId="{BC6F4F82-77A8-4284-9466-663C40C780E7}" id="{0C173361-0435-4AFD-A45C-594E922CC51C}">
    <text>Internet Bill</text>
  </threadedComment>
  <threadedComment ref="AS5" dT="2022-03-19T15:03:57.95" personId="{BC6F4F82-77A8-4284-9466-663C40C780E7}" id="{1ABF77C7-EE10-4F13-B2D8-D42175F66322}" parentId="{0C173361-0435-4AFD-A45C-594E922CC51C}">
    <text>Rent 3000 TK for Mar 22</text>
  </threadedComment>
  <threadedComment ref="AS5" dT="2022-03-22T16:25:02.35" personId="{BC6F4F82-77A8-4284-9466-663C40C780E7}" id="{13522B90-86AD-4929-BE4A-B70B492FFFEA}" parentId="{0C173361-0435-4AFD-A45C-594E922CC51C}">
    <text>181+3=184 deduct for bipu da</text>
  </threadedComment>
  <threadedComment ref="AS6" dT="2022-03-19T14:57:30.09" personId="{BC6F4F82-77A8-4284-9466-663C40C780E7}" id="{885450D8-4447-4108-83CD-AEFCFD4D00D9}">
    <text>Rent 4000 for Mar 22</text>
  </threadedComment>
  <threadedComment ref="AS7" dT="2022-03-17T17:22:35.36" personId="{BC6F4F82-77A8-4284-9466-663C40C780E7}" id="{D8519494-44CB-47CA-8A1B-A71939BF0871}">
    <text>From Nayan 500-408=92</text>
  </threadedComment>
  <threadedComment ref="AS7" dT="2022-03-22T16:31:18.13" personId="{BC6F4F82-77A8-4284-9466-663C40C780E7}" id="{C08F1FA3-83DA-4074-BDDC-52C23AF2F06C}" parentId="{D8519494-44CB-47CA-8A1B-A71939BF0871}">
    <text>6400 Paid for Rent 5700 and 881 and 184 TK from Ranti da, Total 6581 TK</text>
  </threadedComment>
  <threadedComment ref="AS8" dT="2022-03-17T16:08:24.95" personId="{BC6F4F82-77A8-4284-9466-663C40C780E7}" id="{89545CB0-9F62-44D7-BD04-21D4578B6FFB}">
    <text>Dust Bill</text>
  </threadedComment>
  <threadedComment ref="AS8" dT="2022-03-20T15:06:24.58" personId="{BC6F4F82-77A8-4284-9466-663C40C780E7}" id="{D663DC30-42C6-467F-8B07-292D8A7C4A36}" parentId="{89545CB0-9F62-44D7-BD04-21D4578B6FFB}">
    <text>Rent 3940 Paid</text>
  </threadedComment>
  <threadedComment ref="AS9" dT="2022-03-17T16:08:34.43" personId="{BC6F4F82-77A8-4284-9466-663C40C780E7}" id="{35F7BB2B-C0AA-47F7-AC5E-08887480DC14}">
    <text>Maid Bill</text>
  </threadedComment>
  <threadedComment ref="AS10" dT="2022-03-21T15:02:12.76" personId="{BC6F4F82-77A8-4284-9466-663C40C780E7}" id="{1335E8AA-702E-4FE3-AE08-0C312257C4B8}">
    <text>Rent 3300 for Mar 22</text>
  </threadedComment>
  <threadedComment ref="AS11" dT="2022-03-17T17:12:40.55" personId="{BC6F4F82-77A8-4284-9466-663C40C780E7}" id="{7D64C167-9B48-4C63-8F74-3D6D1EB9E6B2}">
    <text>part of newspaper bill</text>
  </threadedComment>
  <threadedComment ref="AS11" dT="2022-03-19T14:57:14.85" personId="{BC6F4F82-77A8-4284-9466-663C40C780E7}" id="{0039B0F1-D3EE-48C2-A47D-8D04E3C6BA50}" parentId="{7D64C167-9B48-4C63-8F74-3D6D1EB9E6B2}">
    <text>Rent 3700 for Mar 22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Q8" dT="2021-07-16T16:50:05.94" personId="{5506DF96-4A5E-47BE-AC1D-3F70DF35D86F}" id="{6E160DB1-1A41-4B00-9829-8E0761D754E6}">
    <text>2000 Abdul Latif, 15 July 2021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AS5" dT="2021-08-11T11:21:29.27" personId="{5506DF96-4A5E-47BE-AC1D-3F70DF35D86F}" id="{7ACC5E37-BA2F-44F2-9EE2-0E351BB5D236}">
    <text>Internet bill Tk 500 (10-Aug-21)</text>
  </threadedComment>
  <threadedComment ref="AS6" dT="2021-08-11T11:21:58.53" personId="{5506DF96-4A5E-47BE-AC1D-3F70DF35D86F}" id="{6E7EEA30-A5F4-45A8-B580-6128A02AD611}">
    <text>Waste bill (120+25)</text>
  </threadedComment>
  <threadedComment ref="AS9" dT="2021-08-11T11:23:28.43" personId="{5506DF96-4A5E-47BE-AC1D-3F70DF35D86F}" id="{3EF02456-075D-4BB0-A549-F75F9E92261D}">
    <text>Maid bill for the Month of July 21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AS8" dT="2021-09-17T19:00:52.50" personId="{5506DF96-4A5E-47BE-AC1D-3F70DF35D86F}" id="{DC65E409-EE56-4D66-A75D-CE07BD9A3240}">
    <text>17-Aug-21=3500</text>
  </threadedComment>
  <threadedComment ref="AS9" dT="2021-08-11T11:23:28.43" personId="{5506DF96-4A5E-47BE-AC1D-3F70DF35D86F}" id="{EC753F09-D414-4C3F-BE4B-C89C6A12B1DF}">
    <text>Maid bill and waste bill for the Month of August 21</text>
  </threadedComment>
  <threadedComment ref="AS12" dT="2021-09-28T17:38:18.78" personId="{5506DF96-4A5E-47BE-AC1D-3F70DF35D86F}" id="{1FBBA863-62E2-4938-B48E-5E02AD2F559B}">
    <text>Total 3095+3750 (Advance+Fridge)=6845 (25-Sep-21)</text>
  </threadedComment>
  <threadedComment ref="AS13" dT="2021-09-28T17:39:12.70" personId="{5506DF96-4A5E-47BE-AC1D-3F70DF35D86F}" id="{E70CEEB4-E63C-4426-BB61-5239DCBAA99F}">
    <text>Total 4000 (25-Sep-21)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AS8" dT="2021-09-17T19:00:52.50" personId="{5506DF96-4A5E-47BE-AC1D-3F70DF35D86F}" id="{CCB0E3CF-E1C7-4846-B97F-2D5524C30410}">
    <text>17-Aug-21=3500</text>
  </threadedComment>
  <threadedComment ref="AS9" dT="2021-08-11T11:23:28.43" personId="{5506DF96-4A5E-47BE-AC1D-3F70DF35D86F}" id="{0A98EA7F-23E5-4553-A6E1-CD7D9E2D0893}">
    <text>Maid bill and waste bill for the Month of August 21</text>
  </threadedComment>
  <threadedComment ref="AS12" dT="2021-09-28T17:38:18.78" personId="{5506DF96-4A5E-47BE-AC1D-3F70DF35D86F}" id="{D43EE28B-0461-4794-BC5F-592D07985888}">
    <text>Total 3095+3750 (Advance+Fridge)=6845 (25-Sep-21)</text>
  </threadedComment>
  <threadedComment ref="AS13" dT="2021-09-28T17:39:12.70" personId="{5506DF96-4A5E-47BE-AC1D-3F70DF35D86F}" id="{86388A37-7C9C-4B03-B252-03E7B6D5C2BF}">
    <text>Total 4000 (25-Sep-21)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AS10" dT="2021-08-11T11:23:28.43" personId="{5506DF96-4A5E-47BE-AC1D-3F70DF35D86F}" id="{609C2B21-E94D-4A93-8D97-631B7E2574E8}">
    <text>Maid bill for the Month of September 21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AS5" dT="2021-11-30T16:39:04.00" personId="{5506DF96-4A5E-47BE-AC1D-3F70DF35D86F}" id="{F5DAD08D-8EC2-4719-BAA5-6E03CE2EDC83}">
    <text>Internet-500
Newspaper-625
Router-1000</text>
  </threadedComment>
  <threadedComment ref="AS6" dT="2021-11-30T16:39:29.81" personId="{5506DF96-4A5E-47BE-AC1D-3F70DF35D86F}" id="{26325236-7452-4910-84D3-A4FE780D5BC4}">
    <text>Router-500</text>
  </threadedComment>
  <threadedComment ref="AS8" dT="2021-11-30T16:42:12.73" personId="{5506DF96-4A5E-47BE-AC1D-3F70DF35D86F}" id="{4A1C2BA8-F424-4AB3-983E-F8A8D37A3B99}">
    <text>Waste Bill 120</text>
  </threadedComment>
  <threadedComment ref="AS9" dT="2021-11-30T16:40:15.49" personId="{5506DF96-4A5E-47BE-AC1D-3F70DF35D86F}" id="{ADA15E40-CA79-4787-84B2-F40DAA27523D}">
    <text>Maid Bill - 3000
Others (Balb &amp; Harpic)- 200</text>
  </threadedComment>
  <threadedComment ref="AS10" dT="2021-11-30T16:40:32.87" personId="{5506DF96-4A5E-47BE-AC1D-3F70DF35D86F}" id="{AE5D13FC-D339-4479-B00E-E7FB4DDF2F3D}">
    <text>Router-950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B26" dT="2022-01-16T18:42:01.50" personId="{BC6F4F82-77A8-4284-9466-663C40C780E7}" id="{22F6F421-1376-4DED-8458-5237F3524CF4}">
    <text>AnikDa-Rent 3,000 and Aman utilities and others</text>
  </threadedComment>
</ThreadedComments>
</file>

<file path=xl/threadedComments/threadedComment9.xml><?xml version="1.0" encoding="utf-8"?>
<ThreadedComments xmlns="http://schemas.microsoft.com/office/spreadsheetml/2018/threadedcomments" xmlns:x="http://schemas.openxmlformats.org/spreadsheetml/2006/main">
  <threadedComment ref="B26" dT="2022-01-16T18:42:01.50" personId="{BC6F4F82-77A8-4284-9466-663C40C780E7}" id="{48854F37-13AC-4A94-B608-BEBB201ACAC0}">
    <text>AnikDa-Rent 3,000 and Aman utilities and others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Relationship Id="rId4" Type="http://schemas.microsoft.com/office/2017/10/relationships/threadedComment" Target="../threadedComments/threadedComment2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Relationship Id="rId4" Type="http://schemas.microsoft.com/office/2017/10/relationships/threadedComment" Target="../threadedComments/threadedComment3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Relationship Id="rId4" Type="http://schemas.microsoft.com/office/2017/10/relationships/threadedComment" Target="../threadedComments/threadedComment4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Relationship Id="rId4" Type="http://schemas.microsoft.com/office/2017/10/relationships/threadedComment" Target="../threadedComments/threadedComment5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Relationship Id="rId4" Type="http://schemas.microsoft.com/office/2017/10/relationships/threadedComment" Target="../threadedComments/threadedComment6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5.bin"/><Relationship Id="rId4" Type="http://schemas.microsoft.com/office/2017/10/relationships/threadedComment" Target="../threadedComments/threadedComment7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7.bin"/><Relationship Id="rId4" Type="http://schemas.microsoft.com/office/2017/10/relationships/threadedComment" Target="../threadedComments/threadedComment8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18.bin"/><Relationship Id="rId4" Type="http://schemas.microsoft.com/office/2017/10/relationships/threadedComment" Target="../threadedComments/threadedComment9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19.bin"/><Relationship Id="rId4" Type="http://schemas.microsoft.com/office/2017/10/relationships/threadedComment" Target="../threadedComments/threadedComment10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.xml"/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20.bin"/><Relationship Id="rId4" Type="http://schemas.microsoft.com/office/2017/10/relationships/threadedComment" Target="../threadedComments/threadedComment11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.xml"/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21.bin"/><Relationship Id="rId4" Type="http://schemas.microsoft.com/office/2017/10/relationships/threadedComment" Target="../threadedComments/threadedComment12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.xml"/><Relationship Id="rId2" Type="http://schemas.openxmlformats.org/officeDocument/2006/relationships/vmlDrawing" Target="../drawings/vmlDrawing21.vml"/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H21"/>
  <sheetViews>
    <sheetView view="pageBreakPreview" zoomScaleSheetLayoutView="100" workbookViewId="0">
      <selection activeCell="C19" sqref="C19"/>
    </sheetView>
  </sheetViews>
  <sheetFormatPr defaultColWidth="9.33203125" defaultRowHeight="14.4" x14ac:dyDescent="0.3"/>
  <cols>
    <col min="1" max="1" width="9.33203125" style="18"/>
    <col min="2" max="2" width="22.6640625" style="18" bestFit="1" customWidth="1"/>
    <col min="3" max="3" width="12.44140625" style="18" bestFit="1" customWidth="1"/>
    <col min="4" max="4" width="11.33203125" style="19" bestFit="1" customWidth="1"/>
    <col min="5" max="5" width="10.33203125" style="18" bestFit="1" customWidth="1"/>
    <col min="6" max="6" width="13.6640625" style="18" bestFit="1" customWidth="1"/>
    <col min="7" max="16384" width="9.33203125" style="18"/>
  </cols>
  <sheetData>
    <row r="4" spans="2:6" x14ac:dyDescent="0.3">
      <c r="B4" s="18" t="s">
        <v>34</v>
      </c>
      <c r="D4" s="19">
        <v>17000</v>
      </c>
      <c r="E4" s="18" t="s">
        <v>35</v>
      </c>
      <c r="F4" s="18">
        <f>D4/3</f>
        <v>5666.666666666667</v>
      </c>
    </row>
    <row r="5" spans="2:6" x14ac:dyDescent="0.3">
      <c r="E5" s="18" t="s">
        <v>36</v>
      </c>
      <c r="F5" s="18">
        <f>F4/2</f>
        <v>2833.3333333333335</v>
      </c>
    </row>
    <row r="6" spans="2:6" x14ac:dyDescent="0.3">
      <c r="B6" s="20">
        <v>1</v>
      </c>
      <c r="C6" s="20" t="s">
        <v>37</v>
      </c>
      <c r="D6" s="21">
        <f>F5-1083+1000-167</f>
        <v>2583.3333333333335</v>
      </c>
    </row>
    <row r="7" spans="2:6" x14ac:dyDescent="0.3">
      <c r="B7" s="20">
        <v>2</v>
      </c>
      <c r="C7" s="20" t="s">
        <v>38</v>
      </c>
      <c r="D7" s="21">
        <f>F5</f>
        <v>2833.3333333333335</v>
      </c>
    </row>
    <row r="8" spans="2:6" x14ac:dyDescent="0.3">
      <c r="B8" s="20">
        <v>3</v>
      </c>
      <c r="C8" s="20" t="s">
        <v>39</v>
      </c>
      <c r="D8" s="21">
        <f>F5-2833</f>
        <v>0.33333333333348492</v>
      </c>
    </row>
    <row r="9" spans="2:6" x14ac:dyDescent="0.3">
      <c r="B9" s="20">
        <v>4</v>
      </c>
      <c r="C9" s="20" t="s">
        <v>40</v>
      </c>
      <c r="D9" s="21">
        <f>F5</f>
        <v>2833.3333333333335</v>
      </c>
    </row>
    <row r="10" spans="2:6" x14ac:dyDescent="0.3">
      <c r="B10" s="20">
        <v>5</v>
      </c>
      <c r="C10" s="20" t="s">
        <v>41</v>
      </c>
      <c r="D10" s="21">
        <v>0</v>
      </c>
    </row>
    <row r="11" spans="2:6" x14ac:dyDescent="0.3">
      <c r="B11" s="20">
        <v>6</v>
      </c>
      <c r="C11" s="20" t="s">
        <v>42</v>
      </c>
      <c r="D11" s="21">
        <f>2750-2750</f>
        <v>0</v>
      </c>
    </row>
    <row r="12" spans="2:6" x14ac:dyDescent="0.3">
      <c r="B12" s="20">
        <v>7</v>
      </c>
      <c r="C12" s="20" t="s">
        <v>43</v>
      </c>
      <c r="D12" s="21">
        <f>2750-D13-2750</f>
        <v>0</v>
      </c>
    </row>
    <row r="13" spans="2:6" x14ac:dyDescent="0.3">
      <c r="B13" s="20">
        <v>8</v>
      </c>
      <c r="C13" s="20" t="s">
        <v>44</v>
      </c>
      <c r="D13" s="21">
        <f>2750-2750</f>
        <v>0</v>
      </c>
    </row>
    <row r="14" spans="2:6" x14ac:dyDescent="0.3">
      <c r="B14" s="20">
        <v>9</v>
      </c>
      <c r="C14" s="20" t="s">
        <v>48</v>
      </c>
      <c r="D14" s="21">
        <f>3000-250</f>
        <v>2750</v>
      </c>
    </row>
    <row r="15" spans="2:6" x14ac:dyDescent="0.3">
      <c r="B15" s="20">
        <v>9</v>
      </c>
      <c r="C15" s="20" t="s">
        <v>45</v>
      </c>
      <c r="D15" s="21">
        <f>2000+1000</f>
        <v>3000</v>
      </c>
    </row>
    <row r="16" spans="2:6" x14ac:dyDescent="0.3">
      <c r="B16" s="20">
        <v>10</v>
      </c>
      <c r="C16" s="20" t="s">
        <v>46</v>
      </c>
      <c r="D16" s="21">
        <f>1083+917-2000</f>
        <v>0</v>
      </c>
      <c r="E16" s="22"/>
    </row>
    <row r="17" spans="2:8" x14ac:dyDescent="0.3">
      <c r="B17" s="20">
        <v>11</v>
      </c>
      <c r="C17" s="20" t="s">
        <v>49</v>
      </c>
      <c r="D17" s="21">
        <f>3000-3000</f>
        <v>0</v>
      </c>
      <c r="E17" s="22"/>
    </row>
    <row r="18" spans="2:8" x14ac:dyDescent="0.3">
      <c r="B18" s="20">
        <v>12</v>
      </c>
      <c r="C18" s="20" t="s">
        <v>110</v>
      </c>
      <c r="D18" s="21"/>
      <c r="E18" s="22">
        <v>2750</v>
      </c>
      <c r="F18" s="18">
        <v>1000</v>
      </c>
      <c r="G18" s="18">
        <v>1000</v>
      </c>
      <c r="H18" s="18" t="s">
        <v>112</v>
      </c>
    </row>
    <row r="19" spans="2:8" x14ac:dyDescent="0.3">
      <c r="B19" s="20">
        <v>13</v>
      </c>
      <c r="C19" s="20" t="s">
        <v>105</v>
      </c>
      <c r="D19" s="21"/>
      <c r="E19" s="22">
        <v>2750</v>
      </c>
      <c r="F19" s="18">
        <v>1000</v>
      </c>
    </row>
    <row r="20" spans="2:8" x14ac:dyDescent="0.3">
      <c r="B20" s="20">
        <v>14</v>
      </c>
      <c r="C20" s="20" t="s">
        <v>111</v>
      </c>
      <c r="D20" s="21">
        <v>3000</v>
      </c>
      <c r="E20" s="22"/>
    </row>
    <row r="21" spans="2:8" x14ac:dyDescent="0.3">
      <c r="B21" s="20"/>
      <c r="C21" s="23" t="s">
        <v>47</v>
      </c>
      <c r="D21" s="24">
        <f>SUM(D6:D20)</f>
        <v>17000.333333333336</v>
      </c>
      <c r="F21" s="22"/>
    </row>
  </sheetData>
  <pageMargins left="0.7" right="0.7" top="0.75" bottom="0.75" header="0.3" footer="0.3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B46"/>
  <sheetViews>
    <sheetView zoomScaleNormal="100" workbookViewId="0">
      <pane xSplit="2" ySplit="4" topLeftCell="AM5" activePane="bottomRight" state="frozen"/>
      <selection pane="topRight" activeCell="C1" sqref="C1"/>
      <selection pane="bottomLeft" activeCell="A5" sqref="A5"/>
      <selection pane="bottomRight" activeCell="AQ5" sqref="AQ5"/>
    </sheetView>
  </sheetViews>
  <sheetFormatPr defaultRowHeight="14.4" x14ac:dyDescent="0.3"/>
  <cols>
    <col min="1" max="1" width="7" bestFit="1" customWidth="1"/>
    <col min="2" max="2" width="23.6640625" bestFit="1" customWidth="1"/>
    <col min="3" max="5" width="9.33203125" bestFit="1" customWidth="1"/>
    <col min="6" max="6" width="11.5546875" customWidth="1"/>
    <col min="7" max="7" width="12" bestFit="1" customWidth="1"/>
    <col min="8" max="8" width="13.33203125" customWidth="1"/>
    <col min="9" max="9" width="9.6640625" customWidth="1"/>
    <col min="10" max="10" width="9.33203125" bestFit="1" customWidth="1"/>
    <col min="11" max="11" width="14.5546875" customWidth="1"/>
    <col min="12" max="13" width="10.33203125" bestFit="1" customWidth="1"/>
    <col min="14" max="14" width="11.5546875" bestFit="1" customWidth="1"/>
    <col min="15" max="34" width="10.33203125" bestFit="1" customWidth="1"/>
    <col min="36" max="36" width="23" bestFit="1" customWidth="1"/>
    <col min="37" max="37" width="19.33203125" bestFit="1" customWidth="1"/>
    <col min="38" max="38" width="25.6640625" bestFit="1" customWidth="1"/>
    <col min="39" max="39" width="20.6640625" bestFit="1" customWidth="1"/>
    <col min="40" max="40" width="24" bestFit="1" customWidth="1"/>
    <col min="41" max="41" width="17" customWidth="1"/>
    <col min="42" max="42" width="18.33203125" customWidth="1"/>
    <col min="43" max="43" width="12.33203125" bestFit="1" customWidth="1"/>
    <col min="44" max="44" width="13.44140625" bestFit="1" customWidth="1"/>
    <col min="45" max="45" width="12.6640625" customWidth="1"/>
    <col min="46" max="46" width="11.33203125" bestFit="1" customWidth="1"/>
    <col min="47" max="47" width="10.33203125" bestFit="1" customWidth="1"/>
    <col min="48" max="48" width="30.33203125" bestFit="1" customWidth="1"/>
    <col min="49" max="49" width="10.109375" bestFit="1" customWidth="1"/>
  </cols>
  <sheetData>
    <row r="1" spans="1:54" x14ac:dyDescent="0.3">
      <c r="C1" s="107" t="s">
        <v>108</v>
      </c>
      <c r="D1" s="107"/>
      <c r="E1" s="106">
        <f>AH22/AH12</f>
        <v>48.715404699738905</v>
      </c>
      <c r="F1" s="106"/>
    </row>
    <row r="2" spans="1:54" ht="25.5" customHeight="1" x14ac:dyDescent="0.3">
      <c r="C2" s="107"/>
      <c r="D2" s="107"/>
      <c r="E2" s="106"/>
      <c r="F2" s="106"/>
    </row>
    <row r="4" spans="1:54" ht="57.6" x14ac:dyDescent="0.3">
      <c r="A4" s="4" t="s">
        <v>0</v>
      </c>
      <c r="B4" s="4" t="s">
        <v>2</v>
      </c>
      <c r="C4" s="5">
        <v>44348</v>
      </c>
      <c r="D4" s="5">
        <v>44349</v>
      </c>
      <c r="E4" s="5">
        <v>44350</v>
      </c>
      <c r="F4" s="5">
        <v>44351</v>
      </c>
      <c r="G4" s="5">
        <v>44352</v>
      </c>
      <c r="H4" s="5">
        <v>44353</v>
      </c>
      <c r="I4" s="5">
        <v>44354</v>
      </c>
      <c r="J4" s="5">
        <v>44355</v>
      </c>
      <c r="K4" s="5">
        <v>44356</v>
      </c>
      <c r="L4" s="5">
        <v>44357</v>
      </c>
      <c r="M4" s="5">
        <v>44358</v>
      </c>
      <c r="N4" s="5">
        <v>44359</v>
      </c>
      <c r="O4" s="5">
        <v>44360</v>
      </c>
      <c r="P4" s="5">
        <v>44361</v>
      </c>
      <c r="Q4" s="5">
        <v>44362</v>
      </c>
      <c r="R4" s="5">
        <v>44363</v>
      </c>
      <c r="S4" s="5">
        <v>44364</v>
      </c>
      <c r="T4" s="5">
        <v>44365</v>
      </c>
      <c r="U4" s="5">
        <v>44366</v>
      </c>
      <c r="V4" s="5">
        <v>44367</v>
      </c>
      <c r="W4" s="5">
        <v>44368</v>
      </c>
      <c r="X4" s="5">
        <v>44369</v>
      </c>
      <c r="Y4" s="5">
        <v>44370</v>
      </c>
      <c r="Z4" s="5">
        <v>44371</v>
      </c>
      <c r="AA4" s="5">
        <v>44372</v>
      </c>
      <c r="AB4" s="5">
        <v>44373</v>
      </c>
      <c r="AC4" s="5">
        <v>44374</v>
      </c>
      <c r="AD4" s="5">
        <v>44375</v>
      </c>
      <c r="AE4" s="5">
        <v>44376</v>
      </c>
      <c r="AF4" s="5">
        <v>44377</v>
      </c>
      <c r="AG4" s="5"/>
      <c r="AH4" s="4" t="s">
        <v>1</v>
      </c>
      <c r="AJ4" s="4" t="s">
        <v>23</v>
      </c>
      <c r="AK4" s="4" t="s">
        <v>24</v>
      </c>
      <c r="AL4" s="4" t="s">
        <v>26</v>
      </c>
      <c r="AM4" s="4" t="s">
        <v>85</v>
      </c>
      <c r="AN4" s="4" t="s">
        <v>27</v>
      </c>
      <c r="AO4" s="46" t="s">
        <v>30</v>
      </c>
      <c r="AP4" s="46" t="s">
        <v>32</v>
      </c>
      <c r="AQ4" s="46" t="s">
        <v>28</v>
      </c>
      <c r="AR4" s="46" t="s">
        <v>29</v>
      </c>
      <c r="AS4" s="46" t="s">
        <v>31</v>
      </c>
      <c r="AT4" s="45"/>
      <c r="AV4" s="43"/>
      <c r="AZ4" s="1" t="s">
        <v>96</v>
      </c>
      <c r="BA4" s="1"/>
      <c r="BB4" s="1"/>
    </row>
    <row r="5" spans="1:54" x14ac:dyDescent="0.3">
      <c r="A5" s="2">
        <v>1</v>
      </c>
      <c r="B5" s="3" t="s">
        <v>4</v>
      </c>
      <c r="C5" s="7">
        <v>1</v>
      </c>
      <c r="D5" s="7">
        <v>2.5</v>
      </c>
      <c r="E5" s="7">
        <v>2.5</v>
      </c>
      <c r="F5" s="7">
        <v>2.5</v>
      </c>
      <c r="G5" s="7">
        <v>2</v>
      </c>
      <c r="H5" s="7">
        <v>2.5</v>
      </c>
      <c r="I5" s="7">
        <v>1</v>
      </c>
      <c r="J5" s="7">
        <v>2</v>
      </c>
      <c r="K5" s="7">
        <v>2.5</v>
      </c>
      <c r="L5" s="7">
        <v>2.5</v>
      </c>
      <c r="M5" s="7">
        <v>2</v>
      </c>
      <c r="N5" s="7">
        <v>1</v>
      </c>
      <c r="O5" s="7">
        <v>1</v>
      </c>
      <c r="P5" s="7">
        <v>1</v>
      </c>
      <c r="Q5" s="7">
        <v>0</v>
      </c>
      <c r="R5" s="7">
        <v>0</v>
      </c>
      <c r="S5" s="7">
        <v>0</v>
      </c>
      <c r="T5" s="7">
        <v>0</v>
      </c>
      <c r="U5" s="7">
        <v>1</v>
      </c>
      <c r="V5" s="7">
        <v>2</v>
      </c>
      <c r="W5" s="7">
        <v>2</v>
      </c>
      <c r="X5" s="7">
        <v>2</v>
      </c>
      <c r="Y5" s="7">
        <v>2</v>
      </c>
      <c r="Z5" s="7">
        <v>1</v>
      </c>
      <c r="AA5" s="7">
        <v>0</v>
      </c>
      <c r="AB5" s="7">
        <v>1</v>
      </c>
      <c r="AC5" s="7">
        <v>2</v>
      </c>
      <c r="AD5" s="7">
        <v>2</v>
      </c>
      <c r="AE5" s="7">
        <v>2</v>
      </c>
      <c r="AF5" s="7">
        <v>2</v>
      </c>
      <c r="AG5" s="7">
        <v>0</v>
      </c>
      <c r="AH5" s="7">
        <f>SUM(C5:AG5)</f>
        <v>45</v>
      </c>
      <c r="AJ5" s="15">
        <f>AH5*$E$1</f>
        <v>2192.1932114882507</v>
      </c>
      <c r="AK5" s="16">
        <f>AH15</f>
        <v>3190</v>
      </c>
      <c r="AL5" s="15">
        <f t="shared" ref="AL5:AL11" si="0">AK5-AJ5</f>
        <v>997.80678851174935</v>
      </c>
      <c r="AM5" s="16">
        <f>N24</f>
        <v>4634.7142857142853</v>
      </c>
      <c r="AN5" s="15">
        <f>AM5-AL5</f>
        <v>3636.907497202536</v>
      </c>
      <c r="AO5" s="15">
        <f>'Meal May''21 &amp; Rent June 2021'!AS5</f>
        <v>650.00104329158194</v>
      </c>
      <c r="AP5" s="15">
        <f>AN5-AO5</f>
        <v>2986.906453910954</v>
      </c>
      <c r="AQ5" s="6">
        <f>3500+500</f>
        <v>4000</v>
      </c>
      <c r="AR5" s="17">
        <v>44387</v>
      </c>
      <c r="AS5" s="15">
        <f>AQ5-AP5</f>
        <v>1013.093546089046</v>
      </c>
      <c r="AU5">
        <v>2000</v>
      </c>
      <c r="AW5" s="9"/>
      <c r="AZ5" s="1" t="s">
        <v>97</v>
      </c>
      <c r="BA5" s="1">
        <v>4000</v>
      </c>
      <c r="BB5" s="1"/>
    </row>
    <row r="6" spans="1:54" x14ac:dyDescent="0.3">
      <c r="A6" s="2">
        <v>2</v>
      </c>
      <c r="B6" s="3" t="s">
        <v>5</v>
      </c>
      <c r="C6" s="7">
        <v>4</v>
      </c>
      <c r="D6" s="7">
        <v>2</v>
      </c>
      <c r="E6" s="7">
        <v>2.5</v>
      </c>
      <c r="F6" s="7">
        <v>0.5</v>
      </c>
      <c r="G6" s="7">
        <v>0</v>
      </c>
      <c r="H6" s="7">
        <v>0</v>
      </c>
      <c r="I6" s="7">
        <v>0</v>
      </c>
      <c r="J6" s="7">
        <v>0</v>
      </c>
      <c r="K6" s="7">
        <v>1</v>
      </c>
      <c r="L6" s="7">
        <v>1.5</v>
      </c>
      <c r="M6" s="7">
        <v>1.5</v>
      </c>
      <c r="N6" s="7">
        <v>2</v>
      </c>
      <c r="O6" s="7">
        <v>2</v>
      </c>
      <c r="P6" s="7">
        <v>2</v>
      </c>
      <c r="Q6" s="7">
        <v>2.5</v>
      </c>
      <c r="R6" s="7">
        <v>2.5</v>
      </c>
      <c r="S6" s="7">
        <v>2.5</v>
      </c>
      <c r="T6" s="7">
        <v>6.5</v>
      </c>
      <c r="U6" s="7">
        <v>2.5</v>
      </c>
      <c r="V6" s="7">
        <v>2.5</v>
      </c>
      <c r="W6" s="7">
        <v>0</v>
      </c>
      <c r="X6" s="7">
        <v>1.5</v>
      </c>
      <c r="Y6" s="7">
        <v>2.5</v>
      </c>
      <c r="Z6" s="7">
        <v>2.5</v>
      </c>
      <c r="AA6" s="7">
        <v>2.5</v>
      </c>
      <c r="AB6" s="7">
        <v>2.5</v>
      </c>
      <c r="AC6" s="7">
        <v>2.5</v>
      </c>
      <c r="AD6" s="7">
        <v>2.5</v>
      </c>
      <c r="AE6" s="7">
        <v>2.5</v>
      </c>
      <c r="AF6" s="7">
        <v>2.5</v>
      </c>
      <c r="AG6" s="7">
        <v>0</v>
      </c>
      <c r="AH6" s="7">
        <f>SUM(C6:AG6)</f>
        <v>59.5</v>
      </c>
      <c r="AJ6" s="15">
        <f>AH6*$E$1</f>
        <v>2898.5665796344647</v>
      </c>
      <c r="AK6" s="16">
        <f>AH16</f>
        <v>3555</v>
      </c>
      <c r="AL6" s="15">
        <f t="shared" si="0"/>
        <v>656.43342036553531</v>
      </c>
      <c r="AM6" s="16">
        <f>N25</f>
        <v>4634.7142857142853</v>
      </c>
      <c r="AN6" s="15">
        <f>AM6-AL6</f>
        <v>3978.28086534875</v>
      </c>
      <c r="AO6" s="15">
        <f>'Meal May''21 &amp; Rent June 2021'!AS6</f>
        <v>-352.04604074976851</v>
      </c>
      <c r="AP6" s="15">
        <f t="shared" ref="AP6:AP11" si="1">AN6-AO6</f>
        <v>4330.3269060985185</v>
      </c>
      <c r="AQ6" s="6">
        <f>4500+245.82</f>
        <v>4745.82</v>
      </c>
      <c r="AR6" s="17">
        <v>44389</v>
      </c>
      <c r="AS6" s="15">
        <f t="shared" ref="AS6:AS10" si="2">AQ6-AP6</f>
        <v>415.49309390148119</v>
      </c>
      <c r="AU6">
        <v>4746</v>
      </c>
      <c r="AW6" s="9"/>
      <c r="AZ6" s="1" t="s">
        <v>36</v>
      </c>
      <c r="BA6" s="1">
        <f>BA5/6</f>
        <v>666.66666666666663</v>
      </c>
      <c r="BB6" s="1">
        <f>BA6*5</f>
        <v>3333.333333333333</v>
      </c>
    </row>
    <row r="7" spans="1:54" x14ac:dyDescent="0.3">
      <c r="A7" s="2">
        <v>3</v>
      </c>
      <c r="B7" s="3" t="s">
        <v>6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1</v>
      </c>
      <c r="M7" s="7">
        <v>2.5</v>
      </c>
      <c r="N7" s="7">
        <v>2</v>
      </c>
      <c r="O7" s="7">
        <v>2</v>
      </c>
      <c r="P7" s="7">
        <v>2</v>
      </c>
      <c r="Q7" s="7">
        <v>2.5</v>
      </c>
      <c r="R7" s="7">
        <v>2.5</v>
      </c>
      <c r="S7" s="7">
        <v>2.5</v>
      </c>
      <c r="T7" s="7">
        <v>2.5</v>
      </c>
      <c r="U7" s="7">
        <v>2.5</v>
      </c>
      <c r="V7" s="7">
        <v>2.5</v>
      </c>
      <c r="W7" s="7">
        <v>2.5</v>
      </c>
      <c r="X7" s="7">
        <v>2.5</v>
      </c>
      <c r="Y7" s="7">
        <v>2.5</v>
      </c>
      <c r="Z7" s="7">
        <v>2.5</v>
      </c>
      <c r="AA7" s="7">
        <v>2.5</v>
      </c>
      <c r="AB7" s="7">
        <v>2.5</v>
      </c>
      <c r="AC7" s="7">
        <v>2.5</v>
      </c>
      <c r="AD7" s="7">
        <v>2.5</v>
      </c>
      <c r="AE7" s="7">
        <v>2.5</v>
      </c>
      <c r="AF7" s="7">
        <v>2.5</v>
      </c>
      <c r="AG7" s="7">
        <v>0</v>
      </c>
      <c r="AH7" s="7">
        <f t="shared" ref="AH7:AH10" si="3">SUM(C7:AG7)</f>
        <v>49.5</v>
      </c>
      <c r="AJ7" s="15">
        <f>AH7*$E$1</f>
        <v>2411.4125326370759</v>
      </c>
      <c r="AK7" s="16">
        <f>AH17</f>
        <v>35</v>
      </c>
      <c r="AL7" s="15">
        <f t="shared" si="0"/>
        <v>-2376.4125326370759</v>
      </c>
      <c r="AM7" s="16">
        <f t="shared" ref="AM7:AM8" si="4">N26</f>
        <v>3468.0476190476197</v>
      </c>
      <c r="AN7" s="15">
        <f t="shared" ref="AN7:AN11" si="5">AM7-AL7</f>
        <v>5844.460151684696</v>
      </c>
      <c r="AO7" s="15">
        <f>'Meal May''21 &amp; Rent June 2021'!AS7</f>
        <v>-8173.2175804101907</v>
      </c>
      <c r="AP7" s="15">
        <f t="shared" si="1"/>
        <v>14017.677732094886</v>
      </c>
      <c r="AQ7" s="6">
        <v>8500</v>
      </c>
      <c r="AR7" s="17">
        <v>44395</v>
      </c>
      <c r="AS7" s="15">
        <f t="shared" si="2"/>
        <v>-5517.6777320948859</v>
      </c>
      <c r="AU7">
        <v>0</v>
      </c>
      <c r="AW7" s="9"/>
      <c r="AZ7" s="1" t="s">
        <v>37</v>
      </c>
      <c r="BA7" s="1"/>
      <c r="BB7" s="1"/>
    </row>
    <row r="8" spans="1:54" x14ac:dyDescent="0.3">
      <c r="A8" s="2">
        <v>4</v>
      </c>
      <c r="B8" s="3" t="s">
        <v>57</v>
      </c>
      <c r="C8" s="7">
        <v>2</v>
      </c>
      <c r="D8" s="7">
        <v>2.5</v>
      </c>
      <c r="E8" s="7">
        <v>1.5</v>
      </c>
      <c r="F8" s="7">
        <v>1.5</v>
      </c>
      <c r="G8" s="7">
        <v>1.5</v>
      </c>
      <c r="H8" s="7">
        <v>0.5</v>
      </c>
      <c r="I8" s="7">
        <v>1.5</v>
      </c>
      <c r="J8" s="7">
        <v>1.5</v>
      </c>
      <c r="K8" s="7">
        <v>1</v>
      </c>
      <c r="L8" s="7">
        <v>1.5</v>
      </c>
      <c r="M8" s="7">
        <v>1.5</v>
      </c>
      <c r="N8" s="7">
        <v>1</v>
      </c>
      <c r="O8" s="7">
        <v>2</v>
      </c>
      <c r="P8" s="7">
        <v>1</v>
      </c>
      <c r="Q8" s="7">
        <v>1.5</v>
      </c>
      <c r="R8" s="7">
        <v>2.5</v>
      </c>
      <c r="S8" s="7">
        <v>1.5</v>
      </c>
      <c r="T8" s="7">
        <v>2.5</v>
      </c>
      <c r="U8" s="7">
        <v>2.5</v>
      </c>
      <c r="V8" s="7">
        <v>2.5</v>
      </c>
      <c r="W8" s="7">
        <v>2.5</v>
      </c>
      <c r="X8" s="7">
        <v>2.5</v>
      </c>
      <c r="Y8" s="7">
        <v>2.5</v>
      </c>
      <c r="Z8" s="7">
        <v>2.5</v>
      </c>
      <c r="AA8" s="7">
        <v>2.5</v>
      </c>
      <c r="AB8" s="7">
        <v>2.5</v>
      </c>
      <c r="AC8" s="7">
        <v>2.5</v>
      </c>
      <c r="AD8" s="7">
        <v>2.5</v>
      </c>
      <c r="AE8" s="7">
        <v>2.5</v>
      </c>
      <c r="AF8" s="7">
        <v>2.5</v>
      </c>
      <c r="AG8" s="7">
        <v>0</v>
      </c>
      <c r="AH8" s="7">
        <f t="shared" si="3"/>
        <v>58.5</v>
      </c>
      <c r="AJ8" s="15">
        <f>AH8*$E$1</f>
        <v>2849.8511749347258</v>
      </c>
      <c r="AK8" s="16">
        <f>AH18</f>
        <v>2102</v>
      </c>
      <c r="AL8" s="15">
        <f t="shared" si="0"/>
        <v>-747.8511749347258</v>
      </c>
      <c r="AM8" s="16">
        <f t="shared" si="4"/>
        <v>3468.0476190476197</v>
      </c>
      <c r="AN8" s="15">
        <f t="shared" si="5"/>
        <v>4215.8987939823455</v>
      </c>
      <c r="AO8" s="15">
        <f>'Meal May''21 &amp; Rent June 2021'!AS8</f>
        <v>-2376.8422568619608</v>
      </c>
      <c r="AP8" s="15">
        <f t="shared" si="1"/>
        <v>6592.7410508443063</v>
      </c>
      <c r="AQ8" s="6">
        <f>4600+2000</f>
        <v>6600</v>
      </c>
      <c r="AR8" s="17">
        <v>44389</v>
      </c>
      <c r="AS8" s="15">
        <f>AQ8-AP8</f>
        <v>7.2589491556936991</v>
      </c>
      <c r="AT8" s="25"/>
      <c r="AU8" s="9">
        <v>6600</v>
      </c>
      <c r="AW8" s="9"/>
      <c r="AZ8" s="1" t="s">
        <v>98</v>
      </c>
      <c r="BA8" s="1">
        <f>$BA$6</f>
        <v>666.66666666666663</v>
      </c>
      <c r="BB8" s="1"/>
    </row>
    <row r="9" spans="1:54" x14ac:dyDescent="0.3">
      <c r="A9" s="2">
        <v>5</v>
      </c>
      <c r="B9" s="12" t="s">
        <v>51</v>
      </c>
      <c r="C9" s="7">
        <v>1</v>
      </c>
      <c r="D9" s="7">
        <v>1.5</v>
      </c>
      <c r="E9" s="7">
        <v>1</v>
      </c>
      <c r="F9" s="7">
        <v>2.5</v>
      </c>
      <c r="G9" s="7">
        <v>2.5</v>
      </c>
      <c r="H9" s="7">
        <v>2.5</v>
      </c>
      <c r="I9" s="7">
        <v>3</v>
      </c>
      <c r="J9" s="7">
        <v>1.5</v>
      </c>
      <c r="K9" s="7">
        <v>1</v>
      </c>
      <c r="L9" s="7">
        <v>0.5</v>
      </c>
      <c r="M9" s="7">
        <v>0</v>
      </c>
      <c r="N9" s="7">
        <v>1</v>
      </c>
      <c r="O9" s="7">
        <v>1</v>
      </c>
      <c r="P9" s="7">
        <v>1</v>
      </c>
      <c r="Q9" s="7">
        <v>1</v>
      </c>
      <c r="R9" s="7">
        <v>1</v>
      </c>
      <c r="S9" s="7">
        <v>1</v>
      </c>
      <c r="T9" s="7">
        <v>11.5</v>
      </c>
      <c r="U9" s="7">
        <v>3.5</v>
      </c>
      <c r="V9" s="7">
        <v>1.5</v>
      </c>
      <c r="W9" s="7">
        <v>1</v>
      </c>
      <c r="X9" s="7">
        <v>1</v>
      </c>
      <c r="Y9" s="7">
        <v>1.5</v>
      </c>
      <c r="Z9" s="7">
        <v>1.5</v>
      </c>
      <c r="AA9" s="7">
        <v>2.5</v>
      </c>
      <c r="AB9" s="7">
        <v>2.5</v>
      </c>
      <c r="AC9" s="7">
        <v>1</v>
      </c>
      <c r="AD9" s="7">
        <v>1</v>
      </c>
      <c r="AE9" s="7">
        <v>1</v>
      </c>
      <c r="AF9" s="7">
        <v>1</v>
      </c>
      <c r="AG9" s="7">
        <v>0</v>
      </c>
      <c r="AH9" s="7">
        <f t="shared" si="3"/>
        <v>53.5</v>
      </c>
      <c r="AJ9" s="15">
        <f>$AH$9*$E$1</f>
        <v>2606.2741514360314</v>
      </c>
      <c r="AK9" s="16">
        <f>AH19</f>
        <v>3045</v>
      </c>
      <c r="AL9" s="15">
        <f t="shared" si="0"/>
        <v>438.72584856396861</v>
      </c>
      <c r="AM9" s="16">
        <f>N28</f>
        <v>3468.0476190476197</v>
      </c>
      <c r="AN9" s="15">
        <f t="shared" si="5"/>
        <v>3029.3217704836511</v>
      </c>
      <c r="AO9" s="15">
        <f>'Meal May''21 &amp; Rent June 2021'!AS9</f>
        <v>0.67475283263229358</v>
      </c>
      <c r="AP9" s="15">
        <f t="shared" si="1"/>
        <v>3028.6470176510188</v>
      </c>
      <c r="AQ9" s="6">
        <v>3000</v>
      </c>
      <c r="AR9" s="17">
        <v>44378</v>
      </c>
      <c r="AS9" s="15">
        <f>AQ9-AP9</f>
        <v>-28.647017651018814</v>
      </c>
      <c r="AU9" s="25">
        <v>0</v>
      </c>
      <c r="AZ9" s="1" t="s">
        <v>49</v>
      </c>
      <c r="BA9" s="1">
        <f t="shared" ref="BA9:BA12" si="6">$BA$6</f>
        <v>666.66666666666663</v>
      </c>
      <c r="BB9" s="1"/>
    </row>
    <row r="10" spans="1:54" x14ac:dyDescent="0.3">
      <c r="A10" s="2">
        <v>6</v>
      </c>
      <c r="B10" s="3" t="s">
        <v>7</v>
      </c>
      <c r="C10" s="7">
        <v>1</v>
      </c>
      <c r="D10" s="7">
        <v>1.5</v>
      </c>
      <c r="E10" s="7">
        <v>1.5</v>
      </c>
      <c r="F10" s="7">
        <v>2.5</v>
      </c>
      <c r="G10" s="7">
        <v>1.5</v>
      </c>
      <c r="H10" s="7">
        <v>1.5</v>
      </c>
      <c r="I10" s="7">
        <v>1.5</v>
      </c>
      <c r="J10" s="7">
        <v>1.5</v>
      </c>
      <c r="K10" s="7">
        <v>1.5</v>
      </c>
      <c r="L10" s="7">
        <v>1.5</v>
      </c>
      <c r="M10" s="7">
        <v>0</v>
      </c>
      <c r="N10" s="7">
        <v>1</v>
      </c>
      <c r="O10" s="7">
        <v>1</v>
      </c>
      <c r="P10" s="7">
        <v>1</v>
      </c>
      <c r="Q10" s="7">
        <v>1.5</v>
      </c>
      <c r="R10" s="7">
        <v>1.5</v>
      </c>
      <c r="S10" s="7">
        <v>1.5</v>
      </c>
      <c r="T10" s="7">
        <v>2.5</v>
      </c>
      <c r="U10" s="7">
        <v>2.5</v>
      </c>
      <c r="V10" s="7">
        <v>1.5</v>
      </c>
      <c r="W10" s="7">
        <v>1.5</v>
      </c>
      <c r="X10" s="7">
        <v>1.5</v>
      </c>
      <c r="Y10" s="7">
        <v>1.5</v>
      </c>
      <c r="Z10" s="7">
        <v>1.5</v>
      </c>
      <c r="AA10" s="7">
        <v>2.5</v>
      </c>
      <c r="AB10" s="7">
        <v>1.5</v>
      </c>
      <c r="AC10" s="7">
        <v>2.5</v>
      </c>
      <c r="AD10" s="7">
        <v>2.5</v>
      </c>
      <c r="AE10" s="7">
        <v>2.5</v>
      </c>
      <c r="AF10" s="7">
        <v>2.5</v>
      </c>
      <c r="AG10" s="7">
        <v>0</v>
      </c>
      <c r="AH10" s="7">
        <f t="shared" si="3"/>
        <v>49.5</v>
      </c>
      <c r="AJ10" s="15">
        <f>AH10*$E$1</f>
        <v>2411.4125326370759</v>
      </c>
      <c r="AK10" s="16">
        <f t="shared" ref="AK10" si="7">AH20</f>
        <v>3128</v>
      </c>
      <c r="AL10" s="15">
        <f t="shared" si="0"/>
        <v>716.58746736292414</v>
      </c>
      <c r="AM10" s="16">
        <f>N29</f>
        <v>4634.7142857142853</v>
      </c>
      <c r="AN10" s="15">
        <f t="shared" si="5"/>
        <v>3918.1268183513612</v>
      </c>
      <c r="AO10" s="15">
        <f>'Meal May''21 &amp; Rent June 2021'!AS10</f>
        <v>-6.4989789916580776E-4</v>
      </c>
      <c r="AP10" s="15">
        <f t="shared" si="1"/>
        <v>3918.1274682492603</v>
      </c>
      <c r="AQ10" s="6">
        <v>3500</v>
      </c>
      <c r="AR10" s="17">
        <v>44392</v>
      </c>
      <c r="AS10" s="15">
        <f t="shared" si="2"/>
        <v>-418.12746824926035</v>
      </c>
      <c r="AU10">
        <v>3500</v>
      </c>
      <c r="AZ10" s="1" t="s">
        <v>38</v>
      </c>
      <c r="BA10" s="1">
        <f t="shared" si="6"/>
        <v>666.66666666666663</v>
      </c>
      <c r="BB10" s="1"/>
    </row>
    <row r="11" spans="1:54" x14ac:dyDescent="0.3">
      <c r="A11" s="2">
        <v>7</v>
      </c>
      <c r="B11" s="3" t="s">
        <v>8</v>
      </c>
      <c r="C11" s="7">
        <v>1</v>
      </c>
      <c r="D11" s="7">
        <v>1.5</v>
      </c>
      <c r="E11" s="7">
        <v>1</v>
      </c>
      <c r="F11" s="7">
        <v>2.5</v>
      </c>
      <c r="G11" s="7">
        <v>2.5</v>
      </c>
      <c r="H11" s="7">
        <v>2</v>
      </c>
      <c r="I11" s="7">
        <v>2</v>
      </c>
      <c r="J11" s="7">
        <v>2.5</v>
      </c>
      <c r="K11" s="7">
        <v>2.5</v>
      </c>
      <c r="L11" s="7">
        <v>2</v>
      </c>
      <c r="M11" s="7">
        <v>2.5</v>
      </c>
      <c r="N11" s="7">
        <v>2</v>
      </c>
      <c r="O11" s="7">
        <v>1</v>
      </c>
      <c r="P11" s="7">
        <v>2</v>
      </c>
      <c r="Q11" s="7">
        <v>2.5</v>
      </c>
      <c r="R11" s="7">
        <v>1</v>
      </c>
      <c r="S11" s="7">
        <v>1.5</v>
      </c>
      <c r="T11" s="7">
        <v>9.5</v>
      </c>
      <c r="U11" s="7">
        <v>2.5</v>
      </c>
      <c r="V11" s="7">
        <v>1</v>
      </c>
      <c r="W11" s="7">
        <v>2</v>
      </c>
      <c r="X11" s="7">
        <v>2.5</v>
      </c>
      <c r="Y11" s="7">
        <v>2</v>
      </c>
      <c r="Z11" s="7">
        <v>2</v>
      </c>
      <c r="AA11" s="7">
        <v>2.5</v>
      </c>
      <c r="AB11" s="7">
        <v>2.5</v>
      </c>
      <c r="AC11" s="7">
        <v>2.5</v>
      </c>
      <c r="AD11" s="7">
        <v>2.5</v>
      </c>
      <c r="AE11" s="7">
        <v>2.5</v>
      </c>
      <c r="AF11" s="7">
        <v>1.5</v>
      </c>
      <c r="AG11" s="7">
        <v>0</v>
      </c>
      <c r="AH11" s="7">
        <f>SUM(C11:AG11)</f>
        <v>67.5</v>
      </c>
      <c r="AJ11" s="15">
        <f>AH11*$E$1</f>
        <v>3288.2898172323762</v>
      </c>
      <c r="AK11" s="16">
        <f>AH21</f>
        <v>3603</v>
      </c>
      <c r="AL11" s="15">
        <f t="shared" si="0"/>
        <v>314.71018276762379</v>
      </c>
      <c r="AM11" s="16">
        <f>N30</f>
        <v>4634.7142857142853</v>
      </c>
      <c r="AN11" s="15">
        <f t="shared" si="5"/>
        <v>4320.0041029466611</v>
      </c>
      <c r="AO11" s="15">
        <f>'Meal May''21 &amp; Rent June 2021'!AS11</f>
        <v>-104.17155086508092</v>
      </c>
      <c r="AP11" s="15">
        <f t="shared" si="1"/>
        <v>4424.1756538117424</v>
      </c>
      <c r="AQ11" s="6">
        <f>120+50+4500-245.82</f>
        <v>4424.18</v>
      </c>
      <c r="AR11" s="17">
        <v>44393</v>
      </c>
      <c r="AS11" s="15">
        <f>AQ11-AP11</f>
        <v>4.3461882578412769E-3</v>
      </c>
      <c r="AU11">
        <f>4500-246</f>
        <v>4254</v>
      </c>
      <c r="AZ11" s="1" t="s">
        <v>99</v>
      </c>
      <c r="BA11" s="1">
        <f t="shared" si="6"/>
        <v>666.66666666666663</v>
      </c>
      <c r="BB11" s="1"/>
    </row>
    <row r="12" spans="1:54" x14ac:dyDescent="0.3">
      <c r="A12" s="1"/>
      <c r="B12" s="1"/>
      <c r="C12" s="7">
        <f>SUM(C5:C11)</f>
        <v>10</v>
      </c>
      <c r="D12" s="7">
        <f t="shared" ref="D12:AG12" si="8">SUM(D5:D11)</f>
        <v>11.5</v>
      </c>
      <c r="E12" s="7">
        <f t="shared" si="8"/>
        <v>10</v>
      </c>
      <c r="F12" s="7">
        <f t="shared" si="8"/>
        <v>12</v>
      </c>
      <c r="G12" s="7">
        <f t="shared" si="8"/>
        <v>10</v>
      </c>
      <c r="H12" s="7">
        <f t="shared" si="8"/>
        <v>9</v>
      </c>
      <c r="I12" s="7">
        <f t="shared" si="8"/>
        <v>9</v>
      </c>
      <c r="J12" s="7">
        <f t="shared" si="8"/>
        <v>9</v>
      </c>
      <c r="K12" s="7">
        <f t="shared" si="8"/>
        <v>9.5</v>
      </c>
      <c r="L12" s="7">
        <f t="shared" si="8"/>
        <v>10.5</v>
      </c>
      <c r="M12" s="7">
        <f t="shared" si="8"/>
        <v>10</v>
      </c>
      <c r="N12" s="7">
        <f t="shared" si="8"/>
        <v>10</v>
      </c>
      <c r="O12" s="7">
        <f t="shared" si="8"/>
        <v>10</v>
      </c>
      <c r="P12" s="7">
        <f t="shared" si="8"/>
        <v>10</v>
      </c>
      <c r="Q12" s="7">
        <f t="shared" si="8"/>
        <v>11.5</v>
      </c>
      <c r="R12" s="7">
        <f t="shared" si="8"/>
        <v>11</v>
      </c>
      <c r="S12" s="7">
        <f t="shared" si="8"/>
        <v>10.5</v>
      </c>
      <c r="T12" s="7">
        <f t="shared" si="8"/>
        <v>35</v>
      </c>
      <c r="U12" s="7">
        <f t="shared" si="8"/>
        <v>17</v>
      </c>
      <c r="V12" s="7">
        <f t="shared" si="8"/>
        <v>13.5</v>
      </c>
      <c r="W12" s="7">
        <f t="shared" si="8"/>
        <v>11.5</v>
      </c>
      <c r="X12" s="7">
        <f t="shared" si="8"/>
        <v>13.5</v>
      </c>
      <c r="Y12" s="7">
        <f t="shared" si="8"/>
        <v>14.5</v>
      </c>
      <c r="Z12" s="7">
        <f t="shared" si="8"/>
        <v>13.5</v>
      </c>
      <c r="AA12" s="7">
        <f t="shared" si="8"/>
        <v>15</v>
      </c>
      <c r="AB12" s="7">
        <f t="shared" si="8"/>
        <v>15</v>
      </c>
      <c r="AC12" s="7">
        <f t="shared" si="8"/>
        <v>15.5</v>
      </c>
      <c r="AD12" s="7">
        <f t="shared" si="8"/>
        <v>15.5</v>
      </c>
      <c r="AE12" s="7">
        <f t="shared" si="8"/>
        <v>15.5</v>
      </c>
      <c r="AF12" s="7">
        <f t="shared" si="8"/>
        <v>14.5</v>
      </c>
      <c r="AG12" s="7">
        <f t="shared" si="8"/>
        <v>0</v>
      </c>
      <c r="AH12" s="7">
        <f>SUM(AH5:AH11)</f>
        <v>383</v>
      </c>
      <c r="AJ12" s="15">
        <f>SUM(AJ5:AJ11)</f>
        <v>18658</v>
      </c>
      <c r="AK12" s="16">
        <f t="shared" ref="AK12" si="9">SUM(AK5:AK11)</f>
        <v>18658</v>
      </c>
      <c r="AL12" s="16">
        <f>SUM(AL5:AL11)</f>
        <v>-4.5474735088646412E-13</v>
      </c>
      <c r="AM12" s="16">
        <f>SUM(AM5:AM11)</f>
        <v>28943.000000000004</v>
      </c>
      <c r="AN12" s="16">
        <f>SUM(AN5:AN11)</f>
        <v>28943</v>
      </c>
      <c r="AO12" s="16">
        <f>SUM(AO5:AO11)</f>
        <v>-10355.602282660686</v>
      </c>
      <c r="AP12" s="15">
        <f>AN12-AO12+$AU$4</f>
        <v>39298.602282660686</v>
      </c>
      <c r="AQ12" s="16">
        <f>SUM(AQ5:AQ11)</f>
        <v>34770</v>
      </c>
      <c r="AR12" s="16"/>
      <c r="AS12" s="16">
        <f>SUM(AS5:AS11)</f>
        <v>-4528.6022826606859</v>
      </c>
      <c r="AT12" s="9"/>
      <c r="AU12" s="9">
        <f>SUM(AU5:AU11)</f>
        <v>21100</v>
      </c>
      <c r="AZ12" s="1" t="s">
        <v>40</v>
      </c>
      <c r="BA12" s="1">
        <f t="shared" si="6"/>
        <v>666.66666666666663</v>
      </c>
      <c r="BB12" s="1"/>
    </row>
    <row r="13" spans="1:54" x14ac:dyDescent="0.3">
      <c r="A13" s="36"/>
      <c r="B13" s="36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37"/>
      <c r="AF13" s="37"/>
      <c r="AG13" s="37"/>
      <c r="AH13" s="37"/>
      <c r="AJ13" s="38"/>
      <c r="AK13" s="39"/>
      <c r="AL13" s="39"/>
      <c r="AM13" s="39"/>
      <c r="AN13" s="39"/>
      <c r="AO13" s="39"/>
      <c r="AP13" s="38"/>
      <c r="AQ13" s="39"/>
      <c r="AR13" s="39"/>
      <c r="AS13" s="39"/>
      <c r="AT13" s="9"/>
      <c r="AU13" s="9"/>
      <c r="AV13" s="44" t="s">
        <v>88</v>
      </c>
      <c r="AW13" s="9"/>
      <c r="AZ13" s="1"/>
      <c r="BA13" s="1">
        <f>SUM(BA8:BA12)</f>
        <v>3333.333333333333</v>
      </c>
      <c r="BB13" s="1"/>
    </row>
    <row r="14" spans="1:54" x14ac:dyDescent="0.3">
      <c r="B14" s="10" t="s">
        <v>86</v>
      </c>
      <c r="AT14" s="9"/>
      <c r="AV14" s="1" t="s">
        <v>89</v>
      </c>
      <c r="AW14" s="1" t="s">
        <v>95</v>
      </c>
    </row>
    <row r="15" spans="1:54" x14ac:dyDescent="0.3">
      <c r="A15" s="2">
        <v>1</v>
      </c>
      <c r="B15" s="3" t="s">
        <v>4</v>
      </c>
      <c r="C15" s="8">
        <v>3190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 s="8">
        <v>0</v>
      </c>
      <c r="V15" s="8">
        <v>0</v>
      </c>
      <c r="W15" s="8">
        <v>0</v>
      </c>
      <c r="X15" s="8">
        <v>0</v>
      </c>
      <c r="Y15" s="8">
        <v>0</v>
      </c>
      <c r="Z15" s="8">
        <v>0</v>
      </c>
      <c r="AA15" s="8">
        <v>0</v>
      </c>
      <c r="AB15" s="8">
        <v>0</v>
      </c>
      <c r="AC15" s="8">
        <v>0</v>
      </c>
      <c r="AD15" s="8">
        <v>0</v>
      </c>
      <c r="AE15" s="8">
        <v>0</v>
      </c>
      <c r="AF15" s="8">
        <v>0</v>
      </c>
      <c r="AG15" s="8">
        <v>0</v>
      </c>
      <c r="AH15" s="8">
        <f>SUM(C15:AG15)</f>
        <v>3190</v>
      </c>
      <c r="AP15" s="25"/>
      <c r="AR15" s="1"/>
      <c r="AS15" s="8"/>
      <c r="AV15" s="1" t="s">
        <v>90</v>
      </c>
      <c r="AW15" s="16">
        <f>O38</f>
        <v>23773</v>
      </c>
    </row>
    <row r="16" spans="1:54" x14ac:dyDescent="0.3">
      <c r="A16" s="2">
        <v>2</v>
      </c>
      <c r="B16" s="3" t="s">
        <v>5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>
        <v>180</v>
      </c>
      <c r="S16" s="8">
        <v>1935</v>
      </c>
      <c r="T16" s="8">
        <v>410</v>
      </c>
      <c r="U16" s="8">
        <v>1030</v>
      </c>
      <c r="V16" s="8">
        <v>0</v>
      </c>
      <c r="W16" s="8">
        <v>0</v>
      </c>
      <c r="X16" s="8">
        <v>0</v>
      </c>
      <c r="Y16" s="8">
        <v>0</v>
      </c>
      <c r="Z16" s="8">
        <v>0</v>
      </c>
      <c r="AA16" s="8">
        <v>0</v>
      </c>
      <c r="AB16" s="8">
        <v>0</v>
      </c>
      <c r="AC16" s="8">
        <v>0</v>
      </c>
      <c r="AD16" s="8">
        <v>0</v>
      </c>
      <c r="AE16" s="8">
        <v>0</v>
      </c>
      <c r="AF16" s="8">
        <v>0</v>
      </c>
      <c r="AG16" s="8">
        <v>0</v>
      </c>
      <c r="AH16" s="8">
        <f t="shared" ref="AH16:AH21" si="10">SUM(C16:AG16)</f>
        <v>3555</v>
      </c>
      <c r="AR16" s="1"/>
      <c r="AS16" s="8"/>
      <c r="AT16" s="25"/>
      <c r="AV16" s="1" t="s">
        <v>91</v>
      </c>
      <c r="AW16" s="16">
        <f>-AO12</f>
        <v>10355.602282660686</v>
      </c>
    </row>
    <row r="17" spans="1:49" x14ac:dyDescent="0.3">
      <c r="A17" s="2">
        <v>3</v>
      </c>
      <c r="B17" s="3" t="s">
        <v>6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35</v>
      </c>
      <c r="P17" s="8">
        <v>0</v>
      </c>
      <c r="Q17" s="8">
        <v>0</v>
      </c>
      <c r="R17" s="8">
        <v>0</v>
      </c>
      <c r="S17" s="8">
        <v>0</v>
      </c>
      <c r="T17" s="8">
        <v>0</v>
      </c>
      <c r="U17" s="8">
        <v>0</v>
      </c>
      <c r="V17" s="8">
        <v>0</v>
      </c>
      <c r="W17" s="8">
        <v>0</v>
      </c>
      <c r="X17" s="8">
        <v>0</v>
      </c>
      <c r="Y17" s="8">
        <v>0</v>
      </c>
      <c r="Z17" s="8">
        <v>0</v>
      </c>
      <c r="AA17" s="8">
        <v>0</v>
      </c>
      <c r="AB17" s="8">
        <v>0</v>
      </c>
      <c r="AC17" s="8">
        <v>0</v>
      </c>
      <c r="AD17" s="8">
        <v>0</v>
      </c>
      <c r="AE17" s="8">
        <v>0</v>
      </c>
      <c r="AF17" s="8">
        <v>0</v>
      </c>
      <c r="AG17" s="8">
        <v>0</v>
      </c>
      <c r="AH17" s="8">
        <f t="shared" si="10"/>
        <v>35</v>
      </c>
      <c r="AP17" s="25"/>
      <c r="AR17" s="15"/>
      <c r="AS17" s="8"/>
      <c r="AT17" s="25"/>
      <c r="AV17" s="1"/>
      <c r="AW17" s="16">
        <f>SUM(AW15:AW16)</f>
        <v>34128.602282660686</v>
      </c>
    </row>
    <row r="18" spans="1:49" x14ac:dyDescent="0.3">
      <c r="A18" s="2">
        <v>4</v>
      </c>
      <c r="B18" s="3" t="s">
        <v>57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682</v>
      </c>
      <c r="N18" s="8">
        <v>1170</v>
      </c>
      <c r="O18" s="8">
        <v>0</v>
      </c>
      <c r="P18" s="8">
        <v>110</v>
      </c>
      <c r="Q18" s="8">
        <v>140</v>
      </c>
      <c r="R18" s="8">
        <v>0</v>
      </c>
      <c r="S18" s="8">
        <v>0</v>
      </c>
      <c r="T18" s="8">
        <v>0</v>
      </c>
      <c r="U18" s="8">
        <v>0</v>
      </c>
      <c r="V18" s="8">
        <v>0</v>
      </c>
      <c r="W18" s="8">
        <v>0</v>
      </c>
      <c r="X18" s="8">
        <v>0</v>
      </c>
      <c r="Y18" s="8">
        <v>0</v>
      </c>
      <c r="Z18" s="8">
        <v>0</v>
      </c>
      <c r="AA18" s="8">
        <v>0</v>
      </c>
      <c r="AB18" s="8">
        <v>0</v>
      </c>
      <c r="AC18" s="8">
        <v>0</v>
      </c>
      <c r="AD18" s="8">
        <v>0</v>
      </c>
      <c r="AE18" s="8">
        <v>0</v>
      </c>
      <c r="AF18" s="8">
        <v>0</v>
      </c>
      <c r="AG18" s="8">
        <v>0</v>
      </c>
      <c r="AH18" s="8">
        <f t="shared" si="10"/>
        <v>2102</v>
      </c>
      <c r="AP18" s="25"/>
    </row>
    <row r="19" spans="1:49" x14ac:dyDescent="0.3">
      <c r="A19" s="2">
        <v>5</v>
      </c>
      <c r="B19" s="12" t="s">
        <v>51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0</v>
      </c>
      <c r="R19" s="8">
        <v>0</v>
      </c>
      <c r="S19" s="8">
        <v>0</v>
      </c>
      <c r="T19" s="8">
        <v>0</v>
      </c>
      <c r="U19" s="8">
        <v>0</v>
      </c>
      <c r="V19" s="8">
        <v>1950</v>
      </c>
      <c r="W19" s="8">
        <v>930</v>
      </c>
      <c r="X19" s="8">
        <v>0</v>
      </c>
      <c r="Y19" s="8">
        <v>165</v>
      </c>
      <c r="Z19" s="8">
        <v>0</v>
      </c>
      <c r="AA19" s="8">
        <v>0</v>
      </c>
      <c r="AB19" s="8">
        <v>0</v>
      </c>
      <c r="AC19" s="8">
        <v>0</v>
      </c>
      <c r="AD19" s="8">
        <v>0</v>
      </c>
      <c r="AE19" s="8">
        <v>0</v>
      </c>
      <c r="AF19" s="8">
        <v>0</v>
      </c>
      <c r="AG19" s="8">
        <v>0</v>
      </c>
      <c r="AH19" s="8">
        <f t="shared" si="10"/>
        <v>3045</v>
      </c>
      <c r="AV19" s="1" t="s">
        <v>92</v>
      </c>
      <c r="AW19" s="1"/>
    </row>
    <row r="20" spans="1:49" x14ac:dyDescent="0.3">
      <c r="A20" s="2">
        <v>6</v>
      </c>
      <c r="B20" s="3" t="s">
        <v>7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  <c r="S20" s="8">
        <v>0</v>
      </c>
      <c r="T20" s="8">
        <v>0</v>
      </c>
      <c r="U20" s="8">
        <v>0</v>
      </c>
      <c r="V20" s="8">
        <v>0</v>
      </c>
      <c r="W20" s="8">
        <v>0</v>
      </c>
      <c r="X20" s="8">
        <v>0</v>
      </c>
      <c r="Y20" s="8">
        <v>0</v>
      </c>
      <c r="Z20" s="8">
        <v>0</v>
      </c>
      <c r="AA20" s="8">
        <v>1860</v>
      </c>
      <c r="AB20" s="8">
        <v>1268</v>
      </c>
      <c r="AC20" s="8">
        <v>0</v>
      </c>
      <c r="AD20" s="8">
        <v>0</v>
      </c>
      <c r="AE20" s="8">
        <v>0</v>
      </c>
      <c r="AF20" s="8">
        <v>0</v>
      </c>
      <c r="AG20" s="8">
        <v>0</v>
      </c>
      <c r="AH20" s="8">
        <f t="shared" si="10"/>
        <v>3128</v>
      </c>
      <c r="AT20" s="25"/>
      <c r="AV20" s="1" t="s">
        <v>93</v>
      </c>
      <c r="AW20" s="16">
        <f>-AS12</f>
        <v>4528.6022826606859</v>
      </c>
    </row>
    <row r="21" spans="1:49" x14ac:dyDescent="0.3">
      <c r="A21" s="2">
        <v>7</v>
      </c>
      <c r="B21" s="3" t="s">
        <v>8</v>
      </c>
      <c r="C21" s="8">
        <v>0</v>
      </c>
      <c r="D21" s="8">
        <v>0</v>
      </c>
      <c r="E21" s="8">
        <v>0</v>
      </c>
      <c r="F21" s="8">
        <v>0</v>
      </c>
      <c r="G21" s="8">
        <v>1410</v>
      </c>
      <c r="H21" s="8">
        <v>300</v>
      </c>
      <c r="I21" s="8">
        <v>0</v>
      </c>
      <c r="J21" s="8">
        <v>1740</v>
      </c>
      <c r="K21" s="8">
        <v>153</v>
      </c>
      <c r="L21" s="8">
        <v>0</v>
      </c>
      <c r="M21" s="8"/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8">
        <v>0</v>
      </c>
      <c r="T21" s="8">
        <v>0</v>
      </c>
      <c r="U21" s="8">
        <v>0</v>
      </c>
      <c r="V21" s="8">
        <v>0</v>
      </c>
      <c r="W21" s="8">
        <v>0</v>
      </c>
      <c r="X21" s="8">
        <v>0</v>
      </c>
      <c r="Y21" s="8">
        <v>0</v>
      </c>
      <c r="Z21" s="8">
        <v>0</v>
      </c>
      <c r="AA21" s="8">
        <v>0</v>
      </c>
      <c r="AB21" s="8">
        <v>0</v>
      </c>
      <c r="AC21" s="8">
        <v>0</v>
      </c>
      <c r="AD21" s="8">
        <v>0</v>
      </c>
      <c r="AE21" s="8">
        <v>0</v>
      </c>
      <c r="AF21" s="8">
        <v>0</v>
      </c>
      <c r="AG21" s="8">
        <v>0</v>
      </c>
      <c r="AH21" s="8">
        <f t="shared" si="10"/>
        <v>3603</v>
      </c>
      <c r="AV21" s="1" t="s">
        <v>94</v>
      </c>
      <c r="AW21" s="1">
        <v>2000</v>
      </c>
    </row>
    <row r="22" spans="1:49" x14ac:dyDescent="0.3">
      <c r="AH22" s="9">
        <f>SUM(AH15:AH21)</f>
        <v>18658</v>
      </c>
      <c r="AV22" s="1"/>
      <c r="AW22" s="16">
        <f>SUM(AW20:AW21)</f>
        <v>6528.6022826606859</v>
      </c>
    </row>
    <row r="23" spans="1:49" x14ac:dyDescent="0.3">
      <c r="A23" s="4"/>
      <c r="B23" s="13" t="s">
        <v>87</v>
      </c>
      <c r="C23" s="4" t="s">
        <v>11</v>
      </c>
      <c r="D23" s="4" t="s">
        <v>12</v>
      </c>
      <c r="E23" s="4" t="s">
        <v>13</v>
      </c>
      <c r="F23" s="4" t="s">
        <v>14</v>
      </c>
      <c r="G23" s="4" t="s">
        <v>15</v>
      </c>
      <c r="H23" s="4" t="s">
        <v>16</v>
      </c>
      <c r="I23" s="4" t="s">
        <v>17</v>
      </c>
      <c r="J23" s="4" t="s">
        <v>18</v>
      </c>
      <c r="K23" s="4" t="s">
        <v>19</v>
      </c>
      <c r="L23" s="4" t="s">
        <v>20</v>
      </c>
      <c r="M23" s="4" t="s">
        <v>21</v>
      </c>
      <c r="N23" s="4" t="s">
        <v>22</v>
      </c>
    </row>
    <row r="24" spans="1:49" x14ac:dyDescent="0.3">
      <c r="A24" s="2">
        <v>1</v>
      </c>
      <c r="B24" s="12" t="s">
        <v>4</v>
      </c>
      <c r="C24" s="8">
        <f>H34</f>
        <v>3142.8571428571427</v>
      </c>
      <c r="D24" s="8">
        <f>$D$31/7</f>
        <v>642.85714285714289</v>
      </c>
      <c r="E24" s="8">
        <f>$E$31/7</f>
        <v>0</v>
      </c>
      <c r="F24" s="8">
        <f>$F$31/7</f>
        <v>71.428571428571431</v>
      </c>
      <c r="G24" s="8">
        <f>$G$31/7</f>
        <v>139.28571428571428</v>
      </c>
      <c r="H24" s="8">
        <f>$H$31/7</f>
        <v>321.14285714285717</v>
      </c>
      <c r="I24" s="8">
        <f>$I$31/7</f>
        <v>257.14285714285717</v>
      </c>
      <c r="J24" s="8">
        <f>$J$31/7</f>
        <v>35.714285714285715</v>
      </c>
      <c r="K24" s="8">
        <f>$K$31/6</f>
        <v>0</v>
      </c>
      <c r="L24" s="8">
        <f>$L$31/7</f>
        <v>24.285714285714285</v>
      </c>
      <c r="M24" s="8">
        <f>$M$31/7</f>
        <v>0</v>
      </c>
      <c r="N24" s="8">
        <f t="shared" ref="N24:N30" si="11">SUM(C24:M24)</f>
        <v>4634.7142857142853</v>
      </c>
      <c r="AV24" t="s">
        <v>100</v>
      </c>
    </row>
    <row r="25" spans="1:49" x14ac:dyDescent="0.3">
      <c r="A25" s="2">
        <v>2</v>
      </c>
      <c r="B25" s="12" t="s">
        <v>5</v>
      </c>
      <c r="C25" s="8">
        <f>H35</f>
        <v>3142.8571428571427</v>
      </c>
      <c r="D25" s="8">
        <f t="shared" ref="D25:D30" si="12">$D$31/7</f>
        <v>642.85714285714289</v>
      </c>
      <c r="E25" s="8">
        <f>$E$31/7</f>
        <v>0</v>
      </c>
      <c r="F25" s="8">
        <f t="shared" ref="F25:F30" si="13">$F$31/7</f>
        <v>71.428571428571431</v>
      </c>
      <c r="G25" s="8">
        <f t="shared" ref="G25:G30" si="14">$G$31/7</f>
        <v>139.28571428571428</v>
      </c>
      <c r="H25" s="8">
        <f t="shared" ref="H25:H30" si="15">$H$31/7</f>
        <v>321.14285714285717</v>
      </c>
      <c r="I25" s="8">
        <f t="shared" ref="I25:I30" si="16">$I$31/7</f>
        <v>257.14285714285717</v>
      </c>
      <c r="J25" s="8">
        <f t="shared" ref="J25:J29" si="17">$J$31/7</f>
        <v>35.714285714285715</v>
      </c>
      <c r="K25" s="8">
        <f t="shared" ref="K25:K30" si="18">$K$31/6</f>
        <v>0</v>
      </c>
      <c r="L25" s="8">
        <f t="shared" ref="L25:L30" si="19">$L$31/7</f>
        <v>24.285714285714285</v>
      </c>
      <c r="M25" s="8">
        <f t="shared" ref="M25:M30" si="20">$M$31/7</f>
        <v>0</v>
      </c>
      <c r="N25" s="8">
        <f t="shared" si="11"/>
        <v>4634.7142857142853</v>
      </c>
      <c r="AV25" t="s">
        <v>90</v>
      </c>
      <c r="AW25" s="47">
        <v>23773</v>
      </c>
    </row>
    <row r="26" spans="1:49" x14ac:dyDescent="0.3">
      <c r="A26" s="2">
        <v>3</v>
      </c>
      <c r="B26" s="12" t="s">
        <v>6</v>
      </c>
      <c r="C26" s="8">
        <f>H36</f>
        <v>1976.1904761904761</v>
      </c>
      <c r="D26" s="8">
        <f t="shared" si="12"/>
        <v>642.85714285714289</v>
      </c>
      <c r="E26" s="8">
        <f>$E$31/7</f>
        <v>0</v>
      </c>
      <c r="F26" s="8">
        <f t="shared" si="13"/>
        <v>71.428571428571431</v>
      </c>
      <c r="G26" s="8">
        <f t="shared" si="14"/>
        <v>139.28571428571428</v>
      </c>
      <c r="H26" s="8">
        <f t="shared" si="15"/>
        <v>321.14285714285717</v>
      </c>
      <c r="I26" s="8">
        <f t="shared" si="16"/>
        <v>257.14285714285717</v>
      </c>
      <c r="J26" s="8">
        <f t="shared" si="17"/>
        <v>35.714285714285715</v>
      </c>
      <c r="K26" s="8">
        <f t="shared" si="18"/>
        <v>0</v>
      </c>
      <c r="L26" s="8">
        <f t="shared" si="19"/>
        <v>24.285714285714285</v>
      </c>
      <c r="M26" s="8">
        <f t="shared" si="20"/>
        <v>0</v>
      </c>
      <c r="N26" s="8">
        <f t="shared" si="11"/>
        <v>3468.0476190476197</v>
      </c>
      <c r="AV26" t="s">
        <v>91</v>
      </c>
      <c r="AW26" s="47">
        <v>10374</v>
      </c>
    </row>
    <row r="27" spans="1:49" x14ac:dyDescent="0.3">
      <c r="A27" s="2">
        <v>4</v>
      </c>
      <c r="B27" s="12" t="s">
        <v>57</v>
      </c>
      <c r="C27" s="8">
        <f>H36</f>
        <v>1976.1904761904761</v>
      </c>
      <c r="D27" s="8">
        <f t="shared" si="12"/>
        <v>642.85714285714289</v>
      </c>
      <c r="E27" s="8">
        <f>$E$31/7</f>
        <v>0</v>
      </c>
      <c r="F27" s="8">
        <f t="shared" si="13"/>
        <v>71.428571428571431</v>
      </c>
      <c r="G27" s="8">
        <f t="shared" si="14"/>
        <v>139.28571428571428</v>
      </c>
      <c r="H27" s="8">
        <f t="shared" si="15"/>
        <v>321.14285714285717</v>
      </c>
      <c r="I27" s="8">
        <f t="shared" si="16"/>
        <v>257.14285714285717</v>
      </c>
      <c r="J27" s="8">
        <f t="shared" si="17"/>
        <v>35.714285714285715</v>
      </c>
      <c r="K27" s="8"/>
      <c r="L27" s="8">
        <f t="shared" si="19"/>
        <v>24.285714285714285</v>
      </c>
      <c r="M27" s="8">
        <f t="shared" si="20"/>
        <v>0</v>
      </c>
      <c r="N27" s="8">
        <f t="shared" si="11"/>
        <v>3468.0476190476197</v>
      </c>
      <c r="AW27" s="47">
        <f>SUM(AW25:AW26)</f>
        <v>34147</v>
      </c>
    </row>
    <row r="28" spans="1:49" x14ac:dyDescent="0.3">
      <c r="A28" s="2">
        <v>5</v>
      </c>
      <c r="B28" s="12" t="s">
        <v>51</v>
      </c>
      <c r="C28" s="8">
        <f>H36</f>
        <v>1976.1904761904761</v>
      </c>
      <c r="D28" s="8">
        <f t="shared" si="12"/>
        <v>642.85714285714289</v>
      </c>
      <c r="E28" s="8">
        <f t="shared" ref="E28:E30" si="21">$E$31/7</f>
        <v>0</v>
      </c>
      <c r="F28" s="8">
        <f t="shared" si="13"/>
        <v>71.428571428571431</v>
      </c>
      <c r="G28" s="8">
        <f t="shared" si="14"/>
        <v>139.28571428571428</v>
      </c>
      <c r="H28" s="8">
        <f t="shared" si="15"/>
        <v>321.14285714285717</v>
      </c>
      <c r="I28" s="8">
        <f t="shared" si="16"/>
        <v>257.14285714285717</v>
      </c>
      <c r="J28" s="8">
        <f t="shared" si="17"/>
        <v>35.714285714285715</v>
      </c>
      <c r="K28" s="8">
        <f t="shared" si="18"/>
        <v>0</v>
      </c>
      <c r="L28" s="8">
        <f t="shared" si="19"/>
        <v>24.285714285714285</v>
      </c>
      <c r="M28" s="8">
        <f t="shared" si="20"/>
        <v>0</v>
      </c>
      <c r="N28" s="8">
        <f t="shared" si="11"/>
        <v>3468.0476190476197</v>
      </c>
      <c r="AV28" t="s">
        <v>101</v>
      </c>
      <c r="AW28" s="47">
        <v>29600</v>
      </c>
    </row>
    <row r="29" spans="1:49" x14ac:dyDescent="0.3">
      <c r="A29" s="2">
        <v>6</v>
      </c>
      <c r="B29" s="12" t="s">
        <v>7</v>
      </c>
      <c r="C29" s="8">
        <f>H35</f>
        <v>3142.8571428571427</v>
      </c>
      <c r="D29" s="8">
        <f t="shared" si="12"/>
        <v>642.85714285714289</v>
      </c>
      <c r="E29" s="8">
        <f t="shared" si="21"/>
        <v>0</v>
      </c>
      <c r="F29" s="8">
        <f t="shared" si="13"/>
        <v>71.428571428571431</v>
      </c>
      <c r="G29" s="8">
        <f t="shared" si="14"/>
        <v>139.28571428571428</v>
      </c>
      <c r="H29" s="8">
        <f t="shared" si="15"/>
        <v>321.14285714285717</v>
      </c>
      <c r="I29" s="8">
        <f t="shared" si="16"/>
        <v>257.14285714285717</v>
      </c>
      <c r="J29" s="8">
        <f t="shared" si="17"/>
        <v>35.714285714285715</v>
      </c>
      <c r="K29" s="8">
        <f t="shared" si="18"/>
        <v>0</v>
      </c>
      <c r="L29" s="8">
        <f t="shared" si="19"/>
        <v>24.285714285714285</v>
      </c>
      <c r="M29" s="8">
        <f t="shared" si="20"/>
        <v>0</v>
      </c>
      <c r="N29" s="8">
        <f t="shared" si="11"/>
        <v>4634.7142857142853</v>
      </c>
      <c r="AV29" t="s">
        <v>102</v>
      </c>
      <c r="AW29" s="48">
        <f>AW27-AW28</f>
        <v>4547</v>
      </c>
    </row>
    <row r="30" spans="1:49" x14ac:dyDescent="0.3">
      <c r="A30" s="2">
        <v>7</v>
      </c>
      <c r="B30" s="12" t="s">
        <v>8</v>
      </c>
      <c r="C30" s="8">
        <f>H35</f>
        <v>3142.8571428571427</v>
      </c>
      <c r="D30" s="8">
        <f t="shared" si="12"/>
        <v>642.85714285714289</v>
      </c>
      <c r="E30" s="8">
        <f t="shared" si="21"/>
        <v>0</v>
      </c>
      <c r="F30" s="8">
        <f t="shared" si="13"/>
        <v>71.428571428571431</v>
      </c>
      <c r="G30" s="8">
        <f t="shared" si="14"/>
        <v>139.28571428571428</v>
      </c>
      <c r="H30" s="8">
        <f t="shared" si="15"/>
        <v>321.14285714285717</v>
      </c>
      <c r="I30" s="8">
        <f t="shared" si="16"/>
        <v>257.14285714285717</v>
      </c>
      <c r="J30" s="8">
        <f>$J$31/7</f>
        <v>35.714285714285715</v>
      </c>
      <c r="K30" s="8">
        <f t="shared" si="18"/>
        <v>0</v>
      </c>
      <c r="L30" s="8">
        <f t="shared" si="19"/>
        <v>24.285714285714285</v>
      </c>
      <c r="M30" s="8">
        <f t="shared" si="20"/>
        <v>0</v>
      </c>
      <c r="N30" s="8">
        <f t="shared" si="11"/>
        <v>4634.7142857142853</v>
      </c>
      <c r="AW30" s="47"/>
    </row>
    <row r="31" spans="1:49" x14ac:dyDescent="0.3">
      <c r="C31" s="8">
        <f>SUM(C24:C30)</f>
        <v>18500</v>
      </c>
      <c r="D31" s="40">
        <f>3000+1500</f>
        <v>4500</v>
      </c>
      <c r="E31" s="8"/>
      <c r="F31" s="8">
        <f>500</f>
        <v>500</v>
      </c>
      <c r="G31" s="8">
        <f>975</f>
        <v>975</v>
      </c>
      <c r="H31" s="14">
        <v>2248</v>
      </c>
      <c r="I31" s="14">
        <v>1800</v>
      </c>
      <c r="J31" s="8">
        <f>250</f>
        <v>250</v>
      </c>
      <c r="K31" s="8">
        <f>0</f>
        <v>0</v>
      </c>
      <c r="L31" s="8">
        <f>120+50</f>
        <v>170</v>
      </c>
      <c r="M31" s="8"/>
      <c r="N31" s="8">
        <f>SUM(N24:N30)</f>
        <v>28943.000000000004</v>
      </c>
      <c r="O31" s="9">
        <f>O38+O46</f>
        <v>28943</v>
      </c>
      <c r="P31" s="9">
        <f>N31-O31</f>
        <v>0</v>
      </c>
      <c r="AV31" t="s">
        <v>103</v>
      </c>
      <c r="AW31" s="47">
        <f>AW28-21100</f>
        <v>8500</v>
      </c>
    </row>
    <row r="33" spans="4:16" x14ac:dyDescent="0.3">
      <c r="N33" t="s">
        <v>61</v>
      </c>
      <c r="O33" s="9">
        <f>C31</f>
        <v>18500</v>
      </c>
    </row>
    <row r="34" spans="4:16" x14ac:dyDescent="0.3">
      <c r="D34" s="1">
        <v>6000</v>
      </c>
      <c r="E34" s="1">
        <v>2</v>
      </c>
      <c r="F34" s="1">
        <f>D34/E34</f>
        <v>3000</v>
      </c>
      <c r="G34" s="1">
        <f>(500+500)/7</f>
        <v>142.85714285714286</v>
      </c>
      <c r="H34" s="11">
        <f>F34+G34</f>
        <v>3142.8571428571427</v>
      </c>
      <c r="I34" s="11">
        <f>H34*E34</f>
        <v>6285.7142857142853</v>
      </c>
      <c r="N34" t="s">
        <v>71</v>
      </c>
      <c r="O34" s="9">
        <f>G31</f>
        <v>975</v>
      </c>
    </row>
    <row r="35" spans="4:16" x14ac:dyDescent="0.3">
      <c r="D35" s="1">
        <v>6000</v>
      </c>
      <c r="E35" s="1">
        <v>2</v>
      </c>
      <c r="F35" s="1">
        <f t="shared" ref="F35:F36" si="22">D35/E35</f>
        <v>3000</v>
      </c>
      <c r="G35" s="1">
        <f t="shared" ref="G35:G36" si="23">(500+500)/7</f>
        <v>142.85714285714286</v>
      </c>
      <c r="H35" s="11">
        <f t="shared" ref="H35" si="24">F35+G35</f>
        <v>3142.8571428571427</v>
      </c>
      <c r="I35" s="11">
        <f t="shared" ref="I35:I36" si="25">H35*E35</f>
        <v>6285.7142857142853</v>
      </c>
      <c r="N35" t="s">
        <v>72</v>
      </c>
      <c r="O35" s="9">
        <f>I31</f>
        <v>1800</v>
      </c>
    </row>
    <row r="36" spans="4:16" x14ac:dyDescent="0.3">
      <c r="D36" s="1">
        <v>5500</v>
      </c>
      <c r="E36" s="1">
        <v>3</v>
      </c>
      <c r="F36" s="11">
        <f t="shared" si="22"/>
        <v>1833.3333333333333</v>
      </c>
      <c r="G36" s="1">
        <f t="shared" si="23"/>
        <v>142.85714285714286</v>
      </c>
      <c r="H36" s="11">
        <f>F36+G36</f>
        <v>1976.1904761904761</v>
      </c>
      <c r="I36" s="11">
        <f t="shared" si="25"/>
        <v>5928.5714285714284</v>
      </c>
      <c r="N36" t="s">
        <v>73</v>
      </c>
      <c r="O36" s="9">
        <f>H31</f>
        <v>2248</v>
      </c>
    </row>
    <row r="37" spans="4:16" x14ac:dyDescent="0.3">
      <c r="D37" s="1">
        <f>SUM(D34:D36)</f>
        <v>17500</v>
      </c>
      <c r="E37" s="1"/>
      <c r="F37" s="1"/>
      <c r="G37" s="1"/>
      <c r="H37" s="1"/>
      <c r="I37" s="11">
        <f>SUM(I34:I36)</f>
        <v>18500</v>
      </c>
      <c r="N37" t="s">
        <v>74</v>
      </c>
      <c r="O37" s="9">
        <f>J31</f>
        <v>250</v>
      </c>
    </row>
    <row r="38" spans="4:16" x14ac:dyDescent="0.3">
      <c r="O38" s="9">
        <f>SUM(O33:O37)</f>
        <v>23773</v>
      </c>
    </row>
    <row r="40" spans="4:16" x14ac:dyDescent="0.3">
      <c r="P40" s="9">
        <f>O38+O46</f>
        <v>28943</v>
      </c>
    </row>
    <row r="41" spans="4:16" x14ac:dyDescent="0.3">
      <c r="N41" t="s">
        <v>12</v>
      </c>
      <c r="O41" s="9">
        <f>D31</f>
        <v>4500</v>
      </c>
    </row>
    <row r="42" spans="4:16" x14ac:dyDescent="0.3">
      <c r="N42" t="s">
        <v>13</v>
      </c>
      <c r="O42" s="9">
        <f>E31</f>
        <v>0</v>
      </c>
    </row>
    <row r="43" spans="4:16" x14ac:dyDescent="0.3">
      <c r="N43" t="s">
        <v>14</v>
      </c>
      <c r="O43" s="9">
        <f>F31</f>
        <v>500</v>
      </c>
    </row>
    <row r="44" spans="4:16" x14ac:dyDescent="0.3">
      <c r="N44" t="s">
        <v>20</v>
      </c>
      <c r="O44" s="9">
        <f>L31</f>
        <v>170</v>
      </c>
    </row>
    <row r="45" spans="4:16" x14ac:dyDescent="0.3">
      <c r="N45" t="s">
        <v>21</v>
      </c>
      <c r="O45" s="9">
        <f>M31</f>
        <v>0</v>
      </c>
    </row>
    <row r="46" spans="4:16" x14ac:dyDescent="0.3">
      <c r="O46" s="9">
        <f>SUM(O41:O45)</f>
        <v>5170</v>
      </c>
    </row>
  </sheetData>
  <mergeCells count="2">
    <mergeCell ref="C1:D2"/>
    <mergeCell ref="E1:F2"/>
  </mergeCells>
  <pageMargins left="0.7" right="0.7" top="0.75" bottom="0.75" header="0.3" footer="0.3"/>
  <pageSetup orientation="portrait" horizontalDpi="1200" verticalDpi="1200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K50"/>
  <sheetViews>
    <sheetView zoomScaleNormal="10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E1" sqref="E1:F2"/>
    </sheetView>
  </sheetViews>
  <sheetFormatPr defaultRowHeight="14.4" x14ac:dyDescent="0.3"/>
  <cols>
    <col min="1" max="1" width="7" bestFit="1" customWidth="1"/>
    <col min="2" max="2" width="23.6640625" bestFit="1" customWidth="1"/>
    <col min="3" max="5" width="9.33203125" bestFit="1" customWidth="1"/>
    <col min="6" max="6" width="11.5546875" customWidth="1"/>
    <col min="7" max="7" width="12" bestFit="1" customWidth="1"/>
    <col min="8" max="8" width="13.33203125" customWidth="1"/>
    <col min="9" max="9" width="9.6640625" customWidth="1"/>
    <col min="10" max="10" width="9.33203125" bestFit="1" customWidth="1"/>
    <col min="11" max="11" width="14.5546875" customWidth="1"/>
    <col min="12" max="13" width="10.33203125" bestFit="1" customWidth="1"/>
    <col min="14" max="14" width="11.5546875" bestFit="1" customWidth="1"/>
    <col min="15" max="34" width="10.33203125" bestFit="1" customWidth="1"/>
    <col min="35" max="35" width="8.5546875" customWidth="1"/>
    <col min="36" max="36" width="4.33203125" customWidth="1"/>
    <col min="37" max="37" width="22.33203125" customWidth="1"/>
    <col min="38" max="38" width="10.44140625" customWidth="1"/>
    <col min="39" max="39" width="12.33203125" customWidth="1"/>
    <col min="40" max="40" width="10.33203125" customWidth="1"/>
    <col min="41" max="41" width="12" customWidth="1"/>
    <col min="42" max="42" width="10.33203125" customWidth="1"/>
    <col min="43" max="43" width="12.33203125" customWidth="1"/>
    <col min="44" max="44" width="17.44140625" customWidth="1"/>
    <col min="45" max="45" width="9.44140625" customWidth="1"/>
    <col min="46" max="46" width="10.33203125" customWidth="1"/>
    <col min="47" max="47" width="9.33203125" customWidth="1"/>
    <col min="48" max="48" width="11.33203125" bestFit="1" customWidth="1"/>
    <col min="49" max="49" width="10.33203125" bestFit="1" customWidth="1"/>
    <col min="50" max="50" width="30.33203125" bestFit="1" customWidth="1"/>
    <col min="51" max="51" width="10.109375" bestFit="1" customWidth="1"/>
  </cols>
  <sheetData>
    <row r="1" spans="1:51" x14ac:dyDescent="0.3">
      <c r="C1" s="107" t="s">
        <v>84</v>
      </c>
      <c r="D1" s="107"/>
      <c r="E1" s="106">
        <f>AH24/AH12</f>
        <v>54.191176470588232</v>
      </c>
      <c r="F1" s="106"/>
    </row>
    <row r="2" spans="1:51" ht="25.5" customHeight="1" x14ac:dyDescent="0.3">
      <c r="C2" s="107"/>
      <c r="D2" s="107"/>
      <c r="E2" s="106"/>
      <c r="F2" s="106"/>
    </row>
    <row r="4" spans="1:51" ht="57.6" x14ac:dyDescent="0.3">
      <c r="A4" s="4" t="s">
        <v>0</v>
      </c>
      <c r="B4" s="4" t="s">
        <v>2</v>
      </c>
      <c r="C4" s="5">
        <v>44378</v>
      </c>
      <c r="D4" s="5">
        <v>44379</v>
      </c>
      <c r="E4" s="5">
        <v>44380</v>
      </c>
      <c r="F4" s="5">
        <v>44381</v>
      </c>
      <c r="G4" s="5">
        <v>44382</v>
      </c>
      <c r="H4" s="5">
        <v>44383</v>
      </c>
      <c r="I4" s="5">
        <v>44384</v>
      </c>
      <c r="J4" s="5">
        <v>44385</v>
      </c>
      <c r="K4" s="5">
        <v>44386</v>
      </c>
      <c r="L4" s="5">
        <v>44387</v>
      </c>
      <c r="M4" s="5">
        <v>44388</v>
      </c>
      <c r="N4" s="5">
        <v>44389</v>
      </c>
      <c r="O4" s="5">
        <v>44390</v>
      </c>
      <c r="P4" s="5">
        <v>44391</v>
      </c>
      <c r="Q4" s="5">
        <v>44392</v>
      </c>
      <c r="R4" s="5">
        <v>44393</v>
      </c>
      <c r="S4" s="5">
        <v>44394</v>
      </c>
      <c r="T4" s="5">
        <v>44395</v>
      </c>
      <c r="U4" s="5">
        <v>44396</v>
      </c>
      <c r="V4" s="5">
        <v>44397</v>
      </c>
      <c r="W4" s="5">
        <v>44398</v>
      </c>
      <c r="X4" s="5">
        <v>44399</v>
      </c>
      <c r="Y4" s="5">
        <v>44400</v>
      </c>
      <c r="Z4" s="5">
        <v>44401</v>
      </c>
      <c r="AA4" s="5">
        <v>44402</v>
      </c>
      <c r="AB4" s="5">
        <v>44403</v>
      </c>
      <c r="AC4" s="5">
        <v>44404</v>
      </c>
      <c r="AD4" s="5">
        <v>44405</v>
      </c>
      <c r="AE4" s="5">
        <v>44406</v>
      </c>
      <c r="AF4" s="5">
        <v>44407</v>
      </c>
      <c r="AG4" s="5">
        <v>44408</v>
      </c>
      <c r="AH4" s="4" t="s">
        <v>1</v>
      </c>
      <c r="AJ4" s="49" t="s">
        <v>0</v>
      </c>
      <c r="AK4" s="49" t="s">
        <v>2</v>
      </c>
      <c r="AL4" s="50" t="s">
        <v>23</v>
      </c>
      <c r="AM4" s="50" t="s">
        <v>24</v>
      </c>
      <c r="AN4" s="50" t="s">
        <v>26</v>
      </c>
      <c r="AO4" s="50" t="s">
        <v>106</v>
      </c>
      <c r="AP4" s="50" t="s">
        <v>27</v>
      </c>
      <c r="AQ4" s="50" t="s">
        <v>30</v>
      </c>
      <c r="AR4" s="50" t="s">
        <v>32</v>
      </c>
      <c r="AS4" s="50" t="s">
        <v>28</v>
      </c>
      <c r="AT4" s="50" t="s">
        <v>29</v>
      </c>
      <c r="AU4" s="50" t="s">
        <v>31</v>
      </c>
      <c r="AV4" s="45"/>
      <c r="AX4" s="43"/>
    </row>
    <row r="5" spans="1:51" x14ac:dyDescent="0.3">
      <c r="A5" s="2">
        <v>1</v>
      </c>
      <c r="B5" s="3" t="s">
        <v>4</v>
      </c>
      <c r="C5" s="7">
        <v>2</v>
      </c>
      <c r="D5" s="7">
        <v>2</v>
      </c>
      <c r="E5" s="7">
        <v>2</v>
      </c>
      <c r="F5" s="7">
        <v>2</v>
      </c>
      <c r="G5" s="7">
        <v>2</v>
      </c>
      <c r="H5" s="7">
        <v>2</v>
      </c>
      <c r="I5" s="7">
        <v>2</v>
      </c>
      <c r="J5" s="7">
        <v>2</v>
      </c>
      <c r="K5" s="7">
        <v>2</v>
      </c>
      <c r="L5" s="7">
        <v>2</v>
      </c>
      <c r="M5" s="7">
        <v>2</v>
      </c>
      <c r="N5" s="7">
        <v>2</v>
      </c>
      <c r="O5" s="7">
        <v>2</v>
      </c>
      <c r="P5" s="7">
        <v>2</v>
      </c>
      <c r="Q5" s="7">
        <v>2</v>
      </c>
      <c r="R5" s="7">
        <v>2</v>
      </c>
      <c r="S5" s="7">
        <v>2</v>
      </c>
      <c r="T5" s="7">
        <v>2</v>
      </c>
      <c r="U5" s="7">
        <v>1</v>
      </c>
      <c r="V5" s="7">
        <v>2</v>
      </c>
      <c r="W5" s="7">
        <v>1</v>
      </c>
      <c r="X5" s="7">
        <v>1</v>
      </c>
      <c r="Y5" s="7">
        <v>2</v>
      </c>
      <c r="Z5" s="7">
        <v>2</v>
      </c>
      <c r="AA5" s="7">
        <v>1</v>
      </c>
      <c r="AB5" s="7">
        <v>2</v>
      </c>
      <c r="AC5" s="7">
        <v>2</v>
      </c>
      <c r="AD5" s="7">
        <v>2</v>
      </c>
      <c r="AE5" s="7">
        <v>2</v>
      </c>
      <c r="AF5" s="7">
        <v>1</v>
      </c>
      <c r="AG5" s="7">
        <v>1</v>
      </c>
      <c r="AH5" s="7">
        <f>SUM(C5:AG5)</f>
        <v>56</v>
      </c>
      <c r="AJ5" s="2">
        <v>1</v>
      </c>
      <c r="AK5" s="3" t="s">
        <v>4</v>
      </c>
      <c r="AL5" s="16">
        <f>AH5*$E$1</f>
        <v>3034.705882352941</v>
      </c>
      <c r="AM5" s="16">
        <f>AH17</f>
        <v>6645</v>
      </c>
      <c r="AN5" s="16">
        <f t="shared" ref="AN5:AN11" si="0">AM5-AL5</f>
        <v>3610.294117647059</v>
      </c>
      <c r="AO5" s="16">
        <f>N26</f>
        <v>4386.7142857142844</v>
      </c>
      <c r="AP5" s="16">
        <f>AO5-AN5</f>
        <v>776.4201680672254</v>
      </c>
      <c r="AQ5" s="16">
        <f>'Meal June''21 &amp; Rent July 2021'!AS5</f>
        <v>1013.093546089046</v>
      </c>
      <c r="AR5" s="16">
        <f>AP5-AQ5</f>
        <v>-236.67337802182055</v>
      </c>
      <c r="AS5" s="8">
        <f>500+6000+20-3000</f>
        <v>3520</v>
      </c>
      <c r="AT5" s="17">
        <v>44418</v>
      </c>
      <c r="AU5" s="16">
        <f>AS5-AR5</f>
        <v>3756.6733780218206</v>
      </c>
      <c r="AW5">
        <v>6020</v>
      </c>
      <c r="AY5" s="9"/>
    </row>
    <row r="6" spans="1:51" x14ac:dyDescent="0.3">
      <c r="A6" s="2">
        <v>2</v>
      </c>
      <c r="B6" s="3" t="s">
        <v>5</v>
      </c>
      <c r="C6" s="7">
        <v>2.5</v>
      </c>
      <c r="D6" s="7">
        <v>2.5</v>
      </c>
      <c r="E6" s="7">
        <v>2.5</v>
      </c>
      <c r="F6" s="7">
        <v>2.5</v>
      </c>
      <c r="G6" s="7">
        <v>0</v>
      </c>
      <c r="H6" s="7">
        <v>2.5</v>
      </c>
      <c r="I6" s="7">
        <v>2.5</v>
      </c>
      <c r="J6" s="7">
        <v>2.5</v>
      </c>
      <c r="K6" s="7">
        <v>2.5</v>
      </c>
      <c r="L6" s="7">
        <v>2.5</v>
      </c>
      <c r="M6" s="7">
        <v>2.5</v>
      </c>
      <c r="N6" s="7">
        <v>2.5</v>
      </c>
      <c r="O6" s="7">
        <v>2.5</v>
      </c>
      <c r="P6" s="7">
        <v>2.5</v>
      </c>
      <c r="Q6" s="7">
        <v>2.5</v>
      </c>
      <c r="R6" s="7">
        <v>3.5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1</v>
      </c>
      <c r="Y6" s="7">
        <v>2.5</v>
      </c>
      <c r="Z6" s="7">
        <v>2</v>
      </c>
      <c r="AA6" s="7">
        <v>2</v>
      </c>
      <c r="AB6" s="7">
        <v>2.5</v>
      </c>
      <c r="AC6" s="7">
        <v>2.5</v>
      </c>
      <c r="AD6" s="7">
        <v>2.5</v>
      </c>
      <c r="AE6" s="7">
        <v>1.5</v>
      </c>
      <c r="AF6" s="7">
        <v>2.5</v>
      </c>
      <c r="AG6" s="7">
        <v>1</v>
      </c>
      <c r="AH6" s="7">
        <f>SUM(C6:AG6)</f>
        <v>58.5</v>
      </c>
      <c r="AJ6" s="2">
        <v>2</v>
      </c>
      <c r="AK6" s="3" t="s">
        <v>5</v>
      </c>
      <c r="AL6" s="16">
        <f>AH6*$E$1</f>
        <v>3170.1838235294117</v>
      </c>
      <c r="AM6" s="16">
        <f>AH18</f>
        <v>3825</v>
      </c>
      <c r="AN6" s="16">
        <f t="shared" si="0"/>
        <v>654.81617647058829</v>
      </c>
      <c r="AO6" s="16">
        <f>N27</f>
        <v>4386.7142857142844</v>
      </c>
      <c r="AP6" s="16">
        <f t="shared" ref="AP6:AP13" si="1">AO6-AN6</f>
        <v>3731.8981092436961</v>
      </c>
      <c r="AQ6" s="16">
        <f>'Meal June''21 &amp; Rent July 2021'!AS6</f>
        <v>415.49309390148119</v>
      </c>
      <c r="AR6" s="16">
        <f t="shared" ref="AR6:AR13" si="2">AP6-AQ6</f>
        <v>3316.4050153422149</v>
      </c>
      <c r="AS6" s="8">
        <f>145+3170+320</f>
        <v>3635</v>
      </c>
      <c r="AT6" s="17">
        <v>44420</v>
      </c>
      <c r="AU6" s="16">
        <f t="shared" ref="AU6:AU10" si="3">AS6-AR6</f>
        <v>318.59498465778506</v>
      </c>
      <c r="AW6">
        <f>3170+320</f>
        <v>3490</v>
      </c>
      <c r="AY6" s="9"/>
    </row>
    <row r="7" spans="1:51" x14ac:dyDescent="0.3">
      <c r="A7" s="2">
        <v>3</v>
      </c>
      <c r="B7" s="3" t="s">
        <v>6</v>
      </c>
      <c r="C7" s="7">
        <v>2.5</v>
      </c>
      <c r="D7" s="7">
        <v>2.5</v>
      </c>
      <c r="E7" s="7">
        <v>2.5</v>
      </c>
      <c r="F7" s="7">
        <v>2.5</v>
      </c>
      <c r="G7" s="7">
        <v>2.5</v>
      </c>
      <c r="H7" s="7">
        <v>2.5</v>
      </c>
      <c r="I7" s="7">
        <v>3.5</v>
      </c>
      <c r="J7" s="7">
        <v>2.5</v>
      </c>
      <c r="K7" s="7">
        <v>2.5</v>
      </c>
      <c r="L7" s="7">
        <v>2.5</v>
      </c>
      <c r="M7" s="7">
        <v>2</v>
      </c>
      <c r="N7" s="7">
        <v>2.5</v>
      </c>
      <c r="O7" s="7">
        <v>2.5</v>
      </c>
      <c r="P7" s="7">
        <v>2.5</v>
      </c>
      <c r="Q7" s="7">
        <v>2.5</v>
      </c>
      <c r="R7" s="7">
        <v>2.5</v>
      </c>
      <c r="S7" s="7">
        <v>1</v>
      </c>
      <c r="T7" s="7">
        <v>2</v>
      </c>
      <c r="U7" s="7">
        <v>2</v>
      </c>
      <c r="V7" s="7">
        <v>2</v>
      </c>
      <c r="W7" s="7">
        <v>2</v>
      </c>
      <c r="X7" s="7">
        <v>2</v>
      </c>
      <c r="Y7" s="7">
        <v>2.5</v>
      </c>
      <c r="Z7" s="7">
        <v>2</v>
      </c>
      <c r="AA7" s="7">
        <v>2</v>
      </c>
      <c r="AB7" s="7">
        <v>2.5</v>
      </c>
      <c r="AC7" s="7">
        <v>2.5</v>
      </c>
      <c r="AD7" s="7">
        <v>2.5</v>
      </c>
      <c r="AE7" s="7">
        <v>1.5</v>
      </c>
      <c r="AF7" s="7">
        <v>2</v>
      </c>
      <c r="AG7" s="7">
        <v>1</v>
      </c>
      <c r="AH7" s="7">
        <f t="shared" ref="AH7:AH10" si="4">SUM(C7:AG7)</f>
        <v>70</v>
      </c>
      <c r="AJ7" s="2">
        <v>3</v>
      </c>
      <c r="AK7" s="3" t="s">
        <v>6</v>
      </c>
      <c r="AL7" s="16">
        <f>AH7*$E$1</f>
        <v>3793.3823529411761</v>
      </c>
      <c r="AM7" s="16">
        <f>AH19</f>
        <v>1470</v>
      </c>
      <c r="AN7" s="16">
        <f t="shared" si="0"/>
        <v>-2323.3823529411761</v>
      </c>
      <c r="AO7" s="16">
        <f t="shared" ref="AO7:AO8" si="5">N28</f>
        <v>3386.7142857142858</v>
      </c>
      <c r="AP7" s="16">
        <f t="shared" si="1"/>
        <v>5710.0966386554619</v>
      </c>
      <c r="AQ7" s="16">
        <f>'Meal June''21 &amp; Rent July 2021'!AS7</f>
        <v>-5517.6777320948859</v>
      </c>
      <c r="AR7" s="16">
        <f t="shared" si="2"/>
        <v>11227.774370750347</v>
      </c>
      <c r="AS7" s="8">
        <v>11230</v>
      </c>
      <c r="AT7" s="17">
        <v>44420</v>
      </c>
      <c r="AU7" s="16">
        <f t="shared" si="3"/>
        <v>2.2256292496531387</v>
      </c>
      <c r="AW7">
        <v>11230</v>
      </c>
      <c r="AY7" s="9"/>
    </row>
    <row r="8" spans="1:51" x14ac:dyDescent="0.3">
      <c r="A8" s="2">
        <v>4</v>
      </c>
      <c r="B8" s="3" t="s">
        <v>57</v>
      </c>
      <c r="C8" s="7">
        <v>2.5</v>
      </c>
      <c r="D8" s="7">
        <v>2.5</v>
      </c>
      <c r="E8" s="7">
        <v>2</v>
      </c>
      <c r="F8" s="7">
        <v>2</v>
      </c>
      <c r="G8" s="7">
        <v>2.5</v>
      </c>
      <c r="H8" s="7">
        <v>2.5</v>
      </c>
      <c r="I8" s="7">
        <v>2</v>
      </c>
      <c r="J8" s="7">
        <v>2.5</v>
      </c>
      <c r="K8" s="7">
        <v>2.5</v>
      </c>
      <c r="L8" s="7">
        <v>2.5</v>
      </c>
      <c r="M8" s="7">
        <v>2.5</v>
      </c>
      <c r="N8" s="7">
        <v>2.5</v>
      </c>
      <c r="O8" s="7">
        <v>2</v>
      </c>
      <c r="P8" s="7">
        <v>1.5</v>
      </c>
      <c r="Q8" s="7">
        <v>2.5</v>
      </c>
      <c r="R8" s="7">
        <v>2.5</v>
      </c>
      <c r="S8" s="7">
        <v>2.5</v>
      </c>
      <c r="T8" s="7">
        <v>2</v>
      </c>
      <c r="U8" s="7">
        <v>2</v>
      </c>
      <c r="V8" s="7">
        <v>2</v>
      </c>
      <c r="W8" s="7">
        <v>2</v>
      </c>
      <c r="X8" s="7">
        <v>2</v>
      </c>
      <c r="Y8" s="7">
        <v>0</v>
      </c>
      <c r="Z8" s="7">
        <v>2</v>
      </c>
      <c r="AA8" s="7">
        <v>1</v>
      </c>
      <c r="AB8" s="7">
        <v>2.5</v>
      </c>
      <c r="AC8" s="7">
        <v>2.5</v>
      </c>
      <c r="AD8" s="7">
        <v>1.5</v>
      </c>
      <c r="AE8" s="7">
        <v>3.5</v>
      </c>
      <c r="AF8" s="7">
        <v>6</v>
      </c>
      <c r="AG8" s="7">
        <v>1</v>
      </c>
      <c r="AH8" s="7">
        <f t="shared" si="4"/>
        <v>69.5</v>
      </c>
      <c r="AJ8" s="2">
        <v>4</v>
      </c>
      <c r="AK8" s="3" t="s">
        <v>57</v>
      </c>
      <c r="AL8" s="16">
        <f>AH8*$E$1</f>
        <v>3766.286764705882</v>
      </c>
      <c r="AM8" s="16">
        <f>AH20</f>
        <v>1865</v>
      </c>
      <c r="AN8" s="16">
        <f t="shared" si="0"/>
        <v>-1901.286764705882</v>
      </c>
      <c r="AO8" s="16">
        <f t="shared" si="5"/>
        <v>3386.7142857142858</v>
      </c>
      <c r="AP8" s="16">
        <f t="shared" si="1"/>
        <v>5288.0010504201673</v>
      </c>
      <c r="AQ8" s="16">
        <f>'Meal June''21 &amp; Rent July 2021'!AS8</f>
        <v>7.2589491556936991</v>
      </c>
      <c r="AR8" s="16">
        <f t="shared" si="2"/>
        <v>5280.7421012644736</v>
      </c>
      <c r="AS8" s="8">
        <f>1400+3000</f>
        <v>4400</v>
      </c>
      <c r="AT8" s="17">
        <v>44431</v>
      </c>
      <c r="AU8" s="16">
        <f>AS8-AR8</f>
        <v>-880.7421012644736</v>
      </c>
      <c r="AV8" s="25"/>
      <c r="AW8" s="9">
        <v>1400</v>
      </c>
      <c r="AY8" s="9"/>
    </row>
    <row r="9" spans="1:51" x14ac:dyDescent="0.3">
      <c r="A9" s="2">
        <v>5</v>
      </c>
      <c r="B9" s="12" t="s">
        <v>51</v>
      </c>
      <c r="C9" s="7">
        <v>2.5</v>
      </c>
      <c r="D9" s="7">
        <v>2.5</v>
      </c>
      <c r="E9" s="7">
        <v>2.5</v>
      </c>
      <c r="F9" s="7">
        <v>1</v>
      </c>
      <c r="G9" s="7">
        <v>2.5</v>
      </c>
      <c r="H9" s="7">
        <v>2.5</v>
      </c>
      <c r="I9" s="7">
        <v>2.5</v>
      </c>
      <c r="J9" s="7">
        <v>2</v>
      </c>
      <c r="K9" s="7">
        <v>2.5</v>
      </c>
      <c r="L9" s="7">
        <v>2.5</v>
      </c>
      <c r="M9" s="7">
        <v>2.5</v>
      </c>
      <c r="N9" s="7">
        <v>2.5</v>
      </c>
      <c r="O9" s="7">
        <v>2.5</v>
      </c>
      <c r="P9" s="7">
        <v>3</v>
      </c>
      <c r="Q9" s="7">
        <v>1</v>
      </c>
      <c r="R9" s="7">
        <v>2.5</v>
      </c>
      <c r="S9" s="7">
        <v>3</v>
      </c>
      <c r="T9" s="7">
        <v>1</v>
      </c>
      <c r="U9" s="7">
        <v>0</v>
      </c>
      <c r="V9" s="7">
        <v>0</v>
      </c>
      <c r="W9" s="7">
        <v>0</v>
      </c>
      <c r="X9" s="7">
        <v>0</v>
      </c>
      <c r="Y9" s="7">
        <v>0</v>
      </c>
      <c r="Z9" s="7">
        <v>0</v>
      </c>
      <c r="AA9" s="7">
        <v>0</v>
      </c>
      <c r="AB9" s="7">
        <v>2.5</v>
      </c>
      <c r="AC9" s="7">
        <v>2.5</v>
      </c>
      <c r="AD9" s="7">
        <v>2.5</v>
      </c>
      <c r="AE9" s="7">
        <v>1.5</v>
      </c>
      <c r="AF9" s="7">
        <v>2.5</v>
      </c>
      <c r="AG9" s="7">
        <v>1</v>
      </c>
      <c r="AH9" s="7">
        <f t="shared" si="4"/>
        <v>53.5</v>
      </c>
      <c r="AJ9" s="2">
        <v>5</v>
      </c>
      <c r="AK9" s="12" t="s">
        <v>51</v>
      </c>
      <c r="AL9" s="16">
        <f>$AH$9*$E$1</f>
        <v>2899.2279411764703</v>
      </c>
      <c r="AM9" s="16">
        <f>AH21</f>
        <v>3130</v>
      </c>
      <c r="AN9" s="16">
        <f t="shared" si="0"/>
        <v>230.77205882352973</v>
      </c>
      <c r="AO9" s="16">
        <f>N30</f>
        <v>3386.7142857142858</v>
      </c>
      <c r="AP9" s="16">
        <f t="shared" si="1"/>
        <v>3155.942226890756</v>
      </c>
      <c r="AQ9" s="16">
        <f>'Meal June''21 &amp; Rent July 2021'!AS9</f>
        <v>-28.647017651018814</v>
      </c>
      <c r="AR9" s="16">
        <f t="shared" si="2"/>
        <v>3184.5892445417749</v>
      </c>
      <c r="AS9" s="8">
        <f>3000+185</f>
        <v>3185</v>
      </c>
      <c r="AT9" s="17">
        <v>44418</v>
      </c>
      <c r="AU9" s="16">
        <f>AS9-AR9</f>
        <v>0.41075545822513959</v>
      </c>
      <c r="AW9" s="9">
        <v>185</v>
      </c>
    </row>
    <row r="10" spans="1:51" x14ac:dyDescent="0.3">
      <c r="A10" s="2">
        <v>6</v>
      </c>
      <c r="B10" s="3" t="s">
        <v>7</v>
      </c>
      <c r="C10" s="7">
        <v>2.5</v>
      </c>
      <c r="D10" s="7">
        <v>2.5</v>
      </c>
      <c r="E10" s="7">
        <v>2.5</v>
      </c>
      <c r="F10" s="7">
        <v>2.5</v>
      </c>
      <c r="G10" s="7">
        <v>2.5</v>
      </c>
      <c r="H10" s="7">
        <v>2.5</v>
      </c>
      <c r="I10" s="7">
        <v>2.5</v>
      </c>
      <c r="J10" s="7">
        <v>2.5</v>
      </c>
      <c r="K10" s="7">
        <v>2.5</v>
      </c>
      <c r="L10" s="7">
        <v>2.5</v>
      </c>
      <c r="M10" s="7">
        <v>2.5</v>
      </c>
      <c r="N10" s="7">
        <v>2.5</v>
      </c>
      <c r="O10" s="7">
        <v>2.5</v>
      </c>
      <c r="P10" s="7">
        <v>2.5</v>
      </c>
      <c r="Q10" s="7">
        <v>2.5</v>
      </c>
      <c r="R10" s="7">
        <v>1.5</v>
      </c>
      <c r="S10" s="7">
        <v>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7">
        <v>0</v>
      </c>
      <c r="Z10" s="7">
        <v>0</v>
      </c>
      <c r="AA10" s="7">
        <v>0</v>
      </c>
      <c r="AB10" s="7">
        <v>0</v>
      </c>
      <c r="AC10" s="7">
        <v>0</v>
      </c>
      <c r="AD10" s="7">
        <v>0</v>
      </c>
      <c r="AE10" s="7">
        <v>1.5</v>
      </c>
      <c r="AF10" s="7">
        <v>2.5</v>
      </c>
      <c r="AG10" s="7">
        <v>1</v>
      </c>
      <c r="AH10" s="7">
        <f t="shared" si="4"/>
        <v>44</v>
      </c>
      <c r="AJ10" s="2">
        <v>6</v>
      </c>
      <c r="AK10" s="3" t="s">
        <v>7</v>
      </c>
      <c r="AL10" s="16">
        <f>AH10*$E$1</f>
        <v>2384.411764705882</v>
      </c>
      <c r="AM10" s="16">
        <f t="shared" ref="AM10" si="6">AH22</f>
        <v>1890</v>
      </c>
      <c r="AN10" s="16">
        <f t="shared" si="0"/>
        <v>-494.41176470588198</v>
      </c>
      <c r="AO10" s="16">
        <f>N31</f>
        <v>1243.8571428571429</v>
      </c>
      <c r="AP10" s="16">
        <f t="shared" si="1"/>
        <v>1738.2689075630249</v>
      </c>
      <c r="AQ10" s="16">
        <f>'Meal June''21 &amp; Rent July 2021'!AS10</f>
        <v>-418.12746824926035</v>
      </c>
      <c r="AR10" s="16">
        <f t="shared" si="2"/>
        <v>2156.3963758122854</v>
      </c>
      <c r="AS10" s="8">
        <v>0</v>
      </c>
      <c r="AT10" s="17">
        <v>44392</v>
      </c>
      <c r="AU10" s="16">
        <f t="shared" si="3"/>
        <v>-2156.3963758122854</v>
      </c>
    </row>
    <row r="11" spans="1:51" x14ac:dyDescent="0.3">
      <c r="A11" s="2">
        <v>7</v>
      </c>
      <c r="B11" s="3" t="s">
        <v>8</v>
      </c>
      <c r="C11" s="7">
        <v>2.5</v>
      </c>
      <c r="D11" s="7">
        <v>2.5</v>
      </c>
      <c r="E11" s="7">
        <v>2.5</v>
      </c>
      <c r="F11" s="7">
        <v>2.5</v>
      </c>
      <c r="G11" s="7">
        <v>2.5</v>
      </c>
      <c r="H11" s="7">
        <v>2.5</v>
      </c>
      <c r="I11" s="7">
        <v>2.5</v>
      </c>
      <c r="J11" s="7">
        <v>2.5</v>
      </c>
      <c r="K11" s="7">
        <v>2.5</v>
      </c>
      <c r="L11" s="7">
        <v>2.5</v>
      </c>
      <c r="M11" s="7">
        <v>2.5</v>
      </c>
      <c r="N11" s="7">
        <v>2.5</v>
      </c>
      <c r="O11" s="7">
        <v>1.5</v>
      </c>
      <c r="P11" s="7">
        <v>2.5</v>
      </c>
      <c r="Q11" s="7">
        <v>2.5</v>
      </c>
      <c r="R11" s="7">
        <v>1.5</v>
      </c>
      <c r="S11" s="7">
        <v>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7">
        <v>2</v>
      </c>
      <c r="Z11" s="7">
        <v>2</v>
      </c>
      <c r="AA11" s="7">
        <v>2</v>
      </c>
      <c r="AB11" s="7">
        <v>2.5</v>
      </c>
      <c r="AC11" s="7">
        <v>2.5</v>
      </c>
      <c r="AD11" s="7">
        <v>2.5</v>
      </c>
      <c r="AE11" s="7">
        <v>1.5</v>
      </c>
      <c r="AF11" s="7">
        <v>2.5</v>
      </c>
      <c r="AG11" s="7">
        <v>1</v>
      </c>
      <c r="AH11" s="7">
        <f>SUM(C11:AG11)</f>
        <v>56.5</v>
      </c>
      <c r="AJ11" s="2">
        <v>7</v>
      </c>
      <c r="AK11" s="3" t="s">
        <v>8</v>
      </c>
      <c r="AL11" s="16">
        <f>AH11*$E$1</f>
        <v>3061.8014705882351</v>
      </c>
      <c r="AM11" s="16">
        <f>AH23</f>
        <v>3285</v>
      </c>
      <c r="AN11" s="16">
        <f t="shared" si="0"/>
        <v>223.19852941176487</v>
      </c>
      <c r="AO11" s="16">
        <f>N32</f>
        <v>1243.8571428571429</v>
      </c>
      <c r="AP11" s="16">
        <f t="shared" si="1"/>
        <v>1020.658613445378</v>
      </c>
      <c r="AQ11" s="8">
        <f>'Meal June''21 &amp; Rent July 2021'!AS11</f>
        <v>4.3461882578412769E-3</v>
      </c>
      <c r="AR11" s="16">
        <f t="shared" si="2"/>
        <v>1020.6542672571202</v>
      </c>
      <c r="AS11" s="8">
        <v>0</v>
      </c>
      <c r="AT11" s="17">
        <v>44393</v>
      </c>
      <c r="AU11" s="16">
        <f>AS11-AR11</f>
        <v>-1020.6542672571202</v>
      </c>
    </row>
    <row r="12" spans="1:51" x14ac:dyDescent="0.3">
      <c r="A12" s="1"/>
      <c r="B12" s="1"/>
      <c r="C12" s="7">
        <f>SUM(C5:C11)</f>
        <v>17</v>
      </c>
      <c r="D12" s="7">
        <f t="shared" ref="D12:AG12" si="7">SUM(D5:D11)</f>
        <v>17</v>
      </c>
      <c r="E12" s="7">
        <f t="shared" si="7"/>
        <v>16.5</v>
      </c>
      <c r="F12" s="7">
        <f t="shared" si="7"/>
        <v>15</v>
      </c>
      <c r="G12" s="7">
        <f t="shared" si="7"/>
        <v>14.5</v>
      </c>
      <c r="H12" s="7">
        <f t="shared" si="7"/>
        <v>17</v>
      </c>
      <c r="I12" s="7">
        <f t="shared" si="7"/>
        <v>17.5</v>
      </c>
      <c r="J12" s="7">
        <f t="shared" si="7"/>
        <v>16.5</v>
      </c>
      <c r="K12" s="7">
        <f t="shared" si="7"/>
        <v>17</v>
      </c>
      <c r="L12" s="7">
        <f t="shared" si="7"/>
        <v>17</v>
      </c>
      <c r="M12" s="7">
        <f t="shared" si="7"/>
        <v>16.5</v>
      </c>
      <c r="N12" s="7">
        <f t="shared" si="7"/>
        <v>17</v>
      </c>
      <c r="O12" s="7">
        <f t="shared" si="7"/>
        <v>15.5</v>
      </c>
      <c r="P12" s="7">
        <f t="shared" si="7"/>
        <v>16.5</v>
      </c>
      <c r="Q12" s="7">
        <f t="shared" si="7"/>
        <v>15.5</v>
      </c>
      <c r="R12" s="7">
        <f t="shared" si="7"/>
        <v>16</v>
      </c>
      <c r="S12" s="7">
        <f t="shared" si="7"/>
        <v>8.5</v>
      </c>
      <c r="T12" s="7">
        <f t="shared" si="7"/>
        <v>7</v>
      </c>
      <c r="U12" s="7">
        <f t="shared" si="7"/>
        <v>5</v>
      </c>
      <c r="V12" s="7">
        <f t="shared" si="7"/>
        <v>6</v>
      </c>
      <c r="W12" s="7">
        <f t="shared" si="7"/>
        <v>5</v>
      </c>
      <c r="X12" s="7">
        <f t="shared" si="7"/>
        <v>6</v>
      </c>
      <c r="Y12" s="7">
        <f t="shared" si="7"/>
        <v>9</v>
      </c>
      <c r="Z12" s="7">
        <f t="shared" si="7"/>
        <v>10</v>
      </c>
      <c r="AA12" s="7">
        <f t="shared" si="7"/>
        <v>8</v>
      </c>
      <c r="AB12" s="7">
        <f t="shared" si="7"/>
        <v>14.5</v>
      </c>
      <c r="AC12" s="7">
        <f t="shared" si="7"/>
        <v>14.5</v>
      </c>
      <c r="AD12" s="7">
        <f t="shared" si="7"/>
        <v>13.5</v>
      </c>
      <c r="AE12" s="7">
        <f t="shared" si="7"/>
        <v>13</v>
      </c>
      <c r="AF12" s="7">
        <f t="shared" si="7"/>
        <v>19</v>
      </c>
      <c r="AG12" s="7">
        <f t="shared" si="7"/>
        <v>7</v>
      </c>
      <c r="AH12" s="7">
        <f>SUM(AH5:AH11)</f>
        <v>408</v>
      </c>
      <c r="AJ12" s="2">
        <v>8</v>
      </c>
      <c r="AK12" s="12" t="s">
        <v>104</v>
      </c>
      <c r="AL12" s="16">
        <v>0</v>
      </c>
      <c r="AM12" s="16">
        <v>0</v>
      </c>
      <c r="AN12" s="16">
        <v>0</v>
      </c>
      <c r="AO12" s="16">
        <f>C33</f>
        <v>2892.8571428571427</v>
      </c>
      <c r="AP12" s="16">
        <f t="shared" si="1"/>
        <v>2892.8571428571427</v>
      </c>
      <c r="AQ12" s="16">
        <v>0</v>
      </c>
      <c r="AR12" s="16">
        <f t="shared" si="2"/>
        <v>2892.8571428571427</v>
      </c>
      <c r="AS12" s="8">
        <v>2892.8571428571427</v>
      </c>
      <c r="AT12" s="17">
        <v>44430</v>
      </c>
      <c r="AU12" s="8">
        <f>AS12-AR12</f>
        <v>0</v>
      </c>
      <c r="AV12" s="47"/>
      <c r="AW12" s="8">
        <v>2892.8571428571427</v>
      </c>
    </row>
    <row r="13" spans="1:51" x14ac:dyDescent="0.3">
      <c r="A13" s="36"/>
      <c r="B13" s="36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37"/>
      <c r="AF13" s="37"/>
      <c r="AG13" s="37"/>
      <c r="AH13" s="37"/>
      <c r="AJ13" s="2">
        <v>9</v>
      </c>
      <c r="AK13" s="12" t="s">
        <v>105</v>
      </c>
      <c r="AL13" s="16">
        <v>0</v>
      </c>
      <c r="AM13" s="16">
        <v>0</v>
      </c>
      <c r="AN13" s="16">
        <v>0</v>
      </c>
      <c r="AO13" s="16">
        <f>C34</f>
        <v>2892.8571428571427</v>
      </c>
      <c r="AP13" s="16">
        <f t="shared" si="1"/>
        <v>2892.8571428571427</v>
      </c>
      <c r="AQ13" s="16">
        <v>0</v>
      </c>
      <c r="AR13" s="16">
        <f t="shared" si="2"/>
        <v>2892.8571428571427</v>
      </c>
      <c r="AS13" s="16">
        <v>2892.8571428571427</v>
      </c>
      <c r="AT13" s="17">
        <v>44430</v>
      </c>
      <c r="AU13" s="16">
        <f>AS13-AR13</f>
        <v>0</v>
      </c>
      <c r="AV13" s="9"/>
      <c r="AW13" s="16">
        <v>2892.8571428571427</v>
      </c>
    </row>
    <row r="14" spans="1:51" x14ac:dyDescent="0.3">
      <c r="A14" s="36"/>
      <c r="B14" s="36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37"/>
      <c r="AF14" s="37"/>
      <c r="AG14" s="37"/>
      <c r="AH14" s="37"/>
      <c r="AL14" s="51">
        <f t="shared" ref="AL14:AQ14" si="8">SUM(AL5:AL13)</f>
        <v>22109.999999999996</v>
      </c>
      <c r="AM14" s="51">
        <f t="shared" si="8"/>
        <v>22110</v>
      </c>
      <c r="AN14" s="51">
        <f t="shared" si="8"/>
        <v>1.3642420526593924E-12</v>
      </c>
      <c r="AO14" s="51">
        <f t="shared" si="8"/>
        <v>27206.999999999993</v>
      </c>
      <c r="AP14" s="51">
        <f t="shared" si="8"/>
        <v>27206.999999999993</v>
      </c>
      <c r="AQ14" s="51">
        <f t="shared" si="8"/>
        <v>-4528.6022826606859</v>
      </c>
      <c r="AR14" s="51">
        <f>AP14-AQ14+$AW$4</f>
        <v>31735.602282660679</v>
      </c>
      <c r="AS14" s="51">
        <f>SUM(AS5:AS13)</f>
        <v>31755.714285714283</v>
      </c>
      <c r="AT14" s="51"/>
      <c r="AU14" s="51">
        <f>SUM(AU5:AU13)</f>
        <v>20.112003053604667</v>
      </c>
      <c r="AV14" s="9"/>
      <c r="AW14" s="9">
        <f>SUM(AW5:AW13)</f>
        <v>28110.714285714283</v>
      </c>
    </row>
    <row r="15" spans="1:51" x14ac:dyDescent="0.3">
      <c r="A15" s="36"/>
      <c r="B15" s="36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37"/>
      <c r="AF15" s="37"/>
      <c r="AG15" s="37"/>
      <c r="AH15" s="37"/>
      <c r="AL15" s="38"/>
      <c r="AM15" s="39"/>
      <c r="AN15" s="39"/>
      <c r="AO15" s="39"/>
      <c r="AP15" s="39"/>
      <c r="AQ15" s="39"/>
      <c r="AR15" s="38"/>
      <c r="AS15" s="39"/>
      <c r="AT15" s="39"/>
      <c r="AU15" s="39"/>
      <c r="AV15" s="9"/>
      <c r="AW15" s="9"/>
      <c r="AX15" s="44" t="s">
        <v>88</v>
      </c>
      <c r="AY15" s="9"/>
    </row>
    <row r="16" spans="1:51" x14ac:dyDescent="0.3">
      <c r="B16" s="10" t="s">
        <v>86</v>
      </c>
      <c r="AV16" s="9"/>
      <c r="AX16" s="1" t="s">
        <v>89</v>
      </c>
      <c r="AY16" s="1" t="s">
        <v>95</v>
      </c>
    </row>
    <row r="17" spans="1:63" x14ac:dyDescent="0.3">
      <c r="A17" s="2">
        <v>1</v>
      </c>
      <c r="B17" s="3" t="s">
        <v>4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</v>
      </c>
      <c r="U17" s="8">
        <v>0</v>
      </c>
      <c r="V17" s="8">
        <v>1705</v>
      </c>
      <c r="W17" s="8">
        <v>0</v>
      </c>
      <c r="X17" s="8">
        <v>0</v>
      </c>
      <c r="Y17" s="8">
        <v>1505</v>
      </c>
      <c r="Z17" s="8">
        <v>460</v>
      </c>
      <c r="AA17" s="8">
        <v>2695</v>
      </c>
      <c r="AB17" s="8">
        <v>130</v>
      </c>
      <c r="AC17" s="8">
        <v>0</v>
      </c>
      <c r="AD17" s="8">
        <v>0</v>
      </c>
      <c r="AE17" s="8">
        <v>0</v>
      </c>
      <c r="AF17" s="8">
        <v>150</v>
      </c>
      <c r="AG17" s="8">
        <v>0</v>
      </c>
      <c r="AH17" s="8">
        <f>SUM(C17:AG17)</f>
        <v>6645</v>
      </c>
      <c r="AR17" s="25"/>
      <c r="AT17" s="1"/>
      <c r="AU17" s="8"/>
      <c r="AX17" s="1" t="s">
        <v>107</v>
      </c>
      <c r="AY17" s="16">
        <f>O42</f>
        <v>23562</v>
      </c>
      <c r="BI17" s="1" t="s">
        <v>96</v>
      </c>
      <c r="BJ17" s="1"/>
      <c r="BK17" s="1"/>
    </row>
    <row r="18" spans="1:63" x14ac:dyDescent="0.3">
      <c r="A18" s="2">
        <v>2</v>
      </c>
      <c r="B18" s="3" t="s">
        <v>5</v>
      </c>
      <c r="C18" s="8">
        <v>0</v>
      </c>
      <c r="D18" s="8">
        <v>0</v>
      </c>
      <c r="E18" s="8">
        <v>0</v>
      </c>
      <c r="F18" s="8">
        <v>3825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  <c r="T18" s="8">
        <v>0</v>
      </c>
      <c r="U18" s="8">
        <v>0</v>
      </c>
      <c r="V18" s="8">
        <v>0</v>
      </c>
      <c r="W18" s="8">
        <v>0</v>
      </c>
      <c r="X18" s="8">
        <v>0</v>
      </c>
      <c r="Y18" s="8">
        <v>0</v>
      </c>
      <c r="Z18" s="8">
        <v>0</v>
      </c>
      <c r="AA18" s="8">
        <v>0</v>
      </c>
      <c r="AB18" s="8">
        <v>0</v>
      </c>
      <c r="AC18" s="8">
        <v>0</v>
      </c>
      <c r="AD18" s="8">
        <v>0</v>
      </c>
      <c r="AE18" s="8">
        <v>0</v>
      </c>
      <c r="AF18" s="8">
        <v>0</v>
      </c>
      <c r="AG18" s="8">
        <v>0</v>
      </c>
      <c r="AH18" s="8">
        <f t="shared" ref="AH18:AH23" si="9">SUM(C18:AG18)</f>
        <v>3825</v>
      </c>
      <c r="AT18" s="1"/>
      <c r="AU18" s="8"/>
      <c r="AV18" s="25"/>
      <c r="AX18" s="1" t="s">
        <v>91</v>
      </c>
      <c r="AY18" s="16">
        <f>-AQ14</f>
        <v>4528.6022826606859</v>
      </c>
      <c r="BI18" s="1" t="s">
        <v>97</v>
      </c>
      <c r="BJ18" s="1">
        <v>4000</v>
      </c>
      <c r="BK18" s="1"/>
    </row>
    <row r="19" spans="1:63" x14ac:dyDescent="0.3">
      <c r="A19" s="2">
        <v>3</v>
      </c>
      <c r="B19" s="3" t="s">
        <v>6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0</v>
      </c>
      <c r="R19" s="8">
        <v>0</v>
      </c>
      <c r="S19" s="8">
        <v>0</v>
      </c>
      <c r="T19" s="8">
        <v>0</v>
      </c>
      <c r="U19" s="8">
        <v>0</v>
      </c>
      <c r="V19" s="8">
        <v>0</v>
      </c>
      <c r="W19" s="8">
        <v>0</v>
      </c>
      <c r="X19" s="8">
        <v>0</v>
      </c>
      <c r="Y19" s="8">
        <v>0</v>
      </c>
      <c r="Z19" s="8">
        <v>0</v>
      </c>
      <c r="AA19" s="8">
        <v>0</v>
      </c>
      <c r="AB19" s="8">
        <v>0</v>
      </c>
      <c r="AC19" s="8">
        <v>0</v>
      </c>
      <c r="AD19" s="8">
        <v>490</v>
      </c>
      <c r="AE19" s="8">
        <v>980</v>
      </c>
      <c r="AF19" s="8">
        <v>0</v>
      </c>
      <c r="AG19" s="8">
        <v>0</v>
      </c>
      <c r="AH19" s="8">
        <f t="shared" si="9"/>
        <v>1470</v>
      </c>
      <c r="AR19" s="25"/>
      <c r="AT19" s="15"/>
      <c r="AU19" s="8"/>
      <c r="AV19" s="25"/>
      <c r="AX19" s="1"/>
      <c r="AY19" s="16">
        <f>SUM(AY17:AY18)</f>
        <v>28090.602282660686</v>
      </c>
      <c r="BI19" s="1" t="s">
        <v>36</v>
      </c>
      <c r="BJ19" s="1">
        <f>BJ18/6</f>
        <v>666.66666666666663</v>
      </c>
      <c r="BK19" s="1">
        <f>BJ19*5</f>
        <v>3333.333333333333</v>
      </c>
    </row>
    <row r="20" spans="1:63" x14ac:dyDescent="0.3">
      <c r="A20" s="2">
        <v>4</v>
      </c>
      <c r="B20" s="3" t="s">
        <v>57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1460</v>
      </c>
      <c r="R20" s="8">
        <v>45</v>
      </c>
      <c r="S20" s="8">
        <v>360</v>
      </c>
      <c r="T20" s="8">
        <v>0</v>
      </c>
      <c r="U20" s="8">
        <v>0</v>
      </c>
      <c r="V20" s="8">
        <v>0</v>
      </c>
      <c r="W20" s="8">
        <v>0</v>
      </c>
      <c r="X20" s="8">
        <v>0</v>
      </c>
      <c r="Y20" s="8">
        <v>0</v>
      </c>
      <c r="Z20" s="8">
        <v>0</v>
      </c>
      <c r="AA20" s="8">
        <v>0</v>
      </c>
      <c r="AB20" s="8">
        <v>0</v>
      </c>
      <c r="AC20" s="8">
        <v>0</v>
      </c>
      <c r="AD20" s="8">
        <v>0</v>
      </c>
      <c r="AE20" s="8">
        <v>0</v>
      </c>
      <c r="AF20" s="8">
        <v>0</v>
      </c>
      <c r="AG20" s="8">
        <v>0</v>
      </c>
      <c r="AH20" s="8">
        <f t="shared" si="9"/>
        <v>1865</v>
      </c>
      <c r="AR20" s="25"/>
      <c r="BA20" s="9">
        <v>4547</v>
      </c>
      <c r="BI20" s="1" t="s">
        <v>37</v>
      </c>
      <c r="BJ20" s="1"/>
      <c r="BK20" s="1"/>
    </row>
    <row r="21" spans="1:63" x14ac:dyDescent="0.3">
      <c r="A21" s="2">
        <v>5</v>
      </c>
      <c r="B21" s="12" t="s">
        <v>51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2250</v>
      </c>
      <c r="M21" s="8">
        <v>310</v>
      </c>
      <c r="N21" s="8">
        <v>545</v>
      </c>
      <c r="O21" s="8">
        <v>25</v>
      </c>
      <c r="P21" s="8">
        <v>0</v>
      </c>
      <c r="Q21" s="8">
        <v>0</v>
      </c>
      <c r="R21" s="8">
        <v>0</v>
      </c>
      <c r="S21" s="8">
        <v>0</v>
      </c>
      <c r="T21" s="8">
        <v>0</v>
      </c>
      <c r="U21" s="8">
        <v>0</v>
      </c>
      <c r="V21" s="8">
        <v>0</v>
      </c>
      <c r="W21" s="8">
        <v>0</v>
      </c>
      <c r="X21" s="8">
        <v>0</v>
      </c>
      <c r="Y21" s="8">
        <v>0</v>
      </c>
      <c r="Z21" s="8">
        <v>0</v>
      </c>
      <c r="AA21" s="8">
        <v>0</v>
      </c>
      <c r="AB21" s="8">
        <v>0</v>
      </c>
      <c r="AC21" s="8">
        <v>0</v>
      </c>
      <c r="AD21" s="8">
        <v>0</v>
      </c>
      <c r="AE21" s="8">
        <v>0</v>
      </c>
      <c r="AF21" s="8">
        <v>0</v>
      </c>
      <c r="AG21" s="8">
        <v>0</v>
      </c>
      <c r="AH21" s="8">
        <f t="shared" si="9"/>
        <v>3130</v>
      </c>
      <c r="AX21" s="1" t="s">
        <v>92</v>
      </c>
      <c r="AY21" s="1"/>
      <c r="BA21" s="9">
        <f>AY17+BA20</f>
        <v>28109</v>
      </c>
      <c r="BI21" s="1" t="s">
        <v>98</v>
      </c>
      <c r="BJ21" s="1">
        <f>$BJ$19</f>
        <v>666.66666666666663</v>
      </c>
      <c r="BK21" s="1"/>
    </row>
    <row r="22" spans="1:63" x14ac:dyDescent="0.3">
      <c r="A22" s="2">
        <v>6</v>
      </c>
      <c r="B22" s="3" t="s">
        <v>7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340</v>
      </c>
      <c r="L22" s="8">
        <v>0</v>
      </c>
      <c r="M22" s="8">
        <v>0</v>
      </c>
      <c r="N22" s="8">
        <v>0</v>
      </c>
      <c r="O22" s="8">
        <v>0</v>
      </c>
      <c r="P22" s="8">
        <v>1550</v>
      </c>
      <c r="Q22" s="8">
        <v>0</v>
      </c>
      <c r="R22" s="8">
        <v>0</v>
      </c>
      <c r="S22" s="8">
        <v>0</v>
      </c>
      <c r="T22" s="8">
        <v>0</v>
      </c>
      <c r="U22" s="8">
        <v>0</v>
      </c>
      <c r="V22" s="8">
        <v>0</v>
      </c>
      <c r="W22" s="8">
        <v>0</v>
      </c>
      <c r="X22" s="8">
        <v>0</v>
      </c>
      <c r="Y22" s="8">
        <v>0</v>
      </c>
      <c r="Z22" s="8">
        <v>0</v>
      </c>
      <c r="AA22" s="8">
        <v>0</v>
      </c>
      <c r="AB22" s="8">
        <v>0</v>
      </c>
      <c r="AC22" s="8">
        <v>0</v>
      </c>
      <c r="AD22" s="8">
        <v>0</v>
      </c>
      <c r="AE22" s="8">
        <v>0</v>
      </c>
      <c r="AF22" s="8">
        <v>0</v>
      </c>
      <c r="AG22" s="8">
        <v>0</v>
      </c>
      <c r="AH22" s="8">
        <f t="shared" si="9"/>
        <v>1890</v>
      </c>
      <c r="AV22" s="25"/>
      <c r="AX22" s="1" t="s">
        <v>93</v>
      </c>
      <c r="AY22" s="16">
        <f>-AU14</f>
        <v>-20.112003053604667</v>
      </c>
      <c r="BI22" s="1" t="s">
        <v>49</v>
      </c>
      <c r="BJ22" s="1">
        <f>$BJ$19</f>
        <v>666.66666666666663</v>
      </c>
      <c r="BK22" s="1"/>
    </row>
    <row r="23" spans="1:63" x14ac:dyDescent="0.3">
      <c r="A23" s="2">
        <v>7</v>
      </c>
      <c r="B23" s="3" t="s">
        <v>8</v>
      </c>
      <c r="C23" s="8">
        <v>0</v>
      </c>
      <c r="D23" s="8">
        <v>0</v>
      </c>
      <c r="E23" s="8">
        <v>0</v>
      </c>
      <c r="F23" s="8">
        <v>0</v>
      </c>
      <c r="G23" s="8">
        <v>1840</v>
      </c>
      <c r="H23" s="8">
        <v>430</v>
      </c>
      <c r="I23" s="8">
        <v>160</v>
      </c>
      <c r="J23" s="8">
        <v>855</v>
      </c>
      <c r="K23" s="8">
        <v>0</v>
      </c>
      <c r="L23" s="8">
        <v>0</v>
      </c>
      <c r="M23" s="8"/>
      <c r="N23" s="8">
        <v>0</v>
      </c>
      <c r="O23" s="8">
        <v>0</v>
      </c>
      <c r="P23" s="8">
        <v>0</v>
      </c>
      <c r="Q23" s="8">
        <v>0</v>
      </c>
      <c r="R23" s="8">
        <v>0</v>
      </c>
      <c r="S23" s="8">
        <v>0</v>
      </c>
      <c r="T23" s="8">
        <v>0</v>
      </c>
      <c r="U23" s="8">
        <v>0</v>
      </c>
      <c r="V23" s="8">
        <v>0</v>
      </c>
      <c r="W23" s="8">
        <v>0</v>
      </c>
      <c r="X23" s="8">
        <v>0</v>
      </c>
      <c r="Y23" s="8">
        <v>0</v>
      </c>
      <c r="Z23" s="8">
        <v>0</v>
      </c>
      <c r="AA23" s="8">
        <v>0</v>
      </c>
      <c r="AB23" s="8">
        <v>0</v>
      </c>
      <c r="AC23" s="8">
        <v>0</v>
      </c>
      <c r="AD23" s="8">
        <v>0</v>
      </c>
      <c r="AE23" s="8">
        <v>0</v>
      </c>
      <c r="AF23" s="8">
        <v>0</v>
      </c>
      <c r="AG23" s="8">
        <v>0</v>
      </c>
      <c r="AH23" s="8">
        <f t="shared" si="9"/>
        <v>3285</v>
      </c>
      <c r="AX23" s="1" t="s">
        <v>94</v>
      </c>
      <c r="AY23" s="1">
        <v>2000</v>
      </c>
      <c r="BI23" s="1" t="s">
        <v>38</v>
      </c>
      <c r="BJ23" s="1">
        <f>$BJ$19</f>
        <v>666.66666666666663</v>
      </c>
      <c r="BK23" s="1"/>
    </row>
    <row r="24" spans="1:63" x14ac:dyDescent="0.3">
      <c r="AH24" s="9">
        <f>SUM(AH17:AH23)</f>
        <v>22110</v>
      </c>
      <c r="AX24" s="1"/>
      <c r="AY24" s="16">
        <f>SUM(AY22:AY23)</f>
        <v>1979.8879969463953</v>
      </c>
      <c r="BI24" s="1" t="s">
        <v>99</v>
      </c>
      <c r="BJ24" s="1">
        <f>$BJ$19</f>
        <v>666.66666666666663</v>
      </c>
      <c r="BK24" s="1"/>
    </row>
    <row r="25" spans="1:63" x14ac:dyDescent="0.3">
      <c r="A25" s="4"/>
      <c r="B25" s="13" t="s">
        <v>87</v>
      </c>
      <c r="C25" s="4" t="s">
        <v>11</v>
      </c>
      <c r="D25" s="4" t="s">
        <v>12</v>
      </c>
      <c r="E25" s="4" t="s">
        <v>13</v>
      </c>
      <c r="F25" s="4" t="s">
        <v>14</v>
      </c>
      <c r="G25" s="4" t="s">
        <v>15</v>
      </c>
      <c r="H25" s="4" t="s">
        <v>16</v>
      </c>
      <c r="I25" s="4" t="s">
        <v>17</v>
      </c>
      <c r="J25" s="4" t="s">
        <v>18</v>
      </c>
      <c r="K25" s="4" t="s">
        <v>19</v>
      </c>
      <c r="L25" s="4" t="s">
        <v>20</v>
      </c>
      <c r="M25" s="4" t="s">
        <v>21</v>
      </c>
      <c r="N25" s="4" t="s">
        <v>22</v>
      </c>
      <c r="BI25" s="1" t="s">
        <v>40</v>
      </c>
      <c r="BJ25" s="1">
        <f>$BJ$19</f>
        <v>666.66666666666663</v>
      </c>
      <c r="BK25" s="1"/>
    </row>
    <row r="26" spans="1:63" x14ac:dyDescent="0.3">
      <c r="A26" s="2">
        <v>1</v>
      </c>
      <c r="B26" s="12" t="s">
        <v>4</v>
      </c>
      <c r="C26" s="8">
        <f>H38</f>
        <v>3142.8571428571427</v>
      </c>
      <c r="D26" s="8">
        <f>$D$35/7</f>
        <v>428.57142857142856</v>
      </c>
      <c r="E26" s="8">
        <f>$E$35/7</f>
        <v>0</v>
      </c>
      <c r="F26" s="8">
        <f>$F$35/7</f>
        <v>71.428571428571431</v>
      </c>
      <c r="G26" s="8">
        <f>$G$35/7</f>
        <v>139.28571428571428</v>
      </c>
      <c r="H26" s="8">
        <f>$H$35/7</f>
        <v>291</v>
      </c>
      <c r="I26" s="8">
        <f>$I$35/7</f>
        <v>257.14285714285717</v>
      </c>
      <c r="J26" s="8">
        <f>$J$35/7</f>
        <v>35.714285714285715</v>
      </c>
      <c r="K26" s="8">
        <f>$K$35/6</f>
        <v>0</v>
      </c>
      <c r="L26" s="8">
        <f>$L$35/7</f>
        <v>20.714285714285715</v>
      </c>
      <c r="M26" s="8">
        <f>$M$35/7</f>
        <v>0</v>
      </c>
      <c r="N26" s="8">
        <f t="shared" ref="N26:N34" si="10">SUM(C26:M26)</f>
        <v>4386.7142857142844</v>
      </c>
      <c r="AX26" t="s">
        <v>100</v>
      </c>
      <c r="BI26" s="1"/>
      <c r="BJ26" s="1">
        <f>SUM(BJ21:BJ25)</f>
        <v>3333.333333333333</v>
      </c>
      <c r="BK26" s="1"/>
    </row>
    <row r="27" spans="1:63" x14ac:dyDescent="0.3">
      <c r="A27" s="2">
        <v>2</v>
      </c>
      <c r="B27" s="12" t="s">
        <v>5</v>
      </c>
      <c r="C27" s="8">
        <f>H38</f>
        <v>3142.8571428571427</v>
      </c>
      <c r="D27" s="8">
        <f t="shared" ref="D27:D32" si="11">$D$35/7</f>
        <v>428.57142857142856</v>
      </c>
      <c r="E27" s="8">
        <f>$E$35/7</f>
        <v>0</v>
      </c>
      <c r="F27" s="8">
        <f t="shared" ref="F27:F32" si="12">$F$35/7</f>
        <v>71.428571428571431</v>
      </c>
      <c r="G27" s="8">
        <f t="shared" ref="G27:G32" si="13">$G$35/7</f>
        <v>139.28571428571428</v>
      </c>
      <c r="H27" s="8">
        <f t="shared" ref="H27:H32" si="14">$H$35/7</f>
        <v>291</v>
      </c>
      <c r="I27" s="8">
        <f t="shared" ref="I27:I32" si="15">$I$35/7</f>
        <v>257.14285714285717</v>
      </c>
      <c r="J27" s="8">
        <f t="shared" ref="J27:J31" si="16">$J$35/7</f>
        <v>35.714285714285715</v>
      </c>
      <c r="K27" s="8">
        <f t="shared" ref="K27:K32" si="17">$K$35/6</f>
        <v>0</v>
      </c>
      <c r="L27" s="8">
        <f t="shared" ref="L27:L32" si="18">$L$35/7</f>
        <v>20.714285714285715</v>
      </c>
      <c r="M27" s="8">
        <f t="shared" ref="M27:M32" si="19">$M$35/7</f>
        <v>0</v>
      </c>
      <c r="N27" s="8">
        <f t="shared" si="10"/>
        <v>4386.7142857142844</v>
      </c>
      <c r="AX27" t="s">
        <v>90</v>
      </c>
      <c r="AY27" s="47">
        <v>23773</v>
      </c>
    </row>
    <row r="28" spans="1:63" x14ac:dyDescent="0.3">
      <c r="A28" s="2">
        <v>3</v>
      </c>
      <c r="B28" s="12" t="s">
        <v>6</v>
      </c>
      <c r="C28" s="8">
        <f>H39</f>
        <v>2142.8571428571427</v>
      </c>
      <c r="D28" s="8">
        <f t="shared" si="11"/>
        <v>428.57142857142856</v>
      </c>
      <c r="E28" s="8">
        <f>$E$35/7</f>
        <v>0</v>
      </c>
      <c r="F28" s="8">
        <f t="shared" si="12"/>
        <v>71.428571428571431</v>
      </c>
      <c r="G28" s="8">
        <f t="shared" si="13"/>
        <v>139.28571428571428</v>
      </c>
      <c r="H28" s="8">
        <f t="shared" si="14"/>
        <v>291</v>
      </c>
      <c r="I28" s="8">
        <f t="shared" si="15"/>
        <v>257.14285714285717</v>
      </c>
      <c r="J28" s="8">
        <f t="shared" si="16"/>
        <v>35.714285714285715</v>
      </c>
      <c r="K28" s="8">
        <f t="shared" si="17"/>
        <v>0</v>
      </c>
      <c r="L28" s="8">
        <f t="shared" si="18"/>
        <v>20.714285714285715</v>
      </c>
      <c r="M28" s="8">
        <f t="shared" si="19"/>
        <v>0</v>
      </c>
      <c r="N28" s="8">
        <f t="shared" si="10"/>
        <v>3386.7142857142858</v>
      </c>
      <c r="AX28" t="s">
        <v>91</v>
      </c>
      <c r="AY28" s="47">
        <v>10374</v>
      </c>
    </row>
    <row r="29" spans="1:63" x14ac:dyDescent="0.3">
      <c r="A29" s="2">
        <v>4</v>
      </c>
      <c r="B29" s="12" t="s">
        <v>57</v>
      </c>
      <c r="C29" s="8">
        <f>H39</f>
        <v>2142.8571428571427</v>
      </c>
      <c r="D29" s="8">
        <f t="shared" si="11"/>
        <v>428.57142857142856</v>
      </c>
      <c r="E29" s="8">
        <f>$E$35/7</f>
        <v>0</v>
      </c>
      <c r="F29" s="8">
        <f t="shared" si="12"/>
        <v>71.428571428571431</v>
      </c>
      <c r="G29" s="8">
        <f t="shared" si="13"/>
        <v>139.28571428571428</v>
      </c>
      <c r="H29" s="8">
        <f t="shared" si="14"/>
        <v>291</v>
      </c>
      <c r="I29" s="8">
        <f t="shared" si="15"/>
        <v>257.14285714285717</v>
      </c>
      <c r="J29" s="8">
        <f t="shared" si="16"/>
        <v>35.714285714285715</v>
      </c>
      <c r="K29" s="8"/>
      <c r="L29" s="8">
        <f t="shared" si="18"/>
        <v>20.714285714285715</v>
      </c>
      <c r="M29" s="8">
        <f t="shared" si="19"/>
        <v>0</v>
      </c>
      <c r="N29" s="8">
        <f t="shared" si="10"/>
        <v>3386.7142857142858</v>
      </c>
      <c r="AY29" s="47">
        <f>SUM(AY27:AY28)</f>
        <v>34147</v>
      </c>
    </row>
    <row r="30" spans="1:63" x14ac:dyDescent="0.3">
      <c r="A30" s="2">
        <v>5</v>
      </c>
      <c r="B30" s="12" t="s">
        <v>51</v>
      </c>
      <c r="C30" s="8">
        <f>H39</f>
        <v>2142.8571428571427</v>
      </c>
      <c r="D30" s="8">
        <f t="shared" si="11"/>
        <v>428.57142857142856</v>
      </c>
      <c r="E30" s="8">
        <f t="shared" ref="E30:E32" si="20">$E$35/7</f>
        <v>0</v>
      </c>
      <c r="F30" s="8">
        <f t="shared" si="12"/>
        <v>71.428571428571431</v>
      </c>
      <c r="G30" s="8">
        <f t="shared" si="13"/>
        <v>139.28571428571428</v>
      </c>
      <c r="H30" s="8">
        <f t="shared" si="14"/>
        <v>291</v>
      </c>
      <c r="I30" s="8">
        <f t="shared" si="15"/>
        <v>257.14285714285717</v>
      </c>
      <c r="J30" s="8">
        <f t="shared" si="16"/>
        <v>35.714285714285715</v>
      </c>
      <c r="K30" s="8">
        <f t="shared" si="17"/>
        <v>0</v>
      </c>
      <c r="L30" s="8">
        <f t="shared" si="18"/>
        <v>20.714285714285715</v>
      </c>
      <c r="M30" s="8">
        <f t="shared" si="19"/>
        <v>0</v>
      </c>
      <c r="N30" s="8">
        <f t="shared" si="10"/>
        <v>3386.7142857142858</v>
      </c>
      <c r="AX30" t="s">
        <v>101</v>
      </c>
      <c r="AY30" s="47">
        <v>29600</v>
      </c>
    </row>
    <row r="31" spans="1:63" x14ac:dyDescent="0.3">
      <c r="A31" s="2">
        <v>6</v>
      </c>
      <c r="B31" s="12" t="s">
        <v>7</v>
      </c>
      <c r="C31" s="8">
        <v>0</v>
      </c>
      <c r="D31" s="8">
        <f t="shared" si="11"/>
        <v>428.57142857142856</v>
      </c>
      <c r="E31" s="8">
        <f t="shared" si="20"/>
        <v>0</v>
      </c>
      <c r="F31" s="8">
        <f t="shared" si="12"/>
        <v>71.428571428571431</v>
      </c>
      <c r="G31" s="8">
        <f t="shared" si="13"/>
        <v>139.28571428571428</v>
      </c>
      <c r="H31" s="8">
        <f t="shared" si="14"/>
        <v>291</v>
      </c>
      <c r="I31" s="8">
        <f t="shared" si="15"/>
        <v>257.14285714285717</v>
      </c>
      <c r="J31" s="8">
        <f t="shared" si="16"/>
        <v>35.714285714285715</v>
      </c>
      <c r="K31" s="8">
        <f t="shared" si="17"/>
        <v>0</v>
      </c>
      <c r="L31" s="8">
        <f t="shared" si="18"/>
        <v>20.714285714285715</v>
      </c>
      <c r="M31" s="8">
        <f t="shared" si="19"/>
        <v>0</v>
      </c>
      <c r="N31" s="8">
        <f t="shared" si="10"/>
        <v>1243.8571428571429</v>
      </c>
      <c r="AX31" t="s">
        <v>102</v>
      </c>
      <c r="AY31" s="48">
        <f>AY29-AY30</f>
        <v>4547</v>
      </c>
    </row>
    <row r="32" spans="1:63" x14ac:dyDescent="0.3">
      <c r="A32" s="2">
        <v>7</v>
      </c>
      <c r="B32" s="12" t="s">
        <v>8</v>
      </c>
      <c r="C32" s="8">
        <v>0</v>
      </c>
      <c r="D32" s="8">
        <f t="shared" si="11"/>
        <v>428.57142857142856</v>
      </c>
      <c r="E32" s="8">
        <f t="shared" si="20"/>
        <v>0</v>
      </c>
      <c r="F32" s="8">
        <f t="shared" si="12"/>
        <v>71.428571428571431</v>
      </c>
      <c r="G32" s="8">
        <f t="shared" si="13"/>
        <v>139.28571428571428</v>
      </c>
      <c r="H32" s="8">
        <f t="shared" si="14"/>
        <v>291</v>
      </c>
      <c r="I32" s="8">
        <f t="shared" si="15"/>
        <v>257.14285714285717</v>
      </c>
      <c r="J32" s="8">
        <f>$J$35/7</f>
        <v>35.714285714285715</v>
      </c>
      <c r="K32" s="8">
        <f t="shared" si="17"/>
        <v>0</v>
      </c>
      <c r="L32" s="8">
        <f t="shared" si="18"/>
        <v>20.714285714285715</v>
      </c>
      <c r="M32" s="8">
        <f t="shared" si="19"/>
        <v>0</v>
      </c>
      <c r="N32" s="8">
        <f t="shared" si="10"/>
        <v>1243.8571428571429</v>
      </c>
      <c r="AY32" s="47"/>
    </row>
    <row r="33" spans="1:51" x14ac:dyDescent="0.3">
      <c r="A33" s="2">
        <v>8</v>
      </c>
      <c r="B33" s="12" t="s">
        <v>104</v>
      </c>
      <c r="C33" s="8">
        <f>H40</f>
        <v>2892.8571428571427</v>
      </c>
      <c r="D33" s="8">
        <v>0</v>
      </c>
      <c r="E33" s="8">
        <v>0</v>
      </c>
      <c r="F33" s="8">
        <v>0</v>
      </c>
      <c r="G33" s="8">
        <v>0</v>
      </c>
      <c r="H33" s="8">
        <v>0</v>
      </c>
      <c r="I33" s="8">
        <v>0</v>
      </c>
      <c r="J33" s="8">
        <v>0</v>
      </c>
      <c r="K33" s="8">
        <v>0</v>
      </c>
      <c r="L33" s="8">
        <v>0</v>
      </c>
      <c r="M33" s="8">
        <v>0</v>
      </c>
      <c r="N33" s="8">
        <f t="shared" si="10"/>
        <v>2892.8571428571427</v>
      </c>
      <c r="AY33" s="47"/>
    </row>
    <row r="34" spans="1:51" x14ac:dyDescent="0.3">
      <c r="A34" s="2">
        <v>9</v>
      </c>
      <c r="B34" s="12" t="s">
        <v>105</v>
      </c>
      <c r="C34" s="8">
        <f>H40</f>
        <v>2892.8571428571427</v>
      </c>
      <c r="D34" s="8">
        <v>0</v>
      </c>
      <c r="E34" s="8">
        <v>0</v>
      </c>
      <c r="F34" s="8">
        <v>0</v>
      </c>
      <c r="G34" s="8">
        <v>0</v>
      </c>
      <c r="H34" s="8">
        <v>0</v>
      </c>
      <c r="I34" s="8">
        <v>0</v>
      </c>
      <c r="J34" s="8">
        <v>0</v>
      </c>
      <c r="K34" s="8">
        <v>0</v>
      </c>
      <c r="L34" s="8">
        <v>0</v>
      </c>
      <c r="M34" s="8">
        <v>0</v>
      </c>
      <c r="N34" s="8">
        <f t="shared" si="10"/>
        <v>2892.8571428571427</v>
      </c>
      <c r="AY34" s="47"/>
    </row>
    <row r="35" spans="1:51" x14ac:dyDescent="0.3">
      <c r="C35" s="8">
        <f>SUM(C26:C34)</f>
        <v>18500</v>
      </c>
      <c r="D35" s="40">
        <v>3000</v>
      </c>
      <c r="E35" s="8"/>
      <c r="F35" s="8">
        <f>500</f>
        <v>500</v>
      </c>
      <c r="G35" s="8">
        <f>975</f>
        <v>975</v>
      </c>
      <c r="H35" s="14">
        <v>2037</v>
      </c>
      <c r="I35" s="14">
        <v>1800</v>
      </c>
      <c r="J35" s="8">
        <f>250</f>
        <v>250</v>
      </c>
      <c r="K35" s="8">
        <f>0</f>
        <v>0</v>
      </c>
      <c r="L35" s="8">
        <f>120+25</f>
        <v>145</v>
      </c>
      <c r="M35" s="8"/>
      <c r="N35" s="8">
        <f>SUM(N26:N34)</f>
        <v>27206.999999999993</v>
      </c>
      <c r="O35" s="9">
        <f>O42+O50</f>
        <v>27207</v>
      </c>
      <c r="P35" s="9">
        <f>N35-O35</f>
        <v>0</v>
      </c>
      <c r="AX35" t="s">
        <v>103</v>
      </c>
      <c r="AY35" s="47">
        <f>AY30-21100</f>
        <v>8500</v>
      </c>
    </row>
    <row r="37" spans="1:51" x14ac:dyDescent="0.3">
      <c r="N37" t="s">
        <v>61</v>
      </c>
      <c r="O37" s="9">
        <f>C35</f>
        <v>18500</v>
      </c>
    </row>
    <row r="38" spans="1:51" x14ac:dyDescent="0.3">
      <c r="D38" s="1">
        <v>6000</v>
      </c>
      <c r="E38" s="1">
        <v>2</v>
      </c>
      <c r="F38" s="1">
        <f>D38/E38</f>
        <v>3000</v>
      </c>
      <c r="G38" s="1">
        <f>(500+500)/7</f>
        <v>142.85714285714286</v>
      </c>
      <c r="H38" s="11">
        <f>F38+G38</f>
        <v>3142.8571428571427</v>
      </c>
      <c r="I38" s="11">
        <f>H38*E38</f>
        <v>6285.7142857142853</v>
      </c>
      <c r="N38" t="s">
        <v>71</v>
      </c>
      <c r="O38" s="9">
        <f>G35</f>
        <v>975</v>
      </c>
    </row>
    <row r="39" spans="1:51" x14ac:dyDescent="0.3">
      <c r="D39" s="1">
        <v>6000</v>
      </c>
      <c r="E39" s="1">
        <v>3</v>
      </c>
      <c r="F39" s="1">
        <f t="shared" ref="F39:F40" si="21">D39/E39</f>
        <v>2000</v>
      </c>
      <c r="G39" s="1">
        <f t="shared" ref="G39:G40" si="22">(500+500)/7</f>
        <v>142.85714285714286</v>
      </c>
      <c r="H39" s="11">
        <f t="shared" ref="H39" si="23">F39+G39</f>
        <v>2142.8571428571427</v>
      </c>
      <c r="I39" s="11">
        <f t="shared" ref="I39:I40" si="24">H39*E39</f>
        <v>6428.5714285714275</v>
      </c>
      <c r="N39" t="s">
        <v>72</v>
      </c>
      <c r="O39" s="9">
        <f>I35</f>
        <v>1800</v>
      </c>
    </row>
    <row r="40" spans="1:51" x14ac:dyDescent="0.3">
      <c r="D40" s="1">
        <v>5500</v>
      </c>
      <c r="E40" s="1">
        <v>2</v>
      </c>
      <c r="F40" s="11">
        <f t="shared" si="21"/>
        <v>2750</v>
      </c>
      <c r="G40" s="1">
        <f t="shared" si="22"/>
        <v>142.85714285714286</v>
      </c>
      <c r="H40" s="11">
        <f>F40+G40</f>
        <v>2892.8571428571427</v>
      </c>
      <c r="I40" s="11">
        <f t="shared" si="24"/>
        <v>5785.7142857142853</v>
      </c>
      <c r="N40" t="s">
        <v>73</v>
      </c>
      <c r="O40" s="9">
        <f>H35</f>
        <v>2037</v>
      </c>
    </row>
    <row r="41" spans="1:51" x14ac:dyDescent="0.3">
      <c r="D41" s="1">
        <f>SUM(D38:D40)</f>
        <v>17500</v>
      </c>
      <c r="E41" s="1"/>
      <c r="F41" s="1"/>
      <c r="G41" s="1"/>
      <c r="H41" s="1"/>
      <c r="I41" s="11">
        <f>SUM(I38:I40)</f>
        <v>18500</v>
      </c>
      <c r="N41" t="s">
        <v>74</v>
      </c>
      <c r="O41" s="9">
        <f>J35</f>
        <v>250</v>
      </c>
    </row>
    <row r="42" spans="1:51" x14ac:dyDescent="0.3">
      <c r="O42" s="9">
        <f>SUM(O37:O41)</f>
        <v>23562</v>
      </c>
    </row>
    <row r="44" spans="1:51" x14ac:dyDescent="0.3">
      <c r="P44" s="9">
        <f>O42+O50</f>
        <v>27207</v>
      </c>
    </row>
    <row r="45" spans="1:51" x14ac:dyDescent="0.3">
      <c r="N45" t="s">
        <v>12</v>
      </c>
      <c r="O45" s="9">
        <f>D35</f>
        <v>3000</v>
      </c>
    </row>
    <row r="46" spans="1:51" x14ac:dyDescent="0.3">
      <c r="N46" t="s">
        <v>13</v>
      </c>
      <c r="O46" s="9">
        <f>E35</f>
        <v>0</v>
      </c>
    </row>
    <row r="47" spans="1:51" x14ac:dyDescent="0.3">
      <c r="N47" t="s">
        <v>14</v>
      </c>
      <c r="O47" s="9">
        <f>F35</f>
        <v>500</v>
      </c>
    </row>
    <row r="48" spans="1:51" x14ac:dyDescent="0.3">
      <c r="N48" t="s">
        <v>20</v>
      </c>
      <c r="O48" s="9">
        <f>L35</f>
        <v>145</v>
      </c>
    </row>
    <row r="49" spans="14:15" x14ac:dyDescent="0.3">
      <c r="N49" t="s">
        <v>21</v>
      </c>
      <c r="O49" s="9">
        <f>M35</f>
        <v>0</v>
      </c>
    </row>
    <row r="50" spans="14:15" x14ac:dyDescent="0.3">
      <c r="O50" s="9">
        <f>SUM(O45:O49)</f>
        <v>3645</v>
      </c>
    </row>
  </sheetData>
  <mergeCells count="2">
    <mergeCell ref="C1:D2"/>
    <mergeCell ref="E1:F2"/>
  </mergeCells>
  <pageMargins left="0.7" right="0.7" top="0.75" bottom="0.75" header="0.3" footer="0.3"/>
  <pageSetup orientation="portrait" horizontalDpi="1200" verticalDpi="1200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K53"/>
  <sheetViews>
    <sheetView zoomScaleNormal="100" workbookViewId="0">
      <pane xSplit="2" ySplit="4" topLeftCell="AL5" activePane="bottomRight" state="frozen"/>
      <selection pane="topRight" activeCell="C1" sqref="C1"/>
      <selection pane="bottomLeft" activeCell="A5" sqref="A5"/>
      <selection pane="bottomRight" activeCell="AR14" sqref="AR14"/>
    </sheetView>
  </sheetViews>
  <sheetFormatPr defaultRowHeight="14.4" x14ac:dyDescent="0.3"/>
  <cols>
    <col min="1" max="1" width="7" bestFit="1" customWidth="1"/>
    <col min="2" max="2" width="23.6640625" bestFit="1" customWidth="1"/>
    <col min="3" max="5" width="9.33203125" bestFit="1" customWidth="1"/>
    <col min="6" max="6" width="11.5546875" customWidth="1"/>
    <col min="7" max="7" width="12" bestFit="1" customWidth="1"/>
    <col min="8" max="8" width="13.33203125" customWidth="1"/>
    <col min="9" max="9" width="9.6640625" customWidth="1"/>
    <col min="10" max="10" width="9.33203125" bestFit="1" customWidth="1"/>
    <col min="11" max="11" width="14.5546875" customWidth="1"/>
    <col min="12" max="13" width="10.33203125" bestFit="1" customWidth="1"/>
    <col min="14" max="14" width="11.5546875" bestFit="1" customWidth="1"/>
    <col min="15" max="34" width="10.33203125" bestFit="1" customWidth="1"/>
    <col min="35" max="35" width="8.5546875" customWidth="1"/>
    <col min="36" max="36" width="4.33203125" customWidth="1"/>
    <col min="37" max="37" width="22.33203125" customWidth="1"/>
    <col min="38" max="38" width="10.44140625" customWidth="1"/>
    <col min="39" max="39" width="12.33203125" customWidth="1"/>
    <col min="40" max="40" width="10.33203125" customWidth="1"/>
    <col min="41" max="41" width="12" customWidth="1"/>
    <col min="42" max="42" width="10.33203125" customWidth="1"/>
    <col min="43" max="43" width="12.33203125" customWidth="1"/>
    <col min="44" max="44" width="17.44140625" customWidth="1"/>
    <col min="45" max="45" width="9.44140625" customWidth="1"/>
    <col min="46" max="46" width="10.33203125" customWidth="1"/>
    <col min="47" max="47" width="9.33203125" customWidth="1"/>
    <col min="48" max="48" width="11.33203125" bestFit="1" customWidth="1"/>
    <col min="49" max="49" width="10.33203125" bestFit="1" customWidth="1"/>
    <col min="50" max="50" width="30.33203125" bestFit="1" customWidth="1"/>
    <col min="51" max="51" width="10.109375" bestFit="1" customWidth="1"/>
  </cols>
  <sheetData>
    <row r="1" spans="1:51" ht="14.7" customHeight="1" x14ac:dyDescent="0.3">
      <c r="C1" s="107" t="s">
        <v>109</v>
      </c>
      <c r="D1" s="107"/>
      <c r="E1" s="108">
        <f>AH26/AH14</f>
        <v>46.775465498357065</v>
      </c>
      <c r="F1" s="108"/>
    </row>
    <row r="2" spans="1:51" ht="9.4499999999999993" customHeight="1" x14ac:dyDescent="0.3">
      <c r="C2" s="107"/>
      <c r="D2" s="107"/>
      <c r="E2" s="108"/>
      <c r="F2" s="108"/>
    </row>
    <row r="4" spans="1:51" ht="57.6" x14ac:dyDescent="0.3">
      <c r="A4" s="53" t="s">
        <v>0</v>
      </c>
      <c r="B4" s="53" t="s">
        <v>2</v>
      </c>
      <c r="C4" s="54">
        <v>44409</v>
      </c>
      <c r="D4" s="54">
        <v>44410</v>
      </c>
      <c r="E4" s="54">
        <v>44411</v>
      </c>
      <c r="F4" s="54">
        <v>44412</v>
      </c>
      <c r="G4" s="54">
        <v>44413</v>
      </c>
      <c r="H4" s="54">
        <v>44414</v>
      </c>
      <c r="I4" s="54">
        <v>44415</v>
      </c>
      <c r="J4" s="54">
        <v>44416</v>
      </c>
      <c r="K4" s="54">
        <v>44417</v>
      </c>
      <c r="L4" s="54">
        <v>44418</v>
      </c>
      <c r="M4" s="54">
        <v>44419</v>
      </c>
      <c r="N4" s="54">
        <v>44420</v>
      </c>
      <c r="O4" s="54">
        <v>44421</v>
      </c>
      <c r="P4" s="54">
        <v>44422</v>
      </c>
      <c r="Q4" s="54">
        <v>44423</v>
      </c>
      <c r="R4" s="54">
        <v>44424</v>
      </c>
      <c r="S4" s="54">
        <v>44425</v>
      </c>
      <c r="T4" s="54">
        <v>44426</v>
      </c>
      <c r="U4" s="54">
        <v>44427</v>
      </c>
      <c r="V4" s="54">
        <v>44428</v>
      </c>
      <c r="W4" s="54">
        <v>44429</v>
      </c>
      <c r="X4" s="54">
        <v>44430</v>
      </c>
      <c r="Y4" s="54">
        <v>44431</v>
      </c>
      <c r="Z4" s="54">
        <v>44432</v>
      </c>
      <c r="AA4" s="54">
        <v>44433</v>
      </c>
      <c r="AB4" s="54">
        <v>44434</v>
      </c>
      <c r="AC4" s="54">
        <v>44435</v>
      </c>
      <c r="AD4" s="54">
        <v>44436</v>
      </c>
      <c r="AE4" s="54">
        <v>44437</v>
      </c>
      <c r="AF4" s="54">
        <v>44438</v>
      </c>
      <c r="AG4" s="54">
        <v>44439</v>
      </c>
      <c r="AH4" s="53" t="s">
        <v>1</v>
      </c>
      <c r="AJ4" s="49" t="s">
        <v>0</v>
      </c>
      <c r="AK4" s="49" t="s">
        <v>2</v>
      </c>
      <c r="AL4" s="50" t="s">
        <v>23</v>
      </c>
      <c r="AM4" s="50" t="s">
        <v>24</v>
      </c>
      <c r="AN4" s="50" t="s">
        <v>26</v>
      </c>
      <c r="AO4" s="50" t="s">
        <v>106</v>
      </c>
      <c r="AP4" s="50" t="s">
        <v>27</v>
      </c>
      <c r="AQ4" s="50" t="s">
        <v>30</v>
      </c>
      <c r="AR4" s="50" t="s">
        <v>32</v>
      </c>
      <c r="AS4" s="50" t="s">
        <v>28</v>
      </c>
      <c r="AT4" s="50" t="s">
        <v>29</v>
      </c>
      <c r="AU4" s="50" t="s">
        <v>31</v>
      </c>
      <c r="AV4" s="45"/>
      <c r="AX4" s="43"/>
    </row>
    <row r="5" spans="1:51" x14ac:dyDescent="0.3">
      <c r="A5" s="2">
        <v>1</v>
      </c>
      <c r="B5" s="3" t="s">
        <v>4</v>
      </c>
      <c r="C5" s="7">
        <v>1</v>
      </c>
      <c r="D5" s="7">
        <v>2</v>
      </c>
      <c r="E5" s="7">
        <v>2</v>
      </c>
      <c r="F5" s="7">
        <v>2</v>
      </c>
      <c r="G5" s="7">
        <v>2</v>
      </c>
      <c r="H5" s="7">
        <v>2</v>
      </c>
      <c r="I5" s="7">
        <v>2.5</v>
      </c>
      <c r="J5" s="7">
        <v>2</v>
      </c>
      <c r="K5" s="7">
        <v>2</v>
      </c>
      <c r="L5" s="7">
        <v>2</v>
      </c>
      <c r="M5" s="7">
        <v>2</v>
      </c>
      <c r="N5" s="7">
        <v>2</v>
      </c>
      <c r="O5" s="7">
        <v>0</v>
      </c>
      <c r="P5" s="7">
        <v>0</v>
      </c>
      <c r="Q5" s="7">
        <v>1</v>
      </c>
      <c r="R5" s="7">
        <v>2</v>
      </c>
      <c r="S5" s="7">
        <v>2</v>
      </c>
      <c r="T5" s="7">
        <v>0</v>
      </c>
      <c r="U5" s="7">
        <v>0</v>
      </c>
      <c r="V5" s="7">
        <v>0</v>
      </c>
      <c r="W5" s="7">
        <v>0</v>
      </c>
      <c r="X5" s="7">
        <v>1</v>
      </c>
      <c r="Y5" s="7">
        <v>2</v>
      </c>
      <c r="Z5" s="7">
        <v>2</v>
      </c>
      <c r="AA5" s="7">
        <v>1</v>
      </c>
      <c r="AB5" s="7">
        <v>2</v>
      </c>
      <c r="AC5" s="7">
        <v>2</v>
      </c>
      <c r="AD5" s="7">
        <v>2</v>
      </c>
      <c r="AE5" s="7">
        <v>1</v>
      </c>
      <c r="AF5" s="7">
        <v>1</v>
      </c>
      <c r="AG5" s="7">
        <v>2</v>
      </c>
      <c r="AH5" s="56">
        <f>SUM(C5:AG5)</f>
        <v>44.5</v>
      </c>
      <c r="AJ5" s="2">
        <v>1</v>
      </c>
      <c r="AK5" s="3" t="s">
        <v>4</v>
      </c>
      <c r="AL5" s="16">
        <f>AH5*$E$1</f>
        <v>2081.5082146768896</v>
      </c>
      <c r="AM5" s="16">
        <f>AH17</f>
        <v>3625</v>
      </c>
      <c r="AN5" s="16">
        <f t="shared" ref="AN5:AN13" si="0">AM5-AL5</f>
        <v>1543.4917853231104</v>
      </c>
      <c r="AO5" s="16">
        <f t="shared" ref="AO5:AO13" si="1">N29</f>
        <v>4392.8571428571422</v>
      </c>
      <c r="AP5" s="16">
        <f>AO5-AN5</f>
        <v>2849.3653575340318</v>
      </c>
      <c r="AQ5" s="16">
        <f>'Meal July''21 &amp; Rent Augut'!AU5</f>
        <v>3756.6733780218206</v>
      </c>
      <c r="AR5" s="16">
        <f>AP5-AQ5</f>
        <v>-907.30802048778878</v>
      </c>
      <c r="AS5" s="8">
        <v>0</v>
      </c>
      <c r="AT5" s="17">
        <v>44418</v>
      </c>
      <c r="AU5" s="16">
        <f>AS5-AR5</f>
        <v>907.30802048778878</v>
      </c>
      <c r="AY5" s="9"/>
    </row>
    <row r="6" spans="1:51" x14ac:dyDescent="0.3">
      <c r="A6" s="2">
        <v>2</v>
      </c>
      <c r="B6" s="3" t="s">
        <v>5</v>
      </c>
      <c r="C6" s="7">
        <v>2</v>
      </c>
      <c r="D6" s="7">
        <v>2.5</v>
      </c>
      <c r="E6" s="7">
        <v>2.5</v>
      </c>
      <c r="F6" s="7">
        <v>0</v>
      </c>
      <c r="G6" s="7">
        <v>2.5</v>
      </c>
      <c r="H6" s="7">
        <v>2.5</v>
      </c>
      <c r="I6" s="7">
        <v>2.5</v>
      </c>
      <c r="J6" s="7">
        <v>2.5</v>
      </c>
      <c r="K6" s="7">
        <v>2.5</v>
      </c>
      <c r="L6" s="7">
        <v>2.5</v>
      </c>
      <c r="M6" s="7">
        <v>2.5</v>
      </c>
      <c r="N6" s="7">
        <v>2.5</v>
      </c>
      <c r="O6" s="7">
        <v>2.5</v>
      </c>
      <c r="P6" s="7">
        <v>2.5</v>
      </c>
      <c r="Q6" s="7">
        <v>2.5</v>
      </c>
      <c r="R6" s="7">
        <v>3.5</v>
      </c>
      <c r="S6" s="7">
        <v>2.5</v>
      </c>
      <c r="T6" s="7">
        <v>0</v>
      </c>
      <c r="U6" s="7">
        <v>0.5</v>
      </c>
      <c r="V6" s="7">
        <v>0</v>
      </c>
      <c r="W6" s="7">
        <v>1</v>
      </c>
      <c r="X6" s="7">
        <v>2</v>
      </c>
      <c r="Y6" s="7">
        <v>2.5</v>
      </c>
      <c r="Z6" s="7">
        <v>2.5</v>
      </c>
      <c r="AA6" s="7">
        <v>2.5</v>
      </c>
      <c r="AB6" s="7">
        <v>2.5</v>
      </c>
      <c r="AC6" s="7">
        <v>4.5</v>
      </c>
      <c r="AD6" s="7">
        <v>4</v>
      </c>
      <c r="AE6" s="7">
        <v>2.5</v>
      </c>
      <c r="AF6" s="7">
        <v>0</v>
      </c>
      <c r="AG6" s="7">
        <v>0</v>
      </c>
      <c r="AH6" s="56">
        <f>SUM(C6:AG6)</f>
        <v>65</v>
      </c>
      <c r="AJ6" s="2">
        <v>2</v>
      </c>
      <c r="AK6" s="3" t="s">
        <v>5</v>
      </c>
      <c r="AL6" s="16">
        <f>AH6*$E$1</f>
        <v>3040.405257393209</v>
      </c>
      <c r="AM6" s="16">
        <f>AH18</f>
        <v>3575</v>
      </c>
      <c r="AN6" s="16">
        <f t="shared" si="0"/>
        <v>534.59474260679099</v>
      </c>
      <c r="AO6" s="16">
        <f t="shared" si="1"/>
        <v>4392.8571428571422</v>
      </c>
      <c r="AP6" s="16">
        <f t="shared" ref="AP6:AP13" si="2">AO6-AN6</f>
        <v>3858.2624002503512</v>
      </c>
      <c r="AQ6" s="16">
        <f>'Meal July''21 &amp; Rent Augut'!AU6</f>
        <v>318.59498465778506</v>
      </c>
      <c r="AR6" s="16">
        <f t="shared" ref="AR6:AR13" si="3">AP6-AQ6</f>
        <v>3539.6674155925662</v>
      </c>
      <c r="AS6" s="8">
        <f>500+3040</f>
        <v>3540</v>
      </c>
      <c r="AT6" s="17">
        <v>44428</v>
      </c>
      <c r="AU6" s="16">
        <f t="shared" ref="AU6:AU10" si="4">AS6-AR6</f>
        <v>0.33258440743384199</v>
      </c>
      <c r="AW6">
        <v>3040</v>
      </c>
      <c r="AY6" s="9"/>
    </row>
    <row r="7" spans="1:51" x14ac:dyDescent="0.3">
      <c r="A7" s="2">
        <v>3</v>
      </c>
      <c r="B7" s="3" t="s">
        <v>6</v>
      </c>
      <c r="C7" s="7">
        <v>2</v>
      </c>
      <c r="D7" s="7">
        <v>2.5</v>
      </c>
      <c r="E7" s="7">
        <v>2.5</v>
      </c>
      <c r="F7" s="7">
        <v>2.5</v>
      </c>
      <c r="G7" s="7">
        <v>2.5</v>
      </c>
      <c r="H7" s="7">
        <v>2.5</v>
      </c>
      <c r="I7" s="7">
        <v>2.5</v>
      </c>
      <c r="J7" s="7">
        <v>2.5</v>
      </c>
      <c r="K7" s="7">
        <v>2.5</v>
      </c>
      <c r="L7" s="7">
        <v>2.5</v>
      </c>
      <c r="M7" s="7">
        <v>2</v>
      </c>
      <c r="N7" s="7">
        <v>2.5</v>
      </c>
      <c r="O7" s="7">
        <v>2.5</v>
      </c>
      <c r="P7" s="7">
        <v>2.5</v>
      </c>
      <c r="Q7" s="7">
        <v>2.5</v>
      </c>
      <c r="R7" s="7">
        <v>2.5</v>
      </c>
      <c r="S7" s="7">
        <v>2.5</v>
      </c>
      <c r="T7" s="7">
        <v>2.5</v>
      </c>
      <c r="U7" s="7">
        <v>4.5</v>
      </c>
      <c r="V7" s="7">
        <v>5.5</v>
      </c>
      <c r="W7" s="7">
        <v>5</v>
      </c>
      <c r="X7" s="7">
        <v>3</v>
      </c>
      <c r="Y7" s="7">
        <v>4.5</v>
      </c>
      <c r="Z7" s="7">
        <v>4.5</v>
      </c>
      <c r="AA7" s="7">
        <v>4</v>
      </c>
      <c r="AB7" s="7">
        <v>3.5</v>
      </c>
      <c r="AC7" s="7">
        <v>4.5</v>
      </c>
      <c r="AD7" s="7">
        <v>6.5</v>
      </c>
      <c r="AE7" s="7">
        <v>2.5</v>
      </c>
      <c r="AF7" s="7">
        <v>2.5</v>
      </c>
      <c r="AG7" s="7">
        <v>2.5</v>
      </c>
      <c r="AH7" s="56">
        <f t="shared" ref="AH7:AH10" si="5">SUM(C7:AG7)</f>
        <v>97</v>
      </c>
      <c r="AJ7" s="2">
        <v>3</v>
      </c>
      <c r="AK7" s="3" t="s">
        <v>6</v>
      </c>
      <c r="AL7" s="16">
        <f>AH7*$E$1</f>
        <v>4537.2201533406351</v>
      </c>
      <c r="AM7" s="16">
        <f>AH19</f>
        <v>2205</v>
      </c>
      <c r="AN7" s="16">
        <f t="shared" si="0"/>
        <v>-2332.2201533406351</v>
      </c>
      <c r="AO7" s="16">
        <f t="shared" si="1"/>
        <v>3392.8571428571427</v>
      </c>
      <c r="AP7" s="16">
        <f t="shared" si="2"/>
        <v>5725.0772961977782</v>
      </c>
      <c r="AQ7" s="16">
        <f>'Meal July''21 &amp; Rent Augut'!AU7</f>
        <v>2.2256292496531387</v>
      </c>
      <c r="AR7" s="16">
        <f t="shared" si="3"/>
        <v>5722.8516669481251</v>
      </c>
      <c r="AS7" s="8">
        <f>2800-100+3025</f>
        <v>5725</v>
      </c>
      <c r="AT7" s="17"/>
      <c r="AU7" s="16">
        <f t="shared" si="4"/>
        <v>2.1483330518749426</v>
      </c>
      <c r="AW7">
        <f>2700+3025</f>
        <v>5725</v>
      </c>
      <c r="AY7" s="9"/>
    </row>
    <row r="8" spans="1:51" x14ac:dyDescent="0.3">
      <c r="A8" s="2">
        <v>4</v>
      </c>
      <c r="B8" s="3" t="s">
        <v>57</v>
      </c>
      <c r="C8" s="7">
        <v>2</v>
      </c>
      <c r="D8" s="7">
        <v>2.5</v>
      </c>
      <c r="E8" s="7">
        <v>2.5</v>
      </c>
      <c r="F8" s="7">
        <v>2.5</v>
      </c>
      <c r="G8" s="7">
        <v>2.5</v>
      </c>
      <c r="H8" s="7">
        <v>2.5</v>
      </c>
      <c r="I8" s="7">
        <v>2.5</v>
      </c>
      <c r="J8" s="7">
        <v>2.5</v>
      </c>
      <c r="K8" s="7">
        <v>2.5</v>
      </c>
      <c r="L8" s="7">
        <v>2.5</v>
      </c>
      <c r="M8" s="7">
        <v>2.5</v>
      </c>
      <c r="N8" s="7">
        <v>2.5</v>
      </c>
      <c r="O8" s="7">
        <v>2</v>
      </c>
      <c r="P8" s="7">
        <v>4.5</v>
      </c>
      <c r="Q8" s="7">
        <v>4</v>
      </c>
      <c r="R8" s="7">
        <v>2.5</v>
      </c>
      <c r="S8" s="7">
        <v>2.5</v>
      </c>
      <c r="T8" s="7">
        <v>2</v>
      </c>
      <c r="U8" s="7">
        <v>2.5</v>
      </c>
      <c r="V8" s="7">
        <v>3.5</v>
      </c>
      <c r="W8" s="7">
        <v>1.5</v>
      </c>
      <c r="X8" s="7">
        <v>2</v>
      </c>
      <c r="Y8" s="7">
        <v>3.5</v>
      </c>
      <c r="Z8" s="7">
        <v>3.5</v>
      </c>
      <c r="AA8" s="7">
        <v>3</v>
      </c>
      <c r="AB8" s="7">
        <v>2.5</v>
      </c>
      <c r="AC8" s="7">
        <v>2.5</v>
      </c>
      <c r="AD8" s="7">
        <v>4.5</v>
      </c>
      <c r="AE8" s="7">
        <v>3.5</v>
      </c>
      <c r="AF8" s="7">
        <v>2.5</v>
      </c>
      <c r="AG8" s="7">
        <v>2.5</v>
      </c>
      <c r="AH8" s="56">
        <f t="shared" si="5"/>
        <v>84.5</v>
      </c>
      <c r="AJ8" s="2">
        <v>4</v>
      </c>
      <c r="AK8" s="3" t="s">
        <v>57</v>
      </c>
      <c r="AL8" s="16">
        <f>AH8*$E$1</f>
        <v>3952.526834611172</v>
      </c>
      <c r="AM8" s="16">
        <f>AH20</f>
        <v>3390</v>
      </c>
      <c r="AN8" s="16">
        <f t="shared" si="0"/>
        <v>-562.52683461117203</v>
      </c>
      <c r="AO8" s="16">
        <f t="shared" si="1"/>
        <v>3392.8571428571427</v>
      </c>
      <c r="AP8" s="16">
        <f t="shared" si="2"/>
        <v>3955.3839774683147</v>
      </c>
      <c r="AQ8" s="16">
        <f>'Meal July''21 &amp; Rent Augut'!AU8</f>
        <v>-880.7421012644736</v>
      </c>
      <c r="AR8" s="16">
        <f t="shared" si="3"/>
        <v>4836.1260787327883</v>
      </c>
      <c r="AS8" s="8">
        <f>3500+1300</f>
        <v>4800</v>
      </c>
      <c r="AT8" s="17">
        <v>44457</v>
      </c>
      <c r="AU8" s="16">
        <f>AS8-AR8</f>
        <v>-36.126078732788301</v>
      </c>
      <c r="AV8" s="25"/>
      <c r="AW8" s="9">
        <f>3500+1300</f>
        <v>4800</v>
      </c>
      <c r="AY8" s="9"/>
    </row>
    <row r="9" spans="1:51" x14ac:dyDescent="0.3">
      <c r="A9" s="2">
        <v>5</v>
      </c>
      <c r="B9" s="12" t="s">
        <v>51</v>
      </c>
      <c r="C9" s="7">
        <v>2</v>
      </c>
      <c r="D9" s="7">
        <v>2</v>
      </c>
      <c r="E9" s="7">
        <v>2.5</v>
      </c>
      <c r="F9" s="7">
        <v>2</v>
      </c>
      <c r="G9" s="7">
        <v>2.5</v>
      </c>
      <c r="H9" s="7">
        <v>2.5</v>
      </c>
      <c r="I9" s="7">
        <v>2.5</v>
      </c>
      <c r="J9" s="7">
        <v>2</v>
      </c>
      <c r="K9" s="7">
        <v>2</v>
      </c>
      <c r="L9" s="7">
        <v>2</v>
      </c>
      <c r="M9" s="7">
        <v>1</v>
      </c>
      <c r="N9" s="7">
        <v>1</v>
      </c>
      <c r="O9" s="7">
        <v>2.5</v>
      </c>
      <c r="P9" s="7">
        <v>2</v>
      </c>
      <c r="Q9" s="7">
        <v>2</v>
      </c>
      <c r="R9" s="7">
        <v>3.5</v>
      </c>
      <c r="S9" s="7">
        <v>2</v>
      </c>
      <c r="T9" s="7">
        <v>1</v>
      </c>
      <c r="U9" s="7">
        <v>3</v>
      </c>
      <c r="V9" s="7">
        <v>5.5</v>
      </c>
      <c r="W9" s="7">
        <v>1.5</v>
      </c>
      <c r="X9" s="7">
        <v>1</v>
      </c>
      <c r="Y9" s="7">
        <v>1</v>
      </c>
      <c r="Z9" s="7">
        <v>2</v>
      </c>
      <c r="AA9" s="7">
        <v>1.5</v>
      </c>
      <c r="AB9" s="7">
        <v>1</v>
      </c>
      <c r="AC9" s="7">
        <v>0</v>
      </c>
      <c r="AD9" s="7">
        <v>0</v>
      </c>
      <c r="AE9" s="7">
        <v>0</v>
      </c>
      <c r="AF9" s="7">
        <v>0</v>
      </c>
      <c r="AG9" s="7">
        <v>2</v>
      </c>
      <c r="AH9" s="56">
        <f t="shared" si="5"/>
        <v>55.5</v>
      </c>
      <c r="AJ9" s="2">
        <v>5</v>
      </c>
      <c r="AK9" s="12" t="s">
        <v>51</v>
      </c>
      <c r="AL9" s="16">
        <f>$AH$9*$E$1</f>
        <v>2596.0383351588171</v>
      </c>
      <c r="AM9" s="16">
        <f>AH21</f>
        <v>3950</v>
      </c>
      <c r="AN9" s="16">
        <f t="shared" si="0"/>
        <v>1353.9616648411829</v>
      </c>
      <c r="AO9" s="16">
        <f t="shared" si="1"/>
        <v>3392.8571428571427</v>
      </c>
      <c r="AP9" s="16">
        <f t="shared" si="2"/>
        <v>2038.8954780159597</v>
      </c>
      <c r="AQ9" s="16">
        <f>'Meal July''21 &amp; Rent Augut'!AU9</f>
        <v>0.41075545822513959</v>
      </c>
      <c r="AR9" s="16">
        <f t="shared" si="3"/>
        <v>2038.4847225577346</v>
      </c>
      <c r="AS9" s="8">
        <f>3000+120</f>
        <v>3120</v>
      </c>
      <c r="AT9" s="17"/>
      <c r="AU9" s="16">
        <f>AS9-AR9</f>
        <v>1081.5152774422654</v>
      </c>
      <c r="AW9" s="9"/>
    </row>
    <row r="10" spans="1:51" x14ac:dyDescent="0.3">
      <c r="A10" s="2">
        <v>6</v>
      </c>
      <c r="B10" s="3" t="s">
        <v>7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7">
        <v>0</v>
      </c>
      <c r="Z10" s="7">
        <v>0</v>
      </c>
      <c r="AA10" s="7">
        <v>0</v>
      </c>
      <c r="AB10" s="7">
        <v>0</v>
      </c>
      <c r="AC10" s="7">
        <v>0</v>
      </c>
      <c r="AD10" s="7">
        <v>0</v>
      </c>
      <c r="AE10" s="7">
        <v>0</v>
      </c>
      <c r="AF10" s="7">
        <v>0</v>
      </c>
      <c r="AG10" s="7">
        <v>0</v>
      </c>
      <c r="AH10" s="56">
        <f t="shared" si="5"/>
        <v>0</v>
      </c>
      <c r="AJ10" s="2">
        <v>6</v>
      </c>
      <c r="AK10" s="3" t="s">
        <v>7</v>
      </c>
      <c r="AL10" s="16">
        <f>AH10*$E$1</f>
        <v>0</v>
      </c>
      <c r="AM10" s="16">
        <f t="shared" ref="AM10" si="6">AH22</f>
        <v>0</v>
      </c>
      <c r="AN10" s="16">
        <f t="shared" si="0"/>
        <v>0</v>
      </c>
      <c r="AO10" s="16">
        <f t="shared" si="1"/>
        <v>0</v>
      </c>
      <c r="AP10" s="16">
        <f t="shared" si="2"/>
        <v>0</v>
      </c>
      <c r="AQ10" s="16">
        <f>'Meal July''21 &amp; Rent Augut'!AU10</f>
        <v>-2156.3963758122854</v>
      </c>
      <c r="AR10" s="16">
        <f t="shared" si="3"/>
        <v>2156.3963758122854</v>
      </c>
      <c r="AS10" s="8">
        <v>0</v>
      </c>
      <c r="AT10" s="17"/>
      <c r="AU10" s="16">
        <f t="shared" si="4"/>
        <v>-2156.3963758122854</v>
      </c>
    </row>
    <row r="11" spans="1:51" x14ac:dyDescent="0.3">
      <c r="A11" s="2">
        <v>7</v>
      </c>
      <c r="B11" s="3" t="s">
        <v>8</v>
      </c>
      <c r="C11" s="7">
        <v>2.5</v>
      </c>
      <c r="D11" s="7">
        <v>2.5</v>
      </c>
      <c r="E11" s="7">
        <v>2.5</v>
      </c>
      <c r="F11" s="7">
        <v>2</v>
      </c>
      <c r="G11" s="7">
        <v>2.5</v>
      </c>
      <c r="H11" s="7">
        <v>2.5</v>
      </c>
      <c r="I11" s="7">
        <v>2.5</v>
      </c>
      <c r="J11" s="7">
        <v>2.5</v>
      </c>
      <c r="K11" s="7">
        <v>2.5</v>
      </c>
      <c r="L11" s="7">
        <v>2.5</v>
      </c>
      <c r="M11" s="7">
        <v>2</v>
      </c>
      <c r="N11" s="7">
        <v>1.5</v>
      </c>
      <c r="O11" s="7">
        <v>2.5</v>
      </c>
      <c r="P11" s="7">
        <v>2.5</v>
      </c>
      <c r="Q11" s="7">
        <v>2</v>
      </c>
      <c r="R11" s="7">
        <v>2</v>
      </c>
      <c r="S11" s="7">
        <v>2.5</v>
      </c>
      <c r="T11" s="7">
        <v>1</v>
      </c>
      <c r="U11" s="7">
        <v>1.5</v>
      </c>
      <c r="V11" s="7">
        <v>0.5</v>
      </c>
      <c r="W11" s="7">
        <v>0</v>
      </c>
      <c r="X11" s="7">
        <v>0</v>
      </c>
      <c r="Y11" s="7">
        <v>0</v>
      </c>
      <c r="Z11" s="7">
        <v>0</v>
      </c>
      <c r="AA11" s="7">
        <v>0</v>
      </c>
      <c r="AB11" s="7">
        <v>0</v>
      </c>
      <c r="AC11" s="7">
        <v>0</v>
      </c>
      <c r="AD11" s="7">
        <v>0</v>
      </c>
      <c r="AE11" s="7">
        <v>0</v>
      </c>
      <c r="AF11" s="7">
        <v>0</v>
      </c>
      <c r="AG11" s="7">
        <v>0</v>
      </c>
      <c r="AH11" s="56">
        <f>SUM(C11:AG11)</f>
        <v>42.5</v>
      </c>
      <c r="AJ11" s="2">
        <v>7</v>
      </c>
      <c r="AK11" s="3" t="s">
        <v>8</v>
      </c>
      <c r="AL11" s="16">
        <f>AH11*$E$1</f>
        <v>1987.9572836801754</v>
      </c>
      <c r="AM11" s="16">
        <f>AH23</f>
        <v>0</v>
      </c>
      <c r="AN11" s="16">
        <f t="shared" si="0"/>
        <v>-1987.9572836801754</v>
      </c>
      <c r="AO11" s="16">
        <f t="shared" si="1"/>
        <v>0</v>
      </c>
      <c r="AP11" s="16">
        <f t="shared" si="2"/>
        <v>1987.9572836801754</v>
      </c>
      <c r="AQ11" s="16">
        <f>'Meal July''21 &amp; Rent Augut'!AU11</f>
        <v>-1020.6542672571202</v>
      </c>
      <c r="AR11" s="16">
        <f t="shared" si="3"/>
        <v>3008.6115509372958</v>
      </c>
      <c r="AS11" s="8">
        <v>0</v>
      </c>
      <c r="AT11" s="17"/>
      <c r="AU11" s="16">
        <f>AS11-AR11</f>
        <v>-3008.6115509372958</v>
      </c>
    </row>
    <row r="12" spans="1:51" x14ac:dyDescent="0.3">
      <c r="A12" s="2">
        <v>8</v>
      </c>
      <c r="B12" s="1" t="s">
        <v>110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2</v>
      </c>
      <c r="N12" s="7">
        <v>4</v>
      </c>
      <c r="O12" s="7">
        <v>5</v>
      </c>
      <c r="P12" s="7">
        <v>4</v>
      </c>
      <c r="Q12" s="7">
        <v>3</v>
      </c>
      <c r="R12" s="7">
        <v>1.5</v>
      </c>
      <c r="S12" s="7">
        <v>1.5</v>
      </c>
      <c r="T12" s="7">
        <v>1.5</v>
      </c>
      <c r="U12" s="7">
        <v>1.5</v>
      </c>
      <c r="V12" s="7">
        <v>2.5</v>
      </c>
      <c r="W12" s="7">
        <v>1.5</v>
      </c>
      <c r="X12" s="7">
        <v>1</v>
      </c>
      <c r="Y12" s="7">
        <v>1.5</v>
      </c>
      <c r="Z12" s="1">
        <v>3</v>
      </c>
      <c r="AA12" s="1">
        <v>1.5</v>
      </c>
      <c r="AB12" s="1">
        <v>1.5</v>
      </c>
      <c r="AC12" s="1">
        <v>2.5</v>
      </c>
      <c r="AD12" s="1">
        <v>2.5</v>
      </c>
      <c r="AE12" s="1">
        <v>1.5</v>
      </c>
      <c r="AF12" s="1">
        <v>2.5</v>
      </c>
      <c r="AG12" s="1">
        <v>1.5</v>
      </c>
      <c r="AH12" s="56">
        <f t="shared" ref="AH12:AH13" si="7">SUM(C12:AG12)</f>
        <v>47</v>
      </c>
      <c r="AJ12" s="2">
        <v>8</v>
      </c>
      <c r="AK12" s="12" t="s">
        <v>104</v>
      </c>
      <c r="AL12" s="16">
        <f>AH12*E1</f>
        <v>2198.446878422782</v>
      </c>
      <c r="AM12" s="16">
        <f>AH24</f>
        <v>3248</v>
      </c>
      <c r="AN12" s="16">
        <f t="shared" si="0"/>
        <v>1049.553121577218</v>
      </c>
      <c r="AO12" s="16">
        <f>N36</f>
        <v>4142.8571428571422</v>
      </c>
      <c r="AP12" s="16">
        <f t="shared" si="2"/>
        <v>3093.3040212799242</v>
      </c>
      <c r="AQ12" s="16">
        <f>'Meal July''21 &amp; Rent Augut'!AU12</f>
        <v>0</v>
      </c>
      <c r="AR12" s="16">
        <f t="shared" si="3"/>
        <v>3093.3040212799242</v>
      </c>
      <c r="AS12" s="8">
        <v>3095</v>
      </c>
      <c r="AT12" s="17"/>
      <c r="AU12" s="8">
        <f>AS12-AR12</f>
        <v>1.6959787200758001</v>
      </c>
      <c r="AV12" s="47"/>
      <c r="AW12" s="8">
        <v>6845</v>
      </c>
    </row>
    <row r="13" spans="1:51" x14ac:dyDescent="0.3">
      <c r="A13" s="52">
        <v>9</v>
      </c>
      <c r="B13" s="42" t="s">
        <v>105</v>
      </c>
      <c r="C13" s="7">
        <v>0</v>
      </c>
      <c r="D13" s="7">
        <v>1</v>
      </c>
      <c r="E13" s="7">
        <v>1</v>
      </c>
      <c r="F13" s="7">
        <v>1</v>
      </c>
      <c r="G13" s="7">
        <v>0</v>
      </c>
      <c r="H13" s="7">
        <v>0</v>
      </c>
      <c r="I13" s="7">
        <v>0</v>
      </c>
      <c r="J13" s="7">
        <v>0</v>
      </c>
      <c r="K13" s="7">
        <v>1</v>
      </c>
      <c r="L13" s="7">
        <v>1</v>
      </c>
      <c r="M13" s="7">
        <v>1.5</v>
      </c>
      <c r="N13" s="7">
        <v>0.5</v>
      </c>
      <c r="O13" s="7">
        <v>0</v>
      </c>
      <c r="P13" s="7">
        <v>0</v>
      </c>
      <c r="Q13" s="7">
        <v>0</v>
      </c>
      <c r="R13" s="7">
        <v>1</v>
      </c>
      <c r="S13" s="7">
        <v>1.5</v>
      </c>
      <c r="T13" s="7">
        <v>1.5</v>
      </c>
      <c r="U13" s="7">
        <v>0</v>
      </c>
      <c r="V13" s="7">
        <v>0</v>
      </c>
      <c r="W13" s="7">
        <v>0</v>
      </c>
      <c r="X13" s="7">
        <v>1</v>
      </c>
      <c r="Y13" s="7">
        <v>2.5</v>
      </c>
      <c r="Z13" s="8">
        <v>2.5</v>
      </c>
      <c r="AA13" s="8">
        <v>1.5</v>
      </c>
      <c r="AB13" s="8">
        <v>0.5</v>
      </c>
      <c r="AC13" s="8">
        <v>0</v>
      </c>
      <c r="AD13" s="8">
        <v>0</v>
      </c>
      <c r="AE13" s="8">
        <v>0</v>
      </c>
      <c r="AF13" s="8">
        <v>0</v>
      </c>
      <c r="AG13" s="8">
        <v>1.5</v>
      </c>
      <c r="AH13" s="56">
        <f t="shared" si="7"/>
        <v>20.5</v>
      </c>
      <c r="AJ13" s="2">
        <v>9</v>
      </c>
      <c r="AK13" s="12" t="s">
        <v>105</v>
      </c>
      <c r="AL13" s="16">
        <f>AH13*E1</f>
        <v>958.89704271631979</v>
      </c>
      <c r="AM13" s="16">
        <f>AH25</f>
        <v>1360</v>
      </c>
      <c r="AN13" s="16">
        <f t="shared" si="0"/>
        <v>401.10295728368021</v>
      </c>
      <c r="AO13" s="16">
        <f t="shared" si="1"/>
        <v>4142.8571428571422</v>
      </c>
      <c r="AP13" s="16">
        <f t="shared" si="2"/>
        <v>3741.7541855734621</v>
      </c>
      <c r="AQ13" s="16">
        <f>'Meal July''21 &amp; Rent Augut'!AU13</f>
        <v>0</v>
      </c>
      <c r="AR13" s="16">
        <f t="shared" si="3"/>
        <v>3741.7541855734621</v>
      </c>
      <c r="AS13" s="16">
        <f>4000-258</f>
        <v>3742</v>
      </c>
      <c r="AT13" s="17"/>
      <c r="AU13" s="16">
        <f>AS13-AR13</f>
        <v>0.24581442653789054</v>
      </c>
      <c r="AV13" s="9"/>
      <c r="AW13" s="16">
        <v>4000</v>
      </c>
    </row>
    <row r="14" spans="1:51" x14ac:dyDescent="0.3">
      <c r="A14" s="36"/>
      <c r="B14" s="36"/>
      <c r="C14" s="55">
        <f>SUM(C5:C13)</f>
        <v>11.5</v>
      </c>
      <c r="D14" s="55">
        <f t="shared" ref="D14:AG14" si="8">SUM(D5:D13)</f>
        <v>15</v>
      </c>
      <c r="E14" s="55">
        <f t="shared" si="8"/>
        <v>15.5</v>
      </c>
      <c r="F14" s="55">
        <f t="shared" si="8"/>
        <v>12</v>
      </c>
      <c r="G14" s="55">
        <f t="shared" si="8"/>
        <v>14.5</v>
      </c>
      <c r="H14" s="55">
        <f t="shared" si="8"/>
        <v>14.5</v>
      </c>
      <c r="I14" s="55">
        <f t="shared" si="8"/>
        <v>15</v>
      </c>
      <c r="J14" s="55">
        <f t="shared" si="8"/>
        <v>14</v>
      </c>
      <c r="K14" s="55">
        <f t="shared" si="8"/>
        <v>15</v>
      </c>
      <c r="L14" s="55">
        <f t="shared" si="8"/>
        <v>15</v>
      </c>
      <c r="M14" s="55">
        <f t="shared" si="8"/>
        <v>15.5</v>
      </c>
      <c r="N14" s="55">
        <f t="shared" si="8"/>
        <v>16.5</v>
      </c>
      <c r="O14" s="55">
        <f t="shared" si="8"/>
        <v>17</v>
      </c>
      <c r="P14" s="55">
        <f t="shared" si="8"/>
        <v>18</v>
      </c>
      <c r="Q14" s="55">
        <f t="shared" si="8"/>
        <v>17</v>
      </c>
      <c r="R14" s="55">
        <f t="shared" si="8"/>
        <v>18.5</v>
      </c>
      <c r="S14" s="55">
        <f t="shared" si="8"/>
        <v>17</v>
      </c>
      <c r="T14" s="55">
        <f t="shared" si="8"/>
        <v>9.5</v>
      </c>
      <c r="U14" s="55">
        <f t="shared" si="8"/>
        <v>13.5</v>
      </c>
      <c r="V14" s="55">
        <f t="shared" si="8"/>
        <v>17.5</v>
      </c>
      <c r="W14" s="55">
        <f t="shared" si="8"/>
        <v>10.5</v>
      </c>
      <c r="X14" s="55">
        <f t="shared" si="8"/>
        <v>11</v>
      </c>
      <c r="Y14" s="55">
        <f t="shared" si="8"/>
        <v>17.5</v>
      </c>
      <c r="Z14" s="55">
        <f t="shared" si="8"/>
        <v>20</v>
      </c>
      <c r="AA14" s="55">
        <f t="shared" si="8"/>
        <v>15</v>
      </c>
      <c r="AB14" s="55">
        <f t="shared" si="8"/>
        <v>13.5</v>
      </c>
      <c r="AC14" s="55">
        <f t="shared" si="8"/>
        <v>16</v>
      </c>
      <c r="AD14" s="55">
        <f t="shared" si="8"/>
        <v>19.5</v>
      </c>
      <c r="AE14" s="55">
        <f t="shared" si="8"/>
        <v>11</v>
      </c>
      <c r="AF14" s="55">
        <f t="shared" si="8"/>
        <v>8.5</v>
      </c>
      <c r="AG14" s="55">
        <f t="shared" si="8"/>
        <v>12</v>
      </c>
      <c r="AH14" s="55">
        <f>SUM(AH5:AH13)</f>
        <v>456.5</v>
      </c>
      <c r="AL14" s="51">
        <f>SUM(AL5:AL13)</f>
        <v>21353</v>
      </c>
      <c r="AM14" s="51">
        <f t="shared" ref="AM14" si="9">SUM(AM5:AM13)</f>
        <v>21353</v>
      </c>
      <c r="AN14" s="51">
        <f>SUM(AN5:AN13)</f>
        <v>0</v>
      </c>
      <c r="AO14" s="51">
        <f>SUM(AO5:AO13)</f>
        <v>27249.999999999996</v>
      </c>
      <c r="AP14" s="51">
        <f>SUM(AP5:AP13)</f>
        <v>27249.999999999996</v>
      </c>
      <c r="AQ14" s="51">
        <f>SUM(AQ5:AQ13)</f>
        <v>20.112003053604667</v>
      </c>
      <c r="AR14" s="51">
        <f>AP14-AQ14+$AW$4</f>
        <v>27229.887996946392</v>
      </c>
      <c r="AS14" s="51">
        <f>SUM(AS5:AS13)</f>
        <v>24022</v>
      </c>
      <c r="AT14" s="51"/>
      <c r="AU14" s="51">
        <f>SUM(AU5:AU13)</f>
        <v>-3207.8879969463928</v>
      </c>
      <c r="AV14" s="9"/>
      <c r="AW14" s="44">
        <f>SUM(AW5:AW13)</f>
        <v>24410</v>
      </c>
    </row>
    <row r="15" spans="1:51" x14ac:dyDescent="0.3">
      <c r="A15" s="36"/>
      <c r="B15" s="36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37"/>
      <c r="AF15" s="37"/>
      <c r="AG15" s="37"/>
      <c r="AH15" s="37"/>
      <c r="AL15" s="38"/>
      <c r="AM15" s="39"/>
      <c r="AN15" s="39"/>
      <c r="AO15" s="39"/>
      <c r="AP15" s="39"/>
      <c r="AQ15" s="39"/>
      <c r="AR15" s="38"/>
      <c r="AS15" s="39"/>
      <c r="AT15" s="39"/>
      <c r="AU15" s="39"/>
      <c r="AV15" s="9"/>
      <c r="AW15" s="9"/>
      <c r="AX15" s="44" t="s">
        <v>88</v>
      </c>
      <c r="AY15" s="9"/>
    </row>
    <row r="16" spans="1:51" x14ac:dyDescent="0.3">
      <c r="B16" s="10" t="s">
        <v>86</v>
      </c>
      <c r="AT16" s="1" t="s">
        <v>110</v>
      </c>
      <c r="AU16" s="8">
        <f>AR12+3750</f>
        <v>6843.3040212799242</v>
      </c>
      <c r="AV16" s="9"/>
      <c r="AX16" s="1" t="s">
        <v>89</v>
      </c>
      <c r="AY16" s="1" t="s">
        <v>95</v>
      </c>
    </row>
    <row r="17" spans="1:63" x14ac:dyDescent="0.3">
      <c r="A17" s="2">
        <v>1</v>
      </c>
      <c r="B17" s="3" t="s">
        <v>4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</v>
      </c>
      <c r="U17" s="8">
        <v>0</v>
      </c>
      <c r="V17" s="8">
        <v>0</v>
      </c>
      <c r="W17" s="8">
        <v>0</v>
      </c>
      <c r="X17" s="8">
        <v>0</v>
      </c>
      <c r="Y17" s="8">
        <v>0</v>
      </c>
      <c r="Z17" s="8">
        <v>0</v>
      </c>
      <c r="AA17" s="8">
        <v>0</v>
      </c>
      <c r="AB17" s="8">
        <v>0</v>
      </c>
      <c r="AC17" s="8">
        <v>0</v>
      </c>
      <c r="AD17" s="8">
        <v>2705</v>
      </c>
      <c r="AE17" s="8">
        <v>920</v>
      </c>
      <c r="AF17" s="8">
        <v>0</v>
      </c>
      <c r="AG17" s="8">
        <v>0</v>
      </c>
      <c r="AH17" s="8">
        <f>SUM(C17:AG17)</f>
        <v>3625</v>
      </c>
      <c r="AR17" s="25"/>
      <c r="AT17" s="42" t="s">
        <v>105</v>
      </c>
      <c r="AU17" s="8">
        <f>AR13+3750</f>
        <v>7491.7541855734617</v>
      </c>
      <c r="AX17" s="1" t="s">
        <v>107</v>
      </c>
      <c r="AY17" s="16">
        <f>O45</f>
        <v>23630</v>
      </c>
      <c r="BI17" s="1" t="s">
        <v>96</v>
      </c>
      <c r="BJ17" s="1"/>
      <c r="BK17" s="1"/>
    </row>
    <row r="18" spans="1:63" x14ac:dyDescent="0.3">
      <c r="A18" s="2">
        <v>2</v>
      </c>
      <c r="B18" s="3" t="s">
        <v>5</v>
      </c>
      <c r="C18" s="8">
        <v>400</v>
      </c>
      <c r="D18" s="8">
        <v>1290</v>
      </c>
      <c r="E18" s="8">
        <v>0</v>
      </c>
      <c r="F18" s="8">
        <v>1405</v>
      </c>
      <c r="G18" s="8">
        <v>330</v>
      </c>
      <c r="H18" s="8">
        <v>150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  <c r="T18" s="8">
        <v>0</v>
      </c>
      <c r="U18" s="8">
        <v>0</v>
      </c>
      <c r="V18" s="8">
        <v>0</v>
      </c>
      <c r="W18" s="8">
        <v>0</v>
      </c>
      <c r="X18" s="8">
        <v>0</v>
      </c>
      <c r="Y18" s="8">
        <v>0</v>
      </c>
      <c r="Z18" s="8">
        <v>0</v>
      </c>
      <c r="AA18" s="8">
        <v>0</v>
      </c>
      <c r="AB18" s="8">
        <v>0</v>
      </c>
      <c r="AC18" s="8">
        <v>0</v>
      </c>
      <c r="AD18" s="8">
        <v>0</v>
      </c>
      <c r="AE18" s="8">
        <v>0</v>
      </c>
      <c r="AF18" s="8">
        <v>0</v>
      </c>
      <c r="AG18" s="8">
        <v>0</v>
      </c>
      <c r="AH18" s="8">
        <f t="shared" ref="AH18:AH25" si="10">SUM(C18:AG18)</f>
        <v>3575</v>
      </c>
      <c r="AR18">
        <f>-258+3750-3000</f>
        <v>492</v>
      </c>
      <c r="AV18" s="25"/>
      <c r="AX18" s="1" t="s">
        <v>91</v>
      </c>
      <c r="AY18" s="16">
        <f>-AQ14</f>
        <v>-20.112003053604667</v>
      </c>
      <c r="BI18" s="1" t="s">
        <v>97</v>
      </c>
      <c r="BJ18" s="1">
        <v>4000</v>
      </c>
      <c r="BK18" s="1"/>
    </row>
    <row r="19" spans="1:63" x14ac:dyDescent="0.3">
      <c r="A19" s="2">
        <v>3</v>
      </c>
      <c r="B19" s="3" t="s">
        <v>6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690</v>
      </c>
      <c r="O19" s="8">
        <v>500</v>
      </c>
      <c r="P19" s="8">
        <v>560</v>
      </c>
      <c r="Q19" s="8">
        <v>0</v>
      </c>
      <c r="R19" s="8">
        <v>80</v>
      </c>
      <c r="S19" s="8">
        <v>270</v>
      </c>
      <c r="T19" s="8">
        <v>0</v>
      </c>
      <c r="U19" s="8">
        <v>105</v>
      </c>
      <c r="V19" s="8">
        <v>0</v>
      </c>
      <c r="W19" s="8">
        <v>0</v>
      </c>
      <c r="X19" s="8">
        <v>0</v>
      </c>
      <c r="Y19" s="8">
        <v>0</v>
      </c>
      <c r="Z19" s="8">
        <v>0</v>
      </c>
      <c r="AA19" s="8">
        <v>0</v>
      </c>
      <c r="AB19" s="8">
        <v>0</v>
      </c>
      <c r="AC19" s="8">
        <v>0</v>
      </c>
      <c r="AD19" s="8">
        <v>0</v>
      </c>
      <c r="AE19" s="8">
        <v>0</v>
      </c>
      <c r="AF19" s="8">
        <v>0</v>
      </c>
      <c r="AG19" s="8">
        <v>0</v>
      </c>
      <c r="AH19" s="8">
        <f t="shared" si="10"/>
        <v>2205</v>
      </c>
      <c r="AR19" s="25"/>
      <c r="AT19" s="15"/>
      <c r="AU19" s="8"/>
      <c r="AV19" s="25"/>
      <c r="AX19" s="1"/>
      <c r="AY19" s="16">
        <f>SUM(AY17:AY18)</f>
        <v>23609.887996946396</v>
      </c>
      <c r="BI19" s="1" t="s">
        <v>36</v>
      </c>
      <c r="BJ19" s="1">
        <f>BJ18/6</f>
        <v>666.66666666666663</v>
      </c>
      <c r="BK19" s="1">
        <f>BJ19*5</f>
        <v>3333.333333333333</v>
      </c>
    </row>
    <row r="20" spans="1:63" x14ac:dyDescent="0.3">
      <c r="A20" s="2">
        <v>4</v>
      </c>
      <c r="B20" s="3" t="s">
        <v>57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1120</v>
      </c>
      <c r="R20" s="8">
        <v>0</v>
      </c>
      <c r="S20" s="8">
        <v>0</v>
      </c>
      <c r="T20" s="8">
        <v>970</v>
      </c>
      <c r="U20" s="8">
        <v>0</v>
      </c>
      <c r="V20" s="8">
        <v>820</v>
      </c>
      <c r="W20" s="8">
        <v>380</v>
      </c>
      <c r="X20" s="8">
        <v>100</v>
      </c>
      <c r="Y20" s="8">
        <v>0</v>
      </c>
      <c r="Z20" s="8">
        <v>0</v>
      </c>
      <c r="AA20" s="8">
        <v>0</v>
      </c>
      <c r="AB20" s="8">
        <v>0</v>
      </c>
      <c r="AC20" s="8">
        <v>0</v>
      </c>
      <c r="AD20" s="8">
        <v>0</v>
      </c>
      <c r="AE20" s="8">
        <v>0</v>
      </c>
      <c r="AF20" s="8">
        <v>0</v>
      </c>
      <c r="AG20" s="8">
        <v>0</v>
      </c>
      <c r="AH20" s="8">
        <f t="shared" si="10"/>
        <v>3390</v>
      </c>
      <c r="AR20" s="9">
        <f>3750*2</f>
        <v>7500</v>
      </c>
      <c r="BA20" s="9">
        <v>4547</v>
      </c>
      <c r="BI20" s="1" t="s">
        <v>37</v>
      </c>
      <c r="BJ20" s="1"/>
      <c r="BK20" s="1"/>
    </row>
    <row r="21" spans="1:63" x14ac:dyDescent="0.3">
      <c r="A21" s="2">
        <v>5</v>
      </c>
      <c r="B21" s="12" t="s">
        <v>51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3350</v>
      </c>
      <c r="J21" s="8">
        <v>0</v>
      </c>
      <c r="K21" s="8">
        <v>85</v>
      </c>
      <c r="L21" s="8">
        <v>515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8">
        <v>0</v>
      </c>
      <c r="T21" s="8">
        <v>0</v>
      </c>
      <c r="U21" s="8">
        <v>0</v>
      </c>
      <c r="V21" s="8">
        <v>0</v>
      </c>
      <c r="W21" s="8">
        <v>0</v>
      </c>
      <c r="X21" s="8">
        <v>0</v>
      </c>
      <c r="Y21" s="8">
        <v>0</v>
      </c>
      <c r="Z21" s="8">
        <v>0</v>
      </c>
      <c r="AA21" s="8">
        <v>0</v>
      </c>
      <c r="AB21" s="8">
        <v>0</v>
      </c>
      <c r="AC21" s="8">
        <v>0</v>
      </c>
      <c r="AD21" s="8">
        <v>0</v>
      </c>
      <c r="AE21" s="8">
        <v>0</v>
      </c>
      <c r="AF21" s="8">
        <v>0</v>
      </c>
      <c r="AG21" s="8">
        <v>0</v>
      </c>
      <c r="AH21" s="8">
        <f t="shared" si="10"/>
        <v>3950</v>
      </c>
      <c r="AX21" s="1" t="s">
        <v>92</v>
      </c>
      <c r="AY21" s="1"/>
      <c r="BA21" s="9">
        <f>AY17+BA20</f>
        <v>28177</v>
      </c>
      <c r="BI21" s="1" t="s">
        <v>98</v>
      </c>
      <c r="BJ21" s="1">
        <f>$BJ$19</f>
        <v>666.66666666666663</v>
      </c>
      <c r="BK21" s="1"/>
    </row>
    <row r="22" spans="1:63" x14ac:dyDescent="0.3">
      <c r="A22" s="2">
        <v>6</v>
      </c>
      <c r="B22" s="3" t="s">
        <v>7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  <c r="S22" s="8">
        <v>0</v>
      </c>
      <c r="T22" s="8">
        <v>0</v>
      </c>
      <c r="U22" s="8">
        <v>0</v>
      </c>
      <c r="V22" s="8">
        <v>0</v>
      </c>
      <c r="W22" s="8">
        <v>0</v>
      </c>
      <c r="X22" s="8">
        <v>0</v>
      </c>
      <c r="Y22" s="8">
        <v>0</v>
      </c>
      <c r="Z22" s="8">
        <v>0</v>
      </c>
      <c r="AA22" s="8">
        <v>0</v>
      </c>
      <c r="AB22" s="8">
        <v>0</v>
      </c>
      <c r="AC22" s="8">
        <v>0</v>
      </c>
      <c r="AD22" s="8">
        <v>0</v>
      </c>
      <c r="AE22" s="8">
        <v>0</v>
      </c>
      <c r="AF22" s="8">
        <v>0</v>
      </c>
      <c r="AG22" s="8">
        <v>0</v>
      </c>
      <c r="AH22" s="8">
        <f t="shared" si="10"/>
        <v>0</v>
      </c>
      <c r="AV22" s="25"/>
      <c r="AX22" s="1" t="s">
        <v>93</v>
      </c>
      <c r="AY22" s="16">
        <f>-AU14</f>
        <v>3207.8879969463928</v>
      </c>
      <c r="BI22" s="1" t="s">
        <v>49</v>
      </c>
      <c r="BJ22" s="1">
        <f>$BJ$19</f>
        <v>666.66666666666663</v>
      </c>
      <c r="BK22" s="1"/>
    </row>
    <row r="23" spans="1:63" x14ac:dyDescent="0.3">
      <c r="A23" s="2">
        <v>7</v>
      </c>
      <c r="B23" s="3" t="s">
        <v>8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8">
        <v>0</v>
      </c>
      <c r="O23" s="8">
        <v>0</v>
      </c>
      <c r="P23" s="8">
        <v>0</v>
      </c>
      <c r="Q23" s="8">
        <v>0</v>
      </c>
      <c r="R23" s="8">
        <v>0</v>
      </c>
      <c r="S23" s="8">
        <v>0</v>
      </c>
      <c r="T23" s="8">
        <v>0</v>
      </c>
      <c r="U23" s="8">
        <v>0</v>
      </c>
      <c r="V23" s="8">
        <v>0</v>
      </c>
      <c r="W23" s="8">
        <v>0</v>
      </c>
      <c r="X23" s="8">
        <v>0</v>
      </c>
      <c r="Y23" s="8">
        <v>0</v>
      </c>
      <c r="Z23" s="8">
        <v>0</v>
      </c>
      <c r="AA23" s="8">
        <v>0</v>
      </c>
      <c r="AB23" s="8">
        <v>0</v>
      </c>
      <c r="AC23" s="8">
        <v>0</v>
      </c>
      <c r="AD23" s="8">
        <v>0</v>
      </c>
      <c r="AE23" s="8">
        <v>0</v>
      </c>
      <c r="AF23" s="8">
        <v>0</v>
      </c>
      <c r="AG23" s="8">
        <v>0</v>
      </c>
      <c r="AH23" s="8">
        <f t="shared" si="10"/>
        <v>0</v>
      </c>
      <c r="AX23" s="1" t="s">
        <v>94</v>
      </c>
      <c r="AY23" s="1">
        <v>2000</v>
      </c>
      <c r="BI23" s="1" t="s">
        <v>38</v>
      </c>
      <c r="BJ23" s="1">
        <f>$BJ$19</f>
        <v>666.66666666666663</v>
      </c>
      <c r="BK23" s="1"/>
    </row>
    <row r="24" spans="1:63" x14ac:dyDescent="0.3">
      <c r="A24" s="52">
        <v>8</v>
      </c>
      <c r="B24" s="1" t="s">
        <v>110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  <c r="N24" s="8">
        <v>0</v>
      </c>
      <c r="O24" s="8">
        <v>0</v>
      </c>
      <c r="P24" s="8">
        <v>0</v>
      </c>
      <c r="Q24" s="8">
        <v>0</v>
      </c>
      <c r="R24" s="8">
        <v>0</v>
      </c>
      <c r="S24" s="8">
        <v>0</v>
      </c>
      <c r="T24" s="8">
        <v>0</v>
      </c>
      <c r="U24" s="8">
        <v>0</v>
      </c>
      <c r="V24" s="8">
        <v>0</v>
      </c>
      <c r="W24" s="8">
        <v>0</v>
      </c>
      <c r="X24" s="8">
        <v>0</v>
      </c>
      <c r="Y24" s="8">
        <v>1213</v>
      </c>
      <c r="Z24" s="8">
        <v>875</v>
      </c>
      <c r="AA24" s="8">
        <v>0</v>
      </c>
      <c r="AB24" s="8">
        <v>1160</v>
      </c>
      <c r="AC24" s="8">
        <v>0</v>
      </c>
      <c r="AD24" s="8">
        <v>0</v>
      </c>
      <c r="AE24" s="8">
        <v>0</v>
      </c>
      <c r="AF24" s="8">
        <v>0</v>
      </c>
      <c r="AG24" s="8">
        <v>0</v>
      </c>
      <c r="AH24" s="8">
        <f t="shared" si="10"/>
        <v>3248</v>
      </c>
      <c r="AX24" s="1"/>
      <c r="AY24" s="16">
        <f>SUM(AY22:AY23)</f>
        <v>5207.8879969463924</v>
      </c>
      <c r="BI24" s="1" t="s">
        <v>99</v>
      </c>
      <c r="BJ24" s="1">
        <f>$BJ$19</f>
        <v>666.66666666666663</v>
      </c>
      <c r="BK24" s="1"/>
    </row>
    <row r="25" spans="1:63" x14ac:dyDescent="0.3">
      <c r="A25" s="52">
        <v>9</v>
      </c>
      <c r="B25" s="42" t="s">
        <v>105</v>
      </c>
      <c r="C25" s="8">
        <v>0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  <c r="K25" s="8">
        <v>0</v>
      </c>
      <c r="L25" s="8">
        <v>0</v>
      </c>
      <c r="M25" s="8">
        <v>0</v>
      </c>
      <c r="N25" s="8">
        <v>0</v>
      </c>
      <c r="O25" s="8">
        <v>0</v>
      </c>
      <c r="P25" s="8">
        <v>0</v>
      </c>
      <c r="Q25" s="8">
        <v>0</v>
      </c>
      <c r="R25" s="8">
        <v>0</v>
      </c>
      <c r="S25" s="8">
        <v>0</v>
      </c>
      <c r="T25" s="8">
        <v>0</v>
      </c>
      <c r="U25" s="8">
        <v>0</v>
      </c>
      <c r="V25" s="8">
        <v>0</v>
      </c>
      <c r="W25" s="8">
        <v>0</v>
      </c>
      <c r="X25" s="8">
        <v>0</v>
      </c>
      <c r="Y25" s="8">
        <v>0</v>
      </c>
      <c r="Z25" s="8">
        <v>0</v>
      </c>
      <c r="AA25" s="8">
        <v>1025</v>
      </c>
      <c r="AB25" s="8">
        <v>0</v>
      </c>
      <c r="AC25" s="8">
        <v>335</v>
      </c>
      <c r="AD25" s="8"/>
      <c r="AE25" s="8"/>
      <c r="AF25" s="8">
        <v>0</v>
      </c>
      <c r="AG25" s="8">
        <v>0</v>
      </c>
      <c r="AH25" s="8">
        <f t="shared" si="10"/>
        <v>1360</v>
      </c>
      <c r="BI25" s="1" t="s">
        <v>40</v>
      </c>
      <c r="BJ25" s="1">
        <f>$BJ$19</f>
        <v>666.66666666666663</v>
      </c>
      <c r="BK25" s="1"/>
    </row>
    <row r="26" spans="1:63" x14ac:dyDescent="0.3">
      <c r="AH26" s="51">
        <f>SUM(AH17:AH25)</f>
        <v>21353</v>
      </c>
      <c r="AX26" t="s">
        <v>100</v>
      </c>
      <c r="BI26" s="1"/>
      <c r="BJ26" s="1">
        <f>SUM(BJ21:BJ25)</f>
        <v>3333.333333333333</v>
      </c>
      <c r="BK26" s="1"/>
    </row>
    <row r="27" spans="1:63" x14ac:dyDescent="0.3">
      <c r="AX27" t="s">
        <v>90</v>
      </c>
      <c r="AY27" s="47">
        <v>23773</v>
      </c>
    </row>
    <row r="28" spans="1:63" x14ac:dyDescent="0.3">
      <c r="A28" s="4"/>
      <c r="B28" s="13" t="s">
        <v>87</v>
      </c>
      <c r="C28" s="4" t="s">
        <v>11</v>
      </c>
      <c r="D28" s="4" t="s">
        <v>12</v>
      </c>
      <c r="E28" s="4" t="s">
        <v>13</v>
      </c>
      <c r="F28" s="4" t="s">
        <v>14</v>
      </c>
      <c r="G28" s="4" t="s">
        <v>15</v>
      </c>
      <c r="H28" s="4" t="s">
        <v>16</v>
      </c>
      <c r="I28" s="4" t="s">
        <v>17</v>
      </c>
      <c r="J28" s="4" t="s">
        <v>18</v>
      </c>
      <c r="K28" s="4" t="s">
        <v>19</v>
      </c>
      <c r="L28" s="4" t="s">
        <v>20</v>
      </c>
      <c r="M28" s="4" t="s">
        <v>21</v>
      </c>
      <c r="N28" s="4" t="s">
        <v>22</v>
      </c>
      <c r="AX28" t="s">
        <v>91</v>
      </c>
      <c r="AY28" s="47">
        <v>10374</v>
      </c>
    </row>
    <row r="29" spans="1:63" x14ac:dyDescent="0.3">
      <c r="A29" s="2">
        <v>1</v>
      </c>
      <c r="B29" s="12" t="s">
        <v>4</v>
      </c>
      <c r="C29" s="8">
        <f>H41</f>
        <v>3142.8571428571427</v>
      </c>
      <c r="D29" s="8">
        <f>$D$38/7</f>
        <v>428.57142857142856</v>
      </c>
      <c r="E29" s="8">
        <f t="shared" ref="E29:E35" si="11">$E$38/7</f>
        <v>0</v>
      </c>
      <c r="F29" s="8">
        <f>$F$38/7</f>
        <v>71.428571428571431</v>
      </c>
      <c r="G29" s="8">
        <f>$G$38/7</f>
        <v>139.28571428571428</v>
      </c>
      <c r="H29" s="8">
        <f>$H$38/7</f>
        <v>305</v>
      </c>
      <c r="I29" s="8">
        <f>$I$38/7</f>
        <v>252.85714285714286</v>
      </c>
      <c r="J29" s="8">
        <f>$J$38/7</f>
        <v>35.714285714285715</v>
      </c>
      <c r="K29" s="8">
        <f>$K$38/6</f>
        <v>0</v>
      </c>
      <c r="L29" s="8">
        <f>$L$38/7</f>
        <v>17.142857142857142</v>
      </c>
      <c r="M29" s="8">
        <f>$M$38/7</f>
        <v>0</v>
      </c>
      <c r="N29" s="8">
        <f t="shared" ref="N29:N35" si="12">SUM(C29:M29)</f>
        <v>4392.8571428571422</v>
      </c>
      <c r="AY29" s="47">
        <f>SUM(AY27:AY28)</f>
        <v>34147</v>
      </c>
    </row>
    <row r="30" spans="1:63" x14ac:dyDescent="0.3">
      <c r="A30" s="2">
        <v>2</v>
      </c>
      <c r="B30" s="12" t="s">
        <v>5</v>
      </c>
      <c r="C30" s="8">
        <f>H41</f>
        <v>3142.8571428571427</v>
      </c>
      <c r="D30" s="8">
        <f>$D$38/7</f>
        <v>428.57142857142856</v>
      </c>
      <c r="E30" s="8">
        <f t="shared" si="11"/>
        <v>0</v>
      </c>
      <c r="F30" s="8">
        <f>$F$38/7</f>
        <v>71.428571428571431</v>
      </c>
      <c r="G30" s="8">
        <f>$G$38/7</f>
        <v>139.28571428571428</v>
      </c>
      <c r="H30" s="8">
        <f>$H$38/7</f>
        <v>305</v>
      </c>
      <c r="I30" s="8">
        <f>$I$38/7</f>
        <v>252.85714285714286</v>
      </c>
      <c r="J30" s="8">
        <f>$J$38/7</f>
        <v>35.714285714285715</v>
      </c>
      <c r="K30" s="8">
        <f>$K$38/6</f>
        <v>0</v>
      </c>
      <c r="L30" s="8">
        <f>$L$38/7</f>
        <v>17.142857142857142</v>
      </c>
      <c r="M30" s="8">
        <f>$M$38/7</f>
        <v>0</v>
      </c>
      <c r="N30" s="8">
        <f t="shared" si="12"/>
        <v>4392.8571428571422</v>
      </c>
      <c r="AX30" t="s">
        <v>101</v>
      </c>
      <c r="AY30" s="47">
        <v>29600</v>
      </c>
    </row>
    <row r="31" spans="1:63" x14ac:dyDescent="0.3">
      <c r="A31" s="2">
        <v>3</v>
      </c>
      <c r="B31" s="12" t="s">
        <v>6</v>
      </c>
      <c r="C31" s="8">
        <f>H42</f>
        <v>2142.8571428571427</v>
      </c>
      <c r="D31" s="8">
        <f>$D$38/7</f>
        <v>428.57142857142856</v>
      </c>
      <c r="E31" s="8">
        <f t="shared" si="11"/>
        <v>0</v>
      </c>
      <c r="F31" s="8">
        <f>$F$38/7</f>
        <v>71.428571428571431</v>
      </c>
      <c r="G31" s="8">
        <f>$G$38/7</f>
        <v>139.28571428571428</v>
      </c>
      <c r="H31" s="8">
        <f>$H$38/7</f>
        <v>305</v>
      </c>
      <c r="I31" s="8">
        <f>$I$38/7</f>
        <v>252.85714285714286</v>
      </c>
      <c r="J31" s="8">
        <f>$J$38/7</f>
        <v>35.714285714285715</v>
      </c>
      <c r="K31" s="8">
        <f>$K$38/6</f>
        <v>0</v>
      </c>
      <c r="L31" s="8">
        <f>$L$38/7</f>
        <v>17.142857142857142</v>
      </c>
      <c r="M31" s="8">
        <f>$M$38/7</f>
        <v>0</v>
      </c>
      <c r="N31" s="8">
        <f t="shared" si="12"/>
        <v>3392.8571428571427</v>
      </c>
      <c r="AX31" t="s">
        <v>102</v>
      </c>
      <c r="AY31" s="48">
        <f>AY29-AY30</f>
        <v>4547</v>
      </c>
    </row>
    <row r="32" spans="1:63" x14ac:dyDescent="0.3">
      <c r="A32" s="2">
        <v>4</v>
      </c>
      <c r="B32" s="12" t="s">
        <v>57</v>
      </c>
      <c r="C32" s="8">
        <f>H42</f>
        <v>2142.8571428571427</v>
      </c>
      <c r="D32" s="8">
        <f>$D$38/7</f>
        <v>428.57142857142856</v>
      </c>
      <c r="E32" s="8">
        <f t="shared" si="11"/>
        <v>0</v>
      </c>
      <c r="F32" s="8">
        <f>$F$38/7</f>
        <v>71.428571428571431</v>
      </c>
      <c r="G32" s="8">
        <f>$G$38/7</f>
        <v>139.28571428571428</v>
      </c>
      <c r="H32" s="8">
        <f>$H$38/7</f>
        <v>305</v>
      </c>
      <c r="I32" s="8">
        <f>$I$38/7</f>
        <v>252.85714285714286</v>
      </c>
      <c r="J32" s="8">
        <f>$J$38/7</f>
        <v>35.714285714285715</v>
      </c>
      <c r="K32" s="8"/>
      <c r="L32" s="8">
        <f>$L$38/7</f>
        <v>17.142857142857142</v>
      </c>
      <c r="M32" s="8">
        <f>$M$38/7</f>
        <v>0</v>
      </c>
      <c r="N32" s="8">
        <f t="shared" si="12"/>
        <v>3392.8571428571427</v>
      </c>
      <c r="AY32" s="47"/>
    </row>
    <row r="33" spans="1:51" x14ac:dyDescent="0.3">
      <c r="A33" s="2">
        <v>5</v>
      </c>
      <c r="B33" s="12" t="s">
        <v>51</v>
      </c>
      <c r="C33" s="8">
        <f>H42</f>
        <v>2142.8571428571427</v>
      </c>
      <c r="D33" s="8">
        <f>$D$38/7</f>
        <v>428.57142857142856</v>
      </c>
      <c r="E33" s="8">
        <f t="shared" si="11"/>
        <v>0</v>
      </c>
      <c r="F33" s="8">
        <f>$F$38/7</f>
        <v>71.428571428571431</v>
      </c>
      <c r="G33" s="8">
        <f>$G$38/7</f>
        <v>139.28571428571428</v>
      </c>
      <c r="H33" s="8">
        <f>$H$38/7</f>
        <v>305</v>
      </c>
      <c r="I33" s="8">
        <f>$I$38/7</f>
        <v>252.85714285714286</v>
      </c>
      <c r="J33" s="8">
        <f>$J$38/7</f>
        <v>35.714285714285715</v>
      </c>
      <c r="K33" s="8">
        <f>$K$38/6</f>
        <v>0</v>
      </c>
      <c r="L33" s="8">
        <f>$L$38/7</f>
        <v>17.142857142857142</v>
      </c>
      <c r="M33" s="8">
        <f>$M$38/7</f>
        <v>0</v>
      </c>
      <c r="N33" s="8">
        <f t="shared" si="12"/>
        <v>3392.8571428571427</v>
      </c>
      <c r="AY33" s="47"/>
    </row>
    <row r="34" spans="1:51" x14ac:dyDescent="0.3">
      <c r="A34" s="2">
        <v>6</v>
      </c>
      <c r="B34" s="12" t="s">
        <v>7</v>
      </c>
      <c r="C34" s="8">
        <v>0</v>
      </c>
      <c r="D34" s="6">
        <v>0</v>
      </c>
      <c r="E34" s="8">
        <f t="shared" si="11"/>
        <v>0</v>
      </c>
      <c r="F34" s="8">
        <f>$E$38/7</f>
        <v>0</v>
      </c>
      <c r="G34" s="8">
        <f t="shared" ref="G34:M35" si="13">$E$38/7</f>
        <v>0</v>
      </c>
      <c r="H34" s="8">
        <f t="shared" si="13"/>
        <v>0</v>
      </c>
      <c r="I34" s="8">
        <f t="shared" si="13"/>
        <v>0</v>
      </c>
      <c r="J34" s="8">
        <f t="shared" si="13"/>
        <v>0</v>
      </c>
      <c r="K34" s="8">
        <f t="shared" si="13"/>
        <v>0</v>
      </c>
      <c r="L34" s="8">
        <f t="shared" si="13"/>
        <v>0</v>
      </c>
      <c r="M34" s="8">
        <f t="shared" si="13"/>
        <v>0</v>
      </c>
      <c r="N34" s="8">
        <f t="shared" si="12"/>
        <v>0</v>
      </c>
      <c r="AY34" s="47"/>
    </row>
    <row r="35" spans="1:51" x14ac:dyDescent="0.3">
      <c r="A35" s="2">
        <v>7</v>
      </c>
      <c r="B35" s="12" t="s">
        <v>8</v>
      </c>
      <c r="C35" s="8">
        <v>0</v>
      </c>
      <c r="D35" s="6">
        <v>0</v>
      </c>
      <c r="E35" s="8">
        <f t="shared" si="11"/>
        <v>0</v>
      </c>
      <c r="F35" s="8">
        <f>$E$38/7</f>
        <v>0</v>
      </c>
      <c r="G35" s="8">
        <f t="shared" si="13"/>
        <v>0</v>
      </c>
      <c r="H35" s="8">
        <f t="shared" si="13"/>
        <v>0</v>
      </c>
      <c r="I35" s="8">
        <f t="shared" si="13"/>
        <v>0</v>
      </c>
      <c r="J35" s="8">
        <f t="shared" si="13"/>
        <v>0</v>
      </c>
      <c r="K35" s="8">
        <f t="shared" si="13"/>
        <v>0</v>
      </c>
      <c r="L35" s="8">
        <f t="shared" si="13"/>
        <v>0</v>
      </c>
      <c r="M35" s="8">
        <f t="shared" si="13"/>
        <v>0</v>
      </c>
      <c r="N35" s="8">
        <f t="shared" si="12"/>
        <v>0</v>
      </c>
      <c r="AX35" t="s">
        <v>103</v>
      </c>
      <c r="AY35" s="47">
        <f>AY30-21100</f>
        <v>8500</v>
      </c>
    </row>
    <row r="36" spans="1:51" x14ac:dyDescent="0.3">
      <c r="A36" s="2">
        <v>8</v>
      </c>
      <c r="B36" s="12" t="s">
        <v>104</v>
      </c>
      <c r="C36" s="8">
        <f>H43</f>
        <v>2892.8571428571427</v>
      </c>
      <c r="D36" s="8">
        <f>$D$38/7</f>
        <v>428.57142857142856</v>
      </c>
      <c r="E36" s="8">
        <v>0</v>
      </c>
      <c r="F36" s="8">
        <f>$F$38/7</f>
        <v>71.428571428571431</v>
      </c>
      <c r="G36" s="8">
        <f>$G$38/7</f>
        <v>139.28571428571428</v>
      </c>
      <c r="H36" s="8">
        <f>$H$38/7</f>
        <v>305</v>
      </c>
      <c r="I36" s="8">
        <f>$I$38/7</f>
        <v>252.85714285714286</v>
      </c>
      <c r="J36" s="8">
        <f>$J$38/7</f>
        <v>35.714285714285715</v>
      </c>
      <c r="K36" s="8">
        <f>$K$38/6</f>
        <v>0</v>
      </c>
      <c r="L36" s="8">
        <f>$L$38/7</f>
        <v>17.142857142857142</v>
      </c>
      <c r="M36" s="8">
        <f>$M$38/7</f>
        <v>0</v>
      </c>
      <c r="N36" s="8">
        <f>SUM(C36:M36)</f>
        <v>4142.8571428571422</v>
      </c>
    </row>
    <row r="37" spans="1:51" x14ac:dyDescent="0.3">
      <c r="A37" s="2">
        <v>9</v>
      </c>
      <c r="B37" s="12" t="s">
        <v>105</v>
      </c>
      <c r="C37" s="8">
        <f>H43</f>
        <v>2892.8571428571427</v>
      </c>
      <c r="D37" s="8">
        <f>$D$38/7</f>
        <v>428.57142857142856</v>
      </c>
      <c r="E37" s="8">
        <v>0</v>
      </c>
      <c r="F37" s="8">
        <f>$F$38/7</f>
        <v>71.428571428571431</v>
      </c>
      <c r="G37" s="8">
        <f>$G$38/7</f>
        <v>139.28571428571428</v>
      </c>
      <c r="H37" s="8">
        <f>$H$38/7</f>
        <v>305</v>
      </c>
      <c r="I37" s="8">
        <f>$I$38/7</f>
        <v>252.85714285714286</v>
      </c>
      <c r="J37" s="8">
        <f>$J$38/7</f>
        <v>35.714285714285715</v>
      </c>
      <c r="K37" s="8">
        <f>$K$38/6</f>
        <v>0</v>
      </c>
      <c r="L37" s="8">
        <f>$L$38/7</f>
        <v>17.142857142857142</v>
      </c>
      <c r="M37" s="8">
        <f>$M$38/7</f>
        <v>0</v>
      </c>
      <c r="N37" s="8">
        <f>SUM(C37:M37)</f>
        <v>4142.8571428571422</v>
      </c>
    </row>
    <row r="38" spans="1:51" x14ac:dyDescent="0.3">
      <c r="C38" s="8">
        <f>SUM(C29:C37)</f>
        <v>18500</v>
      </c>
      <c r="D38" s="40">
        <v>3000</v>
      </c>
      <c r="E38" s="8"/>
      <c r="F38" s="8">
        <f>500</f>
        <v>500</v>
      </c>
      <c r="G38" s="8">
        <f>975</f>
        <v>975</v>
      </c>
      <c r="H38" s="14">
        <v>2135</v>
      </c>
      <c r="I38" s="14">
        <v>1770</v>
      </c>
      <c r="J38" s="8">
        <f>250</f>
        <v>250</v>
      </c>
      <c r="K38" s="8">
        <f>0</f>
        <v>0</v>
      </c>
      <c r="L38" s="8">
        <f>120</f>
        <v>120</v>
      </c>
      <c r="M38" s="8"/>
      <c r="N38" s="8">
        <f>SUM(N29:N37)</f>
        <v>27249.999999999996</v>
      </c>
      <c r="O38" s="9">
        <f>O45+O53</f>
        <v>27250</v>
      </c>
      <c r="P38" s="9">
        <f>N38-O38</f>
        <v>0</v>
      </c>
    </row>
    <row r="40" spans="1:51" x14ac:dyDescent="0.3">
      <c r="N40" t="s">
        <v>61</v>
      </c>
      <c r="O40" s="9">
        <f>C38</f>
        <v>18500</v>
      </c>
    </row>
    <row r="41" spans="1:51" x14ac:dyDescent="0.3">
      <c r="D41" s="1">
        <v>6000</v>
      </c>
      <c r="E41" s="1">
        <v>2</v>
      </c>
      <c r="F41" s="1">
        <f>D41/E41</f>
        <v>3000</v>
      </c>
      <c r="G41" s="1">
        <f>(500+500)/7</f>
        <v>142.85714285714286</v>
      </c>
      <c r="H41" s="11">
        <f>F41+G41</f>
        <v>3142.8571428571427</v>
      </c>
      <c r="I41" s="11">
        <f>H41*E41</f>
        <v>6285.7142857142853</v>
      </c>
      <c r="N41" t="s">
        <v>71</v>
      </c>
      <c r="O41" s="9">
        <f>G38</f>
        <v>975</v>
      </c>
    </row>
    <row r="42" spans="1:51" x14ac:dyDescent="0.3">
      <c r="D42" s="1">
        <v>6000</v>
      </c>
      <c r="E42" s="1">
        <v>3</v>
      </c>
      <c r="F42" s="1">
        <f t="shared" ref="F42:F43" si="14">D42/E42</f>
        <v>2000</v>
      </c>
      <c r="G42" s="1">
        <f t="shared" ref="G42:G43" si="15">(500+500)/7</f>
        <v>142.85714285714286</v>
      </c>
      <c r="H42" s="11">
        <f t="shared" ref="H42" si="16">F42+G42</f>
        <v>2142.8571428571427</v>
      </c>
      <c r="I42" s="11">
        <f t="shared" ref="I42:I43" si="17">H42*E42</f>
        <v>6428.5714285714275</v>
      </c>
      <c r="N42" t="s">
        <v>72</v>
      </c>
      <c r="O42" s="9">
        <f>I38</f>
        <v>1770</v>
      </c>
    </row>
    <row r="43" spans="1:51" x14ac:dyDescent="0.3">
      <c r="D43" s="1">
        <v>5500</v>
      </c>
      <c r="E43" s="1">
        <v>2</v>
      </c>
      <c r="F43" s="11">
        <f t="shared" si="14"/>
        <v>2750</v>
      </c>
      <c r="G43" s="1">
        <f t="shared" si="15"/>
        <v>142.85714285714286</v>
      </c>
      <c r="H43" s="11">
        <f>F43+G43</f>
        <v>2892.8571428571427</v>
      </c>
      <c r="I43" s="11">
        <f t="shared" si="17"/>
        <v>5785.7142857142853</v>
      </c>
      <c r="N43" t="s">
        <v>73</v>
      </c>
      <c r="O43" s="9">
        <f>H38</f>
        <v>2135</v>
      </c>
    </row>
    <row r="44" spans="1:51" x14ac:dyDescent="0.3">
      <c r="D44" s="1">
        <f>SUM(D41:D43)</f>
        <v>17500</v>
      </c>
      <c r="E44" s="1"/>
      <c r="F44" s="1"/>
      <c r="G44" s="1"/>
      <c r="H44" s="1"/>
      <c r="I44" s="11">
        <f>SUM(I41:I43)</f>
        <v>18500</v>
      </c>
      <c r="N44" t="s">
        <v>74</v>
      </c>
      <c r="O44" s="9">
        <f>J38</f>
        <v>250</v>
      </c>
    </row>
    <row r="45" spans="1:51" x14ac:dyDescent="0.3">
      <c r="O45" s="9">
        <f>SUM(O40:O44)</f>
        <v>23630</v>
      </c>
    </row>
    <row r="47" spans="1:51" x14ac:dyDescent="0.3">
      <c r="P47" s="9">
        <f>O45+O53</f>
        <v>27250</v>
      </c>
    </row>
    <row r="48" spans="1:51" x14ac:dyDescent="0.3">
      <c r="N48" t="s">
        <v>12</v>
      </c>
      <c r="O48" s="9">
        <f>D38</f>
        <v>3000</v>
      </c>
    </row>
    <row r="49" spans="14:15" x14ac:dyDescent="0.3">
      <c r="N49" t="s">
        <v>13</v>
      </c>
      <c r="O49" s="9">
        <f>E38</f>
        <v>0</v>
      </c>
    </row>
    <row r="50" spans="14:15" x14ac:dyDescent="0.3">
      <c r="N50" t="s">
        <v>14</v>
      </c>
      <c r="O50" s="9">
        <f>F38</f>
        <v>500</v>
      </c>
    </row>
    <row r="51" spans="14:15" x14ac:dyDescent="0.3">
      <c r="N51" t="s">
        <v>20</v>
      </c>
      <c r="O51" s="9">
        <f>L38</f>
        <v>120</v>
      </c>
    </row>
    <row r="52" spans="14:15" x14ac:dyDescent="0.3">
      <c r="N52" t="s">
        <v>21</v>
      </c>
      <c r="O52" s="9">
        <f>M38</f>
        <v>0</v>
      </c>
    </row>
    <row r="53" spans="14:15" x14ac:dyDescent="0.3">
      <c r="O53" s="9">
        <f>SUM(O48:O52)</f>
        <v>3620</v>
      </c>
    </row>
  </sheetData>
  <mergeCells count="2">
    <mergeCell ref="C1:D2"/>
    <mergeCell ref="E1:F2"/>
  </mergeCells>
  <pageMargins left="0.7" right="0.7" top="0.75" bottom="0.75" header="0.3" footer="0.3"/>
  <pageSetup orientation="portrait" horizontalDpi="1200" verticalDpi="1200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K53"/>
  <sheetViews>
    <sheetView zoomScaleNormal="100" workbookViewId="0">
      <pane xSplit="2" ySplit="4" topLeftCell="AO9" activePane="bottomRight" state="frozen"/>
      <selection pane="topRight" activeCell="C1" sqref="C1"/>
      <selection pane="bottomLeft" activeCell="A5" sqref="A5"/>
      <selection pane="bottomRight" activeCell="AU21" sqref="AU21"/>
    </sheetView>
  </sheetViews>
  <sheetFormatPr defaultRowHeight="14.4" x14ac:dyDescent="0.3"/>
  <cols>
    <col min="1" max="1" width="7" bestFit="1" customWidth="1"/>
    <col min="2" max="2" width="23.6640625" bestFit="1" customWidth="1"/>
    <col min="3" max="5" width="9.33203125" bestFit="1" customWidth="1"/>
    <col min="6" max="6" width="11.5546875" customWidth="1"/>
    <col min="7" max="7" width="12" bestFit="1" customWidth="1"/>
    <col min="8" max="8" width="13.33203125" customWidth="1"/>
    <col min="9" max="9" width="9.6640625" customWidth="1"/>
    <col min="10" max="10" width="9.33203125" bestFit="1" customWidth="1"/>
    <col min="11" max="11" width="14.5546875" customWidth="1"/>
    <col min="12" max="13" width="10.33203125" bestFit="1" customWidth="1"/>
    <col min="14" max="14" width="11.5546875" bestFit="1" customWidth="1"/>
    <col min="15" max="34" width="10.33203125" bestFit="1" customWidth="1"/>
    <col min="35" max="35" width="8.5546875" customWidth="1"/>
    <col min="36" max="36" width="4.33203125" customWidth="1"/>
    <col min="37" max="37" width="22.33203125" customWidth="1"/>
    <col min="38" max="38" width="10.44140625" customWidth="1"/>
    <col min="39" max="39" width="12.33203125" customWidth="1"/>
    <col min="40" max="40" width="10.33203125" customWidth="1"/>
    <col min="41" max="41" width="12" customWidth="1"/>
    <col min="42" max="42" width="10.33203125" customWidth="1"/>
    <col min="43" max="43" width="12.33203125" customWidth="1"/>
    <col min="44" max="44" width="17.44140625" customWidth="1"/>
    <col min="45" max="45" width="9.44140625" customWidth="1"/>
    <col min="46" max="46" width="10.33203125" customWidth="1"/>
    <col min="47" max="47" width="9.33203125" customWidth="1"/>
    <col min="48" max="48" width="11.33203125" bestFit="1" customWidth="1"/>
    <col min="49" max="49" width="10.33203125" bestFit="1" customWidth="1"/>
    <col min="50" max="50" width="30.33203125" bestFit="1" customWidth="1"/>
    <col min="51" max="51" width="10.109375" bestFit="1" customWidth="1"/>
  </cols>
  <sheetData>
    <row r="1" spans="1:51" ht="14.7" customHeight="1" x14ac:dyDescent="0.3">
      <c r="C1" s="107" t="s">
        <v>109</v>
      </c>
      <c r="D1" s="107"/>
      <c r="E1" s="108">
        <f>AH26/AH14</f>
        <v>46.775465498357065</v>
      </c>
      <c r="F1" s="108"/>
    </row>
    <row r="2" spans="1:51" ht="9.4499999999999993" customHeight="1" x14ac:dyDescent="0.3">
      <c r="C2" s="107"/>
      <c r="D2" s="107"/>
      <c r="E2" s="108"/>
      <c r="F2" s="108"/>
    </row>
    <row r="4" spans="1:51" ht="57.6" x14ac:dyDescent="0.3">
      <c r="A4" s="53" t="s">
        <v>0</v>
      </c>
      <c r="B4" s="53" t="s">
        <v>2</v>
      </c>
      <c r="C4" s="54">
        <v>44409</v>
      </c>
      <c r="D4" s="54">
        <v>44410</v>
      </c>
      <c r="E4" s="54">
        <v>44411</v>
      </c>
      <c r="F4" s="54">
        <v>44412</v>
      </c>
      <c r="G4" s="54">
        <v>44413</v>
      </c>
      <c r="H4" s="54">
        <v>44414</v>
      </c>
      <c r="I4" s="54">
        <v>44415</v>
      </c>
      <c r="J4" s="54">
        <v>44416</v>
      </c>
      <c r="K4" s="54">
        <v>44417</v>
      </c>
      <c r="L4" s="54">
        <v>44418</v>
      </c>
      <c r="M4" s="54">
        <v>44419</v>
      </c>
      <c r="N4" s="54">
        <v>44420</v>
      </c>
      <c r="O4" s="54">
        <v>44421</v>
      </c>
      <c r="P4" s="54">
        <v>44422</v>
      </c>
      <c r="Q4" s="54">
        <v>44423</v>
      </c>
      <c r="R4" s="54">
        <v>44424</v>
      </c>
      <c r="S4" s="54">
        <v>44425</v>
      </c>
      <c r="T4" s="54">
        <v>44426</v>
      </c>
      <c r="U4" s="54">
        <v>44427</v>
      </c>
      <c r="V4" s="54">
        <v>44428</v>
      </c>
      <c r="W4" s="54">
        <v>44429</v>
      </c>
      <c r="X4" s="54">
        <v>44430</v>
      </c>
      <c r="Y4" s="54">
        <v>44431</v>
      </c>
      <c r="Z4" s="54">
        <v>44432</v>
      </c>
      <c r="AA4" s="54">
        <v>44433</v>
      </c>
      <c r="AB4" s="54">
        <v>44434</v>
      </c>
      <c r="AC4" s="54">
        <v>44435</v>
      </c>
      <c r="AD4" s="54">
        <v>44436</v>
      </c>
      <c r="AE4" s="54">
        <v>44437</v>
      </c>
      <c r="AF4" s="54">
        <v>44438</v>
      </c>
      <c r="AG4" s="54">
        <v>44439</v>
      </c>
      <c r="AH4" s="53" t="s">
        <v>1</v>
      </c>
      <c r="AJ4" s="49" t="s">
        <v>0</v>
      </c>
      <c r="AK4" s="49" t="s">
        <v>2</v>
      </c>
      <c r="AL4" s="50" t="s">
        <v>23</v>
      </c>
      <c r="AM4" s="50" t="s">
        <v>24</v>
      </c>
      <c r="AN4" s="50" t="s">
        <v>26</v>
      </c>
      <c r="AO4" s="50" t="s">
        <v>106</v>
      </c>
      <c r="AP4" s="50" t="s">
        <v>27</v>
      </c>
      <c r="AQ4" s="50" t="s">
        <v>30</v>
      </c>
      <c r="AR4" s="50" t="s">
        <v>32</v>
      </c>
      <c r="AS4" s="50" t="s">
        <v>28</v>
      </c>
      <c r="AT4" s="50" t="s">
        <v>29</v>
      </c>
      <c r="AU4" s="50" t="s">
        <v>31</v>
      </c>
      <c r="AV4" s="45"/>
      <c r="AX4" s="43"/>
    </row>
    <row r="5" spans="1:51" x14ac:dyDescent="0.3">
      <c r="A5" s="2">
        <v>1</v>
      </c>
      <c r="B5" s="3" t="s">
        <v>4</v>
      </c>
      <c r="C5" s="7">
        <v>1</v>
      </c>
      <c r="D5" s="7">
        <v>2</v>
      </c>
      <c r="E5" s="7">
        <v>2</v>
      </c>
      <c r="F5" s="7">
        <v>2</v>
      </c>
      <c r="G5" s="7">
        <v>2</v>
      </c>
      <c r="H5" s="7">
        <v>2</v>
      </c>
      <c r="I5" s="7">
        <v>2.5</v>
      </c>
      <c r="J5" s="7">
        <v>2</v>
      </c>
      <c r="K5" s="7">
        <v>2</v>
      </c>
      <c r="L5" s="7">
        <v>2</v>
      </c>
      <c r="M5" s="7">
        <v>2</v>
      </c>
      <c r="N5" s="7">
        <v>2</v>
      </c>
      <c r="O5" s="7">
        <v>0</v>
      </c>
      <c r="P5" s="7">
        <v>0</v>
      </c>
      <c r="Q5" s="7">
        <v>1</v>
      </c>
      <c r="R5" s="7">
        <v>2</v>
      </c>
      <c r="S5" s="7">
        <v>2</v>
      </c>
      <c r="T5" s="7">
        <v>0</v>
      </c>
      <c r="U5" s="7">
        <v>0</v>
      </c>
      <c r="V5" s="7">
        <v>0</v>
      </c>
      <c r="W5" s="7">
        <v>0</v>
      </c>
      <c r="X5" s="7">
        <v>1</v>
      </c>
      <c r="Y5" s="7">
        <v>2</v>
      </c>
      <c r="Z5" s="7">
        <v>2</v>
      </c>
      <c r="AA5" s="7">
        <v>1</v>
      </c>
      <c r="AB5" s="7">
        <v>2</v>
      </c>
      <c r="AC5" s="7">
        <v>2</v>
      </c>
      <c r="AD5" s="7">
        <v>2</v>
      </c>
      <c r="AE5" s="7">
        <v>1</v>
      </c>
      <c r="AF5" s="7">
        <v>1</v>
      </c>
      <c r="AG5" s="7">
        <v>2</v>
      </c>
      <c r="AH5" s="56">
        <f>SUM(C5:AG5)</f>
        <v>44.5</v>
      </c>
      <c r="AJ5" s="2">
        <v>1</v>
      </c>
      <c r="AK5" s="3" t="s">
        <v>4</v>
      </c>
      <c r="AL5" s="16">
        <f>AH5*$E$1</f>
        <v>2081.5082146768896</v>
      </c>
      <c r="AM5" s="16">
        <f>AH17</f>
        <v>3625</v>
      </c>
      <c r="AN5" s="16">
        <f t="shared" ref="AN5:AN13" si="0">AM5-AL5</f>
        <v>1543.4917853231104</v>
      </c>
      <c r="AO5" s="16">
        <f t="shared" ref="AO5:AO13" si="1">N29</f>
        <v>4392.8571428571422</v>
      </c>
      <c r="AP5" s="16">
        <f>AO5-AN5</f>
        <v>2849.3653575340318</v>
      </c>
      <c r="AQ5" s="16">
        <f>'Meal July''21 &amp; Rent Augut'!AU5</f>
        <v>3756.6733780218206</v>
      </c>
      <c r="AR5" s="16">
        <f>AP5-AQ5</f>
        <v>-907.30802048778878</v>
      </c>
      <c r="AS5" s="8">
        <v>0</v>
      </c>
      <c r="AT5" s="17">
        <v>44418</v>
      </c>
      <c r="AU5" s="16">
        <f>AS5-AR5</f>
        <v>907.30802048778878</v>
      </c>
      <c r="AY5" s="9"/>
    </row>
    <row r="6" spans="1:51" x14ac:dyDescent="0.3">
      <c r="A6" s="2">
        <v>2</v>
      </c>
      <c r="B6" s="3" t="s">
        <v>5</v>
      </c>
      <c r="C6" s="7">
        <v>2</v>
      </c>
      <c r="D6" s="7">
        <v>2.5</v>
      </c>
      <c r="E6" s="7">
        <v>2.5</v>
      </c>
      <c r="F6" s="7">
        <v>0</v>
      </c>
      <c r="G6" s="7">
        <v>2.5</v>
      </c>
      <c r="H6" s="7">
        <v>2.5</v>
      </c>
      <c r="I6" s="7">
        <v>2.5</v>
      </c>
      <c r="J6" s="7">
        <v>2.5</v>
      </c>
      <c r="K6" s="7">
        <v>2.5</v>
      </c>
      <c r="L6" s="7">
        <v>2.5</v>
      </c>
      <c r="M6" s="7">
        <v>2.5</v>
      </c>
      <c r="N6" s="7">
        <v>2.5</v>
      </c>
      <c r="O6" s="7">
        <v>2.5</v>
      </c>
      <c r="P6" s="7">
        <v>2.5</v>
      </c>
      <c r="Q6" s="7">
        <v>2.5</v>
      </c>
      <c r="R6" s="7">
        <v>3.5</v>
      </c>
      <c r="S6" s="7">
        <v>2.5</v>
      </c>
      <c r="T6" s="7">
        <v>0</v>
      </c>
      <c r="U6" s="7">
        <v>0.5</v>
      </c>
      <c r="V6" s="7">
        <v>0</v>
      </c>
      <c r="W6" s="7">
        <v>1</v>
      </c>
      <c r="X6" s="7">
        <v>2</v>
      </c>
      <c r="Y6" s="7">
        <v>2.5</v>
      </c>
      <c r="Z6" s="7">
        <v>2.5</v>
      </c>
      <c r="AA6" s="7">
        <v>2.5</v>
      </c>
      <c r="AB6" s="7">
        <v>2.5</v>
      </c>
      <c r="AC6" s="7">
        <v>4.5</v>
      </c>
      <c r="AD6" s="7">
        <v>4</v>
      </c>
      <c r="AE6" s="7">
        <v>2.5</v>
      </c>
      <c r="AF6" s="7">
        <v>0</v>
      </c>
      <c r="AG6" s="7">
        <v>0</v>
      </c>
      <c r="AH6" s="56">
        <f>SUM(C6:AG6)</f>
        <v>65</v>
      </c>
      <c r="AJ6" s="2">
        <v>2</v>
      </c>
      <c r="AK6" s="3" t="s">
        <v>5</v>
      </c>
      <c r="AL6" s="16">
        <f>AH6*$E$1</f>
        <v>3040.405257393209</v>
      </c>
      <c r="AM6" s="16">
        <f>AH18</f>
        <v>3575</v>
      </c>
      <c r="AN6" s="16">
        <f t="shared" si="0"/>
        <v>534.59474260679099</v>
      </c>
      <c r="AO6" s="16">
        <f t="shared" si="1"/>
        <v>4392.8571428571422</v>
      </c>
      <c r="AP6" s="16">
        <f t="shared" ref="AP6:AP13" si="2">AO6-AN6</f>
        <v>3858.2624002503512</v>
      </c>
      <c r="AQ6" s="16">
        <f>'Meal July''21 &amp; Rent Augut'!AU6</f>
        <v>318.59498465778506</v>
      </c>
      <c r="AR6" s="16">
        <f t="shared" ref="AR6:AR13" si="3">AP6-AQ6</f>
        <v>3539.6674155925662</v>
      </c>
      <c r="AS6" s="8">
        <f>500+3040</f>
        <v>3540</v>
      </c>
      <c r="AT6" s="17">
        <v>44428</v>
      </c>
      <c r="AU6" s="16">
        <f t="shared" ref="AU6:AU10" si="4">AS6-AR6</f>
        <v>0.33258440743384199</v>
      </c>
      <c r="AW6">
        <v>3040</v>
      </c>
      <c r="AY6" s="9"/>
    </row>
    <row r="7" spans="1:51" x14ac:dyDescent="0.3">
      <c r="A7" s="2">
        <v>3</v>
      </c>
      <c r="B7" s="3" t="s">
        <v>6</v>
      </c>
      <c r="C7" s="7">
        <v>2</v>
      </c>
      <c r="D7" s="7">
        <v>2.5</v>
      </c>
      <c r="E7" s="7">
        <v>2.5</v>
      </c>
      <c r="F7" s="7">
        <v>2.5</v>
      </c>
      <c r="G7" s="7">
        <v>2.5</v>
      </c>
      <c r="H7" s="7">
        <v>2.5</v>
      </c>
      <c r="I7" s="7">
        <v>2.5</v>
      </c>
      <c r="J7" s="7">
        <v>2.5</v>
      </c>
      <c r="K7" s="7">
        <v>2.5</v>
      </c>
      <c r="L7" s="7">
        <v>2.5</v>
      </c>
      <c r="M7" s="7">
        <v>2</v>
      </c>
      <c r="N7" s="7">
        <v>2.5</v>
      </c>
      <c r="O7" s="7">
        <v>2.5</v>
      </c>
      <c r="P7" s="7">
        <v>2.5</v>
      </c>
      <c r="Q7" s="7">
        <v>2.5</v>
      </c>
      <c r="R7" s="7">
        <v>2.5</v>
      </c>
      <c r="S7" s="7">
        <v>2.5</v>
      </c>
      <c r="T7" s="7">
        <v>2.5</v>
      </c>
      <c r="U7" s="7">
        <v>4.5</v>
      </c>
      <c r="V7" s="7">
        <v>5.5</v>
      </c>
      <c r="W7" s="7">
        <v>5</v>
      </c>
      <c r="X7" s="7">
        <v>3</v>
      </c>
      <c r="Y7" s="7">
        <v>4.5</v>
      </c>
      <c r="Z7" s="7">
        <v>4.5</v>
      </c>
      <c r="AA7" s="7">
        <v>4</v>
      </c>
      <c r="AB7" s="7">
        <v>3.5</v>
      </c>
      <c r="AC7" s="7">
        <v>4.5</v>
      </c>
      <c r="AD7" s="7">
        <v>6.5</v>
      </c>
      <c r="AE7" s="7">
        <v>2.5</v>
      </c>
      <c r="AF7" s="7">
        <v>2.5</v>
      </c>
      <c r="AG7" s="7">
        <v>2.5</v>
      </c>
      <c r="AH7" s="56">
        <f t="shared" ref="AH7:AH10" si="5">SUM(C7:AG7)</f>
        <v>97</v>
      </c>
      <c r="AJ7" s="2">
        <v>3</v>
      </c>
      <c r="AK7" s="3" t="s">
        <v>6</v>
      </c>
      <c r="AL7" s="16">
        <f>AH7*$E$1</f>
        <v>4537.2201533406351</v>
      </c>
      <c r="AM7" s="16">
        <f>AH19</f>
        <v>2205</v>
      </c>
      <c r="AN7" s="16">
        <f t="shared" si="0"/>
        <v>-2332.2201533406351</v>
      </c>
      <c r="AO7" s="16">
        <f t="shared" si="1"/>
        <v>3392.8571428571427</v>
      </c>
      <c r="AP7" s="16">
        <f t="shared" si="2"/>
        <v>5725.0772961977782</v>
      </c>
      <c r="AQ7" s="16">
        <f>'Meal July''21 &amp; Rent Augut'!AU7</f>
        <v>2.2256292496531387</v>
      </c>
      <c r="AR7" s="16">
        <f t="shared" si="3"/>
        <v>5722.8516669481251</v>
      </c>
      <c r="AS7" s="8">
        <f>2800-100+3025</f>
        <v>5725</v>
      </c>
      <c r="AT7" s="17"/>
      <c r="AU7" s="16">
        <f t="shared" si="4"/>
        <v>2.1483330518749426</v>
      </c>
      <c r="AW7">
        <f>2700+3025</f>
        <v>5725</v>
      </c>
      <c r="AY7" s="9"/>
    </row>
    <row r="8" spans="1:51" x14ac:dyDescent="0.3">
      <c r="A8" s="2">
        <v>4</v>
      </c>
      <c r="B8" s="3" t="s">
        <v>57</v>
      </c>
      <c r="C8" s="7">
        <v>2</v>
      </c>
      <c r="D8" s="7">
        <v>2.5</v>
      </c>
      <c r="E8" s="7">
        <v>2.5</v>
      </c>
      <c r="F8" s="7">
        <v>2.5</v>
      </c>
      <c r="G8" s="7">
        <v>2.5</v>
      </c>
      <c r="H8" s="7">
        <v>2.5</v>
      </c>
      <c r="I8" s="7">
        <v>2.5</v>
      </c>
      <c r="J8" s="7">
        <v>2.5</v>
      </c>
      <c r="K8" s="7">
        <v>2.5</v>
      </c>
      <c r="L8" s="7">
        <v>2.5</v>
      </c>
      <c r="M8" s="7">
        <v>2.5</v>
      </c>
      <c r="N8" s="7">
        <v>2.5</v>
      </c>
      <c r="O8" s="7">
        <v>2</v>
      </c>
      <c r="P8" s="7">
        <v>4.5</v>
      </c>
      <c r="Q8" s="7">
        <v>4</v>
      </c>
      <c r="R8" s="7">
        <v>2.5</v>
      </c>
      <c r="S8" s="7">
        <v>2.5</v>
      </c>
      <c r="T8" s="7">
        <v>2</v>
      </c>
      <c r="U8" s="7">
        <v>2.5</v>
      </c>
      <c r="V8" s="7">
        <v>3.5</v>
      </c>
      <c r="W8" s="7">
        <v>1.5</v>
      </c>
      <c r="X8" s="7">
        <v>2</v>
      </c>
      <c r="Y8" s="7">
        <v>3.5</v>
      </c>
      <c r="Z8" s="7">
        <v>3.5</v>
      </c>
      <c r="AA8" s="7">
        <v>3</v>
      </c>
      <c r="AB8" s="7">
        <v>2.5</v>
      </c>
      <c r="AC8" s="7">
        <v>2.5</v>
      </c>
      <c r="AD8" s="7">
        <v>4.5</v>
      </c>
      <c r="AE8" s="7">
        <v>3.5</v>
      </c>
      <c r="AF8" s="7">
        <v>2.5</v>
      </c>
      <c r="AG8" s="7">
        <v>2.5</v>
      </c>
      <c r="AH8" s="56">
        <f t="shared" si="5"/>
        <v>84.5</v>
      </c>
      <c r="AJ8" s="2">
        <v>4</v>
      </c>
      <c r="AK8" s="3" t="s">
        <v>57</v>
      </c>
      <c r="AL8" s="16">
        <f>AH8*$E$1</f>
        <v>3952.526834611172</v>
      </c>
      <c r="AM8" s="16">
        <f>AH20</f>
        <v>3390</v>
      </c>
      <c r="AN8" s="16">
        <f t="shared" si="0"/>
        <v>-562.52683461117203</v>
      </c>
      <c r="AO8" s="16">
        <f t="shared" si="1"/>
        <v>3392.8571428571427</v>
      </c>
      <c r="AP8" s="16">
        <f t="shared" si="2"/>
        <v>3955.3839774683147</v>
      </c>
      <c r="AQ8" s="16">
        <f>'Meal July''21 &amp; Rent Augut'!AU8</f>
        <v>-880.7421012644736</v>
      </c>
      <c r="AR8" s="16">
        <f t="shared" si="3"/>
        <v>4836.1260787327883</v>
      </c>
      <c r="AS8" s="8">
        <f>3500+1300</f>
        <v>4800</v>
      </c>
      <c r="AT8" s="17">
        <v>44457</v>
      </c>
      <c r="AU8" s="16">
        <f>AS8-AR8</f>
        <v>-36.126078732788301</v>
      </c>
      <c r="AV8" s="25"/>
      <c r="AW8" s="9">
        <f>3500+1300</f>
        <v>4800</v>
      </c>
      <c r="AY8" s="9"/>
    </row>
    <row r="9" spans="1:51" x14ac:dyDescent="0.3">
      <c r="A9" s="2">
        <v>5</v>
      </c>
      <c r="B9" s="12" t="s">
        <v>51</v>
      </c>
      <c r="C9" s="7">
        <v>2</v>
      </c>
      <c r="D9" s="7">
        <v>2</v>
      </c>
      <c r="E9" s="7">
        <v>2.5</v>
      </c>
      <c r="F9" s="7">
        <v>2</v>
      </c>
      <c r="G9" s="7">
        <v>2.5</v>
      </c>
      <c r="H9" s="7">
        <v>2.5</v>
      </c>
      <c r="I9" s="7">
        <v>2.5</v>
      </c>
      <c r="J9" s="7">
        <v>2</v>
      </c>
      <c r="K9" s="7">
        <v>2</v>
      </c>
      <c r="L9" s="7">
        <v>2</v>
      </c>
      <c r="M9" s="7">
        <v>1</v>
      </c>
      <c r="N9" s="7">
        <v>1</v>
      </c>
      <c r="O9" s="7">
        <v>2.5</v>
      </c>
      <c r="P9" s="7">
        <v>2</v>
      </c>
      <c r="Q9" s="7">
        <v>2</v>
      </c>
      <c r="R9" s="7">
        <v>3.5</v>
      </c>
      <c r="S9" s="7">
        <v>2</v>
      </c>
      <c r="T9" s="7">
        <v>1</v>
      </c>
      <c r="U9" s="7">
        <v>3</v>
      </c>
      <c r="V9" s="7">
        <v>5.5</v>
      </c>
      <c r="W9" s="7">
        <v>1.5</v>
      </c>
      <c r="X9" s="7">
        <v>1</v>
      </c>
      <c r="Y9" s="7">
        <v>1</v>
      </c>
      <c r="Z9" s="7">
        <v>2</v>
      </c>
      <c r="AA9" s="7">
        <v>1.5</v>
      </c>
      <c r="AB9" s="7">
        <v>1</v>
      </c>
      <c r="AC9" s="7">
        <v>0</v>
      </c>
      <c r="AD9" s="7">
        <v>0</v>
      </c>
      <c r="AE9" s="7">
        <v>0</v>
      </c>
      <c r="AF9" s="7">
        <v>0</v>
      </c>
      <c r="AG9" s="7">
        <v>2</v>
      </c>
      <c r="AH9" s="56">
        <f t="shared" si="5"/>
        <v>55.5</v>
      </c>
      <c r="AJ9" s="2">
        <v>5</v>
      </c>
      <c r="AK9" s="12" t="s">
        <v>51</v>
      </c>
      <c r="AL9" s="16">
        <f>$AH$9*$E$1</f>
        <v>2596.0383351588171</v>
      </c>
      <c r="AM9" s="16">
        <f>AH21</f>
        <v>3950</v>
      </c>
      <c r="AN9" s="16">
        <f t="shared" si="0"/>
        <v>1353.9616648411829</v>
      </c>
      <c r="AO9" s="16">
        <f t="shared" si="1"/>
        <v>3392.8571428571427</v>
      </c>
      <c r="AP9" s="16">
        <f t="shared" si="2"/>
        <v>2038.8954780159597</v>
      </c>
      <c r="AQ9" s="16">
        <f>'Meal July''21 &amp; Rent Augut'!AU9</f>
        <v>0.41075545822513959</v>
      </c>
      <c r="AR9" s="16">
        <f t="shared" si="3"/>
        <v>2038.4847225577346</v>
      </c>
      <c r="AS9" s="8">
        <f>3000+120</f>
        <v>3120</v>
      </c>
      <c r="AT9" s="17"/>
      <c r="AU9" s="16">
        <f>AS9-AR9</f>
        <v>1081.5152774422654</v>
      </c>
      <c r="AW9" s="9"/>
    </row>
    <row r="10" spans="1:51" x14ac:dyDescent="0.3">
      <c r="A10" s="2">
        <v>6</v>
      </c>
      <c r="B10" s="3" t="s">
        <v>7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7">
        <v>0</v>
      </c>
      <c r="Z10" s="7">
        <v>0</v>
      </c>
      <c r="AA10" s="7">
        <v>0</v>
      </c>
      <c r="AB10" s="7">
        <v>0</v>
      </c>
      <c r="AC10" s="7">
        <v>0</v>
      </c>
      <c r="AD10" s="7">
        <v>0</v>
      </c>
      <c r="AE10" s="7">
        <v>0</v>
      </c>
      <c r="AF10" s="7">
        <v>0</v>
      </c>
      <c r="AG10" s="7">
        <v>0</v>
      </c>
      <c r="AH10" s="56">
        <f t="shared" si="5"/>
        <v>0</v>
      </c>
      <c r="AJ10" s="2">
        <v>6</v>
      </c>
      <c r="AK10" s="3" t="s">
        <v>7</v>
      </c>
      <c r="AL10" s="16">
        <f>AH10*$E$1</f>
        <v>0</v>
      </c>
      <c r="AM10" s="16">
        <f t="shared" ref="AM10" si="6">AH22</f>
        <v>0</v>
      </c>
      <c r="AN10" s="16">
        <f t="shared" si="0"/>
        <v>0</v>
      </c>
      <c r="AO10" s="16">
        <f t="shared" si="1"/>
        <v>0</v>
      </c>
      <c r="AP10" s="16">
        <f t="shared" si="2"/>
        <v>0</v>
      </c>
      <c r="AQ10" s="16">
        <f>'Meal July''21 &amp; Rent Augut'!AU10</f>
        <v>-2156.3963758122854</v>
      </c>
      <c r="AR10" s="16">
        <f t="shared" si="3"/>
        <v>2156.3963758122854</v>
      </c>
      <c r="AS10" s="8">
        <v>0</v>
      </c>
      <c r="AT10" s="17"/>
      <c r="AU10" s="16">
        <f t="shared" si="4"/>
        <v>-2156.3963758122854</v>
      </c>
    </row>
    <row r="11" spans="1:51" x14ac:dyDescent="0.3">
      <c r="A11" s="2">
        <v>7</v>
      </c>
      <c r="B11" s="3" t="s">
        <v>8</v>
      </c>
      <c r="C11" s="7">
        <v>2.5</v>
      </c>
      <c r="D11" s="7">
        <v>2.5</v>
      </c>
      <c r="E11" s="7">
        <v>2.5</v>
      </c>
      <c r="F11" s="7">
        <v>2</v>
      </c>
      <c r="G11" s="7">
        <v>2.5</v>
      </c>
      <c r="H11" s="7">
        <v>2.5</v>
      </c>
      <c r="I11" s="7">
        <v>2.5</v>
      </c>
      <c r="J11" s="7">
        <v>2.5</v>
      </c>
      <c r="K11" s="7">
        <v>2.5</v>
      </c>
      <c r="L11" s="7">
        <v>2.5</v>
      </c>
      <c r="M11" s="7">
        <v>2</v>
      </c>
      <c r="N11" s="7">
        <v>1.5</v>
      </c>
      <c r="O11" s="7">
        <v>2.5</v>
      </c>
      <c r="P11" s="7">
        <v>2.5</v>
      </c>
      <c r="Q11" s="7">
        <v>2</v>
      </c>
      <c r="R11" s="7">
        <v>2</v>
      </c>
      <c r="S11" s="7">
        <v>2.5</v>
      </c>
      <c r="T11" s="7">
        <v>1</v>
      </c>
      <c r="U11" s="7">
        <v>1.5</v>
      </c>
      <c r="V11" s="7">
        <v>0.5</v>
      </c>
      <c r="W11" s="7">
        <v>0</v>
      </c>
      <c r="X11" s="7">
        <v>0</v>
      </c>
      <c r="Y11" s="7">
        <v>0</v>
      </c>
      <c r="Z11" s="7">
        <v>0</v>
      </c>
      <c r="AA11" s="7">
        <v>0</v>
      </c>
      <c r="AB11" s="7">
        <v>0</v>
      </c>
      <c r="AC11" s="7">
        <v>0</v>
      </c>
      <c r="AD11" s="7">
        <v>0</v>
      </c>
      <c r="AE11" s="7">
        <v>0</v>
      </c>
      <c r="AF11" s="7">
        <v>0</v>
      </c>
      <c r="AG11" s="7">
        <v>0</v>
      </c>
      <c r="AH11" s="56">
        <f>SUM(C11:AG11)</f>
        <v>42.5</v>
      </c>
      <c r="AJ11" s="2">
        <v>7</v>
      </c>
      <c r="AK11" s="3" t="s">
        <v>8</v>
      </c>
      <c r="AL11" s="16">
        <f>AH11*$E$1</f>
        <v>1987.9572836801754</v>
      </c>
      <c r="AM11" s="16">
        <f>AH23</f>
        <v>0</v>
      </c>
      <c r="AN11" s="16">
        <f t="shared" si="0"/>
        <v>-1987.9572836801754</v>
      </c>
      <c r="AO11" s="16">
        <f t="shared" si="1"/>
        <v>0</v>
      </c>
      <c r="AP11" s="16">
        <f t="shared" si="2"/>
        <v>1987.9572836801754</v>
      </c>
      <c r="AQ11" s="16">
        <f>'Meal July''21 &amp; Rent Augut'!AU11</f>
        <v>-1020.6542672571202</v>
      </c>
      <c r="AR11" s="16">
        <f t="shared" si="3"/>
        <v>3008.6115509372958</v>
      </c>
      <c r="AS11" s="8">
        <v>0</v>
      </c>
      <c r="AT11" s="17"/>
      <c r="AU11" s="16">
        <f>AS11-AR11</f>
        <v>-3008.6115509372958</v>
      </c>
    </row>
    <row r="12" spans="1:51" x14ac:dyDescent="0.3">
      <c r="A12" s="2">
        <v>8</v>
      </c>
      <c r="B12" s="1" t="s">
        <v>110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2</v>
      </c>
      <c r="N12" s="7">
        <v>4</v>
      </c>
      <c r="O12" s="7">
        <v>5</v>
      </c>
      <c r="P12" s="7">
        <v>4</v>
      </c>
      <c r="Q12" s="7">
        <v>3</v>
      </c>
      <c r="R12" s="7">
        <v>1.5</v>
      </c>
      <c r="S12" s="7">
        <v>1.5</v>
      </c>
      <c r="T12" s="7">
        <v>1.5</v>
      </c>
      <c r="U12" s="7">
        <v>1.5</v>
      </c>
      <c r="V12" s="7">
        <v>2.5</v>
      </c>
      <c r="W12" s="7">
        <v>1.5</v>
      </c>
      <c r="X12" s="7">
        <v>1</v>
      </c>
      <c r="Y12" s="7">
        <v>1.5</v>
      </c>
      <c r="Z12" s="1">
        <v>3</v>
      </c>
      <c r="AA12" s="1">
        <v>1.5</v>
      </c>
      <c r="AB12" s="1">
        <v>1.5</v>
      </c>
      <c r="AC12" s="1">
        <v>2.5</v>
      </c>
      <c r="AD12" s="1">
        <v>2.5</v>
      </c>
      <c r="AE12" s="1">
        <v>1.5</v>
      </c>
      <c r="AF12" s="1">
        <v>2.5</v>
      </c>
      <c r="AG12" s="1">
        <v>1.5</v>
      </c>
      <c r="AH12" s="56">
        <f t="shared" ref="AH12:AH13" si="7">SUM(C12:AG12)</f>
        <v>47</v>
      </c>
      <c r="AJ12" s="2">
        <v>8</v>
      </c>
      <c r="AK12" s="12" t="s">
        <v>104</v>
      </c>
      <c r="AL12" s="16">
        <f>AH12*E1</f>
        <v>2198.446878422782</v>
      </c>
      <c r="AM12" s="16">
        <f>AH24</f>
        <v>3248</v>
      </c>
      <c r="AN12" s="16">
        <f t="shared" si="0"/>
        <v>1049.553121577218</v>
      </c>
      <c r="AO12" s="16">
        <f>N36</f>
        <v>4142.8571428571422</v>
      </c>
      <c r="AP12" s="16">
        <f t="shared" si="2"/>
        <v>3093.3040212799242</v>
      </c>
      <c r="AQ12" s="16">
        <f>'Meal July''21 &amp; Rent Augut'!AU12</f>
        <v>0</v>
      </c>
      <c r="AR12" s="16">
        <f t="shared" si="3"/>
        <v>3093.3040212799242</v>
      </c>
      <c r="AS12" s="8">
        <v>3095</v>
      </c>
      <c r="AT12" s="17"/>
      <c r="AU12" s="8">
        <f>AS12-AR12</f>
        <v>1.6959787200758001</v>
      </c>
      <c r="AV12" s="47"/>
      <c r="AW12" s="8">
        <v>6845</v>
      </c>
    </row>
    <row r="13" spans="1:51" x14ac:dyDescent="0.3">
      <c r="A13" s="52">
        <v>9</v>
      </c>
      <c r="B13" s="42" t="s">
        <v>105</v>
      </c>
      <c r="C13" s="7">
        <v>0</v>
      </c>
      <c r="D13" s="7">
        <v>1</v>
      </c>
      <c r="E13" s="7">
        <v>1</v>
      </c>
      <c r="F13" s="7">
        <v>1</v>
      </c>
      <c r="G13" s="7">
        <v>0</v>
      </c>
      <c r="H13" s="7">
        <v>0</v>
      </c>
      <c r="I13" s="7">
        <v>0</v>
      </c>
      <c r="J13" s="7">
        <v>0</v>
      </c>
      <c r="K13" s="7">
        <v>1</v>
      </c>
      <c r="L13" s="7">
        <v>1</v>
      </c>
      <c r="M13" s="7">
        <v>1.5</v>
      </c>
      <c r="N13" s="7">
        <v>0.5</v>
      </c>
      <c r="O13" s="7">
        <v>0</v>
      </c>
      <c r="P13" s="7">
        <v>0</v>
      </c>
      <c r="Q13" s="7">
        <v>0</v>
      </c>
      <c r="R13" s="7">
        <v>1</v>
      </c>
      <c r="S13" s="7">
        <v>1.5</v>
      </c>
      <c r="T13" s="7">
        <v>1.5</v>
      </c>
      <c r="U13" s="7">
        <v>0</v>
      </c>
      <c r="V13" s="7">
        <v>0</v>
      </c>
      <c r="W13" s="7">
        <v>0</v>
      </c>
      <c r="X13" s="7">
        <v>1</v>
      </c>
      <c r="Y13" s="7">
        <v>2.5</v>
      </c>
      <c r="Z13" s="8">
        <v>2.5</v>
      </c>
      <c r="AA13" s="8">
        <v>1.5</v>
      </c>
      <c r="AB13" s="8">
        <v>0.5</v>
      </c>
      <c r="AC13" s="8">
        <v>0</v>
      </c>
      <c r="AD13" s="8">
        <v>0</v>
      </c>
      <c r="AE13" s="8">
        <v>0</v>
      </c>
      <c r="AF13" s="8">
        <v>0</v>
      </c>
      <c r="AG13" s="8">
        <v>1.5</v>
      </c>
      <c r="AH13" s="56">
        <f t="shared" si="7"/>
        <v>20.5</v>
      </c>
      <c r="AJ13" s="2">
        <v>9</v>
      </c>
      <c r="AK13" s="12" t="s">
        <v>105</v>
      </c>
      <c r="AL13" s="16">
        <f>AH13*E1</f>
        <v>958.89704271631979</v>
      </c>
      <c r="AM13" s="16">
        <f>AH25</f>
        <v>1360</v>
      </c>
      <c r="AN13" s="16">
        <f t="shared" si="0"/>
        <v>401.10295728368021</v>
      </c>
      <c r="AO13" s="16">
        <f t="shared" si="1"/>
        <v>4142.8571428571422</v>
      </c>
      <c r="AP13" s="16">
        <f t="shared" si="2"/>
        <v>3741.7541855734621</v>
      </c>
      <c r="AQ13" s="16">
        <f>'Meal July''21 &amp; Rent Augut'!AU13</f>
        <v>0</v>
      </c>
      <c r="AR13" s="16">
        <f t="shared" si="3"/>
        <v>3741.7541855734621</v>
      </c>
      <c r="AS13" s="16">
        <v>4000</v>
      </c>
      <c r="AT13" s="17"/>
      <c r="AU13" s="16">
        <f>AS13-AR13</f>
        <v>258.24581442653789</v>
      </c>
      <c r="AV13" s="9"/>
      <c r="AW13" s="16">
        <v>4000</v>
      </c>
    </row>
    <row r="14" spans="1:51" x14ac:dyDescent="0.3">
      <c r="A14" s="36"/>
      <c r="B14" s="36"/>
      <c r="C14" s="55">
        <f>SUM(C5:C13)</f>
        <v>11.5</v>
      </c>
      <c r="D14" s="55">
        <f t="shared" ref="D14:AG14" si="8">SUM(D5:D13)</f>
        <v>15</v>
      </c>
      <c r="E14" s="55">
        <f t="shared" si="8"/>
        <v>15.5</v>
      </c>
      <c r="F14" s="55">
        <f t="shared" si="8"/>
        <v>12</v>
      </c>
      <c r="G14" s="55">
        <f t="shared" si="8"/>
        <v>14.5</v>
      </c>
      <c r="H14" s="55">
        <f t="shared" si="8"/>
        <v>14.5</v>
      </c>
      <c r="I14" s="55">
        <f t="shared" si="8"/>
        <v>15</v>
      </c>
      <c r="J14" s="55">
        <f t="shared" si="8"/>
        <v>14</v>
      </c>
      <c r="K14" s="55">
        <f t="shared" si="8"/>
        <v>15</v>
      </c>
      <c r="L14" s="55">
        <f t="shared" si="8"/>
        <v>15</v>
      </c>
      <c r="M14" s="55">
        <f t="shared" si="8"/>
        <v>15.5</v>
      </c>
      <c r="N14" s="55">
        <f t="shared" si="8"/>
        <v>16.5</v>
      </c>
      <c r="O14" s="55">
        <f t="shared" si="8"/>
        <v>17</v>
      </c>
      <c r="P14" s="55">
        <f t="shared" si="8"/>
        <v>18</v>
      </c>
      <c r="Q14" s="55">
        <f t="shared" si="8"/>
        <v>17</v>
      </c>
      <c r="R14" s="55">
        <f t="shared" si="8"/>
        <v>18.5</v>
      </c>
      <c r="S14" s="55">
        <f t="shared" si="8"/>
        <v>17</v>
      </c>
      <c r="T14" s="55">
        <f t="shared" si="8"/>
        <v>9.5</v>
      </c>
      <c r="U14" s="55">
        <f t="shared" si="8"/>
        <v>13.5</v>
      </c>
      <c r="V14" s="55">
        <f t="shared" si="8"/>
        <v>17.5</v>
      </c>
      <c r="W14" s="55">
        <f t="shared" si="8"/>
        <v>10.5</v>
      </c>
      <c r="X14" s="55">
        <f t="shared" si="8"/>
        <v>11</v>
      </c>
      <c r="Y14" s="55">
        <f t="shared" si="8"/>
        <v>17.5</v>
      </c>
      <c r="Z14" s="55">
        <f t="shared" si="8"/>
        <v>20</v>
      </c>
      <c r="AA14" s="55">
        <f t="shared" si="8"/>
        <v>15</v>
      </c>
      <c r="AB14" s="55">
        <f t="shared" si="8"/>
        <v>13.5</v>
      </c>
      <c r="AC14" s="55">
        <f t="shared" si="8"/>
        <v>16</v>
      </c>
      <c r="AD14" s="55">
        <f t="shared" si="8"/>
        <v>19.5</v>
      </c>
      <c r="AE14" s="55">
        <f t="shared" si="8"/>
        <v>11</v>
      </c>
      <c r="AF14" s="55">
        <f t="shared" si="8"/>
        <v>8.5</v>
      </c>
      <c r="AG14" s="55">
        <f t="shared" si="8"/>
        <v>12</v>
      </c>
      <c r="AH14" s="55">
        <f>SUM(AH5:AH13)</f>
        <v>456.5</v>
      </c>
      <c r="AL14" s="51">
        <f t="shared" ref="AL14:AM14" si="9">SUM(AL5:AL13)</f>
        <v>21353</v>
      </c>
      <c r="AM14" s="51">
        <f t="shared" si="9"/>
        <v>21353</v>
      </c>
      <c r="AN14" s="51">
        <f>SUM(AN5:AN13)</f>
        <v>0</v>
      </c>
      <c r="AO14" s="51">
        <f>SUM(AO5:AO13)</f>
        <v>27249.999999999996</v>
      </c>
      <c r="AP14" s="51">
        <f>SUM(AP5:AP13)</f>
        <v>27249.999999999996</v>
      </c>
      <c r="AQ14" s="51">
        <f>SUM(AQ5:AQ13)</f>
        <v>20.112003053604667</v>
      </c>
      <c r="AR14" s="51">
        <f>AP14-AQ14+$AW$4</f>
        <v>27229.887996946392</v>
      </c>
      <c r="AS14" s="51">
        <f>SUM(AS5:AS13)</f>
        <v>24280</v>
      </c>
      <c r="AT14" s="51"/>
      <c r="AU14" s="51">
        <f>SUM(AU5:AU13)</f>
        <v>-2949.8879969463928</v>
      </c>
      <c r="AV14" s="9"/>
      <c r="AW14" s="44">
        <f>SUM(AW5:AW13)</f>
        <v>24410</v>
      </c>
    </row>
    <row r="15" spans="1:51" x14ac:dyDescent="0.3">
      <c r="A15" s="36"/>
      <c r="B15" s="36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37"/>
      <c r="AF15" s="37"/>
      <c r="AG15" s="37"/>
      <c r="AH15" s="37"/>
      <c r="AL15" s="38"/>
      <c r="AM15" s="39"/>
      <c r="AN15" s="39"/>
      <c r="AO15" s="39"/>
      <c r="AP15" s="39"/>
      <c r="AQ15" s="39"/>
      <c r="AR15" s="38"/>
      <c r="AS15" s="39"/>
      <c r="AT15" s="39"/>
      <c r="AU15" s="39"/>
      <c r="AV15" s="9"/>
      <c r="AW15" s="9"/>
      <c r="AX15" s="44" t="s">
        <v>88</v>
      </c>
      <c r="AY15" s="9"/>
    </row>
    <row r="16" spans="1:51" x14ac:dyDescent="0.3">
      <c r="B16" s="10" t="s">
        <v>86</v>
      </c>
      <c r="AT16" s="1" t="s">
        <v>110</v>
      </c>
      <c r="AU16" s="8">
        <f>AR12+3750</f>
        <v>6843.3040212799242</v>
      </c>
      <c r="AV16" s="9"/>
      <c r="AX16" s="1" t="s">
        <v>89</v>
      </c>
      <c r="AY16" s="1" t="s">
        <v>95</v>
      </c>
    </row>
    <row r="17" spans="1:63" x14ac:dyDescent="0.3">
      <c r="A17" s="2">
        <v>1</v>
      </c>
      <c r="B17" s="3" t="s">
        <v>4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</v>
      </c>
      <c r="U17" s="8">
        <v>0</v>
      </c>
      <c r="V17" s="8">
        <v>0</v>
      </c>
      <c r="W17" s="8">
        <v>0</v>
      </c>
      <c r="X17" s="8">
        <v>0</v>
      </c>
      <c r="Y17" s="8">
        <v>0</v>
      </c>
      <c r="Z17" s="8">
        <v>0</v>
      </c>
      <c r="AA17" s="8">
        <v>0</v>
      </c>
      <c r="AB17" s="8">
        <v>0</v>
      </c>
      <c r="AC17" s="8">
        <v>0</v>
      </c>
      <c r="AD17" s="8">
        <v>2705</v>
      </c>
      <c r="AE17" s="8">
        <v>920</v>
      </c>
      <c r="AF17" s="8">
        <v>0</v>
      </c>
      <c r="AG17" s="8">
        <v>0</v>
      </c>
      <c r="AH17" s="8">
        <f>SUM(C17:AG17)</f>
        <v>3625</v>
      </c>
      <c r="AR17" s="25"/>
      <c r="AT17" s="42" t="s">
        <v>105</v>
      </c>
      <c r="AU17" s="8">
        <f>AR13+3750</f>
        <v>7491.7541855734617</v>
      </c>
      <c r="AX17" s="1" t="s">
        <v>107</v>
      </c>
      <c r="AY17" s="16">
        <f>O45</f>
        <v>23630</v>
      </c>
      <c r="BI17" s="1" t="s">
        <v>96</v>
      </c>
      <c r="BJ17" s="1"/>
      <c r="BK17" s="1"/>
    </row>
    <row r="18" spans="1:63" x14ac:dyDescent="0.3">
      <c r="A18" s="2">
        <v>2</v>
      </c>
      <c r="B18" s="3" t="s">
        <v>5</v>
      </c>
      <c r="C18" s="8">
        <v>400</v>
      </c>
      <c r="D18" s="8">
        <v>1290</v>
      </c>
      <c r="E18" s="8">
        <v>0</v>
      </c>
      <c r="F18" s="8">
        <v>1405</v>
      </c>
      <c r="G18" s="8">
        <v>330</v>
      </c>
      <c r="H18" s="8">
        <v>150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  <c r="T18" s="8">
        <v>0</v>
      </c>
      <c r="U18" s="8">
        <v>0</v>
      </c>
      <c r="V18" s="8">
        <v>0</v>
      </c>
      <c r="W18" s="8">
        <v>0</v>
      </c>
      <c r="X18" s="8">
        <v>0</v>
      </c>
      <c r="Y18" s="8">
        <v>0</v>
      </c>
      <c r="Z18" s="8">
        <v>0</v>
      </c>
      <c r="AA18" s="8">
        <v>0</v>
      </c>
      <c r="AB18" s="8">
        <v>0</v>
      </c>
      <c r="AC18" s="8">
        <v>0</v>
      </c>
      <c r="AD18" s="8">
        <v>0</v>
      </c>
      <c r="AE18" s="8">
        <v>0</v>
      </c>
      <c r="AF18" s="8">
        <v>0</v>
      </c>
      <c r="AG18" s="8">
        <v>0</v>
      </c>
      <c r="AH18" s="8">
        <f t="shared" ref="AH18:AH25" si="10">SUM(C18:AG18)</f>
        <v>3575</v>
      </c>
      <c r="AV18" s="25"/>
      <c r="AX18" s="1" t="s">
        <v>91</v>
      </c>
      <c r="AY18" s="16">
        <f>-AQ14</f>
        <v>-20.112003053604667</v>
      </c>
      <c r="BI18" s="1" t="s">
        <v>97</v>
      </c>
      <c r="BJ18" s="1">
        <v>4000</v>
      </c>
      <c r="BK18" s="1"/>
    </row>
    <row r="19" spans="1:63" x14ac:dyDescent="0.3">
      <c r="A19" s="2">
        <v>3</v>
      </c>
      <c r="B19" s="3" t="s">
        <v>6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690</v>
      </c>
      <c r="O19" s="8">
        <v>500</v>
      </c>
      <c r="P19" s="8">
        <v>560</v>
      </c>
      <c r="Q19" s="8">
        <v>0</v>
      </c>
      <c r="R19" s="8">
        <v>80</v>
      </c>
      <c r="S19" s="8">
        <v>270</v>
      </c>
      <c r="T19" s="8">
        <v>0</v>
      </c>
      <c r="U19" s="8">
        <v>105</v>
      </c>
      <c r="V19" s="8">
        <v>0</v>
      </c>
      <c r="W19" s="8">
        <v>0</v>
      </c>
      <c r="X19" s="8">
        <v>0</v>
      </c>
      <c r="Y19" s="8">
        <v>0</v>
      </c>
      <c r="Z19" s="8">
        <v>0</v>
      </c>
      <c r="AA19" s="8">
        <v>0</v>
      </c>
      <c r="AB19" s="8">
        <v>0</v>
      </c>
      <c r="AC19" s="8">
        <v>0</v>
      </c>
      <c r="AD19" s="8">
        <v>0</v>
      </c>
      <c r="AE19" s="8">
        <v>0</v>
      </c>
      <c r="AF19" s="8">
        <v>0</v>
      </c>
      <c r="AG19" s="8">
        <v>0</v>
      </c>
      <c r="AH19" s="8">
        <f t="shared" si="10"/>
        <v>2205</v>
      </c>
      <c r="AR19" s="25"/>
      <c r="AT19" s="15"/>
      <c r="AU19" s="8"/>
      <c r="AV19" s="25"/>
      <c r="AX19" s="1"/>
      <c r="AY19" s="16">
        <f>SUM(AY17:AY18)</f>
        <v>23609.887996946396</v>
      </c>
      <c r="BI19" s="1" t="s">
        <v>36</v>
      </c>
      <c r="BJ19" s="1">
        <f>BJ18/6</f>
        <v>666.66666666666663</v>
      </c>
      <c r="BK19" s="1">
        <f>BJ19*5</f>
        <v>3333.333333333333</v>
      </c>
    </row>
    <row r="20" spans="1:63" x14ac:dyDescent="0.3">
      <c r="A20" s="2">
        <v>4</v>
      </c>
      <c r="B20" s="3" t="s">
        <v>57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1120</v>
      </c>
      <c r="R20" s="8">
        <v>0</v>
      </c>
      <c r="S20" s="8">
        <v>0</v>
      </c>
      <c r="T20" s="8">
        <v>970</v>
      </c>
      <c r="U20" s="8">
        <v>0</v>
      </c>
      <c r="V20" s="8">
        <v>820</v>
      </c>
      <c r="W20" s="8">
        <v>380</v>
      </c>
      <c r="X20" s="8">
        <v>100</v>
      </c>
      <c r="Y20" s="8">
        <v>0</v>
      </c>
      <c r="Z20" s="8">
        <v>0</v>
      </c>
      <c r="AA20" s="8">
        <v>0</v>
      </c>
      <c r="AB20" s="8">
        <v>0</v>
      </c>
      <c r="AC20" s="8">
        <v>0</v>
      </c>
      <c r="AD20" s="8">
        <v>0</v>
      </c>
      <c r="AE20" s="8">
        <v>0</v>
      </c>
      <c r="AF20" s="8">
        <v>0</v>
      </c>
      <c r="AG20" s="8">
        <v>0</v>
      </c>
      <c r="AH20" s="8">
        <f t="shared" si="10"/>
        <v>3390</v>
      </c>
      <c r="AR20" s="25"/>
      <c r="BA20" s="9">
        <v>4547</v>
      </c>
      <c r="BI20" s="1" t="s">
        <v>37</v>
      </c>
      <c r="BJ20" s="1"/>
      <c r="BK20" s="1"/>
    </row>
    <row r="21" spans="1:63" x14ac:dyDescent="0.3">
      <c r="A21" s="2">
        <v>5</v>
      </c>
      <c r="B21" s="12" t="s">
        <v>51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3350</v>
      </c>
      <c r="J21" s="8">
        <v>0</v>
      </c>
      <c r="K21" s="8">
        <v>85</v>
      </c>
      <c r="L21" s="8">
        <v>515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8">
        <v>0</v>
      </c>
      <c r="T21" s="8">
        <v>0</v>
      </c>
      <c r="U21" s="8">
        <v>0</v>
      </c>
      <c r="V21" s="8">
        <v>0</v>
      </c>
      <c r="W21" s="8">
        <v>0</v>
      </c>
      <c r="X21" s="8">
        <v>0</v>
      </c>
      <c r="Y21" s="8">
        <v>0</v>
      </c>
      <c r="Z21" s="8">
        <v>0</v>
      </c>
      <c r="AA21" s="8">
        <v>0</v>
      </c>
      <c r="AB21" s="8">
        <v>0</v>
      </c>
      <c r="AC21" s="8">
        <v>0</v>
      </c>
      <c r="AD21" s="8">
        <v>0</v>
      </c>
      <c r="AE21" s="8">
        <v>0</v>
      </c>
      <c r="AF21" s="8">
        <v>0</v>
      </c>
      <c r="AG21" s="8">
        <v>0</v>
      </c>
      <c r="AH21" s="8">
        <f t="shared" si="10"/>
        <v>3950</v>
      </c>
      <c r="AX21" s="1" t="s">
        <v>92</v>
      </c>
      <c r="AY21" s="1"/>
      <c r="BA21" s="9">
        <f>AY17+BA20</f>
        <v>28177</v>
      </c>
      <c r="BI21" s="1" t="s">
        <v>98</v>
      </c>
      <c r="BJ21" s="1">
        <f>$BJ$19</f>
        <v>666.66666666666663</v>
      </c>
      <c r="BK21" s="1"/>
    </row>
    <row r="22" spans="1:63" x14ac:dyDescent="0.3">
      <c r="A22" s="2">
        <v>6</v>
      </c>
      <c r="B22" s="3" t="s">
        <v>7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  <c r="S22" s="8">
        <v>0</v>
      </c>
      <c r="T22" s="8">
        <v>0</v>
      </c>
      <c r="U22" s="8">
        <v>0</v>
      </c>
      <c r="V22" s="8">
        <v>0</v>
      </c>
      <c r="W22" s="8">
        <v>0</v>
      </c>
      <c r="X22" s="8">
        <v>0</v>
      </c>
      <c r="Y22" s="8">
        <v>0</v>
      </c>
      <c r="Z22" s="8">
        <v>0</v>
      </c>
      <c r="AA22" s="8">
        <v>0</v>
      </c>
      <c r="AB22" s="8">
        <v>0</v>
      </c>
      <c r="AC22" s="8">
        <v>0</v>
      </c>
      <c r="AD22" s="8">
        <v>0</v>
      </c>
      <c r="AE22" s="8">
        <v>0</v>
      </c>
      <c r="AF22" s="8">
        <v>0</v>
      </c>
      <c r="AG22" s="8">
        <v>0</v>
      </c>
      <c r="AH22" s="8">
        <f t="shared" si="10"/>
        <v>0</v>
      </c>
      <c r="AV22" s="25"/>
      <c r="AX22" s="1" t="s">
        <v>93</v>
      </c>
      <c r="AY22" s="16">
        <f>-AU14</f>
        <v>2949.8879969463928</v>
      </c>
      <c r="BI22" s="1" t="s">
        <v>49</v>
      </c>
      <c r="BJ22" s="1">
        <f>$BJ$19</f>
        <v>666.66666666666663</v>
      </c>
      <c r="BK22" s="1"/>
    </row>
    <row r="23" spans="1:63" x14ac:dyDescent="0.3">
      <c r="A23" s="2">
        <v>7</v>
      </c>
      <c r="B23" s="3" t="s">
        <v>8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8">
        <v>0</v>
      </c>
      <c r="O23" s="8">
        <v>0</v>
      </c>
      <c r="P23" s="8">
        <v>0</v>
      </c>
      <c r="Q23" s="8">
        <v>0</v>
      </c>
      <c r="R23" s="8">
        <v>0</v>
      </c>
      <c r="S23" s="8">
        <v>0</v>
      </c>
      <c r="T23" s="8">
        <v>0</v>
      </c>
      <c r="U23" s="8">
        <v>0</v>
      </c>
      <c r="V23" s="8">
        <v>0</v>
      </c>
      <c r="W23" s="8">
        <v>0</v>
      </c>
      <c r="X23" s="8">
        <v>0</v>
      </c>
      <c r="Y23" s="8">
        <v>0</v>
      </c>
      <c r="Z23" s="8">
        <v>0</v>
      </c>
      <c r="AA23" s="8">
        <v>0</v>
      </c>
      <c r="AB23" s="8">
        <v>0</v>
      </c>
      <c r="AC23" s="8">
        <v>0</v>
      </c>
      <c r="AD23" s="8">
        <v>0</v>
      </c>
      <c r="AE23" s="8">
        <v>0</v>
      </c>
      <c r="AF23" s="8">
        <v>0</v>
      </c>
      <c r="AG23" s="8">
        <v>0</v>
      </c>
      <c r="AH23" s="8">
        <f t="shared" si="10"/>
        <v>0</v>
      </c>
      <c r="AX23" s="1" t="s">
        <v>94</v>
      </c>
      <c r="AY23" s="1">
        <v>2000</v>
      </c>
      <c r="BI23" s="1" t="s">
        <v>38</v>
      </c>
      <c r="BJ23" s="1">
        <f>$BJ$19</f>
        <v>666.66666666666663</v>
      </c>
      <c r="BK23" s="1"/>
    </row>
    <row r="24" spans="1:63" x14ac:dyDescent="0.3">
      <c r="A24" s="52">
        <v>8</v>
      </c>
      <c r="B24" s="1" t="s">
        <v>110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  <c r="N24" s="8">
        <v>0</v>
      </c>
      <c r="O24" s="8">
        <v>0</v>
      </c>
      <c r="P24" s="8">
        <v>0</v>
      </c>
      <c r="Q24" s="8">
        <v>0</v>
      </c>
      <c r="R24" s="8">
        <v>0</v>
      </c>
      <c r="S24" s="8">
        <v>0</v>
      </c>
      <c r="T24" s="8">
        <v>0</v>
      </c>
      <c r="U24" s="8">
        <v>0</v>
      </c>
      <c r="V24" s="8">
        <v>0</v>
      </c>
      <c r="W24" s="8">
        <v>0</v>
      </c>
      <c r="X24" s="8">
        <v>0</v>
      </c>
      <c r="Y24" s="8">
        <v>1213</v>
      </c>
      <c r="Z24" s="8">
        <v>875</v>
      </c>
      <c r="AA24" s="8">
        <v>0</v>
      </c>
      <c r="AB24" s="8">
        <v>1160</v>
      </c>
      <c r="AC24" s="8">
        <v>0</v>
      </c>
      <c r="AD24" s="8">
        <v>0</v>
      </c>
      <c r="AE24" s="8">
        <v>0</v>
      </c>
      <c r="AF24" s="8">
        <v>0</v>
      </c>
      <c r="AG24" s="8">
        <v>0</v>
      </c>
      <c r="AH24" s="8">
        <f t="shared" si="10"/>
        <v>3248</v>
      </c>
      <c r="AX24" s="1"/>
      <c r="AY24" s="16">
        <f>SUM(AY22:AY23)</f>
        <v>4949.8879969463924</v>
      </c>
      <c r="BI24" s="1" t="s">
        <v>99</v>
      </c>
      <c r="BJ24" s="1">
        <f>$BJ$19</f>
        <v>666.66666666666663</v>
      </c>
      <c r="BK24" s="1"/>
    </row>
    <row r="25" spans="1:63" x14ac:dyDescent="0.3">
      <c r="A25" s="52">
        <v>9</v>
      </c>
      <c r="B25" s="42" t="s">
        <v>105</v>
      </c>
      <c r="C25" s="8">
        <v>0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  <c r="K25" s="8">
        <v>0</v>
      </c>
      <c r="L25" s="8">
        <v>0</v>
      </c>
      <c r="M25" s="8">
        <v>0</v>
      </c>
      <c r="N25" s="8">
        <v>0</v>
      </c>
      <c r="O25" s="8">
        <v>0</v>
      </c>
      <c r="P25" s="8">
        <v>0</v>
      </c>
      <c r="Q25" s="8">
        <v>0</v>
      </c>
      <c r="R25" s="8">
        <v>0</v>
      </c>
      <c r="S25" s="8">
        <v>0</v>
      </c>
      <c r="T25" s="8">
        <v>0</v>
      </c>
      <c r="U25" s="8">
        <v>0</v>
      </c>
      <c r="V25" s="8">
        <v>0</v>
      </c>
      <c r="W25" s="8">
        <v>0</v>
      </c>
      <c r="X25" s="8">
        <v>0</v>
      </c>
      <c r="Y25" s="8">
        <v>0</v>
      </c>
      <c r="Z25" s="8">
        <v>0</v>
      </c>
      <c r="AA25" s="8">
        <v>1025</v>
      </c>
      <c r="AB25" s="8">
        <v>0</v>
      </c>
      <c r="AC25" s="8">
        <v>335</v>
      </c>
      <c r="AD25" s="8"/>
      <c r="AE25" s="8"/>
      <c r="AF25" s="8">
        <v>0</v>
      </c>
      <c r="AG25" s="8">
        <v>0</v>
      </c>
      <c r="AH25" s="8">
        <f t="shared" si="10"/>
        <v>1360</v>
      </c>
      <c r="BI25" s="1" t="s">
        <v>40</v>
      </c>
      <c r="BJ25" s="1">
        <f>$BJ$19</f>
        <v>666.66666666666663</v>
      </c>
      <c r="BK25" s="1"/>
    </row>
    <row r="26" spans="1:63" x14ac:dyDescent="0.3">
      <c r="AH26" s="51">
        <f>SUM(AH17:AH25)</f>
        <v>21353</v>
      </c>
      <c r="AX26" t="s">
        <v>100</v>
      </c>
      <c r="BI26" s="1"/>
      <c r="BJ26" s="1">
        <f>SUM(BJ21:BJ25)</f>
        <v>3333.333333333333</v>
      </c>
      <c r="BK26" s="1"/>
    </row>
    <row r="27" spans="1:63" x14ac:dyDescent="0.3">
      <c r="AX27" t="s">
        <v>90</v>
      </c>
      <c r="AY27" s="47">
        <v>23773</v>
      </c>
    </row>
    <row r="28" spans="1:63" x14ac:dyDescent="0.3">
      <c r="A28" s="4"/>
      <c r="B28" s="13" t="s">
        <v>87</v>
      </c>
      <c r="C28" s="4" t="s">
        <v>11</v>
      </c>
      <c r="D28" s="4" t="s">
        <v>12</v>
      </c>
      <c r="E28" s="4" t="s">
        <v>13</v>
      </c>
      <c r="F28" s="4" t="s">
        <v>14</v>
      </c>
      <c r="G28" s="4" t="s">
        <v>15</v>
      </c>
      <c r="H28" s="4" t="s">
        <v>16</v>
      </c>
      <c r="I28" s="4" t="s">
        <v>17</v>
      </c>
      <c r="J28" s="4" t="s">
        <v>18</v>
      </c>
      <c r="K28" s="4" t="s">
        <v>19</v>
      </c>
      <c r="L28" s="4" t="s">
        <v>20</v>
      </c>
      <c r="M28" s="4" t="s">
        <v>21</v>
      </c>
      <c r="N28" s="4" t="s">
        <v>22</v>
      </c>
      <c r="AX28" t="s">
        <v>91</v>
      </c>
      <c r="AY28" s="47">
        <v>10374</v>
      </c>
    </row>
    <row r="29" spans="1:63" x14ac:dyDescent="0.3">
      <c r="A29" s="2">
        <v>1</v>
      </c>
      <c r="B29" s="12" t="s">
        <v>4</v>
      </c>
      <c r="C29" s="8">
        <f>H41</f>
        <v>3142.8571428571427</v>
      </c>
      <c r="D29" s="8">
        <f>$D$38/7</f>
        <v>428.57142857142856</v>
      </c>
      <c r="E29" s="8">
        <f t="shared" ref="E29:E35" si="11">$E$38/7</f>
        <v>0</v>
      </c>
      <c r="F29" s="8">
        <f>$F$38/7</f>
        <v>71.428571428571431</v>
      </c>
      <c r="G29" s="8">
        <f>$G$38/7</f>
        <v>139.28571428571428</v>
      </c>
      <c r="H29" s="8">
        <f>$H$38/7</f>
        <v>305</v>
      </c>
      <c r="I29" s="8">
        <f>$I$38/7</f>
        <v>252.85714285714286</v>
      </c>
      <c r="J29" s="8">
        <f>$J$38/7</f>
        <v>35.714285714285715</v>
      </c>
      <c r="K29" s="8">
        <f>$K$38/6</f>
        <v>0</v>
      </c>
      <c r="L29" s="8">
        <f>$L$38/7</f>
        <v>17.142857142857142</v>
      </c>
      <c r="M29" s="8">
        <f>$M$38/7</f>
        <v>0</v>
      </c>
      <c r="N29" s="8">
        <f t="shared" ref="N29:N35" si="12">SUM(C29:M29)</f>
        <v>4392.8571428571422</v>
      </c>
      <c r="AY29" s="47">
        <f>SUM(AY27:AY28)</f>
        <v>34147</v>
      </c>
    </row>
    <row r="30" spans="1:63" x14ac:dyDescent="0.3">
      <c r="A30" s="2">
        <v>2</v>
      </c>
      <c r="B30" s="12" t="s">
        <v>5</v>
      </c>
      <c r="C30" s="8">
        <f>H41</f>
        <v>3142.8571428571427</v>
      </c>
      <c r="D30" s="8">
        <f>$D$38/7</f>
        <v>428.57142857142856</v>
      </c>
      <c r="E30" s="8">
        <f t="shared" si="11"/>
        <v>0</v>
      </c>
      <c r="F30" s="8">
        <f>$F$38/7</f>
        <v>71.428571428571431</v>
      </c>
      <c r="G30" s="8">
        <f>$G$38/7</f>
        <v>139.28571428571428</v>
      </c>
      <c r="H30" s="8">
        <f>$H$38/7</f>
        <v>305</v>
      </c>
      <c r="I30" s="8">
        <f>$I$38/7</f>
        <v>252.85714285714286</v>
      </c>
      <c r="J30" s="8">
        <f>$J$38/7</f>
        <v>35.714285714285715</v>
      </c>
      <c r="K30" s="8">
        <f>$K$38/6</f>
        <v>0</v>
      </c>
      <c r="L30" s="8">
        <f>$L$38/7</f>
        <v>17.142857142857142</v>
      </c>
      <c r="M30" s="8">
        <f>$M$38/7</f>
        <v>0</v>
      </c>
      <c r="N30" s="8">
        <f t="shared" si="12"/>
        <v>4392.8571428571422</v>
      </c>
      <c r="AX30" t="s">
        <v>101</v>
      </c>
      <c r="AY30" s="47">
        <v>29600</v>
      </c>
    </row>
    <row r="31" spans="1:63" x14ac:dyDescent="0.3">
      <c r="A31" s="2">
        <v>3</v>
      </c>
      <c r="B31" s="12" t="s">
        <v>6</v>
      </c>
      <c r="C31" s="8">
        <f>H42</f>
        <v>2142.8571428571427</v>
      </c>
      <c r="D31" s="8">
        <f>$D$38/7</f>
        <v>428.57142857142856</v>
      </c>
      <c r="E31" s="8">
        <f t="shared" si="11"/>
        <v>0</v>
      </c>
      <c r="F31" s="8">
        <f>$F$38/7</f>
        <v>71.428571428571431</v>
      </c>
      <c r="G31" s="8">
        <f>$G$38/7</f>
        <v>139.28571428571428</v>
      </c>
      <c r="H31" s="8">
        <f>$H$38/7</f>
        <v>305</v>
      </c>
      <c r="I31" s="8">
        <f>$I$38/7</f>
        <v>252.85714285714286</v>
      </c>
      <c r="J31" s="8">
        <f>$J$38/7</f>
        <v>35.714285714285715</v>
      </c>
      <c r="K31" s="8">
        <f>$K$38/6</f>
        <v>0</v>
      </c>
      <c r="L31" s="8">
        <f>$L$38/7</f>
        <v>17.142857142857142</v>
      </c>
      <c r="M31" s="8">
        <f>$M$38/7</f>
        <v>0</v>
      </c>
      <c r="N31" s="8">
        <f t="shared" si="12"/>
        <v>3392.8571428571427</v>
      </c>
      <c r="AX31" t="s">
        <v>102</v>
      </c>
      <c r="AY31" s="48">
        <f>AY29-AY30</f>
        <v>4547</v>
      </c>
    </row>
    <row r="32" spans="1:63" x14ac:dyDescent="0.3">
      <c r="A32" s="2">
        <v>4</v>
      </c>
      <c r="B32" s="12" t="s">
        <v>57</v>
      </c>
      <c r="C32" s="8">
        <f>H42</f>
        <v>2142.8571428571427</v>
      </c>
      <c r="D32" s="8">
        <f>$D$38/7</f>
        <v>428.57142857142856</v>
      </c>
      <c r="E32" s="8">
        <f t="shared" si="11"/>
        <v>0</v>
      </c>
      <c r="F32" s="8">
        <f>$F$38/7</f>
        <v>71.428571428571431</v>
      </c>
      <c r="G32" s="8">
        <f>$G$38/7</f>
        <v>139.28571428571428</v>
      </c>
      <c r="H32" s="8">
        <f>$H$38/7</f>
        <v>305</v>
      </c>
      <c r="I32" s="8">
        <f>$I$38/7</f>
        <v>252.85714285714286</v>
      </c>
      <c r="J32" s="8">
        <f>$J$38/7</f>
        <v>35.714285714285715</v>
      </c>
      <c r="K32" s="8"/>
      <c r="L32" s="8">
        <f>$L$38/7</f>
        <v>17.142857142857142</v>
      </c>
      <c r="M32" s="8">
        <f>$M$38/7</f>
        <v>0</v>
      </c>
      <c r="N32" s="8">
        <f t="shared" si="12"/>
        <v>3392.8571428571427</v>
      </c>
      <c r="AY32" s="47"/>
    </row>
    <row r="33" spans="1:51" x14ac:dyDescent="0.3">
      <c r="A33" s="2">
        <v>5</v>
      </c>
      <c r="B33" s="12" t="s">
        <v>51</v>
      </c>
      <c r="C33" s="8">
        <f>H42</f>
        <v>2142.8571428571427</v>
      </c>
      <c r="D33" s="8">
        <f>$D$38/7</f>
        <v>428.57142857142856</v>
      </c>
      <c r="E33" s="8">
        <f t="shared" si="11"/>
        <v>0</v>
      </c>
      <c r="F33" s="8">
        <f>$F$38/7</f>
        <v>71.428571428571431</v>
      </c>
      <c r="G33" s="8">
        <f>$G$38/7</f>
        <v>139.28571428571428</v>
      </c>
      <c r="H33" s="8">
        <f>$H$38/7</f>
        <v>305</v>
      </c>
      <c r="I33" s="8">
        <f>$I$38/7</f>
        <v>252.85714285714286</v>
      </c>
      <c r="J33" s="8">
        <f>$J$38/7</f>
        <v>35.714285714285715</v>
      </c>
      <c r="K33" s="8">
        <f>$K$38/6</f>
        <v>0</v>
      </c>
      <c r="L33" s="8">
        <f>$L$38/7</f>
        <v>17.142857142857142</v>
      </c>
      <c r="M33" s="8">
        <f>$M$38/7</f>
        <v>0</v>
      </c>
      <c r="N33" s="8">
        <f t="shared" si="12"/>
        <v>3392.8571428571427</v>
      </c>
      <c r="AY33" s="47"/>
    </row>
    <row r="34" spans="1:51" x14ac:dyDescent="0.3">
      <c r="A34" s="2">
        <v>6</v>
      </c>
      <c r="B34" s="12" t="s">
        <v>7</v>
      </c>
      <c r="C34" s="8">
        <v>0</v>
      </c>
      <c r="D34" s="6">
        <v>0</v>
      </c>
      <c r="E34" s="8">
        <f t="shared" si="11"/>
        <v>0</v>
      </c>
      <c r="F34" s="8">
        <f>$E$38/7</f>
        <v>0</v>
      </c>
      <c r="G34" s="8">
        <f t="shared" ref="G34:M35" si="13">$E$38/7</f>
        <v>0</v>
      </c>
      <c r="H34" s="8">
        <f t="shared" si="13"/>
        <v>0</v>
      </c>
      <c r="I34" s="8">
        <f t="shared" si="13"/>
        <v>0</v>
      </c>
      <c r="J34" s="8">
        <f t="shared" si="13"/>
        <v>0</v>
      </c>
      <c r="K34" s="8">
        <f t="shared" si="13"/>
        <v>0</v>
      </c>
      <c r="L34" s="8">
        <f t="shared" si="13"/>
        <v>0</v>
      </c>
      <c r="M34" s="8">
        <f t="shared" si="13"/>
        <v>0</v>
      </c>
      <c r="N34" s="8">
        <f t="shared" si="12"/>
        <v>0</v>
      </c>
      <c r="AY34" s="47"/>
    </row>
    <row r="35" spans="1:51" x14ac:dyDescent="0.3">
      <c r="A35" s="2">
        <v>7</v>
      </c>
      <c r="B35" s="12" t="s">
        <v>8</v>
      </c>
      <c r="C35" s="8">
        <v>0</v>
      </c>
      <c r="D35" s="6">
        <v>0</v>
      </c>
      <c r="E35" s="8">
        <f t="shared" si="11"/>
        <v>0</v>
      </c>
      <c r="F35" s="8">
        <f>$E$38/7</f>
        <v>0</v>
      </c>
      <c r="G35" s="8">
        <f t="shared" si="13"/>
        <v>0</v>
      </c>
      <c r="H35" s="8">
        <f t="shared" si="13"/>
        <v>0</v>
      </c>
      <c r="I35" s="8">
        <f t="shared" si="13"/>
        <v>0</v>
      </c>
      <c r="J35" s="8">
        <f t="shared" si="13"/>
        <v>0</v>
      </c>
      <c r="K35" s="8">
        <f t="shared" si="13"/>
        <v>0</v>
      </c>
      <c r="L35" s="8">
        <f t="shared" si="13"/>
        <v>0</v>
      </c>
      <c r="M35" s="8">
        <f t="shared" si="13"/>
        <v>0</v>
      </c>
      <c r="N35" s="8">
        <f t="shared" si="12"/>
        <v>0</v>
      </c>
      <c r="AX35" t="s">
        <v>103</v>
      </c>
      <c r="AY35" s="47">
        <f>AY30-21100</f>
        <v>8500</v>
      </c>
    </row>
    <row r="36" spans="1:51" x14ac:dyDescent="0.3">
      <c r="A36" s="2">
        <v>8</v>
      </c>
      <c r="B36" s="12" t="s">
        <v>104</v>
      </c>
      <c r="C36" s="8">
        <f>H43</f>
        <v>2892.8571428571427</v>
      </c>
      <c r="D36" s="8">
        <f>$D$38/7</f>
        <v>428.57142857142856</v>
      </c>
      <c r="E36" s="8">
        <v>0</v>
      </c>
      <c r="F36" s="8">
        <f>$F$38/7</f>
        <v>71.428571428571431</v>
      </c>
      <c r="G36" s="8">
        <f>$G$38/7</f>
        <v>139.28571428571428</v>
      </c>
      <c r="H36" s="8">
        <f>$H$38/7</f>
        <v>305</v>
      </c>
      <c r="I36" s="8">
        <f>$I$38/7</f>
        <v>252.85714285714286</v>
      </c>
      <c r="J36" s="8">
        <f>$J$38/7</f>
        <v>35.714285714285715</v>
      </c>
      <c r="K36" s="8">
        <f>$K$38/6</f>
        <v>0</v>
      </c>
      <c r="L36" s="8">
        <f>$L$38/7</f>
        <v>17.142857142857142</v>
      </c>
      <c r="M36" s="8">
        <f>$M$38/7</f>
        <v>0</v>
      </c>
      <c r="N36" s="8">
        <f>SUM(C36:M36)</f>
        <v>4142.8571428571422</v>
      </c>
    </row>
    <row r="37" spans="1:51" x14ac:dyDescent="0.3">
      <c r="A37" s="2">
        <v>9</v>
      </c>
      <c r="B37" s="12" t="s">
        <v>105</v>
      </c>
      <c r="C37" s="8">
        <f>H43</f>
        <v>2892.8571428571427</v>
      </c>
      <c r="D37" s="8">
        <f>$D$38/7</f>
        <v>428.57142857142856</v>
      </c>
      <c r="E37" s="8">
        <v>0</v>
      </c>
      <c r="F37" s="8">
        <f>$F$38/7</f>
        <v>71.428571428571431</v>
      </c>
      <c r="G37" s="8">
        <f>$G$38/7</f>
        <v>139.28571428571428</v>
      </c>
      <c r="H37" s="8">
        <f>$H$38/7</f>
        <v>305</v>
      </c>
      <c r="I37" s="8">
        <f>$I$38/7</f>
        <v>252.85714285714286</v>
      </c>
      <c r="J37" s="8">
        <f>$J$38/7</f>
        <v>35.714285714285715</v>
      </c>
      <c r="K37" s="8">
        <f>$K$38/6</f>
        <v>0</v>
      </c>
      <c r="L37" s="8">
        <f>$L$38/7</f>
        <v>17.142857142857142</v>
      </c>
      <c r="M37" s="8">
        <f>$M$38/7</f>
        <v>0</v>
      </c>
      <c r="N37" s="8">
        <f>SUM(C37:M37)</f>
        <v>4142.8571428571422</v>
      </c>
    </row>
    <row r="38" spans="1:51" x14ac:dyDescent="0.3">
      <c r="C38" s="8">
        <f>SUM(C29:C37)</f>
        <v>18500</v>
      </c>
      <c r="D38" s="40">
        <v>3000</v>
      </c>
      <c r="E38" s="8"/>
      <c r="F38" s="8">
        <f>500</f>
        <v>500</v>
      </c>
      <c r="G38" s="8">
        <f>975</f>
        <v>975</v>
      </c>
      <c r="H38" s="14">
        <v>2135</v>
      </c>
      <c r="I38" s="14">
        <v>1770</v>
      </c>
      <c r="J38" s="8">
        <f>250</f>
        <v>250</v>
      </c>
      <c r="K38" s="8">
        <f>0</f>
        <v>0</v>
      </c>
      <c r="L38" s="8">
        <f>120</f>
        <v>120</v>
      </c>
      <c r="M38" s="8"/>
      <c r="N38" s="8">
        <f>SUM(N29:N37)</f>
        <v>27249.999999999996</v>
      </c>
      <c r="O38" s="9">
        <f>O45+O53</f>
        <v>27250</v>
      </c>
      <c r="P38" s="9">
        <f>N38-O38</f>
        <v>0</v>
      </c>
    </row>
    <row r="40" spans="1:51" x14ac:dyDescent="0.3">
      <c r="N40" t="s">
        <v>61</v>
      </c>
      <c r="O40" s="9">
        <f>C38</f>
        <v>18500</v>
      </c>
    </row>
    <row r="41" spans="1:51" x14ac:dyDescent="0.3">
      <c r="D41" s="1">
        <v>6000</v>
      </c>
      <c r="E41" s="1">
        <v>2</v>
      </c>
      <c r="F41" s="1">
        <f>D41/E41</f>
        <v>3000</v>
      </c>
      <c r="G41" s="1">
        <f>(500+500)/7</f>
        <v>142.85714285714286</v>
      </c>
      <c r="H41" s="11">
        <f>F41+G41</f>
        <v>3142.8571428571427</v>
      </c>
      <c r="I41" s="11">
        <f>H41*E41</f>
        <v>6285.7142857142853</v>
      </c>
      <c r="N41" t="s">
        <v>71</v>
      </c>
      <c r="O41" s="9">
        <f>G38</f>
        <v>975</v>
      </c>
    </row>
    <row r="42" spans="1:51" x14ac:dyDescent="0.3">
      <c r="D42" s="1">
        <v>6000</v>
      </c>
      <c r="E42" s="1">
        <v>3</v>
      </c>
      <c r="F42" s="1">
        <f t="shared" ref="F42:F43" si="14">D42/E42</f>
        <v>2000</v>
      </c>
      <c r="G42" s="1">
        <f t="shared" ref="G42:G43" si="15">(500+500)/7</f>
        <v>142.85714285714286</v>
      </c>
      <c r="H42" s="11">
        <f t="shared" ref="H42" si="16">F42+G42</f>
        <v>2142.8571428571427</v>
      </c>
      <c r="I42" s="11">
        <f t="shared" ref="I42:I43" si="17">H42*E42</f>
        <v>6428.5714285714275</v>
      </c>
      <c r="N42" t="s">
        <v>72</v>
      </c>
      <c r="O42" s="9">
        <f>I38</f>
        <v>1770</v>
      </c>
    </row>
    <row r="43" spans="1:51" x14ac:dyDescent="0.3">
      <c r="D43" s="1">
        <v>5500</v>
      </c>
      <c r="E43" s="1">
        <v>2</v>
      </c>
      <c r="F43" s="11">
        <f t="shared" si="14"/>
        <v>2750</v>
      </c>
      <c r="G43" s="1">
        <f t="shared" si="15"/>
        <v>142.85714285714286</v>
      </c>
      <c r="H43" s="11">
        <f>F43+G43</f>
        <v>2892.8571428571427</v>
      </c>
      <c r="I43" s="11">
        <f t="shared" si="17"/>
        <v>5785.7142857142853</v>
      </c>
      <c r="N43" t="s">
        <v>73</v>
      </c>
      <c r="O43" s="9">
        <f>H38</f>
        <v>2135</v>
      </c>
    </row>
    <row r="44" spans="1:51" x14ac:dyDescent="0.3">
      <c r="D44" s="1">
        <f>SUM(D41:D43)</f>
        <v>17500</v>
      </c>
      <c r="E44" s="1"/>
      <c r="F44" s="1"/>
      <c r="G44" s="1"/>
      <c r="H44" s="1"/>
      <c r="I44" s="11">
        <f>SUM(I41:I43)</f>
        <v>18500</v>
      </c>
      <c r="N44" t="s">
        <v>74</v>
      </c>
      <c r="O44" s="9">
        <f>J38</f>
        <v>250</v>
      </c>
    </row>
    <row r="45" spans="1:51" x14ac:dyDescent="0.3">
      <c r="O45" s="9">
        <f>SUM(O40:O44)</f>
        <v>23630</v>
      </c>
    </row>
    <row r="47" spans="1:51" x14ac:dyDescent="0.3">
      <c r="P47" s="9">
        <f>O45+O53</f>
        <v>27250</v>
      </c>
    </row>
    <row r="48" spans="1:51" x14ac:dyDescent="0.3">
      <c r="N48" t="s">
        <v>12</v>
      </c>
      <c r="O48" s="9">
        <f>D38</f>
        <v>3000</v>
      </c>
    </row>
    <row r="49" spans="14:15" x14ac:dyDescent="0.3">
      <c r="N49" t="s">
        <v>13</v>
      </c>
      <c r="O49" s="9">
        <f>E38</f>
        <v>0</v>
      </c>
    </row>
    <row r="50" spans="14:15" x14ac:dyDescent="0.3">
      <c r="N50" t="s">
        <v>14</v>
      </c>
      <c r="O50" s="9">
        <f>F38</f>
        <v>500</v>
      </c>
    </row>
    <row r="51" spans="14:15" x14ac:dyDescent="0.3">
      <c r="N51" t="s">
        <v>20</v>
      </c>
      <c r="O51" s="9">
        <f>L38</f>
        <v>120</v>
      </c>
    </row>
    <row r="52" spans="14:15" x14ac:dyDescent="0.3">
      <c r="N52" t="s">
        <v>21</v>
      </c>
      <c r="O52" s="9">
        <f>M38</f>
        <v>0</v>
      </c>
    </row>
    <row r="53" spans="14:15" x14ac:dyDescent="0.3">
      <c r="O53" s="9">
        <f>SUM(O48:O52)</f>
        <v>3620</v>
      </c>
    </row>
  </sheetData>
  <mergeCells count="2">
    <mergeCell ref="C1:D2"/>
    <mergeCell ref="E1:F2"/>
  </mergeCells>
  <pageMargins left="0.7" right="0.7" top="0.75" bottom="0.75" header="0.3" footer="0.3"/>
  <pageSetup orientation="portrait" horizontalDpi="1200" verticalDpi="1200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K59"/>
  <sheetViews>
    <sheetView zoomScale="86" zoomScaleNormal="86" workbookViewId="0">
      <pane xSplit="2" ySplit="4" topLeftCell="C24" activePane="bottomRight" state="frozen"/>
      <selection pane="topRight" activeCell="C1" sqref="C1"/>
      <selection pane="bottomLeft" activeCell="A5" sqref="A5"/>
      <selection pane="bottomRight" activeCell="AR16" sqref="AR16"/>
    </sheetView>
  </sheetViews>
  <sheetFormatPr defaultRowHeight="14.4" x14ac:dyDescent="0.3"/>
  <cols>
    <col min="1" max="1" width="7" bestFit="1" customWidth="1"/>
    <col min="2" max="2" width="23.6640625" bestFit="1" customWidth="1"/>
    <col min="3" max="5" width="9.33203125" bestFit="1" customWidth="1"/>
    <col min="6" max="6" width="11.5546875" customWidth="1"/>
    <col min="7" max="7" width="12" bestFit="1" customWidth="1"/>
    <col min="8" max="8" width="13.33203125" customWidth="1"/>
    <col min="9" max="9" width="9.6640625" customWidth="1"/>
    <col min="10" max="10" width="9.33203125" bestFit="1" customWidth="1"/>
    <col min="11" max="11" width="14.5546875" customWidth="1"/>
    <col min="12" max="13" width="10.33203125" bestFit="1" customWidth="1"/>
    <col min="14" max="14" width="11.5546875" bestFit="1" customWidth="1"/>
    <col min="15" max="34" width="10.33203125" bestFit="1" customWidth="1"/>
    <col min="35" max="35" width="8.5546875" customWidth="1"/>
    <col min="36" max="36" width="4.33203125" customWidth="1"/>
    <col min="37" max="37" width="22.33203125" customWidth="1"/>
    <col min="38" max="38" width="10.44140625" customWidth="1"/>
    <col min="39" max="39" width="12.33203125" customWidth="1"/>
    <col min="40" max="40" width="10.33203125" customWidth="1"/>
    <col min="41" max="41" width="12" customWidth="1"/>
    <col min="42" max="42" width="10.33203125" customWidth="1"/>
    <col min="43" max="43" width="12.33203125" customWidth="1"/>
    <col min="44" max="44" width="17.44140625" customWidth="1"/>
    <col min="45" max="45" width="9.44140625" customWidth="1"/>
    <col min="46" max="46" width="10.33203125" customWidth="1"/>
    <col min="47" max="47" width="9.33203125" customWidth="1"/>
    <col min="48" max="48" width="11.33203125" bestFit="1" customWidth="1"/>
    <col min="49" max="49" width="10.33203125" bestFit="1" customWidth="1"/>
    <col min="50" max="50" width="30.33203125" bestFit="1" customWidth="1"/>
    <col min="51" max="51" width="10.109375" bestFit="1" customWidth="1"/>
  </cols>
  <sheetData>
    <row r="1" spans="1:51" ht="14.7" customHeight="1" x14ac:dyDescent="0.3">
      <c r="C1" s="109" t="s">
        <v>114</v>
      </c>
      <c r="D1" s="109"/>
      <c r="E1" s="110">
        <f>AH28/AH15</f>
        <v>46.46551724137931</v>
      </c>
      <c r="F1" s="110"/>
    </row>
    <row r="2" spans="1:51" x14ac:dyDescent="0.3">
      <c r="C2" s="109"/>
      <c r="D2" s="109"/>
      <c r="E2" s="110"/>
      <c r="F2" s="110"/>
    </row>
    <row r="4" spans="1:51" ht="57.6" x14ac:dyDescent="0.3">
      <c r="A4" s="53" t="s">
        <v>0</v>
      </c>
      <c r="B4" s="53" t="s">
        <v>2</v>
      </c>
      <c r="C4" s="54">
        <v>44440</v>
      </c>
      <c r="D4" s="54">
        <v>44441</v>
      </c>
      <c r="E4" s="54">
        <v>44442</v>
      </c>
      <c r="F4" s="54">
        <v>44443</v>
      </c>
      <c r="G4" s="54">
        <v>44444</v>
      </c>
      <c r="H4" s="54">
        <v>44445</v>
      </c>
      <c r="I4" s="54">
        <v>44446</v>
      </c>
      <c r="J4" s="54">
        <v>44447</v>
      </c>
      <c r="K4" s="54">
        <v>44448</v>
      </c>
      <c r="L4" s="54">
        <v>44449</v>
      </c>
      <c r="M4" s="54">
        <v>44450</v>
      </c>
      <c r="N4" s="54">
        <v>44451</v>
      </c>
      <c r="O4" s="54">
        <v>44452</v>
      </c>
      <c r="P4" s="54">
        <v>44453</v>
      </c>
      <c r="Q4" s="54">
        <v>44454</v>
      </c>
      <c r="R4" s="54">
        <v>44455</v>
      </c>
      <c r="S4" s="54">
        <v>44456</v>
      </c>
      <c r="T4" s="54">
        <v>44457</v>
      </c>
      <c r="U4" s="54">
        <v>44458</v>
      </c>
      <c r="V4" s="54">
        <v>44459</v>
      </c>
      <c r="W4" s="54">
        <v>44460</v>
      </c>
      <c r="X4" s="54">
        <v>44461</v>
      </c>
      <c r="Y4" s="54">
        <v>44462</v>
      </c>
      <c r="Z4" s="54">
        <v>44463</v>
      </c>
      <c r="AA4" s="54">
        <v>44464</v>
      </c>
      <c r="AB4" s="54">
        <v>44465</v>
      </c>
      <c r="AC4" s="54">
        <v>44466</v>
      </c>
      <c r="AD4" s="54">
        <v>44467</v>
      </c>
      <c r="AE4" s="54">
        <v>44468</v>
      </c>
      <c r="AF4" s="54">
        <v>44469</v>
      </c>
      <c r="AG4" s="54">
        <v>44470</v>
      </c>
      <c r="AH4" s="53" t="s">
        <v>1</v>
      </c>
      <c r="AJ4" s="49" t="s">
        <v>0</v>
      </c>
      <c r="AK4" s="49" t="s">
        <v>2</v>
      </c>
      <c r="AL4" s="50" t="s">
        <v>23</v>
      </c>
      <c r="AM4" s="50" t="s">
        <v>24</v>
      </c>
      <c r="AN4" s="50" t="s">
        <v>26</v>
      </c>
      <c r="AO4" s="50" t="s">
        <v>106</v>
      </c>
      <c r="AP4" s="50" t="s">
        <v>27</v>
      </c>
      <c r="AQ4" s="50" t="s">
        <v>30</v>
      </c>
      <c r="AR4" s="50" t="s">
        <v>32</v>
      </c>
      <c r="AS4" s="50" t="s">
        <v>28</v>
      </c>
      <c r="AT4" s="50" t="s">
        <v>29</v>
      </c>
      <c r="AU4" s="50" t="s">
        <v>31</v>
      </c>
      <c r="AV4" s="45"/>
      <c r="AX4" s="43"/>
    </row>
    <row r="5" spans="1:51" x14ac:dyDescent="0.3">
      <c r="A5" s="2">
        <v>1</v>
      </c>
      <c r="B5" s="3" t="s">
        <v>4</v>
      </c>
      <c r="C5" s="7">
        <v>2</v>
      </c>
      <c r="D5" s="7">
        <v>1</v>
      </c>
      <c r="E5" s="7">
        <v>0</v>
      </c>
      <c r="F5" s="7">
        <v>1</v>
      </c>
      <c r="G5" s="7">
        <v>1</v>
      </c>
      <c r="H5" s="7">
        <v>2</v>
      </c>
      <c r="I5" s="7">
        <v>2</v>
      </c>
      <c r="J5" s="7">
        <v>2</v>
      </c>
      <c r="K5" s="7">
        <v>1</v>
      </c>
      <c r="L5" s="7">
        <v>2</v>
      </c>
      <c r="M5" s="7">
        <v>1</v>
      </c>
      <c r="N5" s="7">
        <v>2.5</v>
      </c>
      <c r="O5" s="7">
        <v>2</v>
      </c>
      <c r="P5" s="7">
        <v>2</v>
      </c>
      <c r="Q5" s="7">
        <v>2</v>
      </c>
      <c r="R5" s="7">
        <v>2</v>
      </c>
      <c r="S5" s="7">
        <v>1</v>
      </c>
      <c r="T5" s="7">
        <v>2</v>
      </c>
      <c r="U5" s="7">
        <v>1</v>
      </c>
      <c r="V5" s="7">
        <v>1</v>
      </c>
      <c r="W5" s="7">
        <v>1</v>
      </c>
      <c r="X5" s="7">
        <v>2</v>
      </c>
      <c r="Y5" s="7">
        <v>1</v>
      </c>
      <c r="Z5" s="7">
        <v>2</v>
      </c>
      <c r="AA5" s="7">
        <v>2</v>
      </c>
      <c r="AB5" s="7">
        <v>2</v>
      </c>
      <c r="AC5" s="7">
        <v>1</v>
      </c>
      <c r="AD5" s="7">
        <v>2</v>
      </c>
      <c r="AE5" s="7">
        <v>2</v>
      </c>
      <c r="AF5" s="7">
        <v>0.5</v>
      </c>
      <c r="AG5" s="7"/>
      <c r="AH5" s="56">
        <f>SUM(C5:AG5)</f>
        <v>46</v>
      </c>
      <c r="AJ5" s="2">
        <v>1</v>
      </c>
      <c r="AK5" s="3" t="s">
        <v>4</v>
      </c>
      <c r="AL5" s="16">
        <f>AH5*$E$1</f>
        <v>2137.4137931034484</v>
      </c>
      <c r="AM5" s="16">
        <f>AH18</f>
        <v>2685</v>
      </c>
      <c r="AN5" s="16">
        <f t="shared" ref="AN5:AN7" si="0">AM5-AL5</f>
        <v>547.58620689655163</v>
      </c>
      <c r="AO5" s="16">
        <f t="shared" ref="AO5:AO6" si="1">N31</f>
        <v>1142.1428571428571</v>
      </c>
      <c r="AP5" s="16">
        <f>AO5-AN5</f>
        <v>594.55665024630548</v>
      </c>
      <c r="AQ5" s="16">
        <f>'Meal August''21 &amp; Rent Sept 21'!AU5</f>
        <v>907.30802048778878</v>
      </c>
      <c r="AR5" s="16">
        <f>AP5-AQ5</f>
        <v>-312.7513702414833</v>
      </c>
      <c r="AS5" s="8">
        <v>0</v>
      </c>
      <c r="AT5" s="17"/>
      <c r="AU5" s="16">
        <f>AS5-AR5</f>
        <v>312.7513702414833</v>
      </c>
      <c r="AY5" s="9"/>
    </row>
    <row r="6" spans="1:51" x14ac:dyDescent="0.3">
      <c r="A6" s="2">
        <v>2</v>
      </c>
      <c r="B6" s="3" t="s">
        <v>5</v>
      </c>
      <c r="C6" s="7">
        <v>1</v>
      </c>
      <c r="D6" s="7">
        <v>1.5</v>
      </c>
      <c r="E6" s="7">
        <v>0</v>
      </c>
      <c r="F6" s="7">
        <v>1.5</v>
      </c>
      <c r="G6" s="7">
        <v>1</v>
      </c>
      <c r="H6" s="7">
        <v>1.5</v>
      </c>
      <c r="I6" s="7">
        <v>1.5</v>
      </c>
      <c r="J6" s="7">
        <v>1.5</v>
      </c>
      <c r="K6" s="7">
        <v>0.5</v>
      </c>
      <c r="L6" s="7">
        <v>2.5</v>
      </c>
      <c r="M6" s="7">
        <v>2.5</v>
      </c>
      <c r="N6" s="7">
        <v>2.5</v>
      </c>
      <c r="O6" s="7">
        <v>2.5</v>
      </c>
      <c r="P6" s="7">
        <v>2.5</v>
      </c>
      <c r="Q6" s="7">
        <v>2.5</v>
      </c>
      <c r="R6" s="7">
        <v>0</v>
      </c>
      <c r="S6" s="7">
        <v>0</v>
      </c>
      <c r="T6" s="7">
        <v>2.5</v>
      </c>
      <c r="U6" s="7">
        <v>1</v>
      </c>
      <c r="V6" s="7">
        <v>2.5</v>
      </c>
      <c r="W6" s="7">
        <v>2.5</v>
      </c>
      <c r="X6" s="7">
        <v>2.5</v>
      </c>
      <c r="Y6" s="7">
        <v>2.5</v>
      </c>
      <c r="Z6" s="7">
        <v>3.5</v>
      </c>
      <c r="AA6" s="7">
        <v>4</v>
      </c>
      <c r="AB6" s="7">
        <v>2.5</v>
      </c>
      <c r="AC6" s="7">
        <v>2.5</v>
      </c>
      <c r="AD6" s="7">
        <v>2.5</v>
      </c>
      <c r="AE6" s="7">
        <v>2.5</v>
      </c>
      <c r="AF6" s="7">
        <v>1</v>
      </c>
      <c r="AG6" s="7"/>
      <c r="AH6" s="56">
        <f>SUM(C6:AG6)</f>
        <v>57</v>
      </c>
      <c r="AJ6" s="2">
        <v>2</v>
      </c>
      <c r="AK6" s="3" t="s">
        <v>5</v>
      </c>
      <c r="AL6" s="16">
        <f>AH6*$E$1</f>
        <v>2648.5344827586205</v>
      </c>
      <c r="AM6" s="16">
        <f>AH19</f>
        <v>3730</v>
      </c>
      <c r="AN6" s="16">
        <f t="shared" si="0"/>
        <v>1081.4655172413795</v>
      </c>
      <c r="AO6" s="16">
        <f t="shared" si="1"/>
        <v>4220.7142857142853</v>
      </c>
      <c r="AP6" s="16">
        <f t="shared" ref="AP6:AP7" si="2">AO6-AN6</f>
        <v>3139.2487684729058</v>
      </c>
      <c r="AQ6" s="16">
        <f>'Meal August''21 &amp; Rent Sept 21'!AU6</f>
        <v>0.33258440743384199</v>
      </c>
      <c r="AR6" s="16">
        <f t="shared" ref="AR6:AR7" si="3">AP6-AQ6</f>
        <v>3138.916184065472</v>
      </c>
      <c r="AS6" s="8">
        <f>3000+150</f>
        <v>3150</v>
      </c>
      <c r="AT6" s="17"/>
      <c r="AU6" s="16">
        <f t="shared" ref="AU6:AU7" si="4">AS6-AR6</f>
        <v>11.083815934528047</v>
      </c>
      <c r="AW6">
        <v>3000</v>
      </c>
      <c r="AY6" s="9"/>
    </row>
    <row r="7" spans="1:51" x14ac:dyDescent="0.3">
      <c r="A7" s="2">
        <v>3</v>
      </c>
      <c r="B7" s="3" t="s">
        <v>6</v>
      </c>
      <c r="C7" s="7">
        <v>2.5</v>
      </c>
      <c r="D7" s="7">
        <v>2.5</v>
      </c>
      <c r="E7" s="7">
        <v>2.5</v>
      </c>
      <c r="F7" s="7">
        <v>1.5</v>
      </c>
      <c r="G7" s="7">
        <v>2</v>
      </c>
      <c r="H7" s="7">
        <v>2.5</v>
      </c>
      <c r="I7" s="7">
        <v>2.5</v>
      </c>
      <c r="J7" s="7">
        <v>2.5</v>
      </c>
      <c r="K7" s="7">
        <v>2.5</v>
      </c>
      <c r="L7" s="7">
        <v>2</v>
      </c>
      <c r="M7" s="7">
        <v>2.5</v>
      </c>
      <c r="N7" s="7">
        <v>2.5</v>
      </c>
      <c r="O7" s="7">
        <v>2.5</v>
      </c>
      <c r="P7" s="7">
        <v>2.5</v>
      </c>
      <c r="Q7" s="7">
        <v>3</v>
      </c>
      <c r="R7" s="7">
        <v>2.5</v>
      </c>
      <c r="S7" s="7">
        <v>2.5</v>
      </c>
      <c r="T7" s="7">
        <v>2.5</v>
      </c>
      <c r="U7" s="7">
        <v>1</v>
      </c>
      <c r="V7" s="7">
        <v>2.5</v>
      </c>
      <c r="W7" s="7">
        <v>2.5</v>
      </c>
      <c r="X7" s="7">
        <v>2.5</v>
      </c>
      <c r="Y7" s="7">
        <v>4.5</v>
      </c>
      <c r="Z7" s="7">
        <v>4.5</v>
      </c>
      <c r="AA7" s="7">
        <v>3.5</v>
      </c>
      <c r="AB7" s="7">
        <v>5.5</v>
      </c>
      <c r="AC7" s="7">
        <v>2.5</v>
      </c>
      <c r="AD7" s="7">
        <v>2.5</v>
      </c>
      <c r="AE7" s="7">
        <v>2</v>
      </c>
      <c r="AF7" s="7">
        <v>1.5</v>
      </c>
      <c r="AG7" s="7"/>
      <c r="AH7" s="56">
        <f t="shared" ref="AH7:AH10" si="5">SUM(C7:AG7)</f>
        <v>78.5</v>
      </c>
      <c r="AJ7" s="2">
        <v>3</v>
      </c>
      <c r="AK7" s="1" t="s">
        <v>111</v>
      </c>
      <c r="AL7" s="16">
        <f>AH14*$E$1</f>
        <v>1881.8534482758621</v>
      </c>
      <c r="AM7" s="16">
        <f>AH27</f>
        <v>0</v>
      </c>
      <c r="AN7" s="16">
        <f t="shared" si="0"/>
        <v>-1881.8534482758621</v>
      </c>
      <c r="AO7" s="16">
        <f t="shared" ref="AO7:AO14" si="6">N33</f>
        <v>3078.5714285714289</v>
      </c>
      <c r="AP7" s="16">
        <f t="shared" si="2"/>
        <v>4960.4248768472908</v>
      </c>
      <c r="AQ7" s="1">
        <v>0</v>
      </c>
      <c r="AR7" s="16">
        <f t="shared" si="3"/>
        <v>4960.4248768472908</v>
      </c>
      <c r="AS7" s="8">
        <f>4800+160</f>
        <v>4960</v>
      </c>
      <c r="AT7" s="1"/>
      <c r="AU7" s="16">
        <f t="shared" si="4"/>
        <v>-0.42487684729076136</v>
      </c>
      <c r="AW7">
        <v>4800</v>
      </c>
      <c r="AY7" s="9"/>
    </row>
    <row r="8" spans="1:51" x14ac:dyDescent="0.3">
      <c r="A8" s="2">
        <v>4</v>
      </c>
      <c r="B8" s="3" t="s">
        <v>57</v>
      </c>
      <c r="C8" s="7">
        <v>2.5</v>
      </c>
      <c r="D8" s="7">
        <v>2.5</v>
      </c>
      <c r="E8" s="7">
        <v>2.5</v>
      </c>
      <c r="F8" s="7">
        <v>2.5</v>
      </c>
      <c r="G8" s="7">
        <v>1</v>
      </c>
      <c r="H8" s="7">
        <v>2.5</v>
      </c>
      <c r="I8" s="7">
        <v>2.5</v>
      </c>
      <c r="J8" s="7">
        <v>2.5</v>
      </c>
      <c r="K8" s="7">
        <v>2.5</v>
      </c>
      <c r="L8" s="7">
        <v>2</v>
      </c>
      <c r="M8" s="7">
        <v>2.5</v>
      </c>
      <c r="N8" s="7">
        <v>2.5</v>
      </c>
      <c r="O8" s="7">
        <v>1.5</v>
      </c>
      <c r="P8" s="7">
        <v>0</v>
      </c>
      <c r="Q8" s="7">
        <v>1.5</v>
      </c>
      <c r="R8" s="7">
        <v>1</v>
      </c>
      <c r="S8" s="7">
        <v>1</v>
      </c>
      <c r="T8" s="7">
        <v>2</v>
      </c>
      <c r="U8" s="7">
        <v>0</v>
      </c>
      <c r="V8" s="7">
        <v>1</v>
      </c>
      <c r="W8" s="7">
        <v>2.5</v>
      </c>
      <c r="X8" s="7">
        <v>2.5</v>
      </c>
      <c r="Y8" s="7">
        <v>2.5</v>
      </c>
      <c r="Z8" s="7">
        <v>2.5</v>
      </c>
      <c r="AA8" s="7">
        <v>2.5</v>
      </c>
      <c r="AB8" s="7">
        <v>1.5</v>
      </c>
      <c r="AC8" s="7">
        <v>1.5</v>
      </c>
      <c r="AD8" s="7">
        <v>1.5</v>
      </c>
      <c r="AE8" s="7">
        <v>1.5</v>
      </c>
      <c r="AF8" s="7">
        <v>1.5</v>
      </c>
      <c r="AG8" s="7"/>
      <c r="AH8" s="56">
        <f t="shared" si="5"/>
        <v>56</v>
      </c>
      <c r="AJ8" s="2">
        <v>4</v>
      </c>
      <c r="AK8" s="3" t="s">
        <v>6</v>
      </c>
      <c r="AL8" s="16">
        <f>AH7*$E$1</f>
        <v>3647.5431034482758</v>
      </c>
      <c r="AM8" s="16">
        <f t="shared" ref="AM8:AM14" si="7">AH20</f>
        <v>2325</v>
      </c>
      <c r="AN8" s="16">
        <f t="shared" ref="AN8:AN14" si="8">AM8-AL8</f>
        <v>-1322.5431034482758</v>
      </c>
      <c r="AO8" s="16">
        <f t="shared" si="6"/>
        <v>3220.7142857142862</v>
      </c>
      <c r="AP8" s="16">
        <f t="shared" ref="AP8:AP14" si="9">AO8-AN8</f>
        <v>4543.2573891625616</v>
      </c>
      <c r="AQ8" s="16">
        <f>'Meal August''21 &amp; Rent Sept 21'!AU7</f>
        <v>2.1483330518749426</v>
      </c>
      <c r="AR8" s="16">
        <f t="shared" ref="AR8:AR14" si="10">AP8-AQ8</f>
        <v>4541.1090561106867</v>
      </c>
      <c r="AS8" s="8">
        <v>4200</v>
      </c>
      <c r="AT8" s="17"/>
      <c r="AU8" s="16">
        <f t="shared" ref="AU8:AU14" si="11">AS8-AR8</f>
        <v>-341.10905611068665</v>
      </c>
      <c r="AV8" s="25"/>
      <c r="AW8" s="9">
        <v>4200</v>
      </c>
      <c r="AY8" s="9"/>
    </row>
    <row r="9" spans="1:51" x14ac:dyDescent="0.3">
      <c r="A9" s="2">
        <v>5</v>
      </c>
      <c r="B9" s="12" t="s">
        <v>51</v>
      </c>
      <c r="C9" s="7">
        <v>2</v>
      </c>
      <c r="D9" s="7">
        <v>2</v>
      </c>
      <c r="E9" s="7">
        <v>0</v>
      </c>
      <c r="F9" s="7">
        <v>5</v>
      </c>
      <c r="G9" s="7">
        <v>0</v>
      </c>
      <c r="H9" s="7">
        <v>0</v>
      </c>
      <c r="I9" s="7">
        <v>1</v>
      </c>
      <c r="J9" s="7">
        <v>1</v>
      </c>
      <c r="K9" s="7">
        <v>1</v>
      </c>
      <c r="L9" s="7">
        <v>2.5</v>
      </c>
      <c r="M9" s="7">
        <v>2.5</v>
      </c>
      <c r="N9" s="7">
        <v>1.5</v>
      </c>
      <c r="O9" s="7">
        <v>1</v>
      </c>
      <c r="P9" s="7">
        <v>1</v>
      </c>
      <c r="Q9" s="7">
        <v>1</v>
      </c>
      <c r="R9" s="7">
        <v>3</v>
      </c>
      <c r="S9" s="7">
        <v>4</v>
      </c>
      <c r="T9" s="7">
        <v>2.5</v>
      </c>
      <c r="U9" s="7">
        <v>1</v>
      </c>
      <c r="V9" s="7">
        <v>1</v>
      </c>
      <c r="W9" s="7">
        <v>1</v>
      </c>
      <c r="X9" s="7">
        <v>1</v>
      </c>
      <c r="Y9" s="7">
        <v>1.5</v>
      </c>
      <c r="Z9" s="7">
        <v>2.5</v>
      </c>
      <c r="AA9" s="7">
        <v>2.5</v>
      </c>
      <c r="AB9" s="7">
        <v>1.5</v>
      </c>
      <c r="AC9" s="7">
        <v>1.5</v>
      </c>
      <c r="AD9" s="7">
        <v>1.5</v>
      </c>
      <c r="AE9" s="7">
        <v>1.5</v>
      </c>
      <c r="AF9" s="7">
        <v>0</v>
      </c>
      <c r="AG9" s="7"/>
      <c r="AH9" s="56">
        <f t="shared" si="5"/>
        <v>47.5</v>
      </c>
      <c r="AJ9" s="2">
        <v>5</v>
      </c>
      <c r="AK9" s="3" t="s">
        <v>57</v>
      </c>
      <c r="AL9" s="16">
        <f>AH8*$E$1</f>
        <v>2602.0689655172414</v>
      </c>
      <c r="AM9" s="16">
        <f t="shared" si="7"/>
        <v>2914</v>
      </c>
      <c r="AN9" s="16">
        <f t="shared" si="8"/>
        <v>311.93103448275861</v>
      </c>
      <c r="AO9" s="16">
        <f t="shared" si="6"/>
        <v>3220.7142857142862</v>
      </c>
      <c r="AP9" s="16">
        <f t="shared" si="9"/>
        <v>2908.7832512315276</v>
      </c>
      <c r="AQ9" s="16">
        <f>'Meal August''21 &amp; Rent Sept 21'!AU8</f>
        <v>-36.126078732788301</v>
      </c>
      <c r="AR9" s="16">
        <f t="shared" si="10"/>
        <v>2944.9093299643159</v>
      </c>
      <c r="AS9" s="8">
        <f>2000+500+120</f>
        <v>2620</v>
      </c>
      <c r="AT9" s="17"/>
      <c r="AU9" s="16">
        <f t="shared" si="11"/>
        <v>-324.90932996431593</v>
      </c>
      <c r="AW9" s="9">
        <v>2000</v>
      </c>
    </row>
    <row r="10" spans="1:51" x14ac:dyDescent="0.3">
      <c r="A10" s="2">
        <v>6</v>
      </c>
      <c r="B10" s="3" t="s">
        <v>7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7">
        <v>0</v>
      </c>
      <c r="Z10" s="7">
        <v>0</v>
      </c>
      <c r="AA10" s="7">
        <v>0</v>
      </c>
      <c r="AB10" s="7">
        <v>0</v>
      </c>
      <c r="AC10" s="7">
        <v>0</v>
      </c>
      <c r="AD10" s="7">
        <v>0</v>
      </c>
      <c r="AE10" s="7">
        <v>0</v>
      </c>
      <c r="AF10" s="7">
        <v>0</v>
      </c>
      <c r="AG10" s="7"/>
      <c r="AH10" s="56">
        <f t="shared" si="5"/>
        <v>0</v>
      </c>
      <c r="AJ10" s="2">
        <v>6</v>
      </c>
      <c r="AK10" s="12" t="s">
        <v>51</v>
      </c>
      <c r="AL10" s="16">
        <f>$AH$9*$E$1</f>
        <v>2207.1120689655172</v>
      </c>
      <c r="AM10" s="16">
        <f t="shared" si="7"/>
        <v>3478</v>
      </c>
      <c r="AN10" s="16">
        <f t="shared" si="8"/>
        <v>1270.8879310344828</v>
      </c>
      <c r="AO10" s="16">
        <f t="shared" si="6"/>
        <v>3220.7142857142862</v>
      </c>
      <c r="AP10" s="16">
        <f t="shared" si="9"/>
        <v>1949.8263546798034</v>
      </c>
      <c r="AQ10" s="16">
        <f>'Meal August''21 &amp; Rent Sept 21'!AU9</f>
        <v>1081.5152774422654</v>
      </c>
      <c r="AR10" s="16">
        <f>AP10-AQ10</f>
        <v>868.31107723753803</v>
      </c>
      <c r="AS10" s="8">
        <f>3000+50</f>
        <v>3050</v>
      </c>
      <c r="AT10" s="17"/>
      <c r="AU10" s="16">
        <f t="shared" si="11"/>
        <v>2181.688922762462</v>
      </c>
    </row>
    <row r="11" spans="1:51" x14ac:dyDescent="0.3">
      <c r="A11" s="2">
        <v>7</v>
      </c>
      <c r="B11" s="3" t="s">
        <v>8</v>
      </c>
      <c r="C11" s="7">
        <v>0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  <c r="S11" s="7">
        <v>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7">
        <v>0</v>
      </c>
      <c r="Z11" s="7">
        <v>0</v>
      </c>
      <c r="AA11" s="7">
        <v>0</v>
      </c>
      <c r="AB11" s="7">
        <v>0</v>
      </c>
      <c r="AC11" s="7">
        <v>0</v>
      </c>
      <c r="AD11" s="7">
        <v>0</v>
      </c>
      <c r="AE11" s="7">
        <v>0</v>
      </c>
      <c r="AF11" s="7">
        <v>0</v>
      </c>
      <c r="AG11" s="7"/>
      <c r="AH11" s="56">
        <f>SUM(C11:AG11)</f>
        <v>0</v>
      </c>
      <c r="AJ11" s="2">
        <v>7</v>
      </c>
      <c r="AK11" s="3" t="s">
        <v>7</v>
      </c>
      <c r="AL11" s="16">
        <f>AH10*$E$1</f>
        <v>0</v>
      </c>
      <c r="AM11" s="16">
        <f t="shared" si="7"/>
        <v>0</v>
      </c>
      <c r="AN11" s="16">
        <f t="shared" si="8"/>
        <v>0</v>
      </c>
      <c r="AO11" s="16">
        <f t="shared" si="6"/>
        <v>0</v>
      </c>
      <c r="AP11" s="16">
        <f t="shared" si="9"/>
        <v>0</v>
      </c>
      <c r="AQ11" s="16">
        <f>'Meal August''21 &amp; Rent Sept 21'!AU10</f>
        <v>-2156.3963758122854</v>
      </c>
      <c r="AR11" s="16">
        <f t="shared" si="10"/>
        <v>2156.3963758122854</v>
      </c>
      <c r="AS11" s="8">
        <v>0</v>
      </c>
      <c r="AT11" s="17"/>
      <c r="AU11" s="16">
        <f t="shared" si="11"/>
        <v>-2156.3963758122854</v>
      </c>
      <c r="AW11">
        <v>0</v>
      </c>
    </row>
    <row r="12" spans="1:51" x14ac:dyDescent="0.3">
      <c r="A12" s="2">
        <v>8</v>
      </c>
      <c r="B12" s="1" t="s">
        <v>110</v>
      </c>
      <c r="C12" s="7">
        <v>1.5</v>
      </c>
      <c r="D12" s="7">
        <v>1.5</v>
      </c>
      <c r="E12" s="7">
        <v>3.5</v>
      </c>
      <c r="F12" s="7">
        <v>5</v>
      </c>
      <c r="G12" s="7">
        <v>1</v>
      </c>
      <c r="H12" s="7">
        <v>1.5</v>
      </c>
      <c r="I12" s="7">
        <v>1.5</v>
      </c>
      <c r="J12" s="7">
        <v>2.5</v>
      </c>
      <c r="K12" s="7">
        <v>1.5</v>
      </c>
      <c r="L12" s="7">
        <v>2.5</v>
      </c>
      <c r="M12" s="7">
        <v>2.5</v>
      </c>
      <c r="N12" s="7">
        <v>2.5</v>
      </c>
      <c r="O12" s="7">
        <v>0.5</v>
      </c>
      <c r="P12" s="7">
        <v>2.5</v>
      </c>
      <c r="Q12" s="7">
        <v>2.5</v>
      </c>
      <c r="R12" s="7">
        <v>2.5</v>
      </c>
      <c r="S12" s="7">
        <v>1</v>
      </c>
      <c r="T12" s="7">
        <v>2</v>
      </c>
      <c r="U12" s="7">
        <v>1</v>
      </c>
      <c r="V12" s="7">
        <v>2.5</v>
      </c>
      <c r="W12" s="7">
        <v>2.5</v>
      </c>
      <c r="X12" s="7">
        <v>2.5</v>
      </c>
      <c r="Y12" s="7">
        <v>3.5</v>
      </c>
      <c r="Z12" s="1">
        <v>5</v>
      </c>
      <c r="AA12" s="1">
        <v>4</v>
      </c>
      <c r="AB12" s="1">
        <v>2</v>
      </c>
      <c r="AC12" s="1">
        <v>4</v>
      </c>
      <c r="AD12" s="1">
        <v>3</v>
      </c>
      <c r="AE12" s="1">
        <v>1.5</v>
      </c>
      <c r="AF12" s="1">
        <v>0.5</v>
      </c>
      <c r="AG12" s="1"/>
      <c r="AH12" s="56">
        <f t="shared" ref="AH12:AH14" si="12">SUM(C12:AG12)</f>
        <v>70</v>
      </c>
      <c r="AJ12" s="2">
        <v>8</v>
      </c>
      <c r="AK12" s="3" t="s">
        <v>8</v>
      </c>
      <c r="AL12" s="16">
        <v>0</v>
      </c>
      <c r="AM12" s="16">
        <f t="shared" si="7"/>
        <v>0</v>
      </c>
      <c r="AN12" s="16">
        <f t="shared" si="8"/>
        <v>0</v>
      </c>
      <c r="AO12" s="16">
        <f t="shared" si="6"/>
        <v>0</v>
      </c>
      <c r="AP12" s="16">
        <f t="shared" si="9"/>
        <v>0</v>
      </c>
      <c r="AQ12" s="16">
        <f>'Meal August''21 &amp; Rent Sept 21'!AU11</f>
        <v>-3008.6115509372958</v>
      </c>
      <c r="AR12" s="16">
        <f t="shared" si="10"/>
        <v>3008.6115509372958</v>
      </c>
      <c r="AS12" s="8">
        <v>0</v>
      </c>
      <c r="AT12" s="17"/>
      <c r="AU12" s="16">
        <f t="shared" si="11"/>
        <v>-3008.6115509372958</v>
      </c>
      <c r="AV12" s="47"/>
      <c r="AW12" s="8">
        <v>0</v>
      </c>
    </row>
    <row r="13" spans="1:51" x14ac:dyDescent="0.3">
      <c r="A13" s="52">
        <v>9</v>
      </c>
      <c r="B13" s="42" t="s">
        <v>105</v>
      </c>
      <c r="C13" s="7">
        <v>1.5</v>
      </c>
      <c r="D13" s="7">
        <v>0</v>
      </c>
      <c r="E13" s="7">
        <v>0</v>
      </c>
      <c r="F13" s="7">
        <v>0</v>
      </c>
      <c r="G13" s="7">
        <v>0</v>
      </c>
      <c r="H13" s="7">
        <v>2</v>
      </c>
      <c r="I13" s="7">
        <v>0</v>
      </c>
      <c r="J13" s="7">
        <v>2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>
        <v>0</v>
      </c>
      <c r="Z13" s="8">
        <v>0</v>
      </c>
      <c r="AA13" s="8">
        <v>0</v>
      </c>
      <c r="AB13" s="8">
        <v>0</v>
      </c>
      <c r="AC13" s="8">
        <v>0</v>
      </c>
      <c r="AD13" s="8">
        <v>1</v>
      </c>
      <c r="AE13" s="8">
        <v>2.5</v>
      </c>
      <c r="AF13" s="8">
        <v>1.5</v>
      </c>
      <c r="AG13" s="8"/>
      <c r="AH13" s="56">
        <f t="shared" si="12"/>
        <v>10.5</v>
      </c>
      <c r="AJ13" s="2">
        <v>9</v>
      </c>
      <c r="AK13" s="12" t="s">
        <v>104</v>
      </c>
      <c r="AL13" s="16">
        <f>AH12*E1</f>
        <v>3252.5862068965516</v>
      </c>
      <c r="AM13" s="16">
        <f t="shared" si="7"/>
        <v>2533</v>
      </c>
      <c r="AN13" s="16">
        <f t="shared" si="8"/>
        <v>-719.58620689655163</v>
      </c>
      <c r="AO13" s="16">
        <f t="shared" si="6"/>
        <v>3970.7142857142862</v>
      </c>
      <c r="AP13" s="16">
        <f t="shared" si="9"/>
        <v>4690.3004926108379</v>
      </c>
      <c r="AQ13" s="16">
        <f>'Meal August''21 &amp; Rent Sept 21'!AU12</f>
        <v>1.6959787200758001</v>
      </c>
      <c r="AR13" s="16">
        <f t="shared" si="10"/>
        <v>4688.6045138907621</v>
      </c>
      <c r="AS13" s="8">
        <v>4400</v>
      </c>
      <c r="AT13" s="17"/>
      <c r="AU13" s="8">
        <f t="shared" si="11"/>
        <v>-288.60451389076206</v>
      </c>
      <c r="AV13" s="9"/>
      <c r="AW13" s="16">
        <v>4400</v>
      </c>
    </row>
    <row r="14" spans="1:51" x14ac:dyDescent="0.3">
      <c r="A14" s="52">
        <v>10</v>
      </c>
      <c r="B14" s="42" t="s">
        <v>111</v>
      </c>
      <c r="C14" s="7">
        <v>0</v>
      </c>
      <c r="D14" s="7">
        <v>0</v>
      </c>
      <c r="E14" s="7">
        <v>0</v>
      </c>
      <c r="F14" s="7">
        <v>0</v>
      </c>
      <c r="G14" s="7">
        <v>1</v>
      </c>
      <c r="H14" s="7">
        <v>7</v>
      </c>
      <c r="I14" s="7">
        <v>1</v>
      </c>
      <c r="J14" s="7">
        <v>1</v>
      </c>
      <c r="K14" s="7">
        <v>1</v>
      </c>
      <c r="L14" s="7">
        <v>0</v>
      </c>
      <c r="M14" s="7">
        <v>1</v>
      </c>
      <c r="N14" s="7">
        <v>1.5</v>
      </c>
      <c r="O14" s="7">
        <v>1.5</v>
      </c>
      <c r="P14" s="7">
        <v>1</v>
      </c>
      <c r="Q14" s="7">
        <v>1.5</v>
      </c>
      <c r="R14" s="7">
        <v>2.5</v>
      </c>
      <c r="S14" s="7">
        <v>1.5</v>
      </c>
      <c r="T14" s="7">
        <v>1</v>
      </c>
      <c r="U14" s="7">
        <v>1</v>
      </c>
      <c r="V14" s="7">
        <v>1</v>
      </c>
      <c r="W14" s="7">
        <v>1</v>
      </c>
      <c r="X14" s="7">
        <v>2</v>
      </c>
      <c r="Y14" s="7">
        <v>2.5</v>
      </c>
      <c r="Z14" s="7">
        <v>2.5</v>
      </c>
      <c r="AA14" s="7">
        <v>2.5</v>
      </c>
      <c r="AB14" s="7">
        <v>1.5</v>
      </c>
      <c r="AC14" s="7">
        <v>1</v>
      </c>
      <c r="AD14" s="7">
        <v>1</v>
      </c>
      <c r="AE14" s="7">
        <v>1.5</v>
      </c>
      <c r="AF14" s="7">
        <v>0.5</v>
      </c>
      <c r="AG14" s="8"/>
      <c r="AH14" s="56">
        <f t="shared" si="12"/>
        <v>40.5</v>
      </c>
      <c r="AJ14" s="2">
        <v>10</v>
      </c>
      <c r="AK14" s="12" t="s">
        <v>105</v>
      </c>
      <c r="AL14" s="16">
        <f>AH13*E1</f>
        <v>487.88793103448273</v>
      </c>
      <c r="AM14" s="16">
        <f t="shared" si="7"/>
        <v>1200</v>
      </c>
      <c r="AN14" s="16">
        <f t="shared" si="8"/>
        <v>712.11206896551721</v>
      </c>
      <c r="AO14" s="16">
        <f t="shared" si="6"/>
        <v>3970.7142857142862</v>
      </c>
      <c r="AP14" s="16">
        <f t="shared" si="9"/>
        <v>3258.602216748769</v>
      </c>
      <c r="AQ14" s="16">
        <f>'Meal August''21 &amp; Rent Sept 21'!AU13</f>
        <v>0.24581442653789054</v>
      </c>
      <c r="AR14" s="16">
        <f t="shared" si="10"/>
        <v>3258.3564023222311</v>
      </c>
      <c r="AS14" s="16">
        <v>3500</v>
      </c>
      <c r="AT14" s="17"/>
      <c r="AU14" s="16">
        <f t="shared" si="11"/>
        <v>241.64359767776887</v>
      </c>
      <c r="AV14" s="9"/>
      <c r="AW14" s="39">
        <v>3500</v>
      </c>
    </row>
    <row r="15" spans="1:51" x14ac:dyDescent="0.3">
      <c r="A15" s="36"/>
      <c r="B15" s="36"/>
      <c r="C15" s="55">
        <f>SUM(C5:C14)</f>
        <v>13</v>
      </c>
      <c r="D15" s="55">
        <f t="shared" ref="D15:AG15" si="13">SUM(D5:D14)</f>
        <v>11</v>
      </c>
      <c r="E15" s="55">
        <f t="shared" si="13"/>
        <v>8.5</v>
      </c>
      <c r="F15" s="55">
        <f t="shared" si="13"/>
        <v>16.5</v>
      </c>
      <c r="G15" s="55">
        <f t="shared" si="13"/>
        <v>7</v>
      </c>
      <c r="H15" s="55">
        <f t="shared" si="13"/>
        <v>19</v>
      </c>
      <c r="I15" s="55">
        <f t="shared" si="13"/>
        <v>12</v>
      </c>
      <c r="J15" s="55">
        <f t="shared" si="13"/>
        <v>15</v>
      </c>
      <c r="K15" s="55">
        <f t="shared" si="13"/>
        <v>10</v>
      </c>
      <c r="L15" s="55">
        <f t="shared" si="13"/>
        <v>13.5</v>
      </c>
      <c r="M15" s="55">
        <f t="shared" si="13"/>
        <v>14.5</v>
      </c>
      <c r="N15" s="55">
        <f t="shared" si="13"/>
        <v>15.5</v>
      </c>
      <c r="O15" s="55">
        <f t="shared" si="13"/>
        <v>11.5</v>
      </c>
      <c r="P15" s="55">
        <f t="shared" si="13"/>
        <v>11.5</v>
      </c>
      <c r="Q15" s="55">
        <f t="shared" si="13"/>
        <v>14</v>
      </c>
      <c r="R15" s="55">
        <f t="shared" si="13"/>
        <v>13.5</v>
      </c>
      <c r="S15" s="55">
        <f t="shared" si="13"/>
        <v>11</v>
      </c>
      <c r="T15" s="55">
        <f t="shared" si="13"/>
        <v>14.5</v>
      </c>
      <c r="U15" s="55">
        <f t="shared" si="13"/>
        <v>6</v>
      </c>
      <c r="V15" s="55">
        <f t="shared" si="13"/>
        <v>11.5</v>
      </c>
      <c r="W15" s="55">
        <f t="shared" si="13"/>
        <v>13</v>
      </c>
      <c r="X15" s="55">
        <f t="shared" si="13"/>
        <v>15</v>
      </c>
      <c r="Y15" s="55">
        <f t="shared" si="13"/>
        <v>18</v>
      </c>
      <c r="Z15" s="55">
        <f t="shared" si="13"/>
        <v>22.5</v>
      </c>
      <c r="AA15" s="55">
        <f t="shared" si="13"/>
        <v>21</v>
      </c>
      <c r="AB15" s="55">
        <f t="shared" si="13"/>
        <v>16.5</v>
      </c>
      <c r="AC15" s="55">
        <f t="shared" si="13"/>
        <v>14</v>
      </c>
      <c r="AD15" s="55">
        <f t="shared" si="13"/>
        <v>15</v>
      </c>
      <c r="AE15" s="55">
        <f t="shared" si="13"/>
        <v>15</v>
      </c>
      <c r="AF15" s="55">
        <f t="shared" si="13"/>
        <v>7</v>
      </c>
      <c r="AG15" s="55">
        <f t="shared" si="13"/>
        <v>0</v>
      </c>
      <c r="AH15" s="55">
        <f>SUM(AH5:AH14)</f>
        <v>406</v>
      </c>
      <c r="AJ15" s="57"/>
      <c r="AK15" s="58"/>
      <c r="AL15" s="16"/>
      <c r="AM15" s="16"/>
      <c r="AN15" s="16"/>
      <c r="AO15" s="16"/>
      <c r="AP15" s="16"/>
      <c r="AQ15" s="16"/>
      <c r="AR15" s="16"/>
      <c r="AS15" s="16"/>
      <c r="AT15" s="17"/>
      <c r="AU15" s="16"/>
      <c r="AV15" s="9"/>
      <c r="AW15" s="44">
        <f>SUM(AW5:AW14)</f>
        <v>21900</v>
      </c>
    </row>
    <row r="16" spans="1:51" x14ac:dyDescent="0.3">
      <c r="A16" s="36"/>
      <c r="B16" s="36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37"/>
      <c r="AF16" s="37"/>
      <c r="AG16" s="37"/>
      <c r="AH16" s="37"/>
      <c r="AL16" s="51">
        <f>SUM(AL5:AL14)</f>
        <v>18864.999999999996</v>
      </c>
      <c r="AM16" s="51">
        <f t="shared" ref="AM16:AQ16" si="14">SUM(AM5:AM14)</f>
        <v>18865</v>
      </c>
      <c r="AN16" s="51">
        <f>SUM(AN5:AN14)</f>
        <v>0</v>
      </c>
      <c r="AO16" s="51">
        <f t="shared" si="14"/>
        <v>26045</v>
      </c>
      <c r="AP16" s="51">
        <f t="shared" si="14"/>
        <v>26045</v>
      </c>
      <c r="AQ16" s="51">
        <f t="shared" si="14"/>
        <v>-3207.8879969463928</v>
      </c>
      <c r="AR16" s="51">
        <f>AP16-AQ16+$AW$4</f>
        <v>29252.887996946392</v>
      </c>
      <c r="AS16" s="51">
        <f>SUM(AS5:AS14)</f>
        <v>25880</v>
      </c>
      <c r="AT16" s="51"/>
      <c r="AU16" s="51">
        <f>SUM(AU5:AU14)</f>
        <v>-3372.8879969463947</v>
      </c>
      <c r="AV16" s="9"/>
      <c r="AW16" s="9"/>
      <c r="AX16" s="44" t="s">
        <v>88</v>
      </c>
      <c r="AY16" s="9"/>
    </row>
    <row r="17" spans="1:63" x14ac:dyDescent="0.3">
      <c r="B17" s="10" t="s">
        <v>113</v>
      </c>
      <c r="AL17" s="38"/>
      <c r="AM17" s="39"/>
      <c r="AN17" s="39"/>
      <c r="AO17" s="39"/>
      <c r="AP17" s="39"/>
      <c r="AQ17" s="39"/>
      <c r="AR17" s="38"/>
      <c r="AS17" s="39"/>
      <c r="AT17" s="39"/>
      <c r="AU17" s="39"/>
      <c r="AV17" s="9"/>
      <c r="AX17" s="1" t="s">
        <v>89</v>
      </c>
      <c r="AY17" s="1" t="s">
        <v>95</v>
      </c>
    </row>
    <row r="18" spans="1:63" x14ac:dyDescent="0.3">
      <c r="A18" s="2">
        <v>1</v>
      </c>
      <c r="B18" s="3" t="s">
        <v>4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  <c r="T18" s="8">
        <v>0</v>
      </c>
      <c r="U18" s="8">
        <v>0</v>
      </c>
      <c r="V18" s="8">
        <v>0</v>
      </c>
      <c r="W18" s="8">
        <v>1670</v>
      </c>
      <c r="X18" s="8">
        <v>1015</v>
      </c>
      <c r="Y18" s="8">
        <v>0</v>
      </c>
      <c r="Z18" s="8">
        <v>0</v>
      </c>
      <c r="AA18" s="8">
        <v>0</v>
      </c>
      <c r="AB18" s="8">
        <v>0</v>
      </c>
      <c r="AC18" s="8">
        <v>0</v>
      </c>
      <c r="AD18" s="8">
        <v>0</v>
      </c>
      <c r="AE18" s="8">
        <v>0</v>
      </c>
      <c r="AF18" s="8">
        <v>0</v>
      </c>
      <c r="AG18" s="8">
        <v>0</v>
      </c>
      <c r="AH18" s="8">
        <f>SUM(C18:AG18)</f>
        <v>2685</v>
      </c>
      <c r="AL18" s="25"/>
      <c r="AR18" s="9"/>
      <c r="AT18" s="1"/>
      <c r="AU18" s="8"/>
      <c r="AX18" s="1" t="s">
        <v>107</v>
      </c>
      <c r="AY18" s="16">
        <f>O48</f>
        <v>22375.000000000004</v>
      </c>
      <c r="BI18" s="1" t="s">
        <v>96</v>
      </c>
      <c r="BJ18" s="1"/>
      <c r="BK18" s="1"/>
    </row>
    <row r="19" spans="1:63" x14ac:dyDescent="0.3">
      <c r="A19" s="2">
        <v>2</v>
      </c>
      <c r="B19" s="3" t="s">
        <v>5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2190</v>
      </c>
      <c r="R19" s="8">
        <v>0</v>
      </c>
      <c r="S19" s="8">
        <v>790</v>
      </c>
      <c r="T19" s="8">
        <v>390</v>
      </c>
      <c r="U19" s="8">
        <v>0</v>
      </c>
      <c r="V19" s="8">
        <v>360</v>
      </c>
      <c r="W19" s="8">
        <v>0</v>
      </c>
      <c r="X19" s="8">
        <v>0</v>
      </c>
      <c r="Y19" s="8">
        <v>0</v>
      </c>
      <c r="Z19" s="8">
        <v>0</v>
      </c>
      <c r="AA19" s="8">
        <v>0</v>
      </c>
      <c r="AB19" s="8">
        <v>0</v>
      </c>
      <c r="AC19" s="8">
        <v>0</v>
      </c>
      <c r="AD19" s="8">
        <v>0</v>
      </c>
      <c r="AE19" s="8">
        <v>0</v>
      </c>
      <c r="AF19" s="8">
        <v>0</v>
      </c>
      <c r="AG19" s="8">
        <v>0</v>
      </c>
      <c r="AH19" s="8">
        <f t="shared" ref="AH19:AH27" si="15">SUM(C19:AG19)</f>
        <v>3730</v>
      </c>
      <c r="AR19" s="25"/>
      <c r="AT19" s="42"/>
      <c r="AU19" s="8"/>
      <c r="AV19" s="25"/>
      <c r="AX19" s="1" t="s">
        <v>91</v>
      </c>
      <c r="AY19" s="16">
        <f>-AQ16</f>
        <v>3207.8879969463928</v>
      </c>
      <c r="BI19" s="1" t="s">
        <v>97</v>
      </c>
      <c r="BJ19" s="1">
        <v>4000</v>
      </c>
      <c r="BK19" s="1"/>
    </row>
    <row r="20" spans="1:63" x14ac:dyDescent="0.3">
      <c r="A20" s="2">
        <v>3</v>
      </c>
      <c r="B20" s="3" t="s">
        <v>6</v>
      </c>
      <c r="C20" s="8">
        <v>805</v>
      </c>
      <c r="D20" s="8">
        <v>350</v>
      </c>
      <c r="E20" s="8">
        <v>385</v>
      </c>
      <c r="F20" s="8">
        <v>390</v>
      </c>
      <c r="G20" s="8">
        <v>0</v>
      </c>
      <c r="H20" s="8">
        <v>0</v>
      </c>
      <c r="I20" s="8">
        <v>150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  <c r="S20" s="8">
        <v>0</v>
      </c>
      <c r="T20" s="8">
        <v>0</v>
      </c>
      <c r="U20" s="8">
        <v>0</v>
      </c>
      <c r="V20" s="8">
        <v>0</v>
      </c>
      <c r="W20" s="8">
        <v>0</v>
      </c>
      <c r="X20" s="8">
        <v>0</v>
      </c>
      <c r="Y20" s="8">
        <v>0</v>
      </c>
      <c r="Z20" s="8">
        <v>0</v>
      </c>
      <c r="AA20" s="8">
        <v>0</v>
      </c>
      <c r="AB20" s="8">
        <v>0</v>
      </c>
      <c r="AC20" s="8">
        <v>245</v>
      </c>
      <c r="AD20" s="8">
        <v>0</v>
      </c>
      <c r="AE20" s="8">
        <v>0</v>
      </c>
      <c r="AF20" s="8">
        <v>0</v>
      </c>
      <c r="AG20" s="8">
        <v>0</v>
      </c>
      <c r="AH20" s="8">
        <f t="shared" si="15"/>
        <v>2325</v>
      </c>
      <c r="AV20" s="25"/>
      <c r="AX20" s="1"/>
      <c r="AY20" s="16">
        <f>SUM(AY18:AY19)</f>
        <v>25582.887996946396</v>
      </c>
      <c r="BI20" s="1" t="s">
        <v>36</v>
      </c>
      <c r="BJ20" s="1">
        <f>BJ19/6</f>
        <v>666.66666666666663</v>
      </c>
      <c r="BK20" s="1">
        <f>BJ20*5</f>
        <v>3333.333333333333</v>
      </c>
    </row>
    <row r="21" spans="1:63" x14ac:dyDescent="0.3">
      <c r="A21" s="2">
        <v>4</v>
      </c>
      <c r="B21" s="3" t="s">
        <v>57</v>
      </c>
      <c r="C21" s="8">
        <v>0</v>
      </c>
      <c r="D21" s="8">
        <v>0</v>
      </c>
      <c r="E21" s="8">
        <v>0</v>
      </c>
      <c r="F21" s="8">
        <v>0</v>
      </c>
      <c r="G21" s="8">
        <v>1454</v>
      </c>
      <c r="H21" s="8">
        <v>890</v>
      </c>
      <c r="I21" s="8">
        <v>0</v>
      </c>
      <c r="J21" s="8">
        <v>380</v>
      </c>
      <c r="K21" s="8">
        <v>190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8">
        <v>0</v>
      </c>
      <c r="T21" s="8">
        <v>0</v>
      </c>
      <c r="U21" s="8">
        <v>0</v>
      </c>
      <c r="V21" s="8">
        <v>0</v>
      </c>
      <c r="W21" s="8">
        <v>0</v>
      </c>
      <c r="X21" s="8">
        <v>0</v>
      </c>
      <c r="Y21" s="8">
        <v>0</v>
      </c>
      <c r="Z21" s="8">
        <v>0</v>
      </c>
      <c r="AA21" s="8">
        <v>0</v>
      </c>
      <c r="AB21" s="8">
        <v>0</v>
      </c>
      <c r="AC21" s="8">
        <v>0</v>
      </c>
      <c r="AD21" s="8">
        <v>0</v>
      </c>
      <c r="AE21" s="8">
        <v>0</v>
      </c>
      <c r="AF21" s="8">
        <v>0</v>
      </c>
      <c r="AG21" s="8">
        <v>0</v>
      </c>
      <c r="AH21" s="8">
        <f t="shared" si="15"/>
        <v>2914</v>
      </c>
      <c r="AR21" s="25"/>
      <c r="AT21" s="15"/>
      <c r="AU21" s="8"/>
      <c r="BA21" s="9">
        <v>4547</v>
      </c>
      <c r="BI21" s="1" t="s">
        <v>37</v>
      </c>
      <c r="BJ21" s="1"/>
      <c r="BK21" s="1"/>
    </row>
    <row r="22" spans="1:63" x14ac:dyDescent="0.3">
      <c r="A22" s="2">
        <v>5</v>
      </c>
      <c r="B22" s="12" t="s">
        <v>51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2165</v>
      </c>
      <c r="M22" s="8">
        <v>880</v>
      </c>
      <c r="N22" s="8">
        <v>0</v>
      </c>
      <c r="O22" s="8">
        <v>393</v>
      </c>
      <c r="P22" s="8">
        <v>40</v>
      </c>
      <c r="Q22" s="8">
        <v>0</v>
      </c>
      <c r="R22" s="8">
        <v>0</v>
      </c>
      <c r="S22" s="8">
        <v>0</v>
      </c>
      <c r="T22" s="8">
        <v>0</v>
      </c>
      <c r="U22" s="8">
        <v>0</v>
      </c>
      <c r="V22" s="8">
        <v>0</v>
      </c>
      <c r="W22" s="8">
        <v>0</v>
      </c>
      <c r="X22" s="8">
        <v>0</v>
      </c>
      <c r="Y22" s="8">
        <v>0</v>
      </c>
      <c r="Z22" s="8">
        <v>0</v>
      </c>
      <c r="AA22" s="8">
        <v>0</v>
      </c>
      <c r="AB22" s="8">
        <v>0</v>
      </c>
      <c r="AC22" s="8">
        <v>0</v>
      </c>
      <c r="AD22" s="8">
        <v>0</v>
      </c>
      <c r="AE22" s="8">
        <v>0</v>
      </c>
      <c r="AF22" s="8">
        <v>0</v>
      </c>
      <c r="AG22" s="8">
        <v>0</v>
      </c>
      <c r="AH22" s="8">
        <f t="shared" si="15"/>
        <v>3478</v>
      </c>
      <c r="AR22" s="25"/>
      <c r="AX22" s="1" t="s">
        <v>92</v>
      </c>
      <c r="AY22" s="1"/>
      <c r="BA22" s="9">
        <f>AY18+BA21</f>
        <v>26922.000000000004</v>
      </c>
      <c r="BI22" s="1" t="s">
        <v>98</v>
      </c>
      <c r="BJ22" s="1">
        <f>$BJ$20</f>
        <v>666.66666666666663</v>
      </c>
      <c r="BK22" s="1"/>
    </row>
    <row r="23" spans="1:63" x14ac:dyDescent="0.3">
      <c r="A23" s="2">
        <v>6</v>
      </c>
      <c r="B23" s="3" t="s">
        <v>7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8">
        <v>0</v>
      </c>
      <c r="O23" s="8">
        <v>0</v>
      </c>
      <c r="P23" s="8">
        <v>0</v>
      </c>
      <c r="Q23" s="8">
        <v>0</v>
      </c>
      <c r="R23" s="8">
        <v>0</v>
      </c>
      <c r="S23" s="8">
        <v>0</v>
      </c>
      <c r="T23" s="8">
        <v>0</v>
      </c>
      <c r="U23" s="8">
        <v>0</v>
      </c>
      <c r="V23" s="8">
        <v>0</v>
      </c>
      <c r="W23" s="8">
        <v>0</v>
      </c>
      <c r="X23" s="8">
        <v>0</v>
      </c>
      <c r="Y23" s="8">
        <v>0</v>
      </c>
      <c r="Z23" s="8">
        <v>0</v>
      </c>
      <c r="AA23" s="8">
        <v>0</v>
      </c>
      <c r="AB23" s="8">
        <v>0</v>
      </c>
      <c r="AC23" s="8">
        <v>0</v>
      </c>
      <c r="AD23" s="8">
        <v>0</v>
      </c>
      <c r="AE23" s="8">
        <v>0</v>
      </c>
      <c r="AF23" s="8">
        <v>0</v>
      </c>
      <c r="AG23" s="8">
        <v>0</v>
      </c>
      <c r="AH23" s="8">
        <f t="shared" si="15"/>
        <v>0</v>
      </c>
      <c r="AV23" s="25"/>
      <c r="AX23" s="1" t="s">
        <v>93</v>
      </c>
      <c r="AY23" s="16">
        <f>-AU16</f>
        <v>3372.8879969463947</v>
      </c>
      <c r="BI23" s="1" t="s">
        <v>49</v>
      </c>
      <c r="BJ23" s="1">
        <f>$BJ$20</f>
        <v>666.66666666666663</v>
      </c>
      <c r="BK23" s="1"/>
    </row>
    <row r="24" spans="1:63" x14ac:dyDescent="0.3">
      <c r="A24" s="2">
        <v>7</v>
      </c>
      <c r="B24" s="3" t="s">
        <v>8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  <c r="N24" s="8">
        <v>0</v>
      </c>
      <c r="O24" s="8">
        <v>0</v>
      </c>
      <c r="P24" s="8">
        <v>0</v>
      </c>
      <c r="Q24" s="8">
        <v>0</v>
      </c>
      <c r="R24" s="8">
        <v>0</v>
      </c>
      <c r="S24" s="8">
        <v>0</v>
      </c>
      <c r="T24" s="8">
        <v>0</v>
      </c>
      <c r="U24" s="8">
        <v>0</v>
      </c>
      <c r="V24" s="8">
        <v>0</v>
      </c>
      <c r="W24" s="8">
        <v>0</v>
      </c>
      <c r="X24" s="8">
        <v>0</v>
      </c>
      <c r="Y24" s="8">
        <v>0</v>
      </c>
      <c r="Z24" s="8">
        <v>0</v>
      </c>
      <c r="AA24" s="8">
        <v>0</v>
      </c>
      <c r="AB24" s="8">
        <v>0</v>
      </c>
      <c r="AC24" s="8">
        <v>0</v>
      </c>
      <c r="AD24" s="8">
        <v>0</v>
      </c>
      <c r="AE24" s="8">
        <v>0</v>
      </c>
      <c r="AF24" s="8">
        <v>0</v>
      </c>
      <c r="AG24" s="8">
        <v>0</v>
      </c>
      <c r="AH24" s="8">
        <f t="shared" si="15"/>
        <v>0</v>
      </c>
      <c r="AX24" s="1" t="s">
        <v>94</v>
      </c>
      <c r="AY24" s="1">
        <v>2000</v>
      </c>
      <c r="BI24" s="1" t="s">
        <v>38</v>
      </c>
      <c r="BJ24" s="1">
        <f>$BJ$20</f>
        <v>666.66666666666663</v>
      </c>
      <c r="BK24" s="1"/>
    </row>
    <row r="25" spans="1:63" x14ac:dyDescent="0.3">
      <c r="A25" s="52">
        <v>8</v>
      </c>
      <c r="B25" s="1" t="s">
        <v>110</v>
      </c>
      <c r="C25" s="8">
        <v>0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  <c r="K25" s="8">
        <v>0</v>
      </c>
      <c r="L25" s="8">
        <v>0</v>
      </c>
      <c r="M25" s="8">
        <v>0</v>
      </c>
      <c r="N25" s="8">
        <v>0</v>
      </c>
      <c r="O25" s="8">
        <v>0</v>
      </c>
      <c r="P25" s="8">
        <v>0</v>
      </c>
      <c r="Q25" s="8">
        <v>0</v>
      </c>
      <c r="R25" s="8">
        <v>0</v>
      </c>
      <c r="S25" s="8">
        <v>0</v>
      </c>
      <c r="T25" s="8">
        <v>0</v>
      </c>
      <c r="U25" s="8">
        <v>0</v>
      </c>
      <c r="V25" s="8">
        <v>0</v>
      </c>
      <c r="W25" s="8">
        <v>0</v>
      </c>
      <c r="X25" s="8">
        <v>0</v>
      </c>
      <c r="Y25" s="8">
        <v>0</v>
      </c>
      <c r="Z25" s="8">
        <v>0</v>
      </c>
      <c r="AA25" s="8">
        <v>2233</v>
      </c>
      <c r="AB25" s="8">
        <v>300</v>
      </c>
      <c r="AC25" s="8">
        <v>0</v>
      </c>
      <c r="AD25" s="8">
        <v>0</v>
      </c>
      <c r="AE25" s="8">
        <v>0</v>
      </c>
      <c r="AF25" s="8">
        <v>0</v>
      </c>
      <c r="AG25" s="8">
        <v>0</v>
      </c>
      <c r="AH25" s="8">
        <f t="shared" si="15"/>
        <v>2533</v>
      </c>
      <c r="AX25" s="1"/>
      <c r="AY25" s="16">
        <f>SUM(AY23:AY24)</f>
        <v>5372.8879969463942</v>
      </c>
      <c r="BI25" s="1" t="s">
        <v>99</v>
      </c>
      <c r="BJ25" s="1">
        <f>$BJ$20</f>
        <v>666.66666666666663</v>
      </c>
      <c r="BK25" s="1"/>
    </row>
    <row r="26" spans="1:63" x14ac:dyDescent="0.3">
      <c r="A26" s="52">
        <v>9</v>
      </c>
      <c r="B26" s="42" t="s">
        <v>105</v>
      </c>
      <c r="C26" s="8">
        <v>0</v>
      </c>
      <c r="D26" s="8">
        <v>0</v>
      </c>
      <c r="E26" s="8">
        <v>0</v>
      </c>
      <c r="F26" s="8">
        <v>0</v>
      </c>
      <c r="G26" s="8">
        <v>0</v>
      </c>
      <c r="H26" s="8">
        <v>0</v>
      </c>
      <c r="I26" s="8">
        <v>0</v>
      </c>
      <c r="J26" s="8">
        <v>0</v>
      </c>
      <c r="K26" s="8">
        <v>0</v>
      </c>
      <c r="L26" s="8">
        <v>0</v>
      </c>
      <c r="M26" s="8">
        <v>0</v>
      </c>
      <c r="N26" s="8">
        <v>0</v>
      </c>
      <c r="O26" s="8">
        <v>0</v>
      </c>
      <c r="P26" s="8">
        <v>0</v>
      </c>
      <c r="Q26" s="8">
        <v>0</v>
      </c>
      <c r="R26" s="8">
        <v>0</v>
      </c>
      <c r="S26" s="8">
        <v>0</v>
      </c>
      <c r="T26" s="8">
        <v>0</v>
      </c>
      <c r="U26" s="8">
        <v>0</v>
      </c>
      <c r="V26" s="8">
        <v>0</v>
      </c>
      <c r="W26" s="8">
        <v>0</v>
      </c>
      <c r="X26" s="8">
        <v>0</v>
      </c>
      <c r="Y26" s="8">
        <v>0</v>
      </c>
      <c r="Z26" s="8">
        <v>0</v>
      </c>
      <c r="AA26" s="8">
        <v>0</v>
      </c>
      <c r="AB26" s="8">
        <v>0</v>
      </c>
      <c r="AC26" s="8">
        <v>0</v>
      </c>
      <c r="AD26" s="8">
        <v>350</v>
      </c>
      <c r="AE26" s="8">
        <v>510</v>
      </c>
      <c r="AF26" s="8">
        <v>340</v>
      </c>
      <c r="AG26" s="8">
        <v>0</v>
      </c>
      <c r="AH26" s="8">
        <f t="shared" si="15"/>
        <v>1200</v>
      </c>
      <c r="BI26" s="1" t="s">
        <v>40</v>
      </c>
      <c r="BJ26" s="1">
        <f>$BJ$20</f>
        <v>666.66666666666663</v>
      </c>
      <c r="BK26" s="1"/>
    </row>
    <row r="27" spans="1:63" x14ac:dyDescent="0.3">
      <c r="A27" s="52">
        <v>10</v>
      </c>
      <c r="B27" s="42" t="s">
        <v>111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  <c r="K27" s="8">
        <v>0</v>
      </c>
      <c r="L27" s="8">
        <v>0</v>
      </c>
      <c r="M27" s="8">
        <v>0</v>
      </c>
      <c r="N27" s="8">
        <v>0</v>
      </c>
      <c r="O27" s="8">
        <v>0</v>
      </c>
      <c r="P27" s="8">
        <v>0</v>
      </c>
      <c r="Q27" s="8">
        <v>0</v>
      </c>
      <c r="R27" s="8">
        <v>0</v>
      </c>
      <c r="S27" s="8">
        <v>0</v>
      </c>
      <c r="T27" s="8">
        <v>0</v>
      </c>
      <c r="U27" s="8">
        <v>0</v>
      </c>
      <c r="V27" s="8">
        <v>0</v>
      </c>
      <c r="W27" s="8">
        <v>0</v>
      </c>
      <c r="X27" s="8">
        <v>0</v>
      </c>
      <c r="Y27" s="8">
        <v>0</v>
      </c>
      <c r="Z27" s="8">
        <v>0</v>
      </c>
      <c r="AA27" s="8">
        <v>0</v>
      </c>
      <c r="AB27" s="8">
        <v>0</v>
      </c>
      <c r="AC27" s="8">
        <v>0</v>
      </c>
      <c r="AD27" s="8">
        <v>0</v>
      </c>
      <c r="AE27" s="8">
        <v>0</v>
      </c>
      <c r="AF27" s="8">
        <v>0</v>
      </c>
      <c r="AG27" s="8">
        <v>0</v>
      </c>
      <c r="AH27" s="8">
        <f t="shared" si="15"/>
        <v>0</v>
      </c>
      <c r="BI27" s="1"/>
      <c r="BJ27" s="1"/>
      <c r="BK27" s="1"/>
    </row>
    <row r="28" spans="1:63" x14ac:dyDescent="0.3">
      <c r="AH28" s="51">
        <f>SUM(AH18:AH27)</f>
        <v>18865</v>
      </c>
      <c r="AX28" t="s">
        <v>100</v>
      </c>
      <c r="BI28" s="1"/>
      <c r="BJ28" s="1">
        <f>SUM(BJ22:BJ26)</f>
        <v>3333.333333333333</v>
      </c>
      <c r="BK28" s="1"/>
    </row>
    <row r="29" spans="1:63" x14ac:dyDescent="0.3">
      <c r="AX29" t="s">
        <v>90</v>
      </c>
      <c r="AY29" s="47">
        <v>23773</v>
      </c>
    </row>
    <row r="30" spans="1:63" x14ac:dyDescent="0.3">
      <c r="A30" s="4"/>
      <c r="B30" s="13" t="s">
        <v>87</v>
      </c>
      <c r="C30" s="4" t="s">
        <v>11</v>
      </c>
      <c r="D30" s="4" t="s">
        <v>12</v>
      </c>
      <c r="E30" s="4" t="s">
        <v>13</v>
      </c>
      <c r="F30" s="4" t="s">
        <v>14</v>
      </c>
      <c r="G30" s="4" t="s">
        <v>15</v>
      </c>
      <c r="H30" s="4" t="s">
        <v>16</v>
      </c>
      <c r="I30" s="4" t="s">
        <v>17</v>
      </c>
      <c r="J30" s="4" t="s">
        <v>18</v>
      </c>
      <c r="K30" s="4" t="s">
        <v>19</v>
      </c>
      <c r="L30" s="4" t="s">
        <v>20</v>
      </c>
      <c r="M30" s="4" t="s">
        <v>21</v>
      </c>
      <c r="N30" s="4" t="s">
        <v>22</v>
      </c>
      <c r="AX30" t="s">
        <v>91</v>
      </c>
      <c r="AY30" s="47">
        <v>10374</v>
      </c>
    </row>
    <row r="31" spans="1:63" x14ac:dyDescent="0.3">
      <c r="A31" s="2">
        <v>1</v>
      </c>
      <c r="B31" s="12" t="s">
        <v>4</v>
      </c>
      <c r="C31" s="8">
        <v>0</v>
      </c>
      <c r="D31" s="8">
        <f>$D$41/7</f>
        <v>428.57142857142856</v>
      </c>
      <c r="E31" s="8">
        <f>$E$41/7</f>
        <v>0</v>
      </c>
      <c r="F31" s="8">
        <f>$F$41/7</f>
        <v>71.428571428571431</v>
      </c>
      <c r="G31" s="8">
        <f>$G$41/7</f>
        <v>139.28571428571428</v>
      </c>
      <c r="H31" s="8">
        <f>$H$41/7</f>
        <v>235.71428571428572</v>
      </c>
      <c r="I31" s="8">
        <f>$I$41/7</f>
        <v>214.28571428571428</v>
      </c>
      <c r="J31" s="8">
        <f>$J$41/7</f>
        <v>35.714285714285715</v>
      </c>
      <c r="K31" s="8">
        <f>$K$41/6</f>
        <v>0</v>
      </c>
      <c r="L31" s="8">
        <f>$L$41/7</f>
        <v>17.142857142857142</v>
      </c>
      <c r="M31" s="8">
        <v>0</v>
      </c>
      <c r="N31" s="8">
        <f>SUM(C31:M31)</f>
        <v>1142.1428571428571</v>
      </c>
      <c r="AY31" s="47">
        <f>SUM(AY29:AY30)</f>
        <v>34147</v>
      </c>
    </row>
    <row r="32" spans="1:63" x14ac:dyDescent="0.3">
      <c r="A32" s="2">
        <v>2</v>
      </c>
      <c r="B32" s="12" t="s">
        <v>5</v>
      </c>
      <c r="C32" s="8">
        <f>H44</f>
        <v>3071.4285714285716</v>
      </c>
      <c r="D32" s="8">
        <f>$D$41/7</f>
        <v>428.57142857142856</v>
      </c>
      <c r="E32" s="8">
        <f>$E$41/7</f>
        <v>0</v>
      </c>
      <c r="F32" s="8">
        <f>$F$41/7</f>
        <v>71.428571428571431</v>
      </c>
      <c r="G32" s="8">
        <f>$G$41/7</f>
        <v>139.28571428571428</v>
      </c>
      <c r="H32" s="8">
        <f>$H$41/7</f>
        <v>235.71428571428572</v>
      </c>
      <c r="I32" s="8">
        <f>$I$41/7</f>
        <v>214.28571428571428</v>
      </c>
      <c r="J32" s="8">
        <f>$J$41/7</f>
        <v>35.714285714285715</v>
      </c>
      <c r="K32" s="8">
        <f>$K$41/6</f>
        <v>0</v>
      </c>
      <c r="L32" s="8">
        <f>$L$41/7</f>
        <v>17.142857142857142</v>
      </c>
      <c r="M32" s="8">
        <f>$M$41/7</f>
        <v>7.1428571428571432</v>
      </c>
      <c r="N32" s="8">
        <f t="shared" ref="N32:N38" si="16">SUM(C32:M32)</f>
        <v>4220.7142857142853</v>
      </c>
      <c r="AX32" t="s">
        <v>101</v>
      </c>
      <c r="AY32" s="47">
        <v>29600</v>
      </c>
    </row>
    <row r="33" spans="1:51" x14ac:dyDescent="0.3">
      <c r="A33" s="2">
        <v>3</v>
      </c>
      <c r="B33" s="12" t="s">
        <v>111</v>
      </c>
      <c r="C33" s="8">
        <f>H44</f>
        <v>3071.4285714285716</v>
      </c>
      <c r="D33" s="8">
        <v>0</v>
      </c>
      <c r="E33" s="8">
        <v>0</v>
      </c>
      <c r="F33" s="8">
        <v>0</v>
      </c>
      <c r="G33" s="8">
        <v>0</v>
      </c>
      <c r="H33" s="8">
        <v>0</v>
      </c>
      <c r="I33" s="8">
        <v>0</v>
      </c>
      <c r="J33" s="8">
        <v>0</v>
      </c>
      <c r="K33" s="8">
        <v>0</v>
      </c>
      <c r="L33" s="8">
        <v>0</v>
      </c>
      <c r="M33" s="8">
        <f>$M$41/7</f>
        <v>7.1428571428571432</v>
      </c>
      <c r="N33" s="8">
        <f t="shared" si="16"/>
        <v>3078.5714285714289</v>
      </c>
      <c r="AY33" s="47"/>
    </row>
    <row r="34" spans="1:51" x14ac:dyDescent="0.3">
      <c r="A34" s="2">
        <v>4</v>
      </c>
      <c r="B34" s="12" t="s">
        <v>6</v>
      </c>
      <c r="C34" s="8">
        <f>H45</f>
        <v>2071.4285714285716</v>
      </c>
      <c r="D34" s="8">
        <f>$D$41/7</f>
        <v>428.57142857142856</v>
      </c>
      <c r="E34" s="8">
        <f>$E$41/7</f>
        <v>0</v>
      </c>
      <c r="F34" s="8">
        <f>$F$41/7</f>
        <v>71.428571428571431</v>
      </c>
      <c r="G34" s="8">
        <f>$G$41/7</f>
        <v>139.28571428571428</v>
      </c>
      <c r="H34" s="8">
        <f>$H$41/7</f>
        <v>235.71428571428572</v>
      </c>
      <c r="I34" s="8">
        <f>$I$41/7</f>
        <v>214.28571428571428</v>
      </c>
      <c r="J34" s="8">
        <f>$J$41/7</f>
        <v>35.714285714285715</v>
      </c>
      <c r="K34" s="8">
        <f>$K$41/6</f>
        <v>0</v>
      </c>
      <c r="L34" s="8">
        <f>$L$41/7</f>
        <v>17.142857142857142</v>
      </c>
      <c r="M34" s="8">
        <f>$M$41/7</f>
        <v>7.1428571428571432</v>
      </c>
      <c r="N34" s="8">
        <f t="shared" si="16"/>
        <v>3220.7142857142862</v>
      </c>
      <c r="AX34" t="s">
        <v>102</v>
      </c>
      <c r="AY34" s="48">
        <f>AY31-AY32</f>
        <v>4547</v>
      </c>
    </row>
    <row r="35" spans="1:51" x14ac:dyDescent="0.3">
      <c r="A35" s="2">
        <v>5</v>
      </c>
      <c r="B35" s="12" t="s">
        <v>57</v>
      </c>
      <c r="C35" s="8">
        <f>H45</f>
        <v>2071.4285714285716</v>
      </c>
      <c r="D35" s="8">
        <f>$D$41/7</f>
        <v>428.57142857142856</v>
      </c>
      <c r="E35" s="8">
        <f>$E$41/7</f>
        <v>0</v>
      </c>
      <c r="F35" s="8">
        <f>$F$41/7</f>
        <v>71.428571428571431</v>
      </c>
      <c r="G35" s="8">
        <f>$G$41/7</f>
        <v>139.28571428571428</v>
      </c>
      <c r="H35" s="8">
        <f>$H$41/7</f>
        <v>235.71428571428572</v>
      </c>
      <c r="I35" s="8">
        <f>$I$41/7</f>
        <v>214.28571428571428</v>
      </c>
      <c r="J35" s="8">
        <f>$J$41/7</f>
        <v>35.714285714285715</v>
      </c>
      <c r="K35" s="8"/>
      <c r="L35" s="8">
        <f>$L$41/7</f>
        <v>17.142857142857142</v>
      </c>
      <c r="M35" s="8">
        <f>$M$41/7</f>
        <v>7.1428571428571432</v>
      </c>
      <c r="N35" s="8">
        <f t="shared" si="16"/>
        <v>3220.7142857142862</v>
      </c>
      <c r="AY35" s="47"/>
    </row>
    <row r="36" spans="1:51" x14ac:dyDescent="0.3">
      <c r="A36" s="2">
        <v>6</v>
      </c>
      <c r="B36" s="12" t="s">
        <v>51</v>
      </c>
      <c r="C36" s="8">
        <f>H45</f>
        <v>2071.4285714285716</v>
      </c>
      <c r="D36" s="8">
        <f>$D$41/7</f>
        <v>428.57142857142856</v>
      </c>
      <c r="E36" s="8">
        <f>$E$41/7</f>
        <v>0</v>
      </c>
      <c r="F36" s="8">
        <f>$F$41/7</f>
        <v>71.428571428571431</v>
      </c>
      <c r="G36" s="8">
        <f>$G$41/7</f>
        <v>139.28571428571428</v>
      </c>
      <c r="H36" s="8">
        <f>$H$41/7</f>
        <v>235.71428571428572</v>
      </c>
      <c r="I36" s="8">
        <f>$I$41/7</f>
        <v>214.28571428571428</v>
      </c>
      <c r="J36" s="8">
        <f>$J$41/7</f>
        <v>35.714285714285715</v>
      </c>
      <c r="K36" s="8">
        <f>$K$41/6</f>
        <v>0</v>
      </c>
      <c r="L36" s="8">
        <f>$L$41/7</f>
        <v>17.142857142857142</v>
      </c>
      <c r="M36" s="8">
        <f>$M$41/7</f>
        <v>7.1428571428571432</v>
      </c>
      <c r="N36" s="8">
        <f t="shared" si="16"/>
        <v>3220.7142857142862</v>
      </c>
      <c r="AY36" s="47"/>
    </row>
    <row r="37" spans="1:51" x14ac:dyDescent="0.3">
      <c r="A37" s="2">
        <v>7</v>
      </c>
      <c r="B37" s="12" t="s">
        <v>7</v>
      </c>
      <c r="C37" s="8">
        <v>0</v>
      </c>
      <c r="D37" s="6">
        <v>0</v>
      </c>
      <c r="E37" s="8">
        <f>$E$41/7</f>
        <v>0</v>
      </c>
      <c r="F37" s="8">
        <f>$E$41/7</f>
        <v>0</v>
      </c>
      <c r="G37" s="8">
        <f t="shared" ref="G37:M38" si="17">$E$41/7</f>
        <v>0</v>
      </c>
      <c r="H37" s="8">
        <f t="shared" si="17"/>
        <v>0</v>
      </c>
      <c r="I37" s="8">
        <f t="shared" si="17"/>
        <v>0</v>
      </c>
      <c r="J37" s="8">
        <f t="shared" si="17"/>
        <v>0</v>
      </c>
      <c r="K37" s="8">
        <f t="shared" si="17"/>
        <v>0</v>
      </c>
      <c r="L37" s="8">
        <f t="shared" si="17"/>
        <v>0</v>
      </c>
      <c r="M37" s="8">
        <f t="shared" si="17"/>
        <v>0</v>
      </c>
      <c r="N37" s="8">
        <f t="shared" si="16"/>
        <v>0</v>
      </c>
      <c r="AY37" s="47"/>
    </row>
    <row r="38" spans="1:51" x14ac:dyDescent="0.3">
      <c r="A38" s="2">
        <v>8</v>
      </c>
      <c r="B38" s="12" t="s">
        <v>8</v>
      </c>
      <c r="C38" s="8">
        <v>0</v>
      </c>
      <c r="D38" s="6">
        <v>0</v>
      </c>
      <c r="E38" s="8">
        <f>$E$41/7</f>
        <v>0</v>
      </c>
      <c r="F38" s="8">
        <f>$E$41/7</f>
        <v>0</v>
      </c>
      <c r="G38" s="8">
        <f t="shared" si="17"/>
        <v>0</v>
      </c>
      <c r="H38" s="8">
        <f t="shared" si="17"/>
        <v>0</v>
      </c>
      <c r="I38" s="8">
        <f t="shared" si="17"/>
        <v>0</v>
      </c>
      <c r="J38" s="8">
        <f t="shared" si="17"/>
        <v>0</v>
      </c>
      <c r="K38" s="8">
        <f t="shared" si="17"/>
        <v>0</v>
      </c>
      <c r="L38" s="8">
        <f t="shared" si="17"/>
        <v>0</v>
      </c>
      <c r="M38" s="8">
        <f t="shared" si="17"/>
        <v>0</v>
      </c>
      <c r="N38" s="8">
        <f t="shared" si="16"/>
        <v>0</v>
      </c>
      <c r="AX38" t="s">
        <v>103</v>
      </c>
      <c r="AY38" s="47">
        <f>AY32-21100</f>
        <v>8500</v>
      </c>
    </row>
    <row r="39" spans="1:51" x14ac:dyDescent="0.3">
      <c r="A39" s="2">
        <v>9</v>
      </c>
      <c r="B39" s="12" t="s">
        <v>104</v>
      </c>
      <c r="C39" s="8">
        <f>H46</f>
        <v>2821.4285714285716</v>
      </c>
      <c r="D39" s="8">
        <f>$D$41/7</f>
        <v>428.57142857142856</v>
      </c>
      <c r="E39" s="8">
        <v>0</v>
      </c>
      <c r="F39" s="8">
        <f>$F$41/7</f>
        <v>71.428571428571431</v>
      </c>
      <c r="G39" s="8">
        <f>$G$41/7</f>
        <v>139.28571428571428</v>
      </c>
      <c r="H39" s="8">
        <f>$H$41/7</f>
        <v>235.71428571428572</v>
      </c>
      <c r="I39" s="8">
        <f>$I$41/7</f>
        <v>214.28571428571428</v>
      </c>
      <c r="J39" s="8">
        <f>$J$41/7</f>
        <v>35.714285714285715</v>
      </c>
      <c r="K39" s="8">
        <f>$K$41/6</f>
        <v>0</v>
      </c>
      <c r="L39" s="8">
        <f>$L$41/7</f>
        <v>17.142857142857142</v>
      </c>
      <c r="M39" s="8">
        <f>$M$41/7</f>
        <v>7.1428571428571432</v>
      </c>
      <c r="N39" s="8">
        <f>SUM(C39:M39)</f>
        <v>3970.7142857142862</v>
      </c>
    </row>
    <row r="40" spans="1:51" x14ac:dyDescent="0.3">
      <c r="A40" s="2">
        <v>10</v>
      </c>
      <c r="B40" s="12" t="s">
        <v>105</v>
      </c>
      <c r="C40" s="8">
        <f>H46</f>
        <v>2821.4285714285716</v>
      </c>
      <c r="D40" s="8">
        <f>$D$41/7</f>
        <v>428.57142857142856</v>
      </c>
      <c r="E40" s="8">
        <v>0</v>
      </c>
      <c r="F40" s="8">
        <f>$F$41/7</f>
        <v>71.428571428571431</v>
      </c>
      <c r="G40" s="8">
        <f>$G$41/7</f>
        <v>139.28571428571428</v>
      </c>
      <c r="H40" s="8">
        <f>$H$41/7</f>
        <v>235.71428571428572</v>
      </c>
      <c r="I40" s="8">
        <f>$I$41/7</f>
        <v>214.28571428571428</v>
      </c>
      <c r="J40" s="8">
        <f>$J$41/7</f>
        <v>35.714285714285715</v>
      </c>
      <c r="K40" s="8">
        <f>$K$41/6</f>
        <v>0</v>
      </c>
      <c r="L40" s="8">
        <f>$L$41/7</f>
        <v>17.142857142857142</v>
      </c>
      <c r="M40" s="8">
        <f>$M$41/7</f>
        <v>7.1428571428571432</v>
      </c>
      <c r="N40" s="8">
        <f>SUM(C40:M40)</f>
        <v>3970.7142857142862</v>
      </c>
    </row>
    <row r="41" spans="1:51" x14ac:dyDescent="0.3">
      <c r="C41" s="8">
        <f>SUM(C31:C40)</f>
        <v>18000.000000000004</v>
      </c>
      <c r="D41" s="40">
        <v>3000</v>
      </c>
      <c r="E41" s="8"/>
      <c r="F41" s="8">
        <f>500</f>
        <v>500</v>
      </c>
      <c r="G41" s="8">
        <f>975</f>
        <v>975</v>
      </c>
      <c r="H41" s="14">
        <v>1650</v>
      </c>
      <c r="I41" s="14">
        <v>1500</v>
      </c>
      <c r="J41" s="8">
        <f>250</f>
        <v>250</v>
      </c>
      <c r="K41" s="8">
        <f>0</f>
        <v>0</v>
      </c>
      <c r="L41" s="8">
        <f>120</f>
        <v>120</v>
      </c>
      <c r="M41" s="8">
        <v>50</v>
      </c>
      <c r="N41" s="8">
        <f>SUM(N31:N40)</f>
        <v>26045</v>
      </c>
      <c r="O41" s="9">
        <f>O48+O56</f>
        <v>26045.000000000004</v>
      </c>
      <c r="P41" s="9">
        <f>N41-O41</f>
        <v>0</v>
      </c>
    </row>
    <row r="43" spans="1:51" x14ac:dyDescent="0.3">
      <c r="N43" t="s">
        <v>61</v>
      </c>
      <c r="O43" s="9">
        <f>C41</f>
        <v>18000.000000000004</v>
      </c>
    </row>
    <row r="44" spans="1:51" x14ac:dyDescent="0.3">
      <c r="D44" s="1">
        <v>6000</v>
      </c>
      <c r="E44" s="1">
        <v>2</v>
      </c>
      <c r="F44" s="1">
        <f>D44/E44</f>
        <v>3000</v>
      </c>
      <c r="G44" s="1">
        <f>(500)/7</f>
        <v>71.428571428571431</v>
      </c>
      <c r="H44" s="11">
        <f>F44+G44</f>
        <v>3071.4285714285716</v>
      </c>
      <c r="I44" s="11">
        <f>H44*E44</f>
        <v>6142.8571428571431</v>
      </c>
      <c r="N44" t="s">
        <v>71</v>
      </c>
      <c r="O44" s="9">
        <f>G41</f>
        <v>975</v>
      </c>
    </row>
    <row r="45" spans="1:51" x14ac:dyDescent="0.3">
      <c r="D45" s="1">
        <v>6000</v>
      </c>
      <c r="E45" s="1">
        <v>3</v>
      </c>
      <c r="F45" s="1">
        <f t="shared" ref="F45:F46" si="18">D45/E45</f>
        <v>2000</v>
      </c>
      <c r="G45" s="1">
        <f>(500)/7</f>
        <v>71.428571428571431</v>
      </c>
      <c r="H45" s="11">
        <f t="shared" ref="H45" si="19">F45+G45</f>
        <v>2071.4285714285716</v>
      </c>
      <c r="I45" s="11">
        <f t="shared" ref="I45:I46" si="20">H45*E45</f>
        <v>6214.2857142857147</v>
      </c>
      <c r="N45" t="s">
        <v>72</v>
      </c>
      <c r="O45" s="9">
        <v>1500</v>
      </c>
    </row>
    <row r="46" spans="1:51" x14ac:dyDescent="0.3">
      <c r="D46" s="1">
        <v>5500</v>
      </c>
      <c r="E46" s="1">
        <v>2</v>
      </c>
      <c r="F46" s="11">
        <f t="shared" si="18"/>
        <v>2750</v>
      </c>
      <c r="G46" s="1">
        <f>(500)/7</f>
        <v>71.428571428571431</v>
      </c>
      <c r="H46" s="11">
        <f>F46+G46</f>
        <v>2821.4285714285716</v>
      </c>
      <c r="I46" s="11">
        <f t="shared" si="20"/>
        <v>5642.8571428571431</v>
      </c>
      <c r="N46" t="s">
        <v>73</v>
      </c>
      <c r="O46" s="9">
        <v>1650</v>
      </c>
    </row>
    <row r="47" spans="1:51" x14ac:dyDescent="0.3">
      <c r="D47" s="1">
        <f>SUM(D44:D46)</f>
        <v>17500</v>
      </c>
      <c r="E47" s="1"/>
      <c r="F47" s="1"/>
      <c r="G47" s="1"/>
      <c r="H47" s="1"/>
      <c r="I47" s="11">
        <f>SUM(I44:I46)</f>
        <v>18000</v>
      </c>
      <c r="N47" t="s">
        <v>74</v>
      </c>
      <c r="O47" s="9">
        <f>J41</f>
        <v>250</v>
      </c>
    </row>
    <row r="48" spans="1:51" x14ac:dyDescent="0.3">
      <c r="O48" s="9">
        <f>SUM(O43:O47)</f>
        <v>22375.000000000004</v>
      </c>
    </row>
    <row r="50" spans="14:16" x14ac:dyDescent="0.3">
      <c r="P50" s="9">
        <f>O48+O56</f>
        <v>26045.000000000004</v>
      </c>
    </row>
    <row r="51" spans="14:16" x14ac:dyDescent="0.3">
      <c r="N51" t="s">
        <v>12</v>
      </c>
      <c r="O51" s="9">
        <f>D41</f>
        <v>3000</v>
      </c>
    </row>
    <row r="52" spans="14:16" x14ac:dyDescent="0.3">
      <c r="N52" t="s">
        <v>13</v>
      </c>
      <c r="O52" s="9">
        <f>E41</f>
        <v>0</v>
      </c>
    </row>
    <row r="53" spans="14:16" x14ac:dyDescent="0.3">
      <c r="N53" t="s">
        <v>14</v>
      </c>
      <c r="O53" s="9">
        <f>F41</f>
        <v>500</v>
      </c>
    </row>
    <row r="54" spans="14:16" x14ac:dyDescent="0.3">
      <c r="N54" t="s">
        <v>20</v>
      </c>
      <c r="O54" s="9">
        <f>L41</f>
        <v>120</v>
      </c>
    </row>
    <row r="55" spans="14:16" x14ac:dyDescent="0.3">
      <c r="N55" t="s">
        <v>21</v>
      </c>
      <c r="O55" s="9">
        <f>M41</f>
        <v>50</v>
      </c>
    </row>
    <row r="56" spans="14:16" x14ac:dyDescent="0.3">
      <c r="O56" s="9">
        <f>SUM(O51:O55)</f>
        <v>3670</v>
      </c>
    </row>
    <row r="58" spans="14:16" x14ac:dyDescent="0.3">
      <c r="O58" s="9">
        <f>O48+O56</f>
        <v>26045.000000000004</v>
      </c>
    </row>
    <row r="59" spans="14:16" x14ac:dyDescent="0.3">
      <c r="O59" s="9">
        <f>N41-O58</f>
        <v>0</v>
      </c>
    </row>
  </sheetData>
  <mergeCells count="2">
    <mergeCell ref="C1:D2"/>
    <mergeCell ref="E1:F2"/>
  </mergeCells>
  <pageMargins left="0.7" right="0.7" top="0.75" bottom="0.75" header="0.3" footer="0.3"/>
  <pageSetup orientation="portrait" horizontalDpi="1200" verticalDpi="1200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K52"/>
  <sheetViews>
    <sheetView zoomScaleNormal="100" workbookViewId="0">
      <pane xSplit="2" ySplit="4" topLeftCell="C22" activePane="bottomRight" state="frozen"/>
      <selection activeCell="E11" sqref="E11:F11"/>
      <selection pane="topRight" activeCell="E11" sqref="E11:F11"/>
      <selection pane="bottomLeft" activeCell="E11" sqref="E11:F11"/>
      <selection pane="bottomRight" activeCell="AS8" sqref="AS8"/>
    </sheetView>
  </sheetViews>
  <sheetFormatPr defaultRowHeight="14.4" x14ac:dyDescent="0.3"/>
  <cols>
    <col min="1" max="1" width="7" bestFit="1" customWidth="1"/>
    <col min="2" max="2" width="23.6640625" bestFit="1" customWidth="1"/>
    <col min="3" max="5" width="9.33203125" bestFit="1" customWidth="1"/>
    <col min="6" max="6" width="11.5546875" customWidth="1"/>
    <col min="7" max="7" width="12" bestFit="1" customWidth="1"/>
    <col min="8" max="8" width="13.33203125" customWidth="1"/>
    <col min="9" max="9" width="9.6640625" customWidth="1"/>
    <col min="10" max="10" width="9.33203125" bestFit="1" customWidth="1"/>
    <col min="11" max="11" width="14.5546875" customWidth="1"/>
    <col min="12" max="13" width="10.33203125" bestFit="1" customWidth="1"/>
    <col min="14" max="14" width="11.5546875" bestFit="1" customWidth="1"/>
    <col min="15" max="34" width="10.33203125" bestFit="1" customWidth="1"/>
    <col min="35" max="35" width="5.88671875" customWidth="1"/>
    <col min="36" max="36" width="4.33203125" customWidth="1"/>
    <col min="37" max="37" width="22.33203125" customWidth="1"/>
    <col min="38" max="38" width="10.44140625" customWidth="1"/>
    <col min="39" max="39" width="12.33203125" customWidth="1"/>
    <col min="40" max="40" width="10.33203125" customWidth="1"/>
    <col min="41" max="41" width="12" customWidth="1"/>
    <col min="42" max="42" width="10.33203125" customWidth="1"/>
    <col min="43" max="43" width="12.33203125" customWidth="1"/>
    <col min="44" max="44" width="17.44140625" customWidth="1"/>
    <col min="45" max="45" width="9.44140625" customWidth="1"/>
    <col min="46" max="46" width="10.33203125" customWidth="1"/>
    <col min="47" max="47" width="9.33203125" customWidth="1"/>
    <col min="48" max="48" width="11.33203125" bestFit="1" customWidth="1"/>
    <col min="49" max="49" width="10.33203125" bestFit="1" customWidth="1"/>
    <col min="50" max="50" width="30.33203125" bestFit="1" customWidth="1"/>
    <col min="51" max="51" width="10.109375" bestFit="1" customWidth="1"/>
  </cols>
  <sheetData>
    <row r="1" spans="1:63" ht="14.7" customHeight="1" x14ac:dyDescent="0.3">
      <c r="C1" s="107" t="s">
        <v>119</v>
      </c>
      <c r="D1" s="107"/>
      <c r="E1" s="108">
        <f>AH22/AH12</f>
        <v>48.661746617466171</v>
      </c>
      <c r="F1" s="108"/>
    </row>
    <row r="2" spans="1:63" ht="25.5" customHeight="1" x14ac:dyDescent="0.3">
      <c r="C2" s="107"/>
      <c r="D2" s="107"/>
      <c r="E2" s="108"/>
      <c r="F2" s="108"/>
    </row>
    <row r="4" spans="1:63" ht="57.6" x14ac:dyDescent="0.3">
      <c r="A4" s="53" t="s">
        <v>0</v>
      </c>
      <c r="B4" s="53" t="s">
        <v>2</v>
      </c>
      <c r="C4" s="54">
        <v>44470</v>
      </c>
      <c r="D4" s="54">
        <v>44471</v>
      </c>
      <c r="E4" s="54">
        <v>44472</v>
      </c>
      <c r="F4" s="54">
        <v>44473</v>
      </c>
      <c r="G4" s="54">
        <v>44474</v>
      </c>
      <c r="H4" s="54">
        <v>44475</v>
      </c>
      <c r="I4" s="54">
        <v>44476</v>
      </c>
      <c r="J4" s="54">
        <v>44477</v>
      </c>
      <c r="K4" s="54">
        <v>44478</v>
      </c>
      <c r="L4" s="54">
        <v>44479</v>
      </c>
      <c r="M4" s="54">
        <v>44480</v>
      </c>
      <c r="N4" s="54">
        <v>44481</v>
      </c>
      <c r="O4" s="54">
        <v>44482</v>
      </c>
      <c r="P4" s="54">
        <v>44483</v>
      </c>
      <c r="Q4" s="54">
        <v>44484</v>
      </c>
      <c r="R4" s="54">
        <v>44485</v>
      </c>
      <c r="S4" s="54">
        <v>44486</v>
      </c>
      <c r="T4" s="54">
        <v>44487</v>
      </c>
      <c r="U4" s="54">
        <v>44488</v>
      </c>
      <c r="V4" s="54">
        <v>44489</v>
      </c>
      <c r="W4" s="54">
        <v>44490</v>
      </c>
      <c r="X4" s="54">
        <v>44491</v>
      </c>
      <c r="Y4" s="54">
        <v>44492</v>
      </c>
      <c r="Z4" s="54">
        <v>44493</v>
      </c>
      <c r="AA4" s="54">
        <v>44494</v>
      </c>
      <c r="AB4" s="54">
        <v>44495</v>
      </c>
      <c r="AC4" s="54">
        <v>44496</v>
      </c>
      <c r="AD4" s="54">
        <v>44497</v>
      </c>
      <c r="AE4" s="54">
        <v>44498</v>
      </c>
      <c r="AF4" s="54">
        <v>44499</v>
      </c>
      <c r="AG4" s="54">
        <v>44500</v>
      </c>
      <c r="AH4" s="53" t="s">
        <v>1</v>
      </c>
      <c r="AJ4" s="49" t="s">
        <v>0</v>
      </c>
      <c r="AK4" s="49" t="s">
        <v>2</v>
      </c>
      <c r="AL4" s="50" t="s">
        <v>23</v>
      </c>
      <c r="AM4" s="50" t="s">
        <v>24</v>
      </c>
      <c r="AN4" s="50" t="s">
        <v>26</v>
      </c>
      <c r="AO4" s="50" t="s">
        <v>120</v>
      </c>
      <c r="AP4" s="50" t="s">
        <v>27</v>
      </c>
      <c r="AQ4" s="50" t="s">
        <v>30</v>
      </c>
      <c r="AR4" s="50" t="s">
        <v>32</v>
      </c>
      <c r="AS4" s="50" t="s">
        <v>28</v>
      </c>
      <c r="AT4" s="50" t="s">
        <v>29</v>
      </c>
      <c r="AU4" s="50" t="s">
        <v>31</v>
      </c>
      <c r="AW4" s="71" t="s">
        <v>126</v>
      </c>
    </row>
    <row r="5" spans="1:63" x14ac:dyDescent="0.3">
      <c r="A5" s="2">
        <v>1</v>
      </c>
      <c r="B5" s="3" t="s">
        <v>5</v>
      </c>
      <c r="C5" s="7">
        <v>3.5</v>
      </c>
      <c r="D5" s="7">
        <v>0</v>
      </c>
      <c r="E5" s="7">
        <v>2.5</v>
      </c>
      <c r="F5" s="7">
        <v>2.5</v>
      </c>
      <c r="G5" s="7">
        <v>1</v>
      </c>
      <c r="H5" s="7">
        <v>2.5</v>
      </c>
      <c r="I5" s="7">
        <v>3.5</v>
      </c>
      <c r="J5" s="7">
        <v>1.5</v>
      </c>
      <c r="K5" s="7">
        <v>0</v>
      </c>
      <c r="L5" s="7">
        <v>1</v>
      </c>
      <c r="M5" s="7">
        <v>1.5</v>
      </c>
      <c r="N5" s="7">
        <v>1.5</v>
      </c>
      <c r="O5" s="7">
        <v>0</v>
      </c>
      <c r="P5" s="7">
        <v>0</v>
      </c>
      <c r="Q5" s="7">
        <v>0</v>
      </c>
      <c r="R5" s="7">
        <v>0</v>
      </c>
      <c r="S5" s="7">
        <v>2</v>
      </c>
      <c r="T5" s="7">
        <v>2.5</v>
      </c>
      <c r="U5" s="7">
        <v>2.5</v>
      </c>
      <c r="V5" s="7">
        <v>2.5</v>
      </c>
      <c r="W5" s="7">
        <v>3.5</v>
      </c>
      <c r="X5" s="7">
        <v>3.5</v>
      </c>
      <c r="Y5" s="7">
        <v>2.5</v>
      </c>
      <c r="Z5" s="7">
        <v>3.5</v>
      </c>
      <c r="AA5" s="7">
        <v>1.5</v>
      </c>
      <c r="AB5" s="7">
        <v>1.5</v>
      </c>
      <c r="AC5" s="7">
        <v>1.5</v>
      </c>
      <c r="AD5" s="7">
        <v>2.5</v>
      </c>
      <c r="AE5" s="7">
        <v>2.5</v>
      </c>
      <c r="AF5" s="7">
        <v>1.5</v>
      </c>
      <c r="AG5" s="7">
        <v>1.5</v>
      </c>
      <c r="AH5" s="56">
        <f>SUM(C5:AG5)</f>
        <v>56</v>
      </c>
      <c r="AJ5" s="2">
        <v>1</v>
      </c>
      <c r="AK5" s="3" t="s">
        <v>5</v>
      </c>
      <c r="AL5" s="16">
        <f>AH5*$E$1</f>
        <v>2725.0578105781055</v>
      </c>
      <c r="AM5" s="16">
        <f>AH15</f>
        <v>3810</v>
      </c>
      <c r="AN5" s="16">
        <f>AM5-AL5</f>
        <v>1084.9421894218945</v>
      </c>
      <c r="AO5" s="16">
        <f>N25</f>
        <v>4851.2857142857138</v>
      </c>
      <c r="AP5" s="16">
        <f t="shared" ref="AP5:AP11" si="0">AO5-AN5</f>
        <v>3766.3435248638193</v>
      </c>
      <c r="AQ5" s="68">
        <f>'Meal Septem''21 &amp; Rent October'!AU6</f>
        <v>11.083815934528047</v>
      </c>
      <c r="AR5" s="16">
        <f t="shared" ref="AR5:AR11" si="1">AP5-AQ5</f>
        <v>3755.2597089292913</v>
      </c>
      <c r="AS5" s="26">
        <f>500+625+1000+5300</f>
        <v>7425</v>
      </c>
      <c r="AT5" s="62"/>
      <c r="AU5" s="16">
        <f t="shared" ref="AU5:AU11" si="2">AS5-AR5</f>
        <v>3669.7402910707087</v>
      </c>
      <c r="AY5" s="9"/>
    </row>
    <row r="6" spans="1:63" x14ac:dyDescent="0.3">
      <c r="A6" s="2">
        <v>2</v>
      </c>
      <c r="B6" s="3" t="s">
        <v>111</v>
      </c>
      <c r="C6" s="7">
        <v>4</v>
      </c>
      <c r="D6" s="7">
        <v>5</v>
      </c>
      <c r="E6" s="7">
        <v>0</v>
      </c>
      <c r="F6" s="7">
        <v>1</v>
      </c>
      <c r="G6" s="7">
        <v>1</v>
      </c>
      <c r="H6" s="7">
        <v>1.5</v>
      </c>
      <c r="I6" s="7">
        <v>2</v>
      </c>
      <c r="J6" s="7">
        <v>5</v>
      </c>
      <c r="K6" s="7">
        <v>2</v>
      </c>
      <c r="L6" s="7">
        <v>1</v>
      </c>
      <c r="M6" s="7">
        <v>1</v>
      </c>
      <c r="N6" s="7">
        <v>1</v>
      </c>
      <c r="O6" s="7">
        <v>1</v>
      </c>
      <c r="P6" s="7">
        <v>2</v>
      </c>
      <c r="Q6" s="7">
        <v>3.5</v>
      </c>
      <c r="R6" s="7">
        <v>4.5</v>
      </c>
      <c r="S6" s="7">
        <v>1</v>
      </c>
      <c r="T6" s="7">
        <v>1.5</v>
      </c>
      <c r="U6" s="7">
        <v>1</v>
      </c>
      <c r="V6" s="7">
        <v>2.5</v>
      </c>
      <c r="W6" s="7">
        <v>1</v>
      </c>
      <c r="X6" s="7">
        <v>3.5</v>
      </c>
      <c r="Y6" s="7">
        <v>4</v>
      </c>
      <c r="Z6" s="7">
        <v>1.5</v>
      </c>
      <c r="AA6" s="7">
        <v>1.5</v>
      </c>
      <c r="AB6" s="7">
        <v>1</v>
      </c>
      <c r="AC6" s="7">
        <v>1</v>
      </c>
      <c r="AD6" s="7">
        <v>2</v>
      </c>
      <c r="AE6" s="7">
        <v>5</v>
      </c>
      <c r="AF6" s="7">
        <v>1</v>
      </c>
      <c r="AG6" s="7">
        <v>1</v>
      </c>
      <c r="AH6" s="56">
        <f t="shared" ref="AH6:AH11" si="3">SUM(C6:AG6)</f>
        <v>64</v>
      </c>
      <c r="AJ6" s="2">
        <v>2</v>
      </c>
      <c r="AK6" s="3" t="s">
        <v>111</v>
      </c>
      <c r="AL6" s="16">
        <f>AH6*$E$1</f>
        <v>3114.351783517835</v>
      </c>
      <c r="AM6" s="16">
        <f t="shared" ref="AM6:AM11" si="4">AH16</f>
        <v>3015</v>
      </c>
      <c r="AN6" s="16">
        <f>AM6-AL6</f>
        <v>-99.351783517834974</v>
      </c>
      <c r="AO6" s="16">
        <f t="shared" ref="AO6:AO8" si="5">N26</f>
        <v>4851.2857142857138</v>
      </c>
      <c r="AP6" s="16">
        <f t="shared" si="0"/>
        <v>4950.6374978035492</v>
      </c>
      <c r="AQ6" s="68">
        <f>'Meal Septem''21 &amp; Rent October'!AU7</f>
        <v>-0.42487684729076136</v>
      </c>
      <c r="AR6" s="16">
        <f t="shared" si="1"/>
        <v>4951.06237465084</v>
      </c>
      <c r="AS6" s="26">
        <f>500+4254+197</f>
        <v>4951</v>
      </c>
      <c r="AT6" s="62"/>
      <c r="AU6" s="16">
        <f t="shared" si="2"/>
        <v>-6.2374650839956303E-2</v>
      </c>
      <c r="AW6">
        <v>4254</v>
      </c>
      <c r="AY6" s="9"/>
    </row>
    <row r="7" spans="1:63" x14ac:dyDescent="0.3">
      <c r="A7" s="2">
        <v>3</v>
      </c>
      <c r="B7" s="3" t="s">
        <v>6</v>
      </c>
      <c r="C7" s="7">
        <v>2.5</v>
      </c>
      <c r="D7" s="7">
        <v>2.5</v>
      </c>
      <c r="E7" s="7">
        <v>1</v>
      </c>
      <c r="F7" s="7">
        <v>2.5</v>
      </c>
      <c r="G7" s="7">
        <v>2.5</v>
      </c>
      <c r="H7" s="7">
        <v>2.5</v>
      </c>
      <c r="I7" s="7">
        <v>2.5</v>
      </c>
      <c r="J7" s="7">
        <v>1.5</v>
      </c>
      <c r="K7" s="7">
        <v>1</v>
      </c>
      <c r="L7" s="7">
        <v>1</v>
      </c>
      <c r="M7" s="7">
        <v>2.5</v>
      </c>
      <c r="N7" s="7">
        <v>1.5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2.5</v>
      </c>
      <c r="W7" s="7">
        <v>3.5</v>
      </c>
      <c r="X7" s="7">
        <v>4</v>
      </c>
      <c r="Y7" s="7">
        <v>2.5</v>
      </c>
      <c r="Z7" s="7">
        <v>2.5</v>
      </c>
      <c r="AA7" s="7">
        <v>2.5</v>
      </c>
      <c r="AB7" s="7">
        <v>2.5</v>
      </c>
      <c r="AC7" s="7">
        <v>2.5</v>
      </c>
      <c r="AD7" s="7">
        <v>2.5</v>
      </c>
      <c r="AE7" s="7">
        <v>2.5</v>
      </c>
      <c r="AF7" s="7">
        <v>2.5</v>
      </c>
      <c r="AG7" s="7">
        <v>2.5</v>
      </c>
      <c r="AH7" s="56">
        <f t="shared" si="3"/>
        <v>56</v>
      </c>
      <c r="AJ7" s="2">
        <v>3</v>
      </c>
      <c r="AK7" s="3" t="s">
        <v>6</v>
      </c>
      <c r="AL7" s="16">
        <f t="shared" ref="AL7:AL11" si="6">AH7*$E$1</f>
        <v>2725.0578105781055</v>
      </c>
      <c r="AM7" s="16">
        <f t="shared" si="4"/>
        <v>1431</v>
      </c>
      <c r="AN7" s="16">
        <f t="shared" ref="AN7:AN11" si="7">AM7-AL7</f>
        <v>-1294.0578105781055</v>
      </c>
      <c r="AO7" s="16">
        <f t="shared" si="5"/>
        <v>3851.2857142857142</v>
      </c>
      <c r="AP7" s="16">
        <f t="shared" si="0"/>
        <v>5145.3435248638198</v>
      </c>
      <c r="AQ7" s="68">
        <f>'Meal Septem''21 &amp; Rent October'!AU8</f>
        <v>-341.10905611068665</v>
      </c>
      <c r="AR7" s="16">
        <f t="shared" si="1"/>
        <v>5486.4525809745064</v>
      </c>
      <c r="AS7" s="26">
        <v>4000</v>
      </c>
      <c r="AT7" s="62"/>
      <c r="AU7" s="16">
        <f t="shared" si="2"/>
        <v>-1486.4525809745064</v>
      </c>
      <c r="AY7" s="9"/>
    </row>
    <row r="8" spans="1:63" x14ac:dyDescent="0.3">
      <c r="A8" s="2">
        <v>4</v>
      </c>
      <c r="B8" s="3" t="s">
        <v>57</v>
      </c>
      <c r="C8" s="7">
        <v>2</v>
      </c>
      <c r="D8" s="7">
        <v>2.5</v>
      </c>
      <c r="E8" s="7">
        <v>1</v>
      </c>
      <c r="F8" s="7">
        <v>2.5</v>
      </c>
      <c r="G8" s="7">
        <v>1.5</v>
      </c>
      <c r="H8" s="7">
        <v>2.5</v>
      </c>
      <c r="I8" s="7">
        <v>3.5</v>
      </c>
      <c r="J8" s="7">
        <v>3.5</v>
      </c>
      <c r="K8" s="7">
        <v>2</v>
      </c>
      <c r="L8" s="7">
        <v>1</v>
      </c>
      <c r="M8" s="7">
        <v>1.5</v>
      </c>
      <c r="N8" s="7">
        <v>2.5</v>
      </c>
      <c r="O8" s="7">
        <v>1.5</v>
      </c>
      <c r="P8" s="7">
        <v>2.5</v>
      </c>
      <c r="Q8" s="7">
        <v>2.5</v>
      </c>
      <c r="R8" s="7">
        <v>2.5</v>
      </c>
      <c r="S8" s="7">
        <v>2.5</v>
      </c>
      <c r="T8" s="7">
        <v>2.5</v>
      </c>
      <c r="U8" s="7">
        <v>2</v>
      </c>
      <c r="V8" s="7">
        <v>2.5</v>
      </c>
      <c r="W8" s="7">
        <v>1</v>
      </c>
      <c r="X8" s="7">
        <v>2.5</v>
      </c>
      <c r="Y8" s="7">
        <v>2.5</v>
      </c>
      <c r="Z8" s="7">
        <v>3.5</v>
      </c>
      <c r="AA8" s="7">
        <v>2</v>
      </c>
      <c r="AB8" s="7">
        <v>2.5</v>
      </c>
      <c r="AC8" s="7">
        <v>2.5</v>
      </c>
      <c r="AD8" s="7">
        <v>3.5</v>
      </c>
      <c r="AE8" s="7">
        <v>3.5</v>
      </c>
      <c r="AF8" s="7">
        <v>2.5</v>
      </c>
      <c r="AG8" s="7">
        <v>2.5</v>
      </c>
      <c r="AH8" s="56">
        <f t="shared" si="3"/>
        <v>73</v>
      </c>
      <c r="AJ8" s="2">
        <v>4</v>
      </c>
      <c r="AK8" s="3" t="s">
        <v>57</v>
      </c>
      <c r="AL8" s="16">
        <f t="shared" si="6"/>
        <v>3552.3075030750306</v>
      </c>
      <c r="AM8" s="16">
        <f t="shared" si="4"/>
        <v>1780</v>
      </c>
      <c r="AN8" s="16">
        <f t="shared" si="7"/>
        <v>-1772.3075030750306</v>
      </c>
      <c r="AO8" s="16">
        <f t="shared" si="5"/>
        <v>3851.2857142857142</v>
      </c>
      <c r="AP8" s="16">
        <f t="shared" si="0"/>
        <v>5623.5932173607453</v>
      </c>
      <c r="AQ8" s="68">
        <f>'Meal Septem''21 &amp; Rent October'!AU9</f>
        <v>-324.90932996431593</v>
      </c>
      <c r="AR8" s="16">
        <f t="shared" si="1"/>
        <v>5948.5025473250607</v>
      </c>
      <c r="AS8" s="26">
        <f>120+3500</f>
        <v>3620</v>
      </c>
      <c r="AT8" s="62"/>
      <c r="AU8" s="16">
        <f t="shared" si="2"/>
        <v>-2328.5025473250607</v>
      </c>
      <c r="AV8" s="25"/>
      <c r="AW8">
        <v>3500</v>
      </c>
      <c r="AY8" s="9"/>
    </row>
    <row r="9" spans="1:63" x14ac:dyDescent="0.3">
      <c r="A9" s="2">
        <v>5</v>
      </c>
      <c r="B9" s="12" t="s">
        <v>51</v>
      </c>
      <c r="C9" s="7">
        <v>2</v>
      </c>
      <c r="D9" s="7">
        <v>3.5</v>
      </c>
      <c r="E9" s="7">
        <v>2</v>
      </c>
      <c r="F9" s="7">
        <v>1</v>
      </c>
      <c r="G9" s="7">
        <v>2.5</v>
      </c>
      <c r="H9" s="7">
        <v>1</v>
      </c>
      <c r="I9" s="7">
        <v>2</v>
      </c>
      <c r="J9" s="7">
        <v>5</v>
      </c>
      <c r="K9" s="7">
        <v>2</v>
      </c>
      <c r="L9" s="7">
        <v>1</v>
      </c>
      <c r="M9" s="7">
        <v>1</v>
      </c>
      <c r="N9" s="7">
        <v>2.5</v>
      </c>
      <c r="O9" s="7">
        <v>1</v>
      </c>
      <c r="P9" s="7">
        <v>1</v>
      </c>
      <c r="Q9" s="7">
        <v>3.5</v>
      </c>
      <c r="R9" s="7">
        <v>3.5</v>
      </c>
      <c r="S9" s="7">
        <v>1</v>
      </c>
      <c r="T9" s="7">
        <v>1</v>
      </c>
      <c r="U9" s="7">
        <v>1.5</v>
      </c>
      <c r="V9" s="7">
        <v>3.5</v>
      </c>
      <c r="W9" s="7">
        <v>3</v>
      </c>
      <c r="X9" s="7">
        <v>5</v>
      </c>
      <c r="Y9" s="7">
        <v>4</v>
      </c>
      <c r="Z9" s="7">
        <v>1</v>
      </c>
      <c r="AA9" s="7">
        <v>1</v>
      </c>
      <c r="AB9" s="7">
        <v>1</v>
      </c>
      <c r="AC9" s="7">
        <v>1</v>
      </c>
      <c r="AD9" s="7">
        <v>2.5</v>
      </c>
      <c r="AE9" s="7">
        <v>5</v>
      </c>
      <c r="AF9" s="7">
        <v>3</v>
      </c>
      <c r="AG9" s="7">
        <v>1.5</v>
      </c>
      <c r="AH9" s="56">
        <f t="shared" si="3"/>
        <v>69.5</v>
      </c>
      <c r="AJ9" s="2">
        <v>5</v>
      </c>
      <c r="AK9" s="12" t="s">
        <v>51</v>
      </c>
      <c r="AL9" s="16">
        <f t="shared" si="6"/>
        <v>3381.9913899138987</v>
      </c>
      <c r="AM9" s="16">
        <f t="shared" si="4"/>
        <v>3520</v>
      </c>
      <c r="AN9" s="16">
        <f t="shared" si="7"/>
        <v>138.00861008610127</v>
      </c>
      <c r="AO9" s="16">
        <f>N29</f>
        <v>3851.2857142857142</v>
      </c>
      <c r="AP9" s="16">
        <f>AO9-AN9</f>
        <v>3713.2771041996129</v>
      </c>
      <c r="AQ9" s="68">
        <f>'Meal Septem''21 &amp; Rent October'!AU10</f>
        <v>2181.688922762462</v>
      </c>
      <c r="AR9" s="16">
        <f t="shared" si="1"/>
        <v>1531.588181437151</v>
      </c>
      <c r="AS9" s="26">
        <f>3000+200</f>
        <v>3200</v>
      </c>
      <c r="AT9" s="62"/>
      <c r="AU9" s="16">
        <f t="shared" si="2"/>
        <v>1668.411818562849</v>
      </c>
    </row>
    <row r="10" spans="1:63" x14ac:dyDescent="0.3">
      <c r="A10" s="2">
        <v>6</v>
      </c>
      <c r="B10" s="1" t="s">
        <v>110</v>
      </c>
      <c r="C10" s="7">
        <v>1.5</v>
      </c>
      <c r="D10" s="7">
        <v>1</v>
      </c>
      <c r="E10" s="7">
        <v>1</v>
      </c>
      <c r="F10" s="7">
        <v>1.5</v>
      </c>
      <c r="G10" s="7">
        <v>1</v>
      </c>
      <c r="H10" s="7">
        <v>3.5</v>
      </c>
      <c r="I10" s="7">
        <v>3</v>
      </c>
      <c r="J10" s="7">
        <v>3</v>
      </c>
      <c r="K10" s="7">
        <v>1</v>
      </c>
      <c r="L10" s="7">
        <v>2</v>
      </c>
      <c r="M10" s="7">
        <v>3</v>
      </c>
      <c r="N10" s="7">
        <v>3</v>
      </c>
      <c r="O10" s="7">
        <v>3</v>
      </c>
      <c r="P10" s="7">
        <v>4</v>
      </c>
      <c r="Q10" s="7">
        <v>3</v>
      </c>
      <c r="R10" s="7">
        <v>2.5</v>
      </c>
      <c r="S10" s="7">
        <v>1</v>
      </c>
      <c r="T10" s="7">
        <v>1.5</v>
      </c>
      <c r="U10" s="7">
        <v>1.5</v>
      </c>
      <c r="V10" s="7">
        <v>1</v>
      </c>
      <c r="W10" s="7">
        <v>1.5</v>
      </c>
      <c r="X10" s="7">
        <v>2.5</v>
      </c>
      <c r="Y10" s="7">
        <v>1.5</v>
      </c>
      <c r="Z10" s="7">
        <v>1.5</v>
      </c>
      <c r="AA10" s="7">
        <v>1.5</v>
      </c>
      <c r="AB10" s="7">
        <v>1.5</v>
      </c>
      <c r="AC10" s="7">
        <v>1.5</v>
      </c>
      <c r="AD10" s="7">
        <v>1</v>
      </c>
      <c r="AE10" s="7">
        <v>2</v>
      </c>
      <c r="AF10" s="7">
        <v>2</v>
      </c>
      <c r="AG10" s="7">
        <v>1.5</v>
      </c>
      <c r="AH10" s="56">
        <f t="shared" si="3"/>
        <v>60</v>
      </c>
      <c r="AJ10" s="2">
        <v>6</v>
      </c>
      <c r="AK10" s="12" t="s">
        <v>104</v>
      </c>
      <c r="AL10" s="16">
        <f>AH10*$E$1</f>
        <v>2919.7047970479703</v>
      </c>
      <c r="AM10" s="16">
        <f>AH20</f>
        <v>3983</v>
      </c>
      <c r="AN10" s="16">
        <f t="shared" si="7"/>
        <v>1063.2952029520297</v>
      </c>
      <c r="AO10" s="16">
        <f>N30</f>
        <v>4601.2857142857138</v>
      </c>
      <c r="AP10" s="16">
        <f t="shared" si="0"/>
        <v>3537.990511333684</v>
      </c>
      <c r="AQ10" s="68">
        <f>'Meal Septem''21 &amp; Rent October'!AU13</f>
        <v>-288.60451389076206</v>
      </c>
      <c r="AR10" s="16">
        <f t="shared" si="1"/>
        <v>3826.5950252244461</v>
      </c>
      <c r="AS10" s="26">
        <f>950+3000</f>
        <v>3950</v>
      </c>
      <c r="AT10" s="62">
        <v>44536</v>
      </c>
      <c r="AU10" s="16">
        <f>AS10-AR10</f>
        <v>123.40497477555391</v>
      </c>
      <c r="AV10" s="47"/>
      <c r="AW10">
        <v>3000</v>
      </c>
    </row>
    <row r="11" spans="1:63" x14ac:dyDescent="0.3">
      <c r="A11" s="2">
        <v>7</v>
      </c>
      <c r="B11" s="3" t="s">
        <v>118</v>
      </c>
      <c r="C11" s="7">
        <v>0</v>
      </c>
      <c r="D11" s="7">
        <v>1</v>
      </c>
      <c r="E11" s="7">
        <v>1</v>
      </c>
      <c r="F11" s="7">
        <v>1</v>
      </c>
      <c r="G11" s="7">
        <v>2</v>
      </c>
      <c r="H11" s="7">
        <v>2</v>
      </c>
      <c r="I11" s="7">
        <v>2</v>
      </c>
      <c r="J11" s="7">
        <v>0</v>
      </c>
      <c r="K11" s="7">
        <v>0</v>
      </c>
      <c r="L11" s="7">
        <v>0</v>
      </c>
      <c r="M11" s="7">
        <v>2</v>
      </c>
      <c r="N11" s="7">
        <v>2</v>
      </c>
      <c r="O11" s="7">
        <v>2</v>
      </c>
      <c r="P11" s="7">
        <v>1</v>
      </c>
      <c r="Q11" s="7">
        <v>0</v>
      </c>
      <c r="R11" s="7">
        <v>0</v>
      </c>
      <c r="S11" s="7">
        <v>2</v>
      </c>
      <c r="T11" s="7">
        <v>1</v>
      </c>
      <c r="U11" s="7">
        <v>1</v>
      </c>
      <c r="V11" s="7">
        <v>0</v>
      </c>
      <c r="W11" s="7">
        <v>0</v>
      </c>
      <c r="X11" s="7">
        <v>0</v>
      </c>
      <c r="Y11" s="7">
        <v>0</v>
      </c>
      <c r="Z11" s="7">
        <v>1</v>
      </c>
      <c r="AA11" s="7">
        <v>1</v>
      </c>
      <c r="AB11" s="7">
        <v>1</v>
      </c>
      <c r="AC11" s="7">
        <v>1</v>
      </c>
      <c r="AD11" s="7">
        <v>2</v>
      </c>
      <c r="AE11" s="7">
        <v>2</v>
      </c>
      <c r="AF11" s="7">
        <v>0</v>
      </c>
      <c r="AG11" s="7">
        <v>0</v>
      </c>
      <c r="AH11" s="56">
        <f t="shared" si="3"/>
        <v>28</v>
      </c>
      <c r="AJ11" s="2">
        <v>7</v>
      </c>
      <c r="AK11" s="3" t="s">
        <v>118</v>
      </c>
      <c r="AL11" s="16">
        <f t="shared" si="6"/>
        <v>1362.5289052890528</v>
      </c>
      <c r="AM11" s="16">
        <f t="shared" si="4"/>
        <v>2242</v>
      </c>
      <c r="AN11" s="16">
        <f t="shared" si="7"/>
        <v>879.47109471094723</v>
      </c>
      <c r="AO11" s="16">
        <f>N31</f>
        <v>4601.2857142857138</v>
      </c>
      <c r="AP11" s="16">
        <f t="shared" si="0"/>
        <v>3721.8146195747668</v>
      </c>
      <c r="AQ11" s="68">
        <f>'Meal Septem''21 &amp; Rent October'!AU14</f>
        <v>241.64359767776887</v>
      </c>
      <c r="AR11" s="16">
        <f t="shared" si="1"/>
        <v>3480.1710218969979</v>
      </c>
      <c r="AS11" s="61">
        <v>2800</v>
      </c>
      <c r="AT11" s="62">
        <v>44528</v>
      </c>
      <c r="AU11" s="16">
        <f t="shared" si="2"/>
        <v>-680.1710218969979</v>
      </c>
      <c r="AV11" s="9"/>
      <c r="AW11">
        <v>2800</v>
      </c>
    </row>
    <row r="12" spans="1:63" x14ac:dyDescent="0.3">
      <c r="C12" s="55">
        <f t="shared" ref="C12:AH12" si="8">SUM(C5:C11)</f>
        <v>15.5</v>
      </c>
      <c r="D12" s="55">
        <f t="shared" si="8"/>
        <v>15.5</v>
      </c>
      <c r="E12" s="55">
        <f t="shared" si="8"/>
        <v>8.5</v>
      </c>
      <c r="F12" s="55">
        <f t="shared" si="8"/>
        <v>12</v>
      </c>
      <c r="G12" s="55">
        <f t="shared" si="8"/>
        <v>11.5</v>
      </c>
      <c r="H12" s="55">
        <f t="shared" si="8"/>
        <v>15.5</v>
      </c>
      <c r="I12" s="55">
        <f t="shared" si="8"/>
        <v>18.5</v>
      </c>
      <c r="J12" s="55">
        <f t="shared" si="8"/>
        <v>19.5</v>
      </c>
      <c r="K12" s="55">
        <f t="shared" si="8"/>
        <v>8</v>
      </c>
      <c r="L12" s="55">
        <f t="shared" si="8"/>
        <v>7</v>
      </c>
      <c r="M12" s="55">
        <f t="shared" si="8"/>
        <v>12.5</v>
      </c>
      <c r="N12" s="55">
        <f t="shared" si="8"/>
        <v>14</v>
      </c>
      <c r="O12" s="55">
        <f t="shared" si="8"/>
        <v>8.5</v>
      </c>
      <c r="P12" s="55">
        <f t="shared" si="8"/>
        <v>10.5</v>
      </c>
      <c r="Q12" s="55">
        <f t="shared" si="8"/>
        <v>12.5</v>
      </c>
      <c r="R12" s="55">
        <f t="shared" si="8"/>
        <v>13</v>
      </c>
      <c r="S12" s="55">
        <f t="shared" si="8"/>
        <v>9.5</v>
      </c>
      <c r="T12" s="55">
        <f t="shared" si="8"/>
        <v>10</v>
      </c>
      <c r="U12" s="55">
        <f t="shared" si="8"/>
        <v>9.5</v>
      </c>
      <c r="V12" s="55">
        <f t="shared" si="8"/>
        <v>14.5</v>
      </c>
      <c r="W12" s="55">
        <f t="shared" si="8"/>
        <v>13.5</v>
      </c>
      <c r="X12" s="55">
        <f t="shared" si="8"/>
        <v>21</v>
      </c>
      <c r="Y12" s="55">
        <f t="shared" si="8"/>
        <v>17</v>
      </c>
      <c r="Z12" s="55">
        <f t="shared" si="8"/>
        <v>14.5</v>
      </c>
      <c r="AA12" s="55">
        <f t="shared" si="8"/>
        <v>11</v>
      </c>
      <c r="AB12" s="55">
        <f t="shared" si="8"/>
        <v>11</v>
      </c>
      <c r="AC12" s="55">
        <f t="shared" si="8"/>
        <v>11</v>
      </c>
      <c r="AD12" s="55">
        <f t="shared" si="8"/>
        <v>16</v>
      </c>
      <c r="AE12" s="55">
        <f t="shared" si="8"/>
        <v>22.5</v>
      </c>
      <c r="AF12" s="55">
        <f t="shared" si="8"/>
        <v>12.5</v>
      </c>
      <c r="AG12" s="55">
        <f t="shared" si="8"/>
        <v>10.5</v>
      </c>
      <c r="AH12" s="55">
        <f t="shared" si="8"/>
        <v>406.5</v>
      </c>
      <c r="AJ12" s="2"/>
      <c r="AK12" s="12"/>
      <c r="AL12" s="51">
        <f t="shared" ref="AL12:AQ12" si="9">SUM(AL5:AL11)</f>
        <v>19780.999999999996</v>
      </c>
      <c r="AM12" s="51">
        <f t="shared" si="9"/>
        <v>19781</v>
      </c>
      <c r="AN12" s="51">
        <f t="shared" si="9"/>
        <v>1.5916157281026244E-12</v>
      </c>
      <c r="AO12" s="51">
        <f t="shared" si="9"/>
        <v>30458.999999999996</v>
      </c>
      <c r="AP12" s="51">
        <f t="shared" si="9"/>
        <v>30459</v>
      </c>
      <c r="AQ12" s="69">
        <f t="shared" si="9"/>
        <v>1479.3685595617035</v>
      </c>
      <c r="AR12" s="51">
        <f>AP12-AQ12</f>
        <v>28979.631440438297</v>
      </c>
      <c r="AS12" s="63">
        <f>SUM(AS5:AS11)</f>
        <v>29946</v>
      </c>
      <c r="AT12" s="63"/>
      <c r="AU12" s="51">
        <f>SUM(AU5:AU11)</f>
        <v>966.36855956170666</v>
      </c>
      <c r="AV12" s="9"/>
    </row>
    <row r="13" spans="1:63" x14ac:dyDescent="0.3">
      <c r="AL13" s="25"/>
      <c r="AM13" s="9"/>
      <c r="AN13" s="9"/>
      <c r="AO13" s="9"/>
      <c r="AP13" s="9"/>
      <c r="AQ13" s="9"/>
      <c r="AR13" s="25"/>
      <c r="AS13" s="9"/>
      <c r="AT13" s="9"/>
      <c r="AU13" s="9"/>
      <c r="AV13" s="9"/>
      <c r="AW13" s="9"/>
      <c r="AX13" s="44" t="s">
        <v>88</v>
      </c>
      <c r="AY13" s="9"/>
    </row>
    <row r="14" spans="1:63" x14ac:dyDescent="0.3">
      <c r="B14" s="64" t="s">
        <v>121</v>
      </c>
      <c r="AX14" s="1" t="s">
        <v>89</v>
      </c>
      <c r="AY14" s="1" t="s">
        <v>95</v>
      </c>
    </row>
    <row r="15" spans="1:63" x14ac:dyDescent="0.3">
      <c r="A15" s="2">
        <v>1</v>
      </c>
      <c r="B15" s="3" t="s">
        <v>5</v>
      </c>
      <c r="C15" s="8">
        <v>2330</v>
      </c>
      <c r="D15" s="8">
        <v>1480</v>
      </c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65">
        <f>SUM(C15:AG15)</f>
        <v>3810</v>
      </c>
      <c r="AR15" s="25"/>
      <c r="AU15" s="9"/>
      <c r="AX15" s="1" t="s">
        <v>107</v>
      </c>
      <c r="AY15" s="16">
        <f>O41</f>
        <v>0</v>
      </c>
      <c r="BI15" s="1" t="s">
        <v>96</v>
      </c>
      <c r="BJ15" s="1"/>
      <c r="BK15" s="1"/>
    </row>
    <row r="16" spans="1:63" x14ac:dyDescent="0.3">
      <c r="A16" s="2">
        <v>2</v>
      </c>
      <c r="B16" s="3" t="s">
        <v>111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>
        <v>120</v>
      </c>
      <c r="Q16" s="8">
        <v>880</v>
      </c>
      <c r="R16" s="8">
        <v>1015</v>
      </c>
      <c r="S16" s="8">
        <v>180</v>
      </c>
      <c r="T16" s="8">
        <v>215</v>
      </c>
      <c r="U16" s="8">
        <v>150</v>
      </c>
      <c r="V16" s="8">
        <v>455</v>
      </c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65">
        <f t="shared" ref="AH16:AH21" si="10">SUM(C16:AG16)</f>
        <v>3015</v>
      </c>
      <c r="AX16" s="1" t="s">
        <v>91</v>
      </c>
      <c r="AY16" s="16">
        <f>-AQ12</f>
        <v>-1479.3685595617035</v>
      </c>
      <c r="BI16" s="1" t="s">
        <v>97</v>
      </c>
      <c r="BJ16" s="1">
        <v>4000</v>
      </c>
      <c r="BK16" s="1"/>
    </row>
    <row r="17" spans="1:63" x14ac:dyDescent="0.3">
      <c r="A17" s="2">
        <v>3</v>
      </c>
      <c r="B17" s="3" t="s">
        <v>6</v>
      </c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>
        <v>490</v>
      </c>
      <c r="AC17" s="8">
        <v>400</v>
      </c>
      <c r="AD17" s="8">
        <v>111</v>
      </c>
      <c r="AE17" s="8">
        <v>365</v>
      </c>
      <c r="AF17" s="8">
        <v>65</v>
      </c>
      <c r="AG17" s="8"/>
      <c r="AH17" s="65">
        <f t="shared" si="10"/>
        <v>1431</v>
      </c>
      <c r="AR17" s="25"/>
      <c r="AX17" s="1"/>
      <c r="AY17" s="16">
        <f>SUM(AY15:AY16)</f>
        <v>-1479.3685595617035</v>
      </c>
      <c r="BI17" s="1" t="s">
        <v>36</v>
      </c>
      <c r="BJ17" s="1">
        <f>BJ16/6</f>
        <v>666.66666666666663</v>
      </c>
      <c r="BK17" s="1">
        <f>BJ17*5</f>
        <v>3333.333333333333</v>
      </c>
    </row>
    <row r="18" spans="1:63" x14ac:dyDescent="0.3">
      <c r="A18" s="2">
        <v>4</v>
      </c>
      <c r="B18" s="3" t="s">
        <v>57</v>
      </c>
      <c r="C18" s="8"/>
      <c r="D18" s="8"/>
      <c r="E18" s="8"/>
      <c r="F18" s="8"/>
      <c r="G18" s="8"/>
      <c r="H18" s="8"/>
      <c r="I18" s="8"/>
      <c r="J18" s="8"/>
      <c r="K18" s="8"/>
      <c r="L18" s="8"/>
      <c r="M18" s="8">
        <v>1480</v>
      </c>
      <c r="N18" s="8">
        <v>250</v>
      </c>
      <c r="O18" s="8">
        <v>50</v>
      </c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65">
        <f t="shared" si="10"/>
        <v>1780</v>
      </c>
      <c r="AR18" s="25"/>
      <c r="BA18" s="9">
        <v>4547</v>
      </c>
      <c r="BI18" s="1" t="s">
        <v>37</v>
      </c>
      <c r="BJ18" s="1"/>
      <c r="BK18" s="1"/>
    </row>
    <row r="19" spans="1:63" x14ac:dyDescent="0.3">
      <c r="A19" s="2">
        <v>5</v>
      </c>
      <c r="B19" s="12" t="s">
        <v>51</v>
      </c>
      <c r="C19" s="8"/>
      <c r="D19" s="8"/>
      <c r="E19" s="8"/>
      <c r="F19" s="8"/>
      <c r="G19" s="8">
        <v>1460</v>
      </c>
      <c r="H19" s="8">
        <v>1570</v>
      </c>
      <c r="I19" s="8">
        <v>90</v>
      </c>
      <c r="J19" s="8">
        <v>270</v>
      </c>
      <c r="K19" s="8">
        <v>130</v>
      </c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65">
        <f t="shared" si="10"/>
        <v>3520</v>
      </c>
      <c r="AX19" s="1" t="s">
        <v>92</v>
      </c>
      <c r="AY19" s="1"/>
      <c r="BA19" s="9">
        <f>AY15+BA18</f>
        <v>4547</v>
      </c>
      <c r="BI19" s="1" t="s">
        <v>98</v>
      </c>
      <c r="BJ19" s="1">
        <f>$BJ$17</f>
        <v>666.66666666666663</v>
      </c>
      <c r="BK19" s="1"/>
    </row>
    <row r="20" spans="1:63" x14ac:dyDescent="0.3">
      <c r="A20" s="2">
        <v>6</v>
      </c>
      <c r="B20" s="1" t="s">
        <v>110</v>
      </c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>
        <v>1983</v>
      </c>
      <c r="X20" s="8">
        <v>1150</v>
      </c>
      <c r="Y20" s="8">
        <v>850</v>
      </c>
      <c r="Z20" s="8"/>
      <c r="AA20" s="8"/>
      <c r="AB20" s="8"/>
      <c r="AC20" s="8"/>
      <c r="AD20" s="8"/>
      <c r="AE20" s="8"/>
      <c r="AF20" s="8"/>
      <c r="AG20" s="8"/>
      <c r="AH20" s="65">
        <f>SUM(C20:AG20)</f>
        <v>3983</v>
      </c>
      <c r="AV20" s="25"/>
      <c r="AX20" s="1" t="s">
        <v>93</v>
      </c>
      <c r="AY20" s="16">
        <f>-AU12</f>
        <v>-966.36855956170666</v>
      </c>
      <c r="BI20" s="1" t="s">
        <v>49</v>
      </c>
      <c r="BJ20" s="1">
        <f>$BJ$17</f>
        <v>666.66666666666663</v>
      </c>
      <c r="BK20" s="1"/>
    </row>
    <row r="21" spans="1:63" x14ac:dyDescent="0.3">
      <c r="A21" s="2">
        <v>7</v>
      </c>
      <c r="B21" s="3" t="s">
        <v>118</v>
      </c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>
        <v>500</v>
      </c>
      <c r="AA21" s="8"/>
      <c r="AB21" s="8"/>
      <c r="AC21" s="8"/>
      <c r="AD21" s="8">
        <v>1250</v>
      </c>
      <c r="AE21" s="8"/>
      <c r="AF21" s="8"/>
      <c r="AG21" s="8">
        <v>492</v>
      </c>
      <c r="AH21" s="65">
        <f t="shared" si="10"/>
        <v>2242</v>
      </c>
      <c r="AX21" s="1" t="s">
        <v>94</v>
      </c>
      <c r="AY21" s="1">
        <v>2000</v>
      </c>
      <c r="BI21" s="1" t="s">
        <v>38</v>
      </c>
      <c r="BJ21" s="1">
        <f>$BJ$17</f>
        <v>666.66666666666663</v>
      </c>
      <c r="BK21" s="1"/>
    </row>
    <row r="22" spans="1:63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51">
        <f>SUM(AH15:AH21)</f>
        <v>19781</v>
      </c>
      <c r="AX22" s="1"/>
      <c r="AY22" s="16">
        <f>SUM(AY20:AY21)</f>
        <v>1033.6314404382933</v>
      </c>
      <c r="BI22" s="1" t="s">
        <v>99</v>
      </c>
      <c r="BJ22" s="1">
        <f>$BJ$17</f>
        <v>666.66666666666663</v>
      </c>
      <c r="BK22" s="1"/>
    </row>
    <row r="23" spans="1:63" x14ac:dyDescent="0.3">
      <c r="BI23" s="1" t="s">
        <v>40</v>
      </c>
      <c r="BJ23" s="1">
        <f>$BJ$17</f>
        <v>666.66666666666663</v>
      </c>
      <c r="BK23" s="1"/>
    </row>
    <row r="24" spans="1:63" x14ac:dyDescent="0.3">
      <c r="A24" s="4"/>
      <c r="B24" s="13" t="s">
        <v>122</v>
      </c>
      <c r="C24" s="66" t="s">
        <v>11</v>
      </c>
      <c r="D24" s="66" t="s">
        <v>12</v>
      </c>
      <c r="E24" s="66" t="s">
        <v>13</v>
      </c>
      <c r="F24" s="66" t="s">
        <v>14</v>
      </c>
      <c r="G24" s="66" t="s">
        <v>15</v>
      </c>
      <c r="H24" s="66" t="s">
        <v>16</v>
      </c>
      <c r="I24" s="66" t="s">
        <v>17</v>
      </c>
      <c r="J24" s="66" t="s">
        <v>18</v>
      </c>
      <c r="K24" s="66" t="s">
        <v>19</v>
      </c>
      <c r="L24" s="66" t="s">
        <v>20</v>
      </c>
      <c r="M24" s="66" t="s">
        <v>21</v>
      </c>
      <c r="N24" s="66" t="s">
        <v>22</v>
      </c>
      <c r="AX24" t="s">
        <v>100</v>
      </c>
      <c r="BI24" s="1"/>
      <c r="BJ24" s="1">
        <f>SUM(BJ19:BJ23)</f>
        <v>3333.333333333333</v>
      </c>
      <c r="BK24" s="1"/>
    </row>
    <row r="25" spans="1:63" x14ac:dyDescent="0.3">
      <c r="A25" s="2">
        <v>1</v>
      </c>
      <c r="B25" s="12" t="s">
        <v>5</v>
      </c>
      <c r="C25" s="8">
        <f>H35</f>
        <v>3142.8571428571427</v>
      </c>
      <c r="D25" s="8">
        <f t="shared" ref="D25:D31" si="11">$D$32/7</f>
        <v>428.57142857142856</v>
      </c>
      <c r="E25" s="8">
        <f>$E$32/7</f>
        <v>0</v>
      </c>
      <c r="F25" s="8">
        <f t="shared" ref="F25:F31" si="12">$F$32/7</f>
        <v>71.428571428571431</v>
      </c>
      <c r="G25" s="8">
        <f t="shared" ref="G25:G31" si="13">$G$32/7</f>
        <v>139.28571428571428</v>
      </c>
      <c r="H25" s="8">
        <f t="shared" ref="H25:H31" si="14">$H$32/7</f>
        <v>273.42857142857144</v>
      </c>
      <c r="I25" s="8">
        <f t="shared" ref="I25:I31" si="15">$I$32/7</f>
        <v>275</v>
      </c>
      <c r="J25" s="8">
        <f t="shared" ref="J25:J31" si="16">$J$32/7</f>
        <v>35.714285714285715</v>
      </c>
      <c r="K25" s="8">
        <f>$K$32/7</f>
        <v>89.285714285714292</v>
      </c>
      <c r="L25" s="8">
        <f t="shared" ref="L25:L31" si="17">$L$32/7</f>
        <v>17.142857142857142</v>
      </c>
      <c r="M25" s="8">
        <f t="shared" ref="M25:M31" si="18">$M$32/7</f>
        <v>378.57142857142856</v>
      </c>
      <c r="N25" s="65">
        <f t="shared" ref="N25:N29" si="19">SUM(C25:M25)</f>
        <v>4851.2857142857138</v>
      </c>
      <c r="AX25" t="s">
        <v>90</v>
      </c>
      <c r="AY25" s="47">
        <v>23773</v>
      </c>
    </row>
    <row r="26" spans="1:63" x14ac:dyDescent="0.3">
      <c r="A26" s="2">
        <v>2</v>
      </c>
      <c r="B26" s="12" t="s">
        <v>111</v>
      </c>
      <c r="C26" s="8">
        <f>H35</f>
        <v>3142.8571428571427</v>
      </c>
      <c r="D26" s="8">
        <f t="shared" si="11"/>
        <v>428.57142857142856</v>
      </c>
      <c r="E26" s="8">
        <f>$E$32/7</f>
        <v>0</v>
      </c>
      <c r="F26" s="8">
        <f t="shared" si="12"/>
        <v>71.428571428571431</v>
      </c>
      <c r="G26" s="8">
        <f t="shared" si="13"/>
        <v>139.28571428571428</v>
      </c>
      <c r="H26" s="8">
        <f t="shared" si="14"/>
        <v>273.42857142857144</v>
      </c>
      <c r="I26" s="8">
        <f t="shared" si="15"/>
        <v>275</v>
      </c>
      <c r="J26" s="8">
        <f t="shared" si="16"/>
        <v>35.714285714285715</v>
      </c>
      <c r="K26" s="8">
        <f t="shared" ref="K26:K31" si="20">$K$32/7</f>
        <v>89.285714285714292</v>
      </c>
      <c r="L26" s="8">
        <f t="shared" si="17"/>
        <v>17.142857142857142</v>
      </c>
      <c r="M26" s="8">
        <f t="shared" si="18"/>
        <v>378.57142857142856</v>
      </c>
      <c r="N26" s="65">
        <f t="shared" si="19"/>
        <v>4851.2857142857138</v>
      </c>
      <c r="AX26" t="s">
        <v>91</v>
      </c>
      <c r="AY26" s="47">
        <v>10374</v>
      </c>
    </row>
    <row r="27" spans="1:63" x14ac:dyDescent="0.3">
      <c r="A27" s="2">
        <v>3</v>
      </c>
      <c r="B27" s="12" t="s">
        <v>6</v>
      </c>
      <c r="C27" s="8">
        <f>H36</f>
        <v>2142.8571428571427</v>
      </c>
      <c r="D27" s="8">
        <f t="shared" si="11"/>
        <v>428.57142857142856</v>
      </c>
      <c r="E27" s="8">
        <f>$E$32/7</f>
        <v>0</v>
      </c>
      <c r="F27" s="8">
        <f t="shared" si="12"/>
        <v>71.428571428571431</v>
      </c>
      <c r="G27" s="8">
        <f t="shared" si="13"/>
        <v>139.28571428571428</v>
      </c>
      <c r="H27" s="8">
        <f t="shared" si="14"/>
        <v>273.42857142857144</v>
      </c>
      <c r="I27" s="8">
        <f t="shared" si="15"/>
        <v>275</v>
      </c>
      <c r="J27" s="8">
        <f t="shared" si="16"/>
        <v>35.714285714285715</v>
      </c>
      <c r="K27" s="8">
        <f t="shared" si="20"/>
        <v>89.285714285714292</v>
      </c>
      <c r="L27" s="8">
        <f t="shared" si="17"/>
        <v>17.142857142857142</v>
      </c>
      <c r="M27" s="8">
        <f t="shared" si="18"/>
        <v>378.57142857142856</v>
      </c>
      <c r="N27" s="65">
        <f t="shared" si="19"/>
        <v>3851.2857142857142</v>
      </c>
      <c r="AY27" s="47">
        <f>SUM(AY25:AY26)</f>
        <v>34147</v>
      </c>
    </row>
    <row r="28" spans="1:63" x14ac:dyDescent="0.3">
      <c r="A28" s="2">
        <v>4</v>
      </c>
      <c r="B28" s="12" t="s">
        <v>57</v>
      </c>
      <c r="C28" s="8">
        <f>H36</f>
        <v>2142.8571428571427</v>
      </c>
      <c r="D28" s="8">
        <f t="shared" si="11"/>
        <v>428.57142857142856</v>
      </c>
      <c r="E28" s="8">
        <f>$E$32/7</f>
        <v>0</v>
      </c>
      <c r="F28" s="8">
        <f t="shared" si="12"/>
        <v>71.428571428571431</v>
      </c>
      <c r="G28" s="8">
        <f t="shared" si="13"/>
        <v>139.28571428571428</v>
      </c>
      <c r="H28" s="8">
        <f t="shared" si="14"/>
        <v>273.42857142857144</v>
      </c>
      <c r="I28" s="8">
        <f t="shared" si="15"/>
        <v>275</v>
      </c>
      <c r="J28" s="8">
        <f t="shared" si="16"/>
        <v>35.714285714285715</v>
      </c>
      <c r="K28" s="8">
        <f t="shared" si="20"/>
        <v>89.285714285714292</v>
      </c>
      <c r="L28" s="8">
        <f t="shared" si="17"/>
        <v>17.142857142857142</v>
      </c>
      <c r="M28" s="8">
        <f t="shared" si="18"/>
        <v>378.57142857142856</v>
      </c>
      <c r="N28" s="65">
        <f t="shared" si="19"/>
        <v>3851.2857142857142</v>
      </c>
      <c r="AX28" t="s">
        <v>101</v>
      </c>
      <c r="AY28" s="47">
        <v>29600</v>
      </c>
    </row>
    <row r="29" spans="1:63" x14ac:dyDescent="0.3">
      <c r="A29" s="2">
        <v>5</v>
      </c>
      <c r="B29" s="12" t="s">
        <v>51</v>
      </c>
      <c r="C29" s="8">
        <f>H36</f>
        <v>2142.8571428571427</v>
      </c>
      <c r="D29" s="8">
        <f t="shared" si="11"/>
        <v>428.57142857142856</v>
      </c>
      <c r="E29" s="8">
        <f>$E$32/7</f>
        <v>0</v>
      </c>
      <c r="F29" s="8">
        <f t="shared" si="12"/>
        <v>71.428571428571431</v>
      </c>
      <c r="G29" s="8">
        <f t="shared" si="13"/>
        <v>139.28571428571428</v>
      </c>
      <c r="H29" s="8">
        <f t="shared" si="14"/>
        <v>273.42857142857144</v>
      </c>
      <c r="I29" s="8">
        <f t="shared" si="15"/>
        <v>275</v>
      </c>
      <c r="J29" s="8">
        <f t="shared" si="16"/>
        <v>35.714285714285715</v>
      </c>
      <c r="K29" s="8">
        <f t="shared" si="20"/>
        <v>89.285714285714292</v>
      </c>
      <c r="L29" s="8">
        <f t="shared" si="17"/>
        <v>17.142857142857142</v>
      </c>
      <c r="M29" s="8">
        <f t="shared" si="18"/>
        <v>378.57142857142856</v>
      </c>
      <c r="N29" s="65">
        <f t="shared" si="19"/>
        <v>3851.2857142857142</v>
      </c>
      <c r="AX29" t="s">
        <v>102</v>
      </c>
      <c r="AY29" s="48">
        <f>AY27-AY28</f>
        <v>4547</v>
      </c>
    </row>
    <row r="30" spans="1:63" x14ac:dyDescent="0.3">
      <c r="A30" s="2">
        <v>6</v>
      </c>
      <c r="B30" s="12" t="s">
        <v>104</v>
      </c>
      <c r="C30" s="8">
        <f>H37</f>
        <v>2892.8571428571427</v>
      </c>
      <c r="D30" s="8">
        <f t="shared" si="11"/>
        <v>428.57142857142856</v>
      </c>
      <c r="E30" s="8">
        <v>0</v>
      </c>
      <c r="F30" s="8">
        <f t="shared" si="12"/>
        <v>71.428571428571431</v>
      </c>
      <c r="G30" s="8">
        <f t="shared" si="13"/>
        <v>139.28571428571428</v>
      </c>
      <c r="H30" s="8">
        <f t="shared" si="14"/>
        <v>273.42857142857144</v>
      </c>
      <c r="I30" s="8">
        <f t="shared" si="15"/>
        <v>275</v>
      </c>
      <c r="J30" s="8">
        <f t="shared" si="16"/>
        <v>35.714285714285715</v>
      </c>
      <c r="K30" s="8">
        <f t="shared" si="20"/>
        <v>89.285714285714292</v>
      </c>
      <c r="L30" s="8">
        <f t="shared" si="17"/>
        <v>17.142857142857142</v>
      </c>
      <c r="M30" s="8">
        <f t="shared" si="18"/>
        <v>378.57142857142856</v>
      </c>
      <c r="N30" s="65">
        <f>SUM(C30:M30)</f>
        <v>4601.2857142857138</v>
      </c>
      <c r="AY30" s="47"/>
    </row>
    <row r="31" spans="1:63" x14ac:dyDescent="0.3">
      <c r="A31" s="2">
        <v>7</v>
      </c>
      <c r="B31" s="12" t="s">
        <v>105</v>
      </c>
      <c r="C31" s="8">
        <f>H37</f>
        <v>2892.8571428571427</v>
      </c>
      <c r="D31" s="8">
        <f t="shared" si="11"/>
        <v>428.57142857142856</v>
      </c>
      <c r="E31" s="8">
        <v>0</v>
      </c>
      <c r="F31" s="8">
        <f t="shared" si="12"/>
        <v>71.428571428571431</v>
      </c>
      <c r="G31" s="8">
        <f t="shared" si="13"/>
        <v>139.28571428571428</v>
      </c>
      <c r="H31" s="8">
        <f t="shared" si="14"/>
        <v>273.42857142857144</v>
      </c>
      <c r="I31" s="8">
        <f t="shared" si="15"/>
        <v>275</v>
      </c>
      <c r="J31" s="8">
        <f t="shared" si="16"/>
        <v>35.714285714285715</v>
      </c>
      <c r="K31" s="8">
        <f t="shared" si="20"/>
        <v>89.285714285714292</v>
      </c>
      <c r="L31" s="8">
        <f t="shared" si="17"/>
        <v>17.142857142857142</v>
      </c>
      <c r="M31" s="8">
        <f t="shared" si="18"/>
        <v>378.57142857142856</v>
      </c>
      <c r="N31" s="65">
        <f>SUM(C31:M31)</f>
        <v>4601.2857142857138</v>
      </c>
      <c r="AY31" s="47"/>
    </row>
    <row r="32" spans="1:63" x14ac:dyDescent="0.3">
      <c r="A32" s="111" t="s">
        <v>47</v>
      </c>
      <c r="B32" s="111"/>
      <c r="C32" s="65">
        <f>SUM(C25:C31)</f>
        <v>18500</v>
      </c>
      <c r="D32" s="67">
        <v>3000</v>
      </c>
      <c r="E32" s="65"/>
      <c r="F32" s="65">
        <f>500</f>
        <v>500</v>
      </c>
      <c r="G32" s="65">
        <f>975</f>
        <v>975</v>
      </c>
      <c r="H32" s="65">
        <v>1914</v>
      </c>
      <c r="I32" s="65">
        <v>1925</v>
      </c>
      <c r="J32" s="65">
        <f>250</f>
        <v>250</v>
      </c>
      <c r="K32" s="65">
        <v>625</v>
      </c>
      <c r="L32" s="65">
        <f>120</f>
        <v>120</v>
      </c>
      <c r="M32" s="65">
        <v>2650</v>
      </c>
      <c r="N32" s="65">
        <f>SUM(N25:N31)</f>
        <v>30458.999999999996</v>
      </c>
      <c r="AY32" s="47"/>
    </row>
    <row r="33" spans="4:51" x14ac:dyDescent="0.3">
      <c r="AX33" t="s">
        <v>103</v>
      </c>
      <c r="AY33" s="47">
        <f>AY28-21100</f>
        <v>8500</v>
      </c>
    </row>
    <row r="34" spans="4:51" x14ac:dyDescent="0.3">
      <c r="N34" t="s">
        <v>61</v>
      </c>
      <c r="O34" s="9">
        <f>C32</f>
        <v>18500</v>
      </c>
      <c r="P34" s="9"/>
    </row>
    <row r="35" spans="4:51" x14ac:dyDescent="0.3">
      <c r="D35" s="1">
        <v>6000</v>
      </c>
      <c r="E35" s="1">
        <v>2</v>
      </c>
      <c r="F35" s="1">
        <f>D35/E35</f>
        <v>3000</v>
      </c>
      <c r="G35" s="1">
        <f>(500+500)/7</f>
        <v>142.85714285714286</v>
      </c>
      <c r="H35" s="11">
        <f>F35+G35</f>
        <v>3142.8571428571427</v>
      </c>
      <c r="I35" s="11">
        <f>H35*E35</f>
        <v>6285.7142857142853</v>
      </c>
      <c r="N35" t="s">
        <v>71</v>
      </c>
      <c r="O35" s="9">
        <f>G32</f>
        <v>975</v>
      </c>
    </row>
    <row r="36" spans="4:51" x14ac:dyDescent="0.3">
      <c r="D36" s="1">
        <v>6000</v>
      </c>
      <c r="E36" s="1">
        <v>3</v>
      </c>
      <c r="F36" s="1">
        <f t="shared" ref="F36:F37" si="21">D36/E36</f>
        <v>2000</v>
      </c>
      <c r="G36" s="1">
        <f t="shared" ref="G36:G37" si="22">(500+500)/7</f>
        <v>142.85714285714286</v>
      </c>
      <c r="H36" s="11">
        <f t="shared" ref="H36" si="23">F36+G36</f>
        <v>2142.8571428571427</v>
      </c>
      <c r="I36" s="11">
        <f t="shared" ref="I36:I37" si="24">H36*E36</f>
        <v>6428.5714285714275</v>
      </c>
      <c r="N36" t="s">
        <v>72</v>
      </c>
      <c r="O36" s="9">
        <f>I32</f>
        <v>1925</v>
      </c>
    </row>
    <row r="37" spans="4:51" x14ac:dyDescent="0.3">
      <c r="D37" s="1">
        <v>5500</v>
      </c>
      <c r="E37" s="1">
        <v>2</v>
      </c>
      <c r="F37" s="11">
        <f t="shared" si="21"/>
        <v>2750</v>
      </c>
      <c r="G37" s="1">
        <f t="shared" si="22"/>
        <v>142.85714285714286</v>
      </c>
      <c r="H37" s="11">
        <f>F37+G37</f>
        <v>2892.8571428571427</v>
      </c>
      <c r="I37" s="11">
        <f t="shared" si="24"/>
        <v>5785.7142857142853</v>
      </c>
      <c r="N37" t="s">
        <v>73</v>
      </c>
      <c r="O37" s="9">
        <f>H32</f>
        <v>1914</v>
      </c>
    </row>
    <row r="38" spans="4:51" x14ac:dyDescent="0.3">
      <c r="D38" s="1">
        <f>SUM(D35:D37)</f>
        <v>17500</v>
      </c>
      <c r="E38" s="1"/>
      <c r="F38" s="1"/>
      <c r="G38" s="1"/>
      <c r="H38" s="1"/>
      <c r="I38" s="11">
        <f>SUM(I35:I37)</f>
        <v>18500</v>
      </c>
      <c r="N38" t="s">
        <v>74</v>
      </c>
      <c r="O38" s="9">
        <f>J32</f>
        <v>250</v>
      </c>
    </row>
    <row r="39" spans="4:51" x14ac:dyDescent="0.3">
      <c r="O39" s="9">
        <f>SUM(O34:O38)</f>
        <v>23564</v>
      </c>
    </row>
    <row r="40" spans="4:51" x14ac:dyDescent="0.3">
      <c r="O40" s="9"/>
    </row>
    <row r="41" spans="4:51" x14ac:dyDescent="0.3">
      <c r="O41" s="9"/>
    </row>
    <row r="42" spans="4:51" x14ac:dyDescent="0.3">
      <c r="N42" t="s">
        <v>12</v>
      </c>
      <c r="O42" s="9">
        <f>D32</f>
        <v>3000</v>
      </c>
    </row>
    <row r="43" spans="4:51" x14ac:dyDescent="0.3">
      <c r="N43" t="s">
        <v>13</v>
      </c>
      <c r="O43" s="9">
        <f>E32</f>
        <v>0</v>
      </c>
      <c r="P43" s="9"/>
    </row>
    <row r="44" spans="4:51" x14ac:dyDescent="0.3">
      <c r="N44" t="s">
        <v>14</v>
      </c>
      <c r="O44" s="9">
        <f>F32</f>
        <v>500</v>
      </c>
    </row>
    <row r="45" spans="4:51" x14ac:dyDescent="0.3">
      <c r="N45" t="s">
        <v>20</v>
      </c>
      <c r="O45" s="9">
        <f>L32</f>
        <v>120</v>
      </c>
    </row>
    <row r="46" spans="4:51" x14ac:dyDescent="0.3">
      <c r="N46" t="s">
        <v>123</v>
      </c>
      <c r="O46" s="9">
        <f>K32</f>
        <v>625</v>
      </c>
    </row>
    <row r="47" spans="4:51" x14ac:dyDescent="0.3">
      <c r="N47" t="s">
        <v>21</v>
      </c>
      <c r="O47" s="9">
        <f>M32</f>
        <v>2650</v>
      </c>
    </row>
    <row r="48" spans="4:51" x14ac:dyDescent="0.3">
      <c r="O48" s="9">
        <f>SUM(O42:O47)</f>
        <v>6895</v>
      </c>
    </row>
    <row r="50" spans="14:15" x14ac:dyDescent="0.3">
      <c r="N50" s="70" t="s">
        <v>124</v>
      </c>
      <c r="O50" s="44">
        <f>O48+O39</f>
        <v>30459</v>
      </c>
    </row>
    <row r="52" spans="14:15" x14ac:dyDescent="0.3">
      <c r="N52" s="70" t="s">
        <v>125</v>
      </c>
      <c r="O52" s="9">
        <f>N32-O50</f>
        <v>0</v>
      </c>
    </row>
  </sheetData>
  <mergeCells count="3">
    <mergeCell ref="C1:D2"/>
    <mergeCell ref="E1:F2"/>
    <mergeCell ref="A32:B32"/>
  </mergeCells>
  <conditionalFormatting sqref="AU5:AU11">
    <cfRule type="cellIs" dxfId="10" priority="2" operator="lessThan">
      <formula>0</formula>
    </cfRule>
  </conditionalFormatting>
  <conditionalFormatting sqref="AN5:AN11">
    <cfRule type="cellIs" dxfId="9" priority="1" operator="lessThan">
      <formula>0</formula>
    </cfRule>
  </conditionalFormatting>
  <pageMargins left="0.7" right="0.7" top="0.75" bottom="0.75" header="0.3" footer="0.3"/>
  <pageSetup orientation="portrait" horizontalDpi="1200" verticalDpi="1200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BK52"/>
  <sheetViews>
    <sheetView zoomScaleNormal="100" workbookViewId="0">
      <pane xSplit="2" ySplit="4" topLeftCell="C17" activePane="bottomRight" state="frozen"/>
      <selection activeCell="E11" sqref="E11:F11"/>
      <selection pane="topRight" activeCell="E11" sqref="E11:F11"/>
      <selection pane="bottomLeft" activeCell="E11" sqref="E11:F11"/>
      <selection pane="bottomRight" activeCell="P34" sqref="P34"/>
    </sheetView>
  </sheetViews>
  <sheetFormatPr defaultRowHeight="14.4" x14ac:dyDescent="0.3"/>
  <cols>
    <col min="1" max="1" width="7" bestFit="1" customWidth="1"/>
    <col min="2" max="2" width="18.88671875" customWidth="1"/>
    <col min="3" max="5" width="9.33203125" bestFit="1" customWidth="1"/>
    <col min="6" max="6" width="11.5546875" customWidth="1"/>
    <col min="7" max="7" width="12" bestFit="1" customWidth="1"/>
    <col min="8" max="8" width="13.33203125" customWidth="1"/>
    <col min="9" max="9" width="9.6640625" customWidth="1"/>
    <col min="10" max="10" width="9.33203125" bestFit="1" customWidth="1"/>
    <col min="11" max="11" width="14.5546875" customWidth="1"/>
    <col min="12" max="13" width="10.33203125" bestFit="1" customWidth="1"/>
    <col min="14" max="14" width="11.5546875" bestFit="1" customWidth="1"/>
    <col min="15" max="34" width="10.33203125" bestFit="1" customWidth="1"/>
    <col min="35" max="35" width="5.88671875" customWidth="1"/>
    <col min="36" max="36" width="4.33203125" customWidth="1"/>
    <col min="37" max="37" width="22.33203125" customWidth="1"/>
    <col min="38" max="38" width="10.44140625" customWidth="1"/>
    <col min="39" max="39" width="12.33203125" customWidth="1"/>
    <col min="40" max="40" width="10.33203125" customWidth="1"/>
    <col min="41" max="41" width="12" customWidth="1"/>
    <col min="42" max="42" width="10.33203125" customWidth="1"/>
    <col min="43" max="43" width="12.33203125" customWidth="1"/>
    <col min="44" max="44" width="17.44140625" customWidth="1"/>
    <col min="45" max="45" width="9.44140625" customWidth="1"/>
    <col min="46" max="46" width="10.33203125" customWidth="1"/>
    <col min="47" max="47" width="9.33203125" customWidth="1"/>
    <col min="48" max="48" width="11.33203125" bestFit="1" customWidth="1"/>
    <col min="49" max="49" width="10.33203125" bestFit="1" customWidth="1"/>
    <col min="50" max="50" width="30.33203125" bestFit="1" customWidth="1"/>
    <col min="51" max="51" width="10.109375" bestFit="1" customWidth="1"/>
  </cols>
  <sheetData>
    <row r="1" spans="1:63" ht="14.7" customHeight="1" x14ac:dyDescent="0.3">
      <c r="C1" s="107" t="s">
        <v>119</v>
      </c>
      <c r="D1" s="107"/>
      <c r="E1" s="108">
        <f>AH22/AH12</f>
        <v>59.584569732937688</v>
      </c>
      <c r="F1" s="108"/>
    </row>
    <row r="2" spans="1:63" ht="25.5" customHeight="1" x14ac:dyDescent="0.3">
      <c r="C2" s="107"/>
      <c r="D2" s="107"/>
      <c r="E2" s="108"/>
      <c r="F2" s="108"/>
    </row>
    <row r="4" spans="1:63" ht="57.6" x14ac:dyDescent="0.3">
      <c r="A4" s="53" t="s">
        <v>0</v>
      </c>
      <c r="B4" s="53" t="s">
        <v>2</v>
      </c>
      <c r="C4" s="54">
        <v>44501</v>
      </c>
      <c r="D4" s="54">
        <v>44502</v>
      </c>
      <c r="E4" s="54">
        <v>44503</v>
      </c>
      <c r="F4" s="54">
        <v>44504</v>
      </c>
      <c r="G4" s="54">
        <v>44505</v>
      </c>
      <c r="H4" s="54">
        <v>44506</v>
      </c>
      <c r="I4" s="54">
        <v>44507</v>
      </c>
      <c r="J4" s="54">
        <v>44508</v>
      </c>
      <c r="K4" s="54">
        <v>44509</v>
      </c>
      <c r="L4" s="54">
        <v>44510</v>
      </c>
      <c r="M4" s="54">
        <v>44511</v>
      </c>
      <c r="N4" s="54">
        <v>44512</v>
      </c>
      <c r="O4" s="54">
        <v>44513</v>
      </c>
      <c r="P4" s="54">
        <v>44514</v>
      </c>
      <c r="Q4" s="54">
        <v>44515</v>
      </c>
      <c r="R4" s="54">
        <v>44516</v>
      </c>
      <c r="S4" s="54">
        <v>44517</v>
      </c>
      <c r="T4" s="54">
        <v>44518</v>
      </c>
      <c r="U4" s="54">
        <v>44519</v>
      </c>
      <c r="V4" s="54">
        <v>44520</v>
      </c>
      <c r="W4" s="54">
        <v>44521</v>
      </c>
      <c r="X4" s="54">
        <v>44522</v>
      </c>
      <c r="Y4" s="54">
        <v>44523</v>
      </c>
      <c r="Z4" s="54">
        <v>44524</v>
      </c>
      <c r="AA4" s="54">
        <v>44525</v>
      </c>
      <c r="AB4" s="54">
        <v>44526</v>
      </c>
      <c r="AC4" s="54">
        <v>44527</v>
      </c>
      <c r="AD4" s="54">
        <v>44528</v>
      </c>
      <c r="AE4" s="54">
        <v>44529</v>
      </c>
      <c r="AF4" s="54">
        <v>44530</v>
      </c>
      <c r="AG4" s="54"/>
      <c r="AH4" s="53" t="s">
        <v>1</v>
      </c>
      <c r="AJ4" s="49" t="s">
        <v>0</v>
      </c>
      <c r="AK4" s="49" t="s">
        <v>2</v>
      </c>
      <c r="AL4" s="50" t="s">
        <v>23</v>
      </c>
      <c r="AM4" s="50" t="s">
        <v>24</v>
      </c>
      <c r="AN4" s="50" t="s">
        <v>26</v>
      </c>
      <c r="AO4" s="50" t="s">
        <v>120</v>
      </c>
      <c r="AP4" s="50" t="s">
        <v>27</v>
      </c>
      <c r="AQ4" s="50" t="s">
        <v>30</v>
      </c>
      <c r="AR4" s="50" t="s">
        <v>32</v>
      </c>
      <c r="AS4" s="50" t="s">
        <v>28</v>
      </c>
      <c r="AT4" s="50" t="s">
        <v>29</v>
      </c>
      <c r="AU4" s="50" t="s">
        <v>31</v>
      </c>
      <c r="AW4" s="71" t="s">
        <v>126</v>
      </c>
    </row>
    <row r="5" spans="1:63" x14ac:dyDescent="0.3">
      <c r="A5" s="2">
        <v>1</v>
      </c>
      <c r="B5" s="3" t="s">
        <v>5</v>
      </c>
      <c r="C5" s="7">
        <v>0</v>
      </c>
      <c r="D5" s="7">
        <v>0.5</v>
      </c>
      <c r="E5" s="7">
        <v>1.5</v>
      </c>
      <c r="F5" s="7">
        <v>1</v>
      </c>
      <c r="G5" s="7">
        <v>2.5</v>
      </c>
      <c r="H5" s="7">
        <v>3</v>
      </c>
      <c r="I5" s="7">
        <v>2.5</v>
      </c>
      <c r="J5" s="7">
        <v>2.5</v>
      </c>
      <c r="K5" s="7">
        <v>2.5</v>
      </c>
      <c r="L5" s="7">
        <v>2.5</v>
      </c>
      <c r="M5" s="7">
        <v>2.5</v>
      </c>
      <c r="N5" s="7">
        <v>0.5</v>
      </c>
      <c r="O5" s="7">
        <v>2</v>
      </c>
      <c r="P5" s="7">
        <v>3.5</v>
      </c>
      <c r="Q5" s="7">
        <v>0</v>
      </c>
      <c r="R5" s="7">
        <v>2.5</v>
      </c>
      <c r="S5" s="7">
        <v>2.5</v>
      </c>
      <c r="T5" s="7">
        <v>2.5</v>
      </c>
      <c r="U5" s="7">
        <v>1.5</v>
      </c>
      <c r="V5" s="7">
        <v>1.5</v>
      </c>
      <c r="W5" s="7">
        <v>2.5</v>
      </c>
      <c r="X5" s="7">
        <v>2.5</v>
      </c>
      <c r="Y5" s="7">
        <v>2.5</v>
      </c>
      <c r="Z5" s="7">
        <v>1</v>
      </c>
      <c r="AA5" s="7">
        <v>2.5</v>
      </c>
      <c r="AB5" s="7">
        <v>1.5</v>
      </c>
      <c r="AC5" s="7">
        <v>3.5</v>
      </c>
      <c r="AD5" s="7">
        <v>2.5</v>
      </c>
      <c r="AE5" s="7">
        <v>2.5</v>
      </c>
      <c r="AF5" s="7">
        <v>0</v>
      </c>
      <c r="AG5" s="7"/>
      <c r="AH5" s="56">
        <f>SUM(C5:AG5)</f>
        <v>58.5</v>
      </c>
      <c r="AJ5" s="2">
        <v>1</v>
      </c>
      <c r="AK5" s="3" t="s">
        <v>5</v>
      </c>
      <c r="AL5" s="16">
        <f>AH5*$E$1</f>
        <v>3485.6973293768547</v>
      </c>
      <c r="AM5" s="16">
        <f>AH15</f>
        <v>4735</v>
      </c>
      <c r="AN5" s="16">
        <f>AM5-AL5</f>
        <v>1249.3026706231453</v>
      </c>
      <c r="AO5" s="16">
        <f>N25</f>
        <v>4264.2857142857129</v>
      </c>
      <c r="AP5" s="16">
        <f t="shared" ref="AP5:AP11" si="0">AO5-AN5</f>
        <v>3014.9830436625675</v>
      </c>
      <c r="AQ5" s="68">
        <f>'Meal October''21 &amp; Rent November'!AU5</f>
        <v>3669.7402910707087</v>
      </c>
      <c r="AR5" s="16">
        <f t="shared" ref="AR5:AR11" si="1">AP5-AQ5</f>
        <v>-654.75724740814121</v>
      </c>
      <c r="AS5" s="26">
        <f>500+120</f>
        <v>620</v>
      </c>
      <c r="AT5" s="62"/>
      <c r="AU5" s="16">
        <f t="shared" ref="AU5:AU11" si="2">AS5-AR5</f>
        <v>1274.7572474081412</v>
      </c>
      <c r="AY5" s="9"/>
    </row>
    <row r="6" spans="1:63" x14ac:dyDescent="0.3">
      <c r="A6" s="2">
        <v>2</v>
      </c>
      <c r="B6" s="3" t="s">
        <v>111</v>
      </c>
      <c r="C6" s="7">
        <v>1</v>
      </c>
      <c r="D6" s="7">
        <v>0</v>
      </c>
      <c r="E6" s="7">
        <v>1</v>
      </c>
      <c r="F6" s="7">
        <v>2.5</v>
      </c>
      <c r="G6" s="7">
        <v>4</v>
      </c>
      <c r="H6" s="7">
        <v>4</v>
      </c>
      <c r="I6" s="7">
        <v>1.5</v>
      </c>
      <c r="J6" s="7">
        <v>1</v>
      </c>
      <c r="K6" s="7">
        <v>1</v>
      </c>
      <c r="L6" s="7">
        <v>1</v>
      </c>
      <c r="M6" s="7">
        <v>1.5</v>
      </c>
      <c r="N6" s="7">
        <v>3.5</v>
      </c>
      <c r="O6" s="7">
        <v>2</v>
      </c>
      <c r="P6" s="7">
        <v>1.5</v>
      </c>
      <c r="Q6" s="7">
        <v>1</v>
      </c>
      <c r="R6" s="7">
        <v>1</v>
      </c>
      <c r="S6" s="7">
        <v>1</v>
      </c>
      <c r="T6" s="7">
        <v>1</v>
      </c>
      <c r="U6" s="7">
        <v>2.5</v>
      </c>
      <c r="V6" s="7">
        <v>2.5</v>
      </c>
      <c r="W6" s="7">
        <v>1</v>
      </c>
      <c r="X6" s="7">
        <v>1</v>
      </c>
      <c r="Y6" s="7">
        <v>1.5</v>
      </c>
      <c r="Z6" s="7">
        <v>1</v>
      </c>
      <c r="AA6" s="7">
        <v>2</v>
      </c>
      <c r="AB6" s="7">
        <v>4.5</v>
      </c>
      <c r="AC6" s="7">
        <v>3.5</v>
      </c>
      <c r="AD6" s="7">
        <v>2.5</v>
      </c>
      <c r="AE6" s="7">
        <v>2.5</v>
      </c>
      <c r="AF6" s="7">
        <v>0</v>
      </c>
      <c r="AG6" s="7"/>
      <c r="AH6" s="56">
        <f t="shared" ref="AH6:AH11" si="3">SUM(C6:AG6)</f>
        <v>54</v>
      </c>
      <c r="AJ6" s="2">
        <v>2</v>
      </c>
      <c r="AK6" s="3" t="s">
        <v>111</v>
      </c>
      <c r="AL6" s="16">
        <f>AH6*$E$1</f>
        <v>3217.5667655786351</v>
      </c>
      <c r="AM6" s="16">
        <f t="shared" ref="AM6:AM11" si="4">AH16</f>
        <v>2505</v>
      </c>
      <c r="AN6" s="16">
        <f>AM6-AL6</f>
        <v>-712.56676557863511</v>
      </c>
      <c r="AO6" s="16">
        <f t="shared" ref="AO6:AO8" si="5">N26</f>
        <v>4264.2857142857129</v>
      </c>
      <c r="AP6" s="16">
        <f t="shared" si="0"/>
        <v>4976.8524798643484</v>
      </c>
      <c r="AQ6" s="68">
        <f>'Meal October''21 &amp; Rent November'!AU6</f>
        <v>-6.2374650839956303E-2</v>
      </c>
      <c r="AR6" s="16">
        <f t="shared" si="1"/>
        <v>4976.9148545151884</v>
      </c>
      <c r="AS6" s="26">
        <f>3000+1980</f>
        <v>4980</v>
      </c>
      <c r="AT6" s="62"/>
      <c r="AU6" s="16">
        <f t="shared" si="2"/>
        <v>3.0851454848116191</v>
      </c>
      <c r="AY6" s="9"/>
    </row>
    <row r="7" spans="1:63" x14ac:dyDescent="0.3">
      <c r="A7" s="2">
        <v>3</v>
      </c>
      <c r="B7" s="3" t="s">
        <v>6</v>
      </c>
      <c r="C7" s="7">
        <v>1.5</v>
      </c>
      <c r="D7" s="7">
        <v>1.5</v>
      </c>
      <c r="E7" s="7">
        <v>1</v>
      </c>
      <c r="F7" s="7">
        <v>2.5</v>
      </c>
      <c r="G7" s="7">
        <v>2.5</v>
      </c>
      <c r="H7" s="7">
        <v>3.5</v>
      </c>
      <c r="I7" s="7">
        <v>2.5</v>
      </c>
      <c r="J7" s="7">
        <v>5</v>
      </c>
      <c r="K7" s="7">
        <v>2.5</v>
      </c>
      <c r="L7" s="7">
        <v>2.5</v>
      </c>
      <c r="M7" s="7">
        <v>1.5</v>
      </c>
      <c r="N7" s="7">
        <v>2.5</v>
      </c>
      <c r="O7" s="7">
        <v>1</v>
      </c>
      <c r="P7" s="7">
        <v>3.5</v>
      </c>
      <c r="Q7" s="7">
        <v>2.5</v>
      </c>
      <c r="R7" s="7">
        <v>1</v>
      </c>
      <c r="S7" s="7">
        <v>1.5</v>
      </c>
      <c r="T7" s="7">
        <v>1.5</v>
      </c>
      <c r="U7" s="7">
        <v>2.5</v>
      </c>
      <c r="V7" s="7">
        <v>1.5</v>
      </c>
      <c r="W7" s="7">
        <v>1</v>
      </c>
      <c r="X7" s="7">
        <v>2</v>
      </c>
      <c r="Y7" s="7">
        <v>1.5</v>
      </c>
      <c r="Z7" s="7">
        <v>1</v>
      </c>
      <c r="AA7" s="7">
        <v>1.5</v>
      </c>
      <c r="AB7" s="7">
        <v>1.5</v>
      </c>
      <c r="AC7" s="7">
        <v>1.5</v>
      </c>
      <c r="AD7" s="7">
        <v>1.5</v>
      </c>
      <c r="AE7" s="7">
        <v>1.5</v>
      </c>
      <c r="AF7" s="7">
        <v>0</v>
      </c>
      <c r="AG7" s="7"/>
      <c r="AH7" s="56">
        <f t="shared" si="3"/>
        <v>57</v>
      </c>
      <c r="AJ7" s="2">
        <v>3</v>
      </c>
      <c r="AK7" s="3" t="s">
        <v>6</v>
      </c>
      <c r="AL7" s="16">
        <f t="shared" ref="AL7:AL11" si="6">AH7*$E$1</f>
        <v>3396.320474777448</v>
      </c>
      <c r="AM7" s="16">
        <f t="shared" si="4"/>
        <v>2625</v>
      </c>
      <c r="AN7" s="16">
        <f t="shared" ref="AN7:AN11" si="7">AM7-AL7</f>
        <v>-771.320474777448</v>
      </c>
      <c r="AO7" s="16">
        <f t="shared" si="5"/>
        <v>3264.2857142857142</v>
      </c>
      <c r="AP7" s="16">
        <f t="shared" si="0"/>
        <v>4035.6061890631622</v>
      </c>
      <c r="AQ7" s="68">
        <f>'Meal October''21 &amp; Rent November'!AU7</f>
        <v>-1486.4525809745064</v>
      </c>
      <c r="AR7" s="16">
        <f t="shared" si="1"/>
        <v>5522.0587700376691</v>
      </c>
      <c r="AS7" s="26">
        <v>4850</v>
      </c>
      <c r="AT7" s="62"/>
      <c r="AU7" s="16">
        <f t="shared" si="2"/>
        <v>-672.05877003766909</v>
      </c>
      <c r="AY7" s="9"/>
    </row>
    <row r="8" spans="1:63" x14ac:dyDescent="0.3">
      <c r="A8" s="2">
        <v>4</v>
      </c>
      <c r="B8" s="3" t="s">
        <v>57</v>
      </c>
      <c r="C8" s="7">
        <v>2.5</v>
      </c>
      <c r="D8" s="7">
        <v>1.5</v>
      </c>
      <c r="E8" s="7">
        <v>1</v>
      </c>
      <c r="F8" s="7">
        <v>2.5</v>
      </c>
      <c r="G8" s="7">
        <v>2.5</v>
      </c>
      <c r="H8" s="7">
        <v>2.5</v>
      </c>
      <c r="I8" s="7">
        <v>2.5</v>
      </c>
      <c r="J8" s="7">
        <v>2.5</v>
      </c>
      <c r="K8" s="7">
        <v>2.5</v>
      </c>
      <c r="L8" s="7">
        <v>2.5</v>
      </c>
      <c r="M8" s="7">
        <v>2.5</v>
      </c>
      <c r="N8" s="7">
        <v>2.5</v>
      </c>
      <c r="O8" s="7">
        <v>1</v>
      </c>
      <c r="P8" s="7">
        <v>2.5</v>
      </c>
      <c r="Q8" s="7">
        <v>1.5</v>
      </c>
      <c r="R8" s="7">
        <v>1</v>
      </c>
      <c r="S8" s="7">
        <v>2.5</v>
      </c>
      <c r="T8" s="7">
        <v>1.5</v>
      </c>
      <c r="U8" s="7">
        <v>1</v>
      </c>
      <c r="V8" s="7">
        <v>2</v>
      </c>
      <c r="W8" s="7">
        <v>2.5</v>
      </c>
      <c r="X8" s="7">
        <v>2.5</v>
      </c>
      <c r="Y8" s="7">
        <v>1.5</v>
      </c>
      <c r="Z8" s="7">
        <v>0</v>
      </c>
      <c r="AA8" s="7">
        <v>1.5</v>
      </c>
      <c r="AB8" s="7">
        <v>2.5</v>
      </c>
      <c r="AC8" s="7">
        <v>1.5</v>
      </c>
      <c r="AD8" s="7">
        <v>1.5</v>
      </c>
      <c r="AE8" s="7">
        <v>2</v>
      </c>
      <c r="AF8" s="7">
        <v>0</v>
      </c>
      <c r="AG8" s="7"/>
      <c r="AH8" s="56">
        <f t="shared" si="3"/>
        <v>56</v>
      </c>
      <c r="AJ8" s="2">
        <v>4</v>
      </c>
      <c r="AK8" s="3" t="s">
        <v>57</v>
      </c>
      <c r="AL8" s="16">
        <f t="shared" si="6"/>
        <v>3336.7359050445107</v>
      </c>
      <c r="AM8" s="16">
        <f t="shared" si="4"/>
        <v>2025</v>
      </c>
      <c r="AN8" s="16">
        <f t="shared" si="7"/>
        <v>-1311.7359050445107</v>
      </c>
      <c r="AO8" s="16">
        <f t="shared" si="5"/>
        <v>3264.2857142857142</v>
      </c>
      <c r="AP8" s="16">
        <f t="shared" si="0"/>
        <v>4576.0216193302249</v>
      </c>
      <c r="AQ8" s="68">
        <f>'Meal October''21 &amp; Rent November'!AU8</f>
        <v>-2328.5025473250607</v>
      </c>
      <c r="AR8" s="16">
        <f t="shared" si="1"/>
        <v>6904.5241666552856</v>
      </c>
      <c r="AS8" s="26">
        <f>2000+200+1427+3300</f>
        <v>6927</v>
      </c>
      <c r="AT8" s="62"/>
      <c r="AU8" s="16">
        <f t="shared" si="2"/>
        <v>22.475833344714374</v>
      </c>
      <c r="AV8" s="25"/>
      <c r="AW8">
        <v>2000</v>
      </c>
      <c r="AY8" s="9"/>
    </row>
    <row r="9" spans="1:63" x14ac:dyDescent="0.3">
      <c r="A9" s="2">
        <v>5</v>
      </c>
      <c r="B9" s="12" t="s">
        <v>51</v>
      </c>
      <c r="C9" s="7">
        <v>1.5</v>
      </c>
      <c r="D9" s="7">
        <v>0.5</v>
      </c>
      <c r="E9" s="7">
        <v>1</v>
      </c>
      <c r="F9" s="7">
        <v>2</v>
      </c>
      <c r="G9" s="7">
        <v>5</v>
      </c>
      <c r="H9" s="7">
        <v>6</v>
      </c>
      <c r="I9" s="7">
        <v>1</v>
      </c>
      <c r="J9" s="7">
        <v>1</v>
      </c>
      <c r="K9" s="7">
        <v>1</v>
      </c>
      <c r="L9" s="7">
        <v>1</v>
      </c>
      <c r="M9" s="7">
        <v>1</v>
      </c>
      <c r="N9" s="7">
        <v>2.5</v>
      </c>
      <c r="O9" s="7">
        <v>1</v>
      </c>
      <c r="P9" s="7">
        <v>1</v>
      </c>
      <c r="Q9" s="7">
        <v>1</v>
      </c>
      <c r="R9" s="7">
        <v>1.5</v>
      </c>
      <c r="S9" s="7">
        <v>1</v>
      </c>
      <c r="T9" s="7">
        <v>1.5</v>
      </c>
      <c r="U9" s="7">
        <v>2.5</v>
      </c>
      <c r="V9" s="7">
        <v>2.5</v>
      </c>
      <c r="W9" s="7">
        <v>1</v>
      </c>
      <c r="X9" s="7">
        <v>1</v>
      </c>
      <c r="Y9" s="7">
        <v>1</v>
      </c>
      <c r="Z9" s="7">
        <v>1</v>
      </c>
      <c r="AA9" s="7">
        <v>1.5</v>
      </c>
      <c r="AB9" s="7">
        <v>3.5</v>
      </c>
      <c r="AC9" s="7">
        <v>2.5</v>
      </c>
      <c r="AD9" s="7">
        <v>2</v>
      </c>
      <c r="AE9" s="7">
        <v>5</v>
      </c>
      <c r="AF9" s="7">
        <v>0</v>
      </c>
      <c r="AG9" s="7"/>
      <c r="AH9" s="56">
        <f t="shared" si="3"/>
        <v>54</v>
      </c>
      <c r="AJ9" s="2">
        <v>5</v>
      </c>
      <c r="AK9" s="12" t="s">
        <v>51</v>
      </c>
      <c r="AL9" s="16">
        <f t="shared" si="6"/>
        <v>3217.5667655786351</v>
      </c>
      <c r="AM9" s="16">
        <f t="shared" si="4"/>
        <v>2570</v>
      </c>
      <c r="AN9" s="16">
        <f t="shared" si="7"/>
        <v>-647.56676557863511</v>
      </c>
      <c r="AO9" s="16">
        <f>N29</f>
        <v>3264.2857142857142</v>
      </c>
      <c r="AP9" s="16">
        <f>AO9-AN9</f>
        <v>3911.8524798643493</v>
      </c>
      <c r="AQ9" s="68">
        <f>'Meal October''21 &amp; Rent November'!AU9</f>
        <v>1668.411818562849</v>
      </c>
      <c r="AR9" s="16">
        <f t="shared" si="1"/>
        <v>2243.4406613015003</v>
      </c>
      <c r="AS9" s="26">
        <v>3000</v>
      </c>
      <c r="AT9" s="62"/>
      <c r="AU9" s="16">
        <f t="shared" si="2"/>
        <v>756.55933869849969</v>
      </c>
    </row>
    <row r="10" spans="1:63" x14ac:dyDescent="0.3">
      <c r="A10" s="2">
        <v>6</v>
      </c>
      <c r="B10" s="1" t="s">
        <v>110</v>
      </c>
      <c r="C10" s="7">
        <v>1.5</v>
      </c>
      <c r="D10" s="7">
        <v>1</v>
      </c>
      <c r="E10" s="7">
        <v>1</v>
      </c>
      <c r="F10" s="7">
        <v>1</v>
      </c>
      <c r="G10" s="7">
        <v>1.5</v>
      </c>
      <c r="H10" s="7">
        <v>1.5</v>
      </c>
      <c r="I10" s="7">
        <v>1.5</v>
      </c>
      <c r="J10" s="7">
        <v>1</v>
      </c>
      <c r="K10" s="7">
        <v>1.5</v>
      </c>
      <c r="L10" s="7">
        <v>1.5</v>
      </c>
      <c r="M10" s="7">
        <v>1.5</v>
      </c>
      <c r="N10" s="7">
        <v>1.5</v>
      </c>
      <c r="O10" s="7">
        <v>1</v>
      </c>
      <c r="P10" s="7">
        <v>1.5</v>
      </c>
      <c r="Q10" s="7">
        <v>2.5</v>
      </c>
      <c r="R10" s="7">
        <v>1.5</v>
      </c>
      <c r="S10" s="7">
        <v>1.5</v>
      </c>
      <c r="T10" s="7">
        <v>1.5</v>
      </c>
      <c r="U10" s="7">
        <v>1.5</v>
      </c>
      <c r="V10" s="7">
        <v>1</v>
      </c>
      <c r="W10" s="7">
        <v>1</v>
      </c>
      <c r="X10" s="7">
        <v>1</v>
      </c>
      <c r="Y10" s="7">
        <v>1</v>
      </c>
      <c r="Z10" s="7">
        <v>1</v>
      </c>
      <c r="AA10" s="7">
        <v>1.5</v>
      </c>
      <c r="AB10" s="7">
        <v>1.5</v>
      </c>
      <c r="AC10" s="7">
        <v>2.5</v>
      </c>
      <c r="AD10" s="7">
        <v>1.5</v>
      </c>
      <c r="AE10" s="7">
        <v>2.5</v>
      </c>
      <c r="AF10" s="7">
        <v>0</v>
      </c>
      <c r="AG10" s="7"/>
      <c r="AH10" s="56">
        <f t="shared" si="3"/>
        <v>41.5</v>
      </c>
      <c r="AJ10" s="2">
        <v>6</v>
      </c>
      <c r="AK10" s="12" t="s">
        <v>104</v>
      </c>
      <c r="AL10" s="16">
        <f>AH10*$E$1</f>
        <v>2472.7596439169142</v>
      </c>
      <c r="AM10" s="16">
        <f>AH20</f>
        <v>3340</v>
      </c>
      <c r="AN10" s="16">
        <f t="shared" si="7"/>
        <v>867.24035608308577</v>
      </c>
      <c r="AO10" s="16">
        <f>N30</f>
        <v>4014.2857142857142</v>
      </c>
      <c r="AP10" s="16">
        <f t="shared" si="0"/>
        <v>3147.0453582026284</v>
      </c>
      <c r="AQ10" s="68">
        <f>'Meal October''21 &amp; Rent November'!AU10</f>
        <v>123.40497477555391</v>
      </c>
      <c r="AR10" s="16">
        <f t="shared" si="1"/>
        <v>3023.6403834270745</v>
      </c>
      <c r="AS10" s="26">
        <v>3050</v>
      </c>
      <c r="AT10" s="62"/>
      <c r="AU10" s="16">
        <f>AS10-AR10</f>
        <v>26.359616572925461</v>
      </c>
      <c r="AV10" s="47"/>
    </row>
    <row r="11" spans="1:63" x14ac:dyDescent="0.3">
      <c r="A11" s="2">
        <v>7</v>
      </c>
      <c r="B11" s="3" t="s">
        <v>118</v>
      </c>
      <c r="C11" s="7">
        <v>0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2</v>
      </c>
      <c r="L11" s="7">
        <v>2</v>
      </c>
      <c r="M11" s="7">
        <v>2</v>
      </c>
      <c r="N11" s="7">
        <v>0</v>
      </c>
      <c r="O11" s="7">
        <v>1</v>
      </c>
      <c r="P11" s="7">
        <v>2</v>
      </c>
      <c r="Q11" s="7">
        <v>2</v>
      </c>
      <c r="R11" s="7">
        <v>2</v>
      </c>
      <c r="S11" s="7">
        <v>1</v>
      </c>
      <c r="T11" s="7">
        <v>1</v>
      </c>
      <c r="U11" s="7">
        <v>0</v>
      </c>
      <c r="V11" s="7">
        <v>0</v>
      </c>
      <c r="W11" s="7">
        <v>0</v>
      </c>
      <c r="X11" s="7">
        <v>0</v>
      </c>
      <c r="Y11" s="7">
        <v>0</v>
      </c>
      <c r="Z11" s="7">
        <v>0</v>
      </c>
      <c r="AA11" s="7">
        <v>0</v>
      </c>
      <c r="AB11" s="7">
        <v>0</v>
      </c>
      <c r="AC11" s="7">
        <v>0</v>
      </c>
      <c r="AD11" s="7">
        <v>1</v>
      </c>
      <c r="AE11" s="7">
        <v>0</v>
      </c>
      <c r="AF11" s="7">
        <v>0</v>
      </c>
      <c r="AG11" s="7"/>
      <c r="AH11" s="56">
        <f t="shared" si="3"/>
        <v>16</v>
      </c>
      <c r="AJ11" s="2">
        <v>7</v>
      </c>
      <c r="AK11" s="3" t="s">
        <v>118</v>
      </c>
      <c r="AL11" s="16">
        <f t="shared" si="6"/>
        <v>953.353115727003</v>
      </c>
      <c r="AM11" s="16">
        <f t="shared" si="4"/>
        <v>2280</v>
      </c>
      <c r="AN11" s="16">
        <f t="shared" si="7"/>
        <v>1326.6468842729969</v>
      </c>
      <c r="AO11" s="16">
        <f>N31</f>
        <v>4014.2857142857142</v>
      </c>
      <c r="AP11" s="16">
        <f t="shared" si="0"/>
        <v>2687.6388300127173</v>
      </c>
      <c r="AQ11" s="68">
        <f>'Meal October''21 &amp; Rent November'!AU11</f>
        <v>-680.1710218969979</v>
      </c>
      <c r="AR11" s="16">
        <f t="shared" si="1"/>
        <v>3367.8098519097152</v>
      </c>
      <c r="AS11" s="61">
        <f>2000+1370</f>
        <v>3370</v>
      </c>
      <c r="AT11" s="62"/>
      <c r="AU11" s="16">
        <f t="shared" si="2"/>
        <v>2.1901480902847652</v>
      </c>
      <c r="AV11" s="9"/>
    </row>
    <row r="12" spans="1:63" x14ac:dyDescent="0.3">
      <c r="C12" s="55">
        <f>SUM(C5:C11)</f>
        <v>8</v>
      </c>
      <c r="D12" s="55">
        <f t="shared" ref="D12:AF12" si="8">SUM(D5:D11)</f>
        <v>5</v>
      </c>
      <c r="E12" s="55">
        <f t="shared" si="8"/>
        <v>6.5</v>
      </c>
      <c r="F12" s="55">
        <f t="shared" si="8"/>
        <v>11.5</v>
      </c>
      <c r="G12" s="55">
        <f t="shared" si="8"/>
        <v>18</v>
      </c>
      <c r="H12" s="55">
        <f t="shared" si="8"/>
        <v>20.5</v>
      </c>
      <c r="I12" s="55">
        <f t="shared" si="8"/>
        <v>11.5</v>
      </c>
      <c r="J12" s="55">
        <f t="shared" si="8"/>
        <v>13</v>
      </c>
      <c r="K12" s="55">
        <f t="shared" si="8"/>
        <v>13</v>
      </c>
      <c r="L12" s="55">
        <f t="shared" si="8"/>
        <v>13</v>
      </c>
      <c r="M12" s="55">
        <f t="shared" si="8"/>
        <v>12.5</v>
      </c>
      <c r="N12" s="55">
        <f t="shared" si="8"/>
        <v>13</v>
      </c>
      <c r="O12" s="55">
        <f t="shared" si="8"/>
        <v>9</v>
      </c>
      <c r="P12" s="55">
        <f t="shared" si="8"/>
        <v>15.5</v>
      </c>
      <c r="Q12" s="55">
        <f t="shared" si="8"/>
        <v>10.5</v>
      </c>
      <c r="R12" s="55">
        <f t="shared" si="8"/>
        <v>10.5</v>
      </c>
      <c r="S12" s="55">
        <f t="shared" si="8"/>
        <v>11</v>
      </c>
      <c r="T12" s="55">
        <f t="shared" si="8"/>
        <v>10.5</v>
      </c>
      <c r="U12" s="55">
        <f t="shared" si="8"/>
        <v>11.5</v>
      </c>
      <c r="V12" s="55">
        <f t="shared" si="8"/>
        <v>11</v>
      </c>
      <c r="W12" s="55">
        <f t="shared" si="8"/>
        <v>9</v>
      </c>
      <c r="X12" s="55">
        <f t="shared" si="8"/>
        <v>10</v>
      </c>
      <c r="Y12" s="55">
        <f t="shared" si="8"/>
        <v>9</v>
      </c>
      <c r="Z12" s="55">
        <f t="shared" si="8"/>
        <v>5</v>
      </c>
      <c r="AA12" s="55">
        <f t="shared" si="8"/>
        <v>10.5</v>
      </c>
      <c r="AB12" s="55">
        <f t="shared" si="8"/>
        <v>15</v>
      </c>
      <c r="AC12" s="55">
        <f t="shared" si="8"/>
        <v>15</v>
      </c>
      <c r="AD12" s="55">
        <f t="shared" si="8"/>
        <v>12.5</v>
      </c>
      <c r="AE12" s="55">
        <f t="shared" si="8"/>
        <v>16</v>
      </c>
      <c r="AF12" s="55">
        <f t="shared" si="8"/>
        <v>0</v>
      </c>
      <c r="AG12" s="55"/>
      <c r="AH12" s="55">
        <f>SUM(AH5:AH11)</f>
        <v>337</v>
      </c>
      <c r="AJ12" s="2"/>
      <c r="AK12" s="12"/>
      <c r="AL12" s="51">
        <f t="shared" ref="AL12:AQ12" si="9">SUM(AL5:AL11)</f>
        <v>20080.000000000004</v>
      </c>
      <c r="AM12" s="51">
        <f t="shared" si="9"/>
        <v>20080</v>
      </c>
      <c r="AN12" s="51">
        <f t="shared" si="9"/>
        <v>0</v>
      </c>
      <c r="AO12" s="51">
        <f t="shared" si="9"/>
        <v>26349.999999999996</v>
      </c>
      <c r="AP12" s="51">
        <f t="shared" si="9"/>
        <v>26349.999999999996</v>
      </c>
      <c r="AQ12" s="69">
        <f t="shared" si="9"/>
        <v>966.36855956170666</v>
      </c>
      <c r="AR12" s="51">
        <f>AP12-AQ12</f>
        <v>25383.63144043829</v>
      </c>
      <c r="AS12" s="63">
        <f>SUM(AS5:AS11)</f>
        <v>26797</v>
      </c>
      <c r="AT12" s="63"/>
      <c r="AU12" s="51">
        <f>SUM(AU5:AU11)</f>
        <v>1413.368559561708</v>
      </c>
      <c r="AV12" s="9"/>
    </row>
    <row r="13" spans="1:63" x14ac:dyDescent="0.3">
      <c r="AL13" s="25"/>
      <c r="AM13" s="9"/>
      <c r="AN13" s="9"/>
      <c r="AO13" s="9"/>
      <c r="AP13" s="9"/>
      <c r="AQ13" s="9"/>
      <c r="AR13" s="25"/>
      <c r="AS13" s="9"/>
      <c r="AT13" s="9"/>
      <c r="AU13" s="9"/>
      <c r="AV13" s="9"/>
      <c r="AW13" s="9"/>
      <c r="AX13" s="44" t="s">
        <v>88</v>
      </c>
      <c r="AY13" s="9"/>
    </row>
    <row r="14" spans="1:63" x14ac:dyDescent="0.3">
      <c r="B14" s="64" t="s">
        <v>121</v>
      </c>
      <c r="AX14" s="1" t="s">
        <v>89</v>
      </c>
      <c r="AY14" s="1" t="s">
        <v>95</v>
      </c>
    </row>
    <row r="15" spans="1:63" x14ac:dyDescent="0.3">
      <c r="A15" s="2">
        <v>1</v>
      </c>
      <c r="B15" s="3" t="s">
        <v>5</v>
      </c>
      <c r="C15" s="8"/>
      <c r="D15" s="8"/>
      <c r="E15" s="8"/>
      <c r="F15" s="8"/>
      <c r="G15" s="8"/>
      <c r="H15" s="8">
        <v>2260</v>
      </c>
      <c r="I15" s="8">
        <v>1040</v>
      </c>
      <c r="J15" s="8"/>
      <c r="K15" s="8">
        <v>640</v>
      </c>
      <c r="L15" s="8">
        <v>25</v>
      </c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>
        <v>770</v>
      </c>
      <c r="AA15" s="8"/>
      <c r="AB15" s="8"/>
      <c r="AC15" s="8"/>
      <c r="AD15" s="8"/>
      <c r="AE15" s="8"/>
      <c r="AF15" s="8"/>
      <c r="AG15" s="8"/>
      <c r="AH15" s="65">
        <f>SUM(C15:AG15)</f>
        <v>4735</v>
      </c>
      <c r="AR15" s="25"/>
      <c r="AU15" s="9"/>
      <c r="AX15" s="1" t="s">
        <v>107</v>
      </c>
      <c r="AY15" s="16">
        <f>O41</f>
        <v>0</v>
      </c>
      <c r="BI15" s="1" t="s">
        <v>96</v>
      </c>
      <c r="BJ15" s="1"/>
      <c r="BK15" s="1"/>
    </row>
    <row r="16" spans="1:63" x14ac:dyDescent="0.3">
      <c r="A16" s="2">
        <v>2</v>
      </c>
      <c r="B16" s="3" t="s">
        <v>111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U16" s="8">
        <v>910</v>
      </c>
      <c r="V16" s="8">
        <v>1160</v>
      </c>
      <c r="W16" s="8">
        <v>185</v>
      </c>
      <c r="X16" s="8">
        <v>50</v>
      </c>
      <c r="Y16" s="8">
        <v>120</v>
      </c>
      <c r="Z16" s="8"/>
      <c r="AA16" s="8"/>
      <c r="AB16" s="8">
        <v>80</v>
      </c>
      <c r="AC16" s="8"/>
      <c r="AD16" s="8"/>
      <c r="AE16" s="8"/>
      <c r="AF16" s="8"/>
      <c r="AG16" s="8"/>
      <c r="AH16" s="65">
        <f t="shared" ref="AH16:AH21" si="10">SUM(C16:AG16)</f>
        <v>2505</v>
      </c>
      <c r="AX16" s="1" t="s">
        <v>91</v>
      </c>
      <c r="AY16" s="16">
        <f>-AQ12</f>
        <v>-966.36855956170666</v>
      </c>
      <c r="BI16" s="1" t="s">
        <v>97</v>
      </c>
      <c r="BJ16" s="1">
        <v>4000</v>
      </c>
      <c r="BK16" s="1"/>
    </row>
    <row r="17" spans="1:63" x14ac:dyDescent="0.3">
      <c r="A17" s="2">
        <v>3</v>
      </c>
      <c r="B17" s="3" t="s">
        <v>6</v>
      </c>
      <c r="C17" s="8"/>
      <c r="D17" s="8"/>
      <c r="E17" s="8"/>
      <c r="F17" s="8">
        <v>160</v>
      </c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AA17" s="8">
        <v>2465</v>
      </c>
      <c r="AB17" s="8"/>
      <c r="AC17" s="8"/>
      <c r="AD17" s="8"/>
      <c r="AE17" s="8"/>
      <c r="AF17" s="8"/>
      <c r="AG17" s="8"/>
      <c r="AH17" s="65">
        <f t="shared" si="10"/>
        <v>2625</v>
      </c>
      <c r="AR17" s="25"/>
      <c r="AX17" s="1"/>
      <c r="AY17" s="16">
        <f>SUM(AY15:AY16)</f>
        <v>-966.36855956170666</v>
      </c>
      <c r="BI17" s="1" t="s">
        <v>36</v>
      </c>
      <c r="BJ17" s="1">
        <f>BJ16/6</f>
        <v>666.66666666666663</v>
      </c>
      <c r="BK17" s="1">
        <f>BJ17*5</f>
        <v>3333.333333333333</v>
      </c>
    </row>
    <row r="18" spans="1:63" x14ac:dyDescent="0.3">
      <c r="A18" s="2">
        <v>4</v>
      </c>
      <c r="B18" s="3" t="s">
        <v>57</v>
      </c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>
        <v>1010</v>
      </c>
      <c r="R18" s="8">
        <v>705</v>
      </c>
      <c r="S18" s="8">
        <v>200</v>
      </c>
      <c r="T18" s="8">
        <v>110</v>
      </c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65">
        <f t="shared" si="10"/>
        <v>2025</v>
      </c>
      <c r="AR18" s="25"/>
      <c r="BA18" s="9">
        <v>4547</v>
      </c>
      <c r="BI18" s="1" t="s">
        <v>37</v>
      </c>
      <c r="BJ18" s="1"/>
      <c r="BK18" s="1"/>
    </row>
    <row r="19" spans="1:63" x14ac:dyDescent="0.3">
      <c r="A19" s="2">
        <v>5</v>
      </c>
      <c r="B19" s="12" t="s">
        <v>51</v>
      </c>
      <c r="C19" s="8"/>
      <c r="D19" s="8"/>
      <c r="E19" s="8"/>
      <c r="F19" s="8"/>
      <c r="G19" s="8"/>
      <c r="H19" s="8"/>
      <c r="I19" s="8"/>
      <c r="J19" s="8"/>
      <c r="K19" s="8"/>
      <c r="L19" s="8"/>
      <c r="M19" s="8">
        <v>1810</v>
      </c>
      <c r="N19" s="8">
        <v>270</v>
      </c>
      <c r="O19" s="8">
        <v>380</v>
      </c>
      <c r="P19" s="8">
        <v>110</v>
      </c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65">
        <f t="shared" si="10"/>
        <v>2570</v>
      </c>
      <c r="AX19" s="1" t="s">
        <v>92</v>
      </c>
      <c r="AY19" s="1"/>
      <c r="BA19" s="9">
        <f>AY15+BA18</f>
        <v>4547</v>
      </c>
      <c r="BI19" s="1" t="s">
        <v>98</v>
      </c>
      <c r="BJ19" s="1">
        <f>$BJ$17</f>
        <v>666.66666666666663</v>
      </c>
      <c r="BK19" s="1"/>
    </row>
    <row r="20" spans="1:63" x14ac:dyDescent="0.3">
      <c r="A20" s="2">
        <v>6</v>
      </c>
      <c r="B20" s="1" t="s">
        <v>110</v>
      </c>
      <c r="C20" s="8">
        <v>2760</v>
      </c>
      <c r="D20" s="8">
        <v>580</v>
      </c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65">
        <f>SUM(C20:AG20)</f>
        <v>3340</v>
      </c>
      <c r="AV20" s="25"/>
      <c r="AX20" s="1" t="s">
        <v>93</v>
      </c>
      <c r="AY20" s="16">
        <f>-AU12</f>
        <v>-1413.368559561708</v>
      </c>
      <c r="BI20" s="1" t="s">
        <v>49</v>
      </c>
      <c r="BJ20" s="1">
        <f>$BJ$17</f>
        <v>666.66666666666663</v>
      </c>
      <c r="BK20" s="1"/>
    </row>
    <row r="21" spans="1:63" x14ac:dyDescent="0.3">
      <c r="A21" s="2">
        <v>7</v>
      </c>
      <c r="B21" s="3" t="s">
        <v>118</v>
      </c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>
        <v>2280</v>
      </c>
      <c r="AE21" s="8"/>
      <c r="AF21" s="8"/>
      <c r="AG21" s="8"/>
      <c r="AH21" s="65">
        <f t="shared" si="10"/>
        <v>2280</v>
      </c>
      <c r="AX21" s="1" t="s">
        <v>94</v>
      </c>
      <c r="AY21" s="1">
        <v>2000</v>
      </c>
      <c r="BI21" s="1" t="s">
        <v>38</v>
      </c>
      <c r="BJ21" s="1">
        <f>$BJ$17</f>
        <v>666.66666666666663</v>
      </c>
      <c r="BK21" s="1"/>
    </row>
    <row r="22" spans="1:63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51">
        <f>SUM(AH15:AH21)</f>
        <v>20080</v>
      </c>
      <c r="AX22" s="1"/>
      <c r="AY22" s="16">
        <f>SUM(AY20:AY21)</f>
        <v>586.63144043829197</v>
      </c>
      <c r="BI22" s="1" t="s">
        <v>99</v>
      </c>
      <c r="BJ22" s="1">
        <f>$BJ$17</f>
        <v>666.66666666666663</v>
      </c>
      <c r="BK22" s="1"/>
    </row>
    <row r="23" spans="1:63" x14ac:dyDescent="0.3">
      <c r="BI23" s="1" t="s">
        <v>40</v>
      </c>
      <c r="BJ23" s="1">
        <f>$BJ$17</f>
        <v>666.66666666666663</v>
      </c>
      <c r="BK23" s="1"/>
    </row>
    <row r="24" spans="1:63" x14ac:dyDescent="0.3">
      <c r="A24" s="4"/>
      <c r="B24" s="13" t="s">
        <v>132</v>
      </c>
      <c r="C24" s="66" t="s">
        <v>11</v>
      </c>
      <c r="D24" s="66" t="s">
        <v>12</v>
      </c>
      <c r="E24" s="66" t="s">
        <v>13</v>
      </c>
      <c r="F24" s="66" t="s">
        <v>14</v>
      </c>
      <c r="G24" s="66" t="s">
        <v>15</v>
      </c>
      <c r="H24" s="66" t="s">
        <v>16</v>
      </c>
      <c r="I24" s="66" t="s">
        <v>17</v>
      </c>
      <c r="J24" s="66" t="s">
        <v>18</v>
      </c>
      <c r="K24" s="66" t="s">
        <v>19</v>
      </c>
      <c r="L24" s="66" t="s">
        <v>20</v>
      </c>
      <c r="M24" s="66" t="s">
        <v>21</v>
      </c>
      <c r="N24" s="66" t="s">
        <v>22</v>
      </c>
      <c r="AX24" t="s">
        <v>100</v>
      </c>
      <c r="BI24" s="1"/>
      <c r="BJ24" s="1">
        <f>SUM(BJ19:BJ23)</f>
        <v>3333.333333333333</v>
      </c>
      <c r="BK24" s="1"/>
    </row>
    <row r="25" spans="1:63" x14ac:dyDescent="0.3">
      <c r="A25" s="2">
        <v>1</v>
      </c>
      <c r="B25" s="12" t="s">
        <v>5</v>
      </c>
      <c r="C25" s="8">
        <f>H35</f>
        <v>3142.8571428571427</v>
      </c>
      <c r="D25" s="8">
        <f t="shared" ref="D25:D31" si="11">$D$32/7</f>
        <v>428.57142857142856</v>
      </c>
      <c r="E25" s="8">
        <f>$E$32/7</f>
        <v>0</v>
      </c>
      <c r="F25" s="8">
        <f t="shared" ref="F25:F31" si="12">$F$32/7</f>
        <v>71.428571428571431</v>
      </c>
      <c r="G25" s="8">
        <f t="shared" ref="G25:G31" si="13">$G$32/7</f>
        <v>139.28571428571428</v>
      </c>
      <c r="H25" s="8">
        <f t="shared" ref="H25:H31" si="14">$H$32/7</f>
        <v>143.57142857142858</v>
      </c>
      <c r="I25" s="8">
        <f t="shared" ref="I25:I31" si="15">$I$32/7</f>
        <v>257.14285714285717</v>
      </c>
      <c r="J25" s="8">
        <f t="shared" ref="J25:J31" si="16">$J$32/7</f>
        <v>35.714285714285715</v>
      </c>
      <c r="K25" s="8">
        <f>$K$32/7</f>
        <v>0</v>
      </c>
      <c r="L25" s="8">
        <f t="shared" ref="L25:L31" si="17">$L$32/7</f>
        <v>17.142857142857142</v>
      </c>
      <c r="M25" s="8">
        <f t="shared" ref="M25:M31" si="18">$M$32/7</f>
        <v>28.571428571428573</v>
      </c>
      <c r="N25" s="65">
        <f t="shared" ref="N25:N29" si="19">SUM(C25:M25)</f>
        <v>4264.2857142857129</v>
      </c>
      <c r="AX25" t="s">
        <v>90</v>
      </c>
      <c r="AY25" s="47">
        <v>23773</v>
      </c>
    </row>
    <row r="26" spans="1:63" x14ac:dyDescent="0.3">
      <c r="A26" s="2">
        <v>2</v>
      </c>
      <c r="B26" s="12" t="s">
        <v>111</v>
      </c>
      <c r="C26" s="8">
        <f>H35</f>
        <v>3142.8571428571427</v>
      </c>
      <c r="D26" s="8">
        <f t="shared" si="11"/>
        <v>428.57142857142856</v>
      </c>
      <c r="E26" s="8">
        <f>$E$32/7</f>
        <v>0</v>
      </c>
      <c r="F26" s="8">
        <f t="shared" si="12"/>
        <v>71.428571428571431</v>
      </c>
      <c r="G26" s="8">
        <f t="shared" si="13"/>
        <v>139.28571428571428</v>
      </c>
      <c r="H26" s="8">
        <f t="shared" si="14"/>
        <v>143.57142857142858</v>
      </c>
      <c r="I26" s="8">
        <f t="shared" si="15"/>
        <v>257.14285714285717</v>
      </c>
      <c r="J26" s="8">
        <f t="shared" si="16"/>
        <v>35.714285714285715</v>
      </c>
      <c r="K26" s="8">
        <f t="shared" ref="K26:K31" si="20">$K$32/7</f>
        <v>0</v>
      </c>
      <c r="L26" s="8">
        <f t="shared" si="17"/>
        <v>17.142857142857142</v>
      </c>
      <c r="M26" s="8">
        <f t="shared" si="18"/>
        <v>28.571428571428573</v>
      </c>
      <c r="N26" s="65">
        <f t="shared" si="19"/>
        <v>4264.2857142857129</v>
      </c>
      <c r="AX26" t="s">
        <v>91</v>
      </c>
      <c r="AY26" s="47">
        <v>10374</v>
      </c>
    </row>
    <row r="27" spans="1:63" x14ac:dyDescent="0.3">
      <c r="A27" s="2">
        <v>3</v>
      </c>
      <c r="B27" s="12" t="s">
        <v>6</v>
      </c>
      <c r="C27" s="8">
        <f>H36</f>
        <v>2142.8571428571427</v>
      </c>
      <c r="D27" s="8">
        <f t="shared" si="11"/>
        <v>428.57142857142856</v>
      </c>
      <c r="E27" s="8">
        <f>$E$32/7</f>
        <v>0</v>
      </c>
      <c r="F27" s="8">
        <f t="shared" si="12"/>
        <v>71.428571428571431</v>
      </c>
      <c r="G27" s="8">
        <f t="shared" si="13"/>
        <v>139.28571428571428</v>
      </c>
      <c r="H27" s="8">
        <f t="shared" si="14"/>
        <v>143.57142857142858</v>
      </c>
      <c r="I27" s="8">
        <f t="shared" si="15"/>
        <v>257.14285714285717</v>
      </c>
      <c r="J27" s="8">
        <f t="shared" si="16"/>
        <v>35.714285714285715</v>
      </c>
      <c r="K27" s="8">
        <f t="shared" si="20"/>
        <v>0</v>
      </c>
      <c r="L27" s="8">
        <f t="shared" si="17"/>
        <v>17.142857142857142</v>
      </c>
      <c r="M27" s="8">
        <f t="shared" si="18"/>
        <v>28.571428571428573</v>
      </c>
      <c r="N27" s="65">
        <f t="shared" si="19"/>
        <v>3264.2857142857142</v>
      </c>
      <c r="AY27" s="47">
        <f>SUM(AY25:AY26)</f>
        <v>34147</v>
      </c>
    </row>
    <row r="28" spans="1:63" x14ac:dyDescent="0.3">
      <c r="A28" s="2">
        <v>4</v>
      </c>
      <c r="B28" s="12" t="s">
        <v>57</v>
      </c>
      <c r="C28" s="8">
        <f>H36</f>
        <v>2142.8571428571427</v>
      </c>
      <c r="D28" s="8">
        <f t="shared" si="11"/>
        <v>428.57142857142856</v>
      </c>
      <c r="E28" s="8">
        <f>$E$32/7</f>
        <v>0</v>
      </c>
      <c r="F28" s="8">
        <f t="shared" si="12"/>
        <v>71.428571428571431</v>
      </c>
      <c r="G28" s="8">
        <f t="shared" si="13"/>
        <v>139.28571428571428</v>
      </c>
      <c r="H28" s="8">
        <f t="shared" si="14"/>
        <v>143.57142857142858</v>
      </c>
      <c r="I28" s="8">
        <f t="shared" si="15"/>
        <v>257.14285714285717</v>
      </c>
      <c r="J28" s="8">
        <f t="shared" si="16"/>
        <v>35.714285714285715</v>
      </c>
      <c r="K28" s="8">
        <f t="shared" si="20"/>
        <v>0</v>
      </c>
      <c r="L28" s="8">
        <f t="shared" si="17"/>
        <v>17.142857142857142</v>
      </c>
      <c r="M28" s="8">
        <f t="shared" si="18"/>
        <v>28.571428571428573</v>
      </c>
      <c r="N28" s="65">
        <f t="shared" si="19"/>
        <v>3264.2857142857142</v>
      </c>
      <c r="AX28" t="s">
        <v>101</v>
      </c>
      <c r="AY28" s="47">
        <v>29600</v>
      </c>
    </row>
    <row r="29" spans="1:63" x14ac:dyDescent="0.3">
      <c r="A29" s="2">
        <v>5</v>
      </c>
      <c r="B29" s="12" t="s">
        <v>51</v>
      </c>
      <c r="C29" s="8">
        <f>H36</f>
        <v>2142.8571428571427</v>
      </c>
      <c r="D29" s="8">
        <f t="shared" si="11"/>
        <v>428.57142857142856</v>
      </c>
      <c r="E29" s="8">
        <f>$E$32/7</f>
        <v>0</v>
      </c>
      <c r="F29" s="8">
        <f t="shared" si="12"/>
        <v>71.428571428571431</v>
      </c>
      <c r="G29" s="8">
        <f t="shared" si="13"/>
        <v>139.28571428571428</v>
      </c>
      <c r="H29" s="8">
        <f t="shared" si="14"/>
        <v>143.57142857142858</v>
      </c>
      <c r="I29" s="8">
        <f t="shared" si="15"/>
        <v>257.14285714285717</v>
      </c>
      <c r="J29" s="8">
        <f t="shared" si="16"/>
        <v>35.714285714285715</v>
      </c>
      <c r="K29" s="8">
        <f t="shared" si="20"/>
        <v>0</v>
      </c>
      <c r="L29" s="8">
        <f t="shared" si="17"/>
        <v>17.142857142857142</v>
      </c>
      <c r="M29" s="8">
        <f t="shared" si="18"/>
        <v>28.571428571428573</v>
      </c>
      <c r="N29" s="65">
        <f t="shared" si="19"/>
        <v>3264.2857142857142</v>
      </c>
      <c r="AX29" t="s">
        <v>102</v>
      </c>
      <c r="AY29" s="48">
        <f>AY27-AY28</f>
        <v>4547</v>
      </c>
    </row>
    <row r="30" spans="1:63" x14ac:dyDescent="0.3">
      <c r="A30" s="2">
        <v>6</v>
      </c>
      <c r="B30" s="12" t="s">
        <v>104</v>
      </c>
      <c r="C30" s="8">
        <f>H37</f>
        <v>2892.8571428571427</v>
      </c>
      <c r="D30" s="8">
        <f t="shared" si="11"/>
        <v>428.57142857142856</v>
      </c>
      <c r="E30" s="8">
        <v>0</v>
      </c>
      <c r="F30" s="8">
        <f t="shared" si="12"/>
        <v>71.428571428571431</v>
      </c>
      <c r="G30" s="8">
        <f t="shared" si="13"/>
        <v>139.28571428571428</v>
      </c>
      <c r="H30" s="8">
        <f t="shared" si="14"/>
        <v>143.57142857142858</v>
      </c>
      <c r="I30" s="8">
        <f t="shared" si="15"/>
        <v>257.14285714285717</v>
      </c>
      <c r="J30" s="8">
        <f t="shared" si="16"/>
        <v>35.714285714285715</v>
      </c>
      <c r="K30" s="8">
        <f t="shared" si="20"/>
        <v>0</v>
      </c>
      <c r="L30" s="8">
        <f t="shared" si="17"/>
        <v>17.142857142857142</v>
      </c>
      <c r="M30" s="8">
        <f t="shared" si="18"/>
        <v>28.571428571428573</v>
      </c>
      <c r="N30" s="65">
        <f>SUM(C30:M30)</f>
        <v>4014.2857142857142</v>
      </c>
      <c r="AY30" s="47"/>
    </row>
    <row r="31" spans="1:63" x14ac:dyDescent="0.3">
      <c r="A31" s="2">
        <v>7</v>
      </c>
      <c r="B31" s="12" t="s">
        <v>105</v>
      </c>
      <c r="C31" s="8">
        <f>H37</f>
        <v>2892.8571428571427</v>
      </c>
      <c r="D31" s="8">
        <f t="shared" si="11"/>
        <v>428.57142857142856</v>
      </c>
      <c r="E31" s="8">
        <v>0</v>
      </c>
      <c r="F31" s="8">
        <f t="shared" si="12"/>
        <v>71.428571428571431</v>
      </c>
      <c r="G31" s="8">
        <f t="shared" si="13"/>
        <v>139.28571428571428</v>
      </c>
      <c r="H31" s="8">
        <f t="shared" si="14"/>
        <v>143.57142857142858</v>
      </c>
      <c r="I31" s="8">
        <f t="shared" si="15"/>
        <v>257.14285714285717</v>
      </c>
      <c r="J31" s="8">
        <f t="shared" si="16"/>
        <v>35.714285714285715</v>
      </c>
      <c r="K31" s="8">
        <f t="shared" si="20"/>
        <v>0</v>
      </c>
      <c r="L31" s="8">
        <f t="shared" si="17"/>
        <v>17.142857142857142</v>
      </c>
      <c r="M31" s="8">
        <f t="shared" si="18"/>
        <v>28.571428571428573</v>
      </c>
      <c r="N31" s="65">
        <f>SUM(C31:M31)</f>
        <v>4014.2857142857142</v>
      </c>
      <c r="AY31" s="47"/>
    </row>
    <row r="32" spans="1:63" x14ac:dyDescent="0.3">
      <c r="A32" s="111" t="s">
        <v>47</v>
      </c>
      <c r="B32" s="111"/>
      <c r="C32" s="65">
        <f>SUM(C25:C31)</f>
        <v>18500</v>
      </c>
      <c r="D32" s="67">
        <v>3000</v>
      </c>
      <c r="E32" s="65"/>
      <c r="F32" s="65">
        <f>500</f>
        <v>500</v>
      </c>
      <c r="G32" s="65">
        <f>975</f>
        <v>975</v>
      </c>
      <c r="H32" s="65">
        <v>1005</v>
      </c>
      <c r="I32" s="65">
        <v>1800</v>
      </c>
      <c r="J32" s="65">
        <f>250</f>
        <v>250</v>
      </c>
      <c r="K32" s="65">
        <v>0</v>
      </c>
      <c r="L32" s="65">
        <f>120</f>
        <v>120</v>
      </c>
      <c r="M32" s="65">
        <v>200</v>
      </c>
      <c r="N32" s="65">
        <f>SUM(N25:N31)</f>
        <v>26349.999999999996</v>
      </c>
      <c r="AY32" s="47"/>
    </row>
    <row r="33" spans="4:51" x14ac:dyDescent="0.3">
      <c r="AX33" t="s">
        <v>103</v>
      </c>
      <c r="AY33" s="47">
        <f>AY28-21100</f>
        <v>8500</v>
      </c>
    </row>
    <row r="34" spans="4:51" x14ac:dyDescent="0.3">
      <c r="N34" t="s">
        <v>61</v>
      </c>
      <c r="O34" s="9">
        <f>C32</f>
        <v>18500</v>
      </c>
      <c r="P34" s="9"/>
    </row>
    <row r="35" spans="4:51" x14ac:dyDescent="0.3">
      <c r="D35" s="1">
        <v>6000</v>
      </c>
      <c r="E35" s="1">
        <v>2</v>
      </c>
      <c r="F35" s="1">
        <f>D35/E35</f>
        <v>3000</v>
      </c>
      <c r="G35" s="1">
        <f>(500+500)/7</f>
        <v>142.85714285714286</v>
      </c>
      <c r="H35" s="11">
        <f>F35+G35</f>
        <v>3142.8571428571427</v>
      </c>
      <c r="I35" s="11">
        <f>H35*E35</f>
        <v>6285.7142857142853</v>
      </c>
      <c r="N35" t="s">
        <v>71</v>
      </c>
      <c r="O35" s="9">
        <f>G32</f>
        <v>975</v>
      </c>
    </row>
    <row r="36" spans="4:51" x14ac:dyDescent="0.3">
      <c r="D36" s="1">
        <v>6000</v>
      </c>
      <c r="E36" s="1">
        <v>3</v>
      </c>
      <c r="F36" s="1">
        <f t="shared" ref="F36:F37" si="21">D36/E36</f>
        <v>2000</v>
      </c>
      <c r="G36" s="1">
        <f t="shared" ref="G36:G37" si="22">(500+500)/7</f>
        <v>142.85714285714286</v>
      </c>
      <c r="H36" s="11">
        <f t="shared" ref="H36" si="23">F36+G36</f>
        <v>2142.8571428571427</v>
      </c>
      <c r="I36" s="11">
        <f t="shared" ref="I36:I37" si="24">H36*E36</f>
        <v>6428.5714285714275</v>
      </c>
      <c r="N36" t="s">
        <v>72</v>
      </c>
      <c r="O36" s="9">
        <f>I32</f>
        <v>1800</v>
      </c>
    </row>
    <row r="37" spans="4:51" x14ac:dyDescent="0.3">
      <c r="D37" s="1">
        <v>5500</v>
      </c>
      <c r="E37" s="1">
        <v>2</v>
      </c>
      <c r="F37" s="11">
        <f t="shared" si="21"/>
        <v>2750</v>
      </c>
      <c r="G37" s="1">
        <f t="shared" si="22"/>
        <v>142.85714285714286</v>
      </c>
      <c r="H37" s="11">
        <f>F37+G37</f>
        <v>2892.8571428571427</v>
      </c>
      <c r="I37" s="11">
        <f t="shared" si="24"/>
        <v>5785.7142857142853</v>
      </c>
      <c r="N37" t="s">
        <v>73</v>
      </c>
      <c r="O37" s="9">
        <f>H32</f>
        <v>1005</v>
      </c>
    </row>
    <row r="38" spans="4:51" x14ac:dyDescent="0.3">
      <c r="D38" s="1">
        <f>SUM(D35:D37)</f>
        <v>17500</v>
      </c>
      <c r="E38" s="1"/>
      <c r="F38" s="1"/>
      <c r="G38" s="1"/>
      <c r="H38" s="1"/>
      <c r="I38" s="11">
        <f>SUM(I35:I37)</f>
        <v>18500</v>
      </c>
      <c r="N38" t="s">
        <v>74</v>
      </c>
      <c r="O38" s="9">
        <f>J32</f>
        <v>250</v>
      </c>
    </row>
    <row r="39" spans="4:51" x14ac:dyDescent="0.3">
      <c r="O39" s="9">
        <f>SUM(O34:O38)</f>
        <v>22530</v>
      </c>
    </row>
    <row r="40" spans="4:51" x14ac:dyDescent="0.3">
      <c r="O40" s="9"/>
    </row>
    <row r="41" spans="4:51" x14ac:dyDescent="0.3">
      <c r="O41" s="9"/>
    </row>
    <row r="42" spans="4:51" x14ac:dyDescent="0.3">
      <c r="N42" t="s">
        <v>12</v>
      </c>
      <c r="O42" s="9">
        <f>D32</f>
        <v>3000</v>
      </c>
    </row>
    <row r="43" spans="4:51" x14ac:dyDescent="0.3">
      <c r="N43" t="s">
        <v>13</v>
      </c>
      <c r="O43" s="9">
        <f>E32</f>
        <v>0</v>
      </c>
      <c r="P43" s="9"/>
    </row>
    <row r="44" spans="4:51" x14ac:dyDescent="0.3">
      <c r="N44" t="s">
        <v>14</v>
      </c>
      <c r="O44" s="9">
        <f>F32</f>
        <v>500</v>
      </c>
    </row>
    <row r="45" spans="4:51" x14ac:dyDescent="0.3">
      <c r="N45" t="s">
        <v>20</v>
      </c>
      <c r="O45" s="9">
        <f>L32</f>
        <v>120</v>
      </c>
    </row>
    <row r="46" spans="4:51" x14ac:dyDescent="0.3">
      <c r="N46" t="s">
        <v>123</v>
      </c>
      <c r="O46" s="9">
        <f>K32</f>
        <v>0</v>
      </c>
    </row>
    <row r="47" spans="4:51" x14ac:dyDescent="0.3">
      <c r="N47" t="s">
        <v>21</v>
      </c>
      <c r="O47" s="9">
        <f>M32</f>
        <v>200</v>
      </c>
    </row>
    <row r="48" spans="4:51" x14ac:dyDescent="0.3">
      <c r="O48" s="9">
        <f>SUM(O42:O47)</f>
        <v>3820</v>
      </c>
    </row>
    <row r="50" spans="14:15" x14ac:dyDescent="0.3">
      <c r="N50" s="70" t="s">
        <v>124</v>
      </c>
      <c r="O50" s="44">
        <f>O48+O39</f>
        <v>26350</v>
      </c>
    </row>
    <row r="52" spans="14:15" x14ac:dyDescent="0.3">
      <c r="N52" s="70" t="s">
        <v>125</v>
      </c>
      <c r="O52" s="9">
        <f>N32-O50</f>
        <v>0</v>
      </c>
    </row>
  </sheetData>
  <mergeCells count="3">
    <mergeCell ref="C1:D2"/>
    <mergeCell ref="E1:F2"/>
    <mergeCell ref="A32:B32"/>
  </mergeCells>
  <conditionalFormatting sqref="AU5:AU11">
    <cfRule type="cellIs" dxfId="8" priority="2" operator="lessThan">
      <formula>0</formula>
    </cfRule>
  </conditionalFormatting>
  <conditionalFormatting sqref="AN5:AN11">
    <cfRule type="cellIs" dxfId="7" priority="1" operator="lessThan">
      <formula>0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BK52"/>
  <sheetViews>
    <sheetView zoomScale="90" zoomScaleNormal="90" workbookViewId="0">
      <pane xSplit="2" ySplit="4" topLeftCell="C19" activePane="bottomRight" state="frozen"/>
      <selection activeCell="E11" sqref="E11:F11"/>
      <selection pane="topRight" activeCell="E11" sqref="E11:F11"/>
      <selection pane="bottomLeft" activeCell="E11" sqref="E11:F11"/>
      <selection pane="bottomRight" activeCell="AS5" sqref="AS5"/>
    </sheetView>
  </sheetViews>
  <sheetFormatPr defaultRowHeight="14.4" x14ac:dyDescent="0.3"/>
  <cols>
    <col min="1" max="1" width="7" bestFit="1" customWidth="1"/>
    <col min="2" max="2" width="20.109375" bestFit="1" customWidth="1"/>
    <col min="3" max="5" width="9.33203125" bestFit="1" customWidth="1"/>
    <col min="6" max="6" width="11.5546875" customWidth="1"/>
    <col min="7" max="7" width="12" bestFit="1" customWidth="1"/>
    <col min="8" max="8" width="13.33203125" customWidth="1"/>
    <col min="9" max="9" width="9.6640625" customWidth="1"/>
    <col min="10" max="10" width="9.33203125" bestFit="1" customWidth="1"/>
    <col min="11" max="11" width="14.5546875" customWidth="1"/>
    <col min="12" max="13" width="10.33203125" bestFit="1" customWidth="1"/>
    <col min="14" max="14" width="11.5546875" bestFit="1" customWidth="1"/>
    <col min="15" max="34" width="10.33203125" bestFit="1" customWidth="1"/>
    <col min="35" max="35" width="5.88671875" customWidth="1"/>
    <col min="36" max="36" width="7.109375" bestFit="1" customWidth="1"/>
    <col min="37" max="37" width="22.33203125" customWidth="1"/>
    <col min="38" max="38" width="13.109375" customWidth="1"/>
    <col min="39" max="39" width="12.33203125" customWidth="1"/>
    <col min="40" max="40" width="12.5546875" customWidth="1"/>
    <col min="41" max="41" width="12" customWidth="1"/>
    <col min="42" max="42" width="10.33203125" customWidth="1"/>
    <col min="43" max="43" width="13.6640625" customWidth="1"/>
    <col min="44" max="44" width="17.6640625" customWidth="1"/>
    <col min="45" max="45" width="9.44140625" customWidth="1"/>
    <col min="46" max="46" width="10.33203125" customWidth="1"/>
    <col min="47" max="47" width="13.6640625" customWidth="1"/>
    <col min="48" max="48" width="11.33203125" bestFit="1" customWidth="1"/>
    <col min="49" max="49" width="10.33203125" bestFit="1" customWidth="1"/>
    <col min="50" max="50" width="30.33203125" bestFit="1" customWidth="1"/>
    <col min="51" max="51" width="10.109375" bestFit="1" customWidth="1"/>
  </cols>
  <sheetData>
    <row r="1" spans="1:63" ht="14.7" customHeight="1" x14ac:dyDescent="0.3">
      <c r="C1" s="107" t="s">
        <v>127</v>
      </c>
      <c r="D1" s="107"/>
      <c r="E1" s="108">
        <f>AH22/AH12</f>
        <v>50.524193548387096</v>
      </c>
      <c r="F1" s="108"/>
    </row>
    <row r="2" spans="1:63" ht="25.5" customHeight="1" x14ac:dyDescent="0.3">
      <c r="C2" s="107"/>
      <c r="D2" s="107"/>
      <c r="E2" s="108"/>
      <c r="F2" s="108"/>
    </row>
    <row r="4" spans="1:63" ht="57.6" x14ac:dyDescent="0.3">
      <c r="A4" s="53" t="s">
        <v>0</v>
      </c>
      <c r="B4" s="53" t="s">
        <v>2</v>
      </c>
      <c r="C4" s="54">
        <v>44531</v>
      </c>
      <c r="D4" s="54">
        <v>44532</v>
      </c>
      <c r="E4" s="54">
        <v>44533</v>
      </c>
      <c r="F4" s="54">
        <v>44534</v>
      </c>
      <c r="G4" s="54">
        <v>44535</v>
      </c>
      <c r="H4" s="54">
        <v>44536</v>
      </c>
      <c r="I4" s="54">
        <v>44537</v>
      </c>
      <c r="J4" s="54">
        <v>44538</v>
      </c>
      <c r="K4" s="54">
        <v>44539</v>
      </c>
      <c r="L4" s="54">
        <v>44540</v>
      </c>
      <c r="M4" s="54">
        <v>44541</v>
      </c>
      <c r="N4" s="54">
        <v>44542</v>
      </c>
      <c r="O4" s="54">
        <v>44543</v>
      </c>
      <c r="P4" s="54">
        <v>44544</v>
      </c>
      <c r="Q4" s="54">
        <v>44545</v>
      </c>
      <c r="R4" s="54">
        <v>44546</v>
      </c>
      <c r="S4" s="54">
        <v>44547</v>
      </c>
      <c r="T4" s="54">
        <v>44548</v>
      </c>
      <c r="U4" s="54">
        <v>44549</v>
      </c>
      <c r="V4" s="54">
        <v>44550</v>
      </c>
      <c r="W4" s="54">
        <v>44551</v>
      </c>
      <c r="X4" s="54">
        <v>44552</v>
      </c>
      <c r="Y4" s="54">
        <v>44553</v>
      </c>
      <c r="Z4" s="54">
        <v>44554</v>
      </c>
      <c r="AA4" s="54">
        <v>44555</v>
      </c>
      <c r="AB4" s="54">
        <v>44556</v>
      </c>
      <c r="AC4" s="54">
        <v>44557</v>
      </c>
      <c r="AD4" s="54">
        <v>44558</v>
      </c>
      <c r="AE4" s="54">
        <v>44559</v>
      </c>
      <c r="AF4" s="54">
        <v>44560</v>
      </c>
      <c r="AG4" s="54">
        <v>44561</v>
      </c>
      <c r="AH4" s="53" t="s">
        <v>1</v>
      </c>
      <c r="AJ4" s="49" t="s">
        <v>0</v>
      </c>
      <c r="AK4" s="49" t="s">
        <v>2</v>
      </c>
      <c r="AL4" s="50" t="s">
        <v>23</v>
      </c>
      <c r="AM4" s="50" t="s">
        <v>24</v>
      </c>
      <c r="AN4" s="50" t="s">
        <v>26</v>
      </c>
      <c r="AO4" s="50" t="s">
        <v>130</v>
      </c>
      <c r="AP4" s="50" t="s">
        <v>27</v>
      </c>
      <c r="AQ4" s="50" t="s">
        <v>30</v>
      </c>
      <c r="AR4" s="50" t="s">
        <v>32</v>
      </c>
      <c r="AS4" s="50" t="s">
        <v>28</v>
      </c>
      <c r="AT4" s="50" t="s">
        <v>29</v>
      </c>
      <c r="AU4" s="50" t="s">
        <v>31</v>
      </c>
      <c r="AW4" s="71" t="s">
        <v>126</v>
      </c>
    </row>
    <row r="5" spans="1:63" x14ac:dyDescent="0.3">
      <c r="A5" s="2">
        <v>1</v>
      </c>
      <c r="B5" s="3" t="s">
        <v>5</v>
      </c>
      <c r="C5" s="7">
        <v>2.5</v>
      </c>
      <c r="D5" s="7">
        <v>2.5</v>
      </c>
      <c r="E5" s="7">
        <v>1.5</v>
      </c>
      <c r="F5" s="7">
        <v>2.5</v>
      </c>
      <c r="G5" s="7">
        <v>2.5</v>
      </c>
      <c r="H5" s="7">
        <v>2.5</v>
      </c>
      <c r="I5" s="7">
        <v>2.5</v>
      </c>
      <c r="J5" s="7">
        <v>2.5</v>
      </c>
      <c r="K5" s="7">
        <v>0.5</v>
      </c>
      <c r="L5" s="7">
        <v>3</v>
      </c>
      <c r="M5" s="7">
        <v>1</v>
      </c>
      <c r="N5" s="7">
        <v>2.5</v>
      </c>
      <c r="O5" s="7">
        <v>2.5</v>
      </c>
      <c r="P5" s="7">
        <v>0</v>
      </c>
      <c r="Q5" s="7">
        <v>2.5</v>
      </c>
      <c r="R5" s="7">
        <v>2.5</v>
      </c>
      <c r="S5" s="7">
        <v>1.5</v>
      </c>
      <c r="T5" s="7">
        <v>0</v>
      </c>
      <c r="U5" s="7">
        <v>2.5</v>
      </c>
      <c r="V5" s="7">
        <v>2.5</v>
      </c>
      <c r="W5" s="7">
        <v>2.5</v>
      </c>
      <c r="X5" s="7">
        <v>2.5</v>
      </c>
      <c r="Y5" s="7">
        <v>1.5</v>
      </c>
      <c r="Z5" s="7">
        <v>0.5</v>
      </c>
      <c r="AA5" s="7">
        <v>0</v>
      </c>
      <c r="AB5" s="7">
        <v>0</v>
      </c>
      <c r="AC5" s="7">
        <v>2</v>
      </c>
      <c r="AD5" s="7">
        <v>2.5</v>
      </c>
      <c r="AE5" s="7">
        <v>1.5</v>
      </c>
      <c r="AF5" s="7">
        <v>2.5</v>
      </c>
      <c r="AG5" s="7">
        <v>2.5</v>
      </c>
      <c r="AH5" s="56">
        <f>SUM(C5:AG5)</f>
        <v>58</v>
      </c>
      <c r="AJ5" s="2">
        <v>1</v>
      </c>
      <c r="AK5" s="3" t="s">
        <v>5</v>
      </c>
      <c r="AL5" s="16">
        <f>AH5*$E$1</f>
        <v>2930.4032258064517</v>
      </c>
      <c r="AM5" s="16">
        <f>AH15</f>
        <v>3623</v>
      </c>
      <c r="AN5" s="16">
        <f>AM5-AL5</f>
        <v>692.5967741935483</v>
      </c>
      <c r="AO5" s="16">
        <f>N25</f>
        <v>4386.8571428571413</v>
      </c>
      <c r="AP5" s="16">
        <f t="shared" ref="AP5:AP12" si="0">AO5-AN5</f>
        <v>3694.260368663593</v>
      </c>
      <c r="AQ5" s="68">
        <f>'Meal Nov''21 &amp; Rent Dec''21'!AU5</f>
        <v>1274.7572474081412</v>
      </c>
      <c r="AR5" s="16">
        <f t="shared" ref="AR5:AR12" si="1">AP5-AQ5</f>
        <v>2419.5031212554518</v>
      </c>
      <c r="AS5" s="26">
        <f>120+858+500</f>
        <v>1478</v>
      </c>
      <c r="AT5" s="62"/>
      <c r="AU5" s="16">
        <f t="shared" ref="AU5:AU12" si="2">AS5-AR5</f>
        <v>-941.50312125545179</v>
      </c>
      <c r="AY5" s="9"/>
    </row>
    <row r="6" spans="1:63" x14ac:dyDescent="0.3">
      <c r="A6" s="2">
        <v>2</v>
      </c>
      <c r="B6" s="3" t="s">
        <v>111</v>
      </c>
      <c r="C6" s="7">
        <v>2.5</v>
      </c>
      <c r="D6" s="7">
        <v>1.5</v>
      </c>
      <c r="E6" s="7">
        <v>1</v>
      </c>
      <c r="F6" s="7">
        <v>1</v>
      </c>
      <c r="G6" s="7">
        <v>0</v>
      </c>
      <c r="H6" s="7">
        <v>0</v>
      </c>
      <c r="I6" s="7">
        <v>1.5</v>
      </c>
      <c r="J6" s="7">
        <v>2.5</v>
      </c>
      <c r="K6" s="7">
        <v>2</v>
      </c>
      <c r="L6" s="7">
        <v>2</v>
      </c>
      <c r="M6" s="7">
        <v>1</v>
      </c>
      <c r="N6" s="7">
        <v>2.5</v>
      </c>
      <c r="O6" s="7">
        <v>2.5</v>
      </c>
      <c r="P6" s="7">
        <v>1.5</v>
      </c>
      <c r="Q6" s="7">
        <v>3</v>
      </c>
      <c r="R6" s="7">
        <v>5</v>
      </c>
      <c r="S6" s="7">
        <v>5</v>
      </c>
      <c r="T6" s="7">
        <v>2.5</v>
      </c>
      <c r="U6" s="7">
        <v>0</v>
      </c>
      <c r="V6" s="7">
        <v>0</v>
      </c>
      <c r="W6" s="7">
        <v>0</v>
      </c>
      <c r="X6" s="7">
        <v>0</v>
      </c>
      <c r="Y6" s="7">
        <v>0</v>
      </c>
      <c r="Z6" s="7">
        <v>0</v>
      </c>
      <c r="AA6" s="7">
        <v>0</v>
      </c>
      <c r="AB6" s="7">
        <v>0</v>
      </c>
      <c r="AC6" s="7">
        <v>0</v>
      </c>
      <c r="AD6" s="7">
        <v>0</v>
      </c>
      <c r="AE6" s="7">
        <v>0</v>
      </c>
      <c r="AF6" s="7">
        <v>1</v>
      </c>
      <c r="AG6" s="7">
        <v>0</v>
      </c>
      <c r="AH6" s="56">
        <f t="shared" ref="AH6:AH11" si="3">SUM(C6:AG6)</f>
        <v>38</v>
      </c>
      <c r="AJ6" s="72">
        <v>2</v>
      </c>
      <c r="AK6" s="73" t="s">
        <v>111</v>
      </c>
      <c r="AL6" s="74">
        <f>AH6*$E$1</f>
        <v>1919.9193548387098</v>
      </c>
      <c r="AM6" s="74">
        <f t="shared" ref="AM6" si="4">AH16</f>
        <v>2365</v>
      </c>
      <c r="AN6" s="74">
        <f>AM6-AL6</f>
        <v>445.08064516129025</v>
      </c>
      <c r="AO6" s="74">
        <f>AO5-3000</f>
        <v>1386.8571428571413</v>
      </c>
      <c r="AP6" s="74">
        <f t="shared" si="0"/>
        <v>941.77649769585105</v>
      </c>
      <c r="AQ6" s="74">
        <f>'Meal Nov''21 &amp; Rent Dec''21'!AU6</f>
        <v>3.0851454848116191</v>
      </c>
      <c r="AR6" s="74">
        <f t="shared" si="1"/>
        <v>938.69135221103943</v>
      </c>
      <c r="AS6" s="75"/>
      <c r="AT6" s="76"/>
      <c r="AU6" s="74">
        <f t="shared" si="2"/>
        <v>-938.69135221103943</v>
      </c>
      <c r="AY6" s="9"/>
    </row>
    <row r="7" spans="1:63" x14ac:dyDescent="0.3">
      <c r="A7" s="2">
        <v>3</v>
      </c>
      <c r="B7" s="3" t="s">
        <v>6</v>
      </c>
      <c r="C7" s="7">
        <v>1.5</v>
      </c>
      <c r="D7" s="7">
        <v>1</v>
      </c>
      <c r="E7" s="7">
        <v>2.5</v>
      </c>
      <c r="F7" s="7">
        <v>3.5</v>
      </c>
      <c r="G7" s="7">
        <v>1.5</v>
      </c>
      <c r="H7" s="7">
        <v>2.5</v>
      </c>
      <c r="I7" s="7">
        <v>2</v>
      </c>
      <c r="J7" s="7">
        <v>2.5</v>
      </c>
      <c r="K7" s="7">
        <v>2.5</v>
      </c>
      <c r="L7" s="7">
        <v>2.5</v>
      </c>
      <c r="M7" s="7">
        <v>1</v>
      </c>
      <c r="N7" s="7">
        <v>2.5</v>
      </c>
      <c r="O7" s="7">
        <v>1.5</v>
      </c>
      <c r="P7" s="7">
        <v>1.5</v>
      </c>
      <c r="Q7" s="7">
        <v>2.5</v>
      </c>
      <c r="R7" s="7">
        <v>2.5</v>
      </c>
      <c r="S7" s="7">
        <v>1.5</v>
      </c>
      <c r="T7" s="7">
        <v>2.5</v>
      </c>
      <c r="U7" s="7">
        <v>2</v>
      </c>
      <c r="V7" s="7">
        <v>2</v>
      </c>
      <c r="W7" s="7">
        <v>2.5</v>
      </c>
      <c r="X7" s="7">
        <v>2.5</v>
      </c>
      <c r="Y7" s="7">
        <v>2.5</v>
      </c>
      <c r="Z7" s="7">
        <v>2</v>
      </c>
      <c r="AA7" s="7">
        <v>1</v>
      </c>
      <c r="AB7" s="7">
        <v>2.5</v>
      </c>
      <c r="AC7" s="7">
        <v>2.5</v>
      </c>
      <c r="AD7" s="7">
        <v>2.5</v>
      </c>
      <c r="AE7" s="7">
        <v>2.5</v>
      </c>
      <c r="AF7" s="7">
        <v>2.5</v>
      </c>
      <c r="AG7" s="7">
        <v>2.5</v>
      </c>
      <c r="AH7" s="56">
        <f t="shared" si="3"/>
        <v>67</v>
      </c>
      <c r="AJ7" s="2">
        <v>3</v>
      </c>
      <c r="AK7" s="3" t="s">
        <v>131</v>
      </c>
      <c r="AL7" s="16"/>
      <c r="AM7" s="16"/>
      <c r="AN7" s="16"/>
      <c r="AO7" s="16">
        <f>AO5-AO6</f>
        <v>3000</v>
      </c>
      <c r="AP7" s="16">
        <f t="shared" si="0"/>
        <v>3000</v>
      </c>
      <c r="AQ7" s="68"/>
      <c r="AR7" s="16">
        <f t="shared" si="1"/>
        <v>3000</v>
      </c>
      <c r="AS7" s="26"/>
      <c r="AT7" s="62"/>
      <c r="AU7" s="16">
        <f t="shared" si="2"/>
        <v>-3000</v>
      </c>
      <c r="AY7" s="9"/>
    </row>
    <row r="8" spans="1:63" x14ac:dyDescent="0.3">
      <c r="A8" s="2">
        <v>4</v>
      </c>
      <c r="B8" s="3" t="s">
        <v>57</v>
      </c>
      <c r="C8" s="7">
        <v>2.5</v>
      </c>
      <c r="D8" s="7">
        <v>1.5</v>
      </c>
      <c r="E8" s="7">
        <v>1</v>
      </c>
      <c r="F8" s="7">
        <v>2.5</v>
      </c>
      <c r="G8" s="7">
        <v>2.5</v>
      </c>
      <c r="H8" s="7">
        <v>2.5</v>
      </c>
      <c r="I8" s="7">
        <v>2.5</v>
      </c>
      <c r="J8" s="7">
        <v>2.5</v>
      </c>
      <c r="K8" s="7">
        <v>2.5</v>
      </c>
      <c r="L8" s="7">
        <v>2.5</v>
      </c>
      <c r="M8" s="7">
        <v>1</v>
      </c>
      <c r="N8" s="7">
        <v>2.5</v>
      </c>
      <c r="O8" s="7">
        <v>2.5</v>
      </c>
      <c r="P8" s="7">
        <v>1.5</v>
      </c>
      <c r="Q8" s="7">
        <v>2.5</v>
      </c>
      <c r="R8" s="7">
        <v>2.5</v>
      </c>
      <c r="S8" s="7">
        <v>2.5</v>
      </c>
      <c r="T8" s="7">
        <v>2.5</v>
      </c>
      <c r="U8" s="7">
        <v>2</v>
      </c>
      <c r="V8" s="7">
        <v>2</v>
      </c>
      <c r="W8" s="7">
        <v>2.5</v>
      </c>
      <c r="X8" s="7">
        <v>2.5</v>
      </c>
      <c r="Y8" s="7">
        <v>2.5</v>
      </c>
      <c r="Z8" s="7">
        <v>2</v>
      </c>
      <c r="AA8" s="7">
        <v>1</v>
      </c>
      <c r="AB8" s="7">
        <v>2.5</v>
      </c>
      <c r="AC8" s="7">
        <v>2.5</v>
      </c>
      <c r="AD8" s="7">
        <v>2.5</v>
      </c>
      <c r="AE8" s="7">
        <v>2.5</v>
      </c>
      <c r="AF8" s="7">
        <v>2.5</v>
      </c>
      <c r="AG8" s="7">
        <v>1.5</v>
      </c>
      <c r="AH8" s="56">
        <f t="shared" si="3"/>
        <v>68.5</v>
      </c>
      <c r="AJ8" s="2">
        <v>4</v>
      </c>
      <c r="AK8" s="3" t="s">
        <v>6</v>
      </c>
      <c r="AL8" s="16">
        <f>AH7*$E$1</f>
        <v>3385.1209677419356</v>
      </c>
      <c r="AM8" s="16">
        <f>AH17</f>
        <v>380</v>
      </c>
      <c r="AN8" s="16">
        <f t="shared" ref="AN8:AN12" si="5">AM8-AL8</f>
        <v>-3005.1209677419356</v>
      </c>
      <c r="AO8" s="16">
        <f>N27</f>
        <v>3386.8571428571427</v>
      </c>
      <c r="AP8" s="16">
        <f t="shared" si="0"/>
        <v>6391.9781105990787</v>
      </c>
      <c r="AQ8" s="68">
        <f>'Meal Nov''21 &amp; Rent Dec''21'!AU7</f>
        <v>-672.05877003766909</v>
      </c>
      <c r="AR8" s="16">
        <f t="shared" si="1"/>
        <v>7064.0368806367478</v>
      </c>
      <c r="AS8" s="26"/>
      <c r="AT8" s="62"/>
      <c r="AU8" s="16">
        <f>AS8-AR8</f>
        <v>-7064.0368806367478</v>
      </c>
      <c r="AV8" s="25"/>
      <c r="AW8">
        <v>2000</v>
      </c>
      <c r="AY8" s="9"/>
    </row>
    <row r="9" spans="1:63" x14ac:dyDescent="0.3">
      <c r="A9" s="2">
        <v>5</v>
      </c>
      <c r="B9" s="12" t="s">
        <v>51</v>
      </c>
      <c r="C9" s="7">
        <v>4</v>
      </c>
      <c r="D9" s="7">
        <v>5</v>
      </c>
      <c r="E9" s="7">
        <v>5</v>
      </c>
      <c r="F9" s="7">
        <v>2.5</v>
      </c>
      <c r="G9" s="7">
        <v>3.5</v>
      </c>
      <c r="H9" s="7">
        <v>4</v>
      </c>
      <c r="I9" s="7">
        <v>3</v>
      </c>
      <c r="J9" s="7">
        <v>1</v>
      </c>
      <c r="K9" s="7">
        <v>2.5</v>
      </c>
      <c r="L9" s="7">
        <v>2.5</v>
      </c>
      <c r="M9" s="7">
        <v>1</v>
      </c>
      <c r="N9" s="7">
        <v>1</v>
      </c>
      <c r="O9" s="7">
        <v>1</v>
      </c>
      <c r="P9" s="7">
        <v>1</v>
      </c>
      <c r="Q9" s="7">
        <v>1</v>
      </c>
      <c r="R9" s="7">
        <v>2.5</v>
      </c>
      <c r="S9" s="7">
        <v>2</v>
      </c>
      <c r="T9" s="7">
        <v>1</v>
      </c>
      <c r="U9" s="7">
        <v>0</v>
      </c>
      <c r="V9" s="7">
        <v>1</v>
      </c>
      <c r="W9" s="7">
        <v>1</v>
      </c>
      <c r="X9" s="7">
        <v>1</v>
      </c>
      <c r="Y9" s="7">
        <v>1</v>
      </c>
      <c r="Z9" s="7">
        <v>2</v>
      </c>
      <c r="AA9" s="7">
        <v>1</v>
      </c>
      <c r="AB9" s="7">
        <v>1.5</v>
      </c>
      <c r="AC9" s="7">
        <v>1</v>
      </c>
      <c r="AD9" s="7">
        <v>1</v>
      </c>
      <c r="AE9" s="7">
        <v>1</v>
      </c>
      <c r="AF9" s="7">
        <v>1</v>
      </c>
      <c r="AG9" s="7">
        <v>2.5</v>
      </c>
      <c r="AH9" s="56">
        <f t="shared" si="3"/>
        <v>58.5</v>
      </c>
      <c r="AJ9" s="2">
        <v>5</v>
      </c>
      <c r="AK9" s="3" t="s">
        <v>57</v>
      </c>
      <c r="AL9" s="16">
        <f>AH8*$E$1</f>
        <v>3460.9072580645161</v>
      </c>
      <c r="AM9" s="16">
        <f>AH18</f>
        <v>2284</v>
      </c>
      <c r="AN9" s="16">
        <f t="shared" si="5"/>
        <v>-1176.9072580645161</v>
      </c>
      <c r="AO9" s="16">
        <f>N28</f>
        <v>3386.8571428571427</v>
      </c>
      <c r="AP9" s="16">
        <f t="shared" si="0"/>
        <v>4563.7644009216583</v>
      </c>
      <c r="AQ9" s="68">
        <f>'Meal Nov''21 &amp; Rent Dec''21'!AU8</f>
        <v>22.475833344714374</v>
      </c>
      <c r="AR9" s="16">
        <f t="shared" si="1"/>
        <v>4541.2885675769439</v>
      </c>
      <c r="AS9" s="26"/>
      <c r="AT9" s="62"/>
      <c r="AU9" s="16">
        <f t="shared" si="2"/>
        <v>-4541.2885675769439</v>
      </c>
    </row>
    <row r="10" spans="1:63" x14ac:dyDescent="0.3">
      <c r="A10" s="2">
        <v>6</v>
      </c>
      <c r="B10" s="1" t="s">
        <v>110</v>
      </c>
      <c r="C10" s="7">
        <v>2.5</v>
      </c>
      <c r="D10" s="7">
        <v>2.5</v>
      </c>
      <c r="E10" s="7">
        <v>2.5</v>
      </c>
      <c r="F10" s="7">
        <v>2.5</v>
      </c>
      <c r="G10" s="7">
        <v>2.5</v>
      </c>
      <c r="H10" s="7">
        <v>2.5</v>
      </c>
      <c r="I10" s="7">
        <v>2.5</v>
      </c>
      <c r="J10" s="7">
        <v>2</v>
      </c>
      <c r="K10" s="7">
        <v>2.5</v>
      </c>
      <c r="L10" s="7">
        <v>3</v>
      </c>
      <c r="M10" s="7">
        <v>1</v>
      </c>
      <c r="N10" s="7">
        <v>2.5</v>
      </c>
      <c r="O10" s="7">
        <v>2.5</v>
      </c>
      <c r="P10" s="7">
        <v>1</v>
      </c>
      <c r="Q10" s="7">
        <v>2.5</v>
      </c>
      <c r="R10" s="7">
        <v>2.5</v>
      </c>
      <c r="S10" s="7">
        <v>2.5</v>
      </c>
      <c r="T10" s="7">
        <v>2.5</v>
      </c>
      <c r="U10" s="7">
        <v>2.5</v>
      </c>
      <c r="V10" s="7">
        <v>2.5</v>
      </c>
      <c r="W10" s="7">
        <v>2.5</v>
      </c>
      <c r="X10" s="7">
        <v>2.5</v>
      </c>
      <c r="Y10" s="7">
        <v>0.5</v>
      </c>
      <c r="Z10" s="7">
        <v>0</v>
      </c>
      <c r="AA10" s="7">
        <v>1</v>
      </c>
      <c r="AB10" s="7">
        <v>1</v>
      </c>
      <c r="AC10" s="7">
        <v>1</v>
      </c>
      <c r="AD10" s="7">
        <v>2.5</v>
      </c>
      <c r="AE10" s="7">
        <v>1</v>
      </c>
      <c r="AF10" s="7">
        <v>2.5</v>
      </c>
      <c r="AG10" s="7">
        <v>2.5</v>
      </c>
      <c r="AH10" s="56">
        <f t="shared" si="3"/>
        <v>64</v>
      </c>
      <c r="AJ10" s="2">
        <v>6</v>
      </c>
      <c r="AK10" s="12" t="s">
        <v>51</v>
      </c>
      <c r="AL10" s="16">
        <f>AH9*$E$1</f>
        <v>2955.6653225806449</v>
      </c>
      <c r="AM10" s="16">
        <f>AH19</f>
        <v>3180</v>
      </c>
      <c r="AN10" s="16">
        <f t="shared" si="5"/>
        <v>224.3346774193551</v>
      </c>
      <c r="AO10" s="16">
        <f>N29</f>
        <v>3386.8571428571427</v>
      </c>
      <c r="AP10" s="16">
        <f>AO10-AN10</f>
        <v>3162.5224654377876</v>
      </c>
      <c r="AQ10" s="68">
        <f>'Meal Nov''21 &amp; Rent Dec''21'!AU9</f>
        <v>756.55933869849969</v>
      </c>
      <c r="AR10" s="16">
        <f t="shared" si="1"/>
        <v>2405.9631267392879</v>
      </c>
      <c r="AS10" s="26">
        <f>3000</f>
        <v>3000</v>
      </c>
      <c r="AT10" s="62"/>
      <c r="AU10" s="16">
        <f t="shared" si="2"/>
        <v>594.03687326071213</v>
      </c>
      <c r="AV10" s="47"/>
    </row>
    <row r="11" spans="1:63" x14ac:dyDescent="0.3">
      <c r="A11" s="2">
        <v>7</v>
      </c>
      <c r="B11" s="3" t="s">
        <v>118</v>
      </c>
      <c r="C11" s="7">
        <v>0</v>
      </c>
      <c r="D11" s="7">
        <v>0</v>
      </c>
      <c r="E11" s="7">
        <v>0</v>
      </c>
      <c r="F11" s="7">
        <v>0</v>
      </c>
      <c r="G11" s="7">
        <v>2</v>
      </c>
      <c r="H11" s="7">
        <v>2</v>
      </c>
      <c r="I11" s="7">
        <v>1</v>
      </c>
      <c r="J11" s="7">
        <v>0</v>
      </c>
      <c r="K11" s="7">
        <v>0</v>
      </c>
      <c r="L11" s="7">
        <v>0</v>
      </c>
      <c r="M11" s="7">
        <v>1</v>
      </c>
      <c r="N11" s="7">
        <v>1</v>
      </c>
      <c r="O11" s="7">
        <v>1</v>
      </c>
      <c r="P11" s="7">
        <v>1</v>
      </c>
      <c r="Q11" s="7">
        <v>1</v>
      </c>
      <c r="R11" s="7">
        <v>0</v>
      </c>
      <c r="S11" s="7">
        <v>0</v>
      </c>
      <c r="T11" s="7">
        <v>0</v>
      </c>
      <c r="U11" s="7">
        <v>0</v>
      </c>
      <c r="V11" s="7">
        <v>1</v>
      </c>
      <c r="W11" s="7">
        <v>1</v>
      </c>
      <c r="X11" s="7">
        <v>1</v>
      </c>
      <c r="Y11" s="7">
        <v>1</v>
      </c>
      <c r="Z11" s="7">
        <v>0</v>
      </c>
      <c r="AA11" s="7">
        <v>0</v>
      </c>
      <c r="AB11" s="7">
        <v>1</v>
      </c>
      <c r="AC11" s="7">
        <v>1</v>
      </c>
      <c r="AD11" s="7">
        <v>1</v>
      </c>
      <c r="AE11" s="7">
        <v>1</v>
      </c>
      <c r="AF11" s="7">
        <v>0</v>
      </c>
      <c r="AG11" s="7">
        <v>0</v>
      </c>
      <c r="AH11" s="56">
        <f t="shared" si="3"/>
        <v>18</v>
      </c>
      <c r="AJ11" s="2">
        <v>7</v>
      </c>
      <c r="AK11" s="12" t="s">
        <v>104</v>
      </c>
      <c r="AL11" s="16">
        <f>AH10*$E$1</f>
        <v>3233.5483870967741</v>
      </c>
      <c r="AM11" s="16">
        <f>AH20</f>
        <v>4298</v>
      </c>
      <c r="AN11" s="16">
        <f t="shared" si="5"/>
        <v>1064.4516129032259</v>
      </c>
      <c r="AO11" s="16">
        <f>N30</f>
        <v>4136.8571428571422</v>
      </c>
      <c r="AP11" s="16">
        <f t="shared" si="0"/>
        <v>3072.4055299539164</v>
      </c>
      <c r="AQ11" s="68">
        <f>'Meal Nov''21 &amp; Rent Dec''21'!AU10</f>
        <v>26.359616572925461</v>
      </c>
      <c r="AR11" s="16">
        <f t="shared" si="1"/>
        <v>3046.0459133809909</v>
      </c>
      <c r="AS11" s="26"/>
      <c r="AT11" s="62"/>
      <c r="AU11" s="16">
        <f>AS11-AR11</f>
        <v>-3046.0459133809909</v>
      </c>
      <c r="AV11" s="9"/>
    </row>
    <row r="12" spans="1:63" x14ac:dyDescent="0.3">
      <c r="C12" s="55">
        <f>SUM(C5:C11)</f>
        <v>15.5</v>
      </c>
      <c r="D12" s="55">
        <f t="shared" ref="D12:AF12" si="6">SUM(D5:D11)</f>
        <v>14</v>
      </c>
      <c r="E12" s="55">
        <f t="shared" si="6"/>
        <v>13.5</v>
      </c>
      <c r="F12" s="55">
        <f t="shared" si="6"/>
        <v>14.5</v>
      </c>
      <c r="G12" s="55">
        <f t="shared" si="6"/>
        <v>14.5</v>
      </c>
      <c r="H12" s="55">
        <f t="shared" si="6"/>
        <v>16</v>
      </c>
      <c r="I12" s="55">
        <f t="shared" si="6"/>
        <v>15</v>
      </c>
      <c r="J12" s="55">
        <f t="shared" si="6"/>
        <v>13</v>
      </c>
      <c r="K12" s="55">
        <f t="shared" si="6"/>
        <v>12.5</v>
      </c>
      <c r="L12" s="55">
        <f t="shared" si="6"/>
        <v>15.5</v>
      </c>
      <c r="M12" s="55">
        <f t="shared" si="6"/>
        <v>7</v>
      </c>
      <c r="N12" s="55">
        <f t="shared" si="6"/>
        <v>14.5</v>
      </c>
      <c r="O12" s="55">
        <f t="shared" si="6"/>
        <v>13.5</v>
      </c>
      <c r="P12" s="55">
        <f t="shared" si="6"/>
        <v>7.5</v>
      </c>
      <c r="Q12" s="55">
        <f t="shared" si="6"/>
        <v>15</v>
      </c>
      <c r="R12" s="55">
        <f t="shared" si="6"/>
        <v>17.5</v>
      </c>
      <c r="S12" s="55">
        <f t="shared" si="6"/>
        <v>15</v>
      </c>
      <c r="T12" s="55">
        <f t="shared" si="6"/>
        <v>11</v>
      </c>
      <c r="U12" s="55">
        <f t="shared" si="6"/>
        <v>9</v>
      </c>
      <c r="V12" s="55">
        <f t="shared" si="6"/>
        <v>11</v>
      </c>
      <c r="W12" s="55">
        <f t="shared" si="6"/>
        <v>12</v>
      </c>
      <c r="X12" s="55">
        <f t="shared" si="6"/>
        <v>12</v>
      </c>
      <c r="Y12" s="55">
        <f t="shared" si="6"/>
        <v>9</v>
      </c>
      <c r="Z12" s="55">
        <f t="shared" si="6"/>
        <v>6.5</v>
      </c>
      <c r="AA12" s="55">
        <f t="shared" si="6"/>
        <v>4</v>
      </c>
      <c r="AB12" s="55">
        <f t="shared" si="6"/>
        <v>8.5</v>
      </c>
      <c r="AC12" s="55">
        <f t="shared" si="6"/>
        <v>10</v>
      </c>
      <c r="AD12" s="55">
        <f t="shared" si="6"/>
        <v>12</v>
      </c>
      <c r="AE12" s="55">
        <f t="shared" si="6"/>
        <v>9.5</v>
      </c>
      <c r="AF12" s="55">
        <f t="shared" si="6"/>
        <v>12</v>
      </c>
      <c r="AG12" s="55"/>
      <c r="AH12" s="55">
        <f>SUM(AH5:AH11)</f>
        <v>372</v>
      </c>
      <c r="AJ12" s="2">
        <v>8</v>
      </c>
      <c r="AK12" s="3" t="s">
        <v>118</v>
      </c>
      <c r="AL12" s="16">
        <f>AH11*$E$1</f>
        <v>909.43548387096769</v>
      </c>
      <c r="AM12" s="16">
        <f>AH21</f>
        <v>2665</v>
      </c>
      <c r="AN12" s="16">
        <f t="shared" si="5"/>
        <v>1755.5645161290322</v>
      </c>
      <c r="AO12" s="16">
        <f>N31</f>
        <v>4136.8571428571422</v>
      </c>
      <c r="AP12" s="16">
        <f t="shared" si="0"/>
        <v>2381.29262672811</v>
      </c>
      <c r="AQ12" s="68">
        <f>'Meal Nov''21 &amp; Rent Dec''21'!AU11</f>
        <v>2.1901480902847652</v>
      </c>
      <c r="AR12" s="16">
        <f t="shared" si="1"/>
        <v>2379.1024786378252</v>
      </c>
      <c r="AS12" s="61"/>
      <c r="AT12" s="62"/>
      <c r="AU12" s="16">
        <f t="shared" si="2"/>
        <v>-2379.1024786378252</v>
      </c>
      <c r="AV12" s="9"/>
    </row>
    <row r="13" spans="1:63" x14ac:dyDescent="0.3">
      <c r="AJ13" s="2"/>
      <c r="AK13" s="12"/>
      <c r="AL13" s="51">
        <f t="shared" ref="AL13:AQ13" si="7">SUM(AL5:AL12)</f>
        <v>18794.999999999996</v>
      </c>
      <c r="AM13" s="51">
        <f t="shared" si="7"/>
        <v>18795</v>
      </c>
      <c r="AN13" s="51">
        <f t="shared" si="7"/>
        <v>0</v>
      </c>
      <c r="AO13" s="51">
        <f t="shared" si="7"/>
        <v>27207.999999999993</v>
      </c>
      <c r="AP13" s="51">
        <f t="shared" si="7"/>
        <v>27207.999999999996</v>
      </c>
      <c r="AQ13" s="69">
        <f t="shared" si="7"/>
        <v>1413.368559561708</v>
      </c>
      <c r="AR13" s="51">
        <f>AP13-AQ13</f>
        <v>25794.631440438287</v>
      </c>
      <c r="AS13" s="63">
        <f>SUM(AS5:AS12)</f>
        <v>4478</v>
      </c>
      <c r="AT13" s="63"/>
      <c r="AU13" s="51">
        <f>SUM(AU5:AU12)</f>
        <v>-21316.631440438287</v>
      </c>
      <c r="AV13" s="9"/>
      <c r="AW13" s="9"/>
      <c r="AX13" s="44" t="s">
        <v>88</v>
      </c>
      <c r="AY13" s="9"/>
    </row>
    <row r="14" spans="1:63" x14ac:dyDescent="0.3">
      <c r="B14" s="64" t="s">
        <v>128</v>
      </c>
      <c r="AL14" s="25"/>
      <c r="AM14" s="9"/>
      <c r="AN14" s="9"/>
      <c r="AO14" s="9"/>
      <c r="AP14" s="9"/>
      <c r="AQ14" s="9"/>
      <c r="AR14" s="25"/>
      <c r="AS14" s="9"/>
      <c r="AT14" s="9"/>
      <c r="AU14" s="9"/>
      <c r="AX14" s="1" t="s">
        <v>89</v>
      </c>
      <c r="AY14" s="1" t="s">
        <v>95</v>
      </c>
    </row>
    <row r="15" spans="1:63" x14ac:dyDescent="0.3">
      <c r="A15" s="2">
        <v>1</v>
      </c>
      <c r="B15" s="3" t="s">
        <v>5</v>
      </c>
      <c r="C15" s="8"/>
      <c r="D15" s="8">
        <v>538</v>
      </c>
      <c r="E15" s="8">
        <v>2540</v>
      </c>
      <c r="F15" s="8">
        <v>220</v>
      </c>
      <c r="G15" s="8">
        <v>170</v>
      </c>
      <c r="H15" s="8">
        <v>155</v>
      </c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65">
        <f>SUM(C15:AG15)</f>
        <v>3623</v>
      </c>
      <c r="AX15" s="1" t="s">
        <v>107</v>
      </c>
      <c r="AY15" s="16">
        <f>O41</f>
        <v>0</v>
      </c>
      <c r="BI15" s="1" t="s">
        <v>96</v>
      </c>
      <c r="BJ15" s="1"/>
      <c r="BK15" s="1"/>
    </row>
    <row r="16" spans="1:63" x14ac:dyDescent="0.3">
      <c r="A16" s="2">
        <v>2</v>
      </c>
      <c r="B16" s="3" t="s">
        <v>111</v>
      </c>
      <c r="C16" s="8"/>
      <c r="D16" s="8"/>
      <c r="E16" s="8"/>
      <c r="F16" s="8"/>
      <c r="G16" s="8"/>
      <c r="H16" s="8"/>
      <c r="I16" s="8"/>
      <c r="J16" s="8"/>
      <c r="K16" s="8"/>
      <c r="L16" s="8">
        <v>1510</v>
      </c>
      <c r="M16" s="8">
        <v>320</v>
      </c>
      <c r="N16" s="8">
        <v>430</v>
      </c>
      <c r="O16" s="8">
        <v>105</v>
      </c>
      <c r="P16" s="8"/>
      <c r="Q16" s="8"/>
      <c r="R16" s="8"/>
      <c r="S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65">
        <f t="shared" ref="AH16:AH21" si="8">SUM(C16:AG16)</f>
        <v>2365</v>
      </c>
      <c r="AR16" s="25"/>
      <c r="AU16" s="9"/>
      <c r="AX16" s="1" t="s">
        <v>91</v>
      </c>
      <c r="AY16" s="16">
        <f>-AQ13</f>
        <v>-1413.368559561708</v>
      </c>
      <c r="BI16" s="1" t="s">
        <v>97</v>
      </c>
      <c r="BJ16" s="1">
        <v>4000</v>
      </c>
      <c r="BK16" s="1"/>
    </row>
    <row r="17" spans="1:63" x14ac:dyDescent="0.3">
      <c r="A17" s="2">
        <v>3</v>
      </c>
      <c r="B17" s="3" t="s">
        <v>6</v>
      </c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>
        <v>380</v>
      </c>
      <c r="Y17" s="8"/>
      <c r="Z17">
        <f>150-150</f>
        <v>0</v>
      </c>
      <c r="AA17" s="8"/>
      <c r="AB17" s="8"/>
      <c r="AC17" s="8"/>
      <c r="AD17" s="8"/>
      <c r="AE17" s="8"/>
      <c r="AF17" s="8"/>
      <c r="AG17" s="8"/>
      <c r="AH17" s="65">
        <f t="shared" si="8"/>
        <v>380</v>
      </c>
      <c r="AX17" s="1"/>
      <c r="AY17" s="16">
        <f>SUM(AY15:AY16)</f>
        <v>-1413.368559561708</v>
      </c>
      <c r="BI17" s="1" t="s">
        <v>36</v>
      </c>
      <c r="BJ17" s="1">
        <f>BJ16/6</f>
        <v>666.66666666666663</v>
      </c>
      <c r="BK17" s="1">
        <f>BJ17*5</f>
        <v>3333.333333333333</v>
      </c>
    </row>
    <row r="18" spans="1:63" x14ac:dyDescent="0.3">
      <c r="A18" s="2">
        <v>4</v>
      </c>
      <c r="B18" s="3" t="s">
        <v>57</v>
      </c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>
        <v>950</v>
      </c>
      <c r="R18" s="8">
        <v>650</v>
      </c>
      <c r="S18" s="8">
        <v>394</v>
      </c>
      <c r="T18" s="8">
        <v>290</v>
      </c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65">
        <f t="shared" si="8"/>
        <v>2284</v>
      </c>
      <c r="AR18" s="25"/>
      <c r="BA18" s="9">
        <v>4547</v>
      </c>
      <c r="BI18" s="1" t="s">
        <v>37</v>
      </c>
      <c r="BJ18" s="1"/>
      <c r="BK18" s="1"/>
    </row>
    <row r="19" spans="1:63" x14ac:dyDescent="0.3">
      <c r="A19" s="2">
        <v>5</v>
      </c>
      <c r="B19" s="12" t="s">
        <v>51</v>
      </c>
      <c r="C19" s="8"/>
      <c r="D19" s="8"/>
      <c r="E19" s="8"/>
      <c r="F19" s="8"/>
      <c r="G19" s="8"/>
      <c r="H19" s="8"/>
      <c r="I19" s="8">
        <v>1650</v>
      </c>
      <c r="J19" s="8">
        <v>430</v>
      </c>
      <c r="K19" s="8">
        <v>1100</v>
      </c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65">
        <f t="shared" si="8"/>
        <v>3180</v>
      </c>
      <c r="AR19" s="25"/>
      <c r="AX19" s="1" t="s">
        <v>92</v>
      </c>
      <c r="AY19" s="1"/>
      <c r="BA19" s="9">
        <f>AY15+BA18</f>
        <v>4547</v>
      </c>
      <c r="BI19" s="1" t="s">
        <v>98</v>
      </c>
      <c r="BJ19" s="1">
        <f>$BJ$17</f>
        <v>666.66666666666663</v>
      </c>
      <c r="BK19" s="1"/>
    </row>
    <row r="20" spans="1:63" x14ac:dyDescent="0.3">
      <c r="A20" s="2">
        <v>6</v>
      </c>
      <c r="B20" s="1" t="s">
        <v>110</v>
      </c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>
        <v>2118</v>
      </c>
      <c r="V20" s="8">
        <v>1710</v>
      </c>
      <c r="W20" s="8">
        <v>470</v>
      </c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65">
        <f>SUM(C20:AG20)</f>
        <v>4298</v>
      </c>
      <c r="AV20" s="25"/>
      <c r="AX20" s="1" t="s">
        <v>93</v>
      </c>
      <c r="AY20" s="16">
        <f>-AU13</f>
        <v>21316.631440438287</v>
      </c>
      <c r="BI20" s="1" t="s">
        <v>49</v>
      </c>
      <c r="BJ20" s="1">
        <f>$BJ$17</f>
        <v>666.66666666666663</v>
      </c>
      <c r="BK20" s="1"/>
    </row>
    <row r="21" spans="1:63" x14ac:dyDescent="0.3">
      <c r="A21" s="2">
        <v>7</v>
      </c>
      <c r="B21" s="3" t="s">
        <v>118</v>
      </c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>
        <v>520</v>
      </c>
      <c r="Z21" s="8"/>
      <c r="AA21" s="8">
        <v>1330</v>
      </c>
      <c r="AB21" s="8"/>
      <c r="AC21" s="8"/>
      <c r="AD21" s="8">
        <v>655</v>
      </c>
      <c r="AE21" s="8"/>
      <c r="AF21" s="8">
        <v>160</v>
      </c>
      <c r="AG21" s="8"/>
      <c r="AH21" s="65">
        <f t="shared" si="8"/>
        <v>2665</v>
      </c>
      <c r="AX21" s="1" t="s">
        <v>94</v>
      </c>
      <c r="AY21" s="1">
        <v>2000</v>
      </c>
      <c r="BI21" s="1" t="s">
        <v>38</v>
      </c>
      <c r="BJ21" s="1">
        <f>$BJ$17</f>
        <v>666.66666666666663</v>
      </c>
      <c r="BK21" s="1"/>
    </row>
    <row r="22" spans="1:63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51">
        <f>SUM(AH15:AH21)</f>
        <v>18795</v>
      </c>
      <c r="AX22" s="1"/>
      <c r="AY22" s="16">
        <f>SUM(AY20:AY21)</f>
        <v>23316.631440438287</v>
      </c>
      <c r="BI22" s="1" t="s">
        <v>99</v>
      </c>
      <c r="BJ22" s="1">
        <f>$BJ$17</f>
        <v>666.66666666666663</v>
      </c>
      <c r="BK22" s="1"/>
    </row>
    <row r="23" spans="1:63" x14ac:dyDescent="0.3">
      <c r="BI23" s="1" t="s">
        <v>40</v>
      </c>
      <c r="BJ23" s="1">
        <f>$BJ$17</f>
        <v>666.66666666666663</v>
      </c>
      <c r="BK23" s="1"/>
    </row>
    <row r="24" spans="1:63" x14ac:dyDescent="0.3">
      <c r="A24" s="4"/>
      <c r="B24" s="13" t="s">
        <v>129</v>
      </c>
      <c r="C24" s="66" t="s">
        <v>11</v>
      </c>
      <c r="D24" s="66" t="s">
        <v>12</v>
      </c>
      <c r="E24" s="66" t="s">
        <v>13</v>
      </c>
      <c r="F24" s="66" t="s">
        <v>14</v>
      </c>
      <c r="G24" s="66" t="s">
        <v>15</v>
      </c>
      <c r="H24" s="66" t="s">
        <v>16</v>
      </c>
      <c r="I24" s="66" t="s">
        <v>17</v>
      </c>
      <c r="J24" s="66" t="s">
        <v>18</v>
      </c>
      <c r="K24" s="66" t="s">
        <v>19</v>
      </c>
      <c r="L24" s="66" t="s">
        <v>20</v>
      </c>
      <c r="M24" s="66" t="s">
        <v>21</v>
      </c>
      <c r="N24" s="66" t="s">
        <v>22</v>
      </c>
      <c r="AX24" t="s">
        <v>100</v>
      </c>
      <c r="BI24" s="1"/>
      <c r="BJ24" s="1">
        <f>SUM(BJ19:BJ23)</f>
        <v>3333.333333333333</v>
      </c>
      <c r="BK24" s="1"/>
    </row>
    <row r="25" spans="1:63" x14ac:dyDescent="0.3">
      <c r="A25" s="2">
        <v>1</v>
      </c>
      <c r="B25" s="12" t="s">
        <v>5</v>
      </c>
      <c r="C25" s="8">
        <f>H35</f>
        <v>3142.8571428571427</v>
      </c>
      <c r="D25" s="8">
        <f t="shared" ref="D25:D31" si="9">$D$32/7</f>
        <v>428.57142857142856</v>
      </c>
      <c r="E25" s="8">
        <f>$E$32/7</f>
        <v>0</v>
      </c>
      <c r="F25" s="8">
        <f t="shared" ref="F25:F31" si="10">$F$32/7</f>
        <v>71.428571428571431</v>
      </c>
      <c r="G25" s="8">
        <f t="shared" ref="G25:G31" si="11">$G$32/7</f>
        <v>139.28571428571428</v>
      </c>
      <c r="H25" s="8">
        <f t="shared" ref="H25:H31" si="12">$H$32/7</f>
        <v>143.57142857142858</v>
      </c>
      <c r="I25" s="8">
        <f t="shared" ref="I25:I31" si="13">$I$32/7</f>
        <v>257.14285714285717</v>
      </c>
      <c r="J25" s="8">
        <f t="shared" ref="J25:J31" si="14">$J$32/7</f>
        <v>35.714285714285715</v>
      </c>
      <c r="K25" s="8">
        <f>$K$32/7</f>
        <v>122.57142857142857</v>
      </c>
      <c r="L25" s="8">
        <f t="shared" ref="L25:L31" si="15">$L$32/7</f>
        <v>17.142857142857142</v>
      </c>
      <c r="M25" s="8">
        <f t="shared" ref="M25:M31" si="16">$M$32/7</f>
        <v>28.571428571428573</v>
      </c>
      <c r="N25" s="65">
        <f t="shared" ref="N25:N29" si="17">SUM(C25:M25)</f>
        <v>4386.8571428571413</v>
      </c>
      <c r="AX25" t="s">
        <v>90</v>
      </c>
      <c r="AY25" s="47">
        <v>23773</v>
      </c>
    </row>
    <row r="26" spans="1:63" x14ac:dyDescent="0.3">
      <c r="A26" s="2">
        <v>2</v>
      </c>
      <c r="B26" s="12" t="s">
        <v>131</v>
      </c>
      <c r="C26" s="8">
        <f>H35</f>
        <v>3142.8571428571427</v>
      </c>
      <c r="D26" s="8">
        <f t="shared" si="9"/>
        <v>428.57142857142856</v>
      </c>
      <c r="E26" s="8">
        <f>$E$32/7</f>
        <v>0</v>
      </c>
      <c r="F26" s="8">
        <f t="shared" si="10"/>
        <v>71.428571428571431</v>
      </c>
      <c r="G26" s="8">
        <f t="shared" si="11"/>
        <v>139.28571428571428</v>
      </c>
      <c r="H26" s="8">
        <f t="shared" si="12"/>
        <v>143.57142857142858</v>
      </c>
      <c r="I26" s="8">
        <f t="shared" si="13"/>
        <v>257.14285714285717</v>
      </c>
      <c r="J26" s="8">
        <f t="shared" si="14"/>
        <v>35.714285714285715</v>
      </c>
      <c r="K26" s="8">
        <f t="shared" ref="K26:K31" si="18">$K$32/7</f>
        <v>122.57142857142857</v>
      </c>
      <c r="L26" s="8">
        <f t="shared" si="15"/>
        <v>17.142857142857142</v>
      </c>
      <c r="M26" s="8">
        <f t="shared" si="16"/>
        <v>28.571428571428573</v>
      </c>
      <c r="N26" s="65">
        <f t="shared" si="17"/>
        <v>4386.8571428571413</v>
      </c>
      <c r="AX26" t="s">
        <v>91</v>
      </c>
      <c r="AY26" s="47">
        <v>10374</v>
      </c>
    </row>
    <row r="27" spans="1:63" x14ac:dyDescent="0.3">
      <c r="A27" s="2">
        <v>3</v>
      </c>
      <c r="B27" s="12" t="s">
        <v>6</v>
      </c>
      <c r="C27" s="8">
        <f>H36</f>
        <v>2142.8571428571427</v>
      </c>
      <c r="D27" s="8">
        <f t="shared" si="9"/>
        <v>428.57142857142856</v>
      </c>
      <c r="E27" s="8">
        <f>$E$32/7</f>
        <v>0</v>
      </c>
      <c r="F27" s="8">
        <f t="shared" si="10"/>
        <v>71.428571428571431</v>
      </c>
      <c r="G27" s="8">
        <f t="shared" si="11"/>
        <v>139.28571428571428</v>
      </c>
      <c r="H27" s="8">
        <f t="shared" si="12"/>
        <v>143.57142857142858</v>
      </c>
      <c r="I27" s="8">
        <f t="shared" si="13"/>
        <v>257.14285714285717</v>
      </c>
      <c r="J27" s="8">
        <f t="shared" si="14"/>
        <v>35.714285714285715</v>
      </c>
      <c r="K27" s="8">
        <f t="shared" si="18"/>
        <v>122.57142857142857</v>
      </c>
      <c r="L27" s="8">
        <f t="shared" si="15"/>
        <v>17.142857142857142</v>
      </c>
      <c r="M27" s="8">
        <f t="shared" si="16"/>
        <v>28.571428571428573</v>
      </c>
      <c r="N27" s="65">
        <f t="shared" si="17"/>
        <v>3386.8571428571427</v>
      </c>
      <c r="AY27" s="47">
        <f>SUM(AY25:AY26)</f>
        <v>34147</v>
      </c>
    </row>
    <row r="28" spans="1:63" x14ac:dyDescent="0.3">
      <c r="A28" s="2">
        <v>4</v>
      </c>
      <c r="B28" s="12" t="s">
        <v>57</v>
      </c>
      <c r="C28" s="8">
        <f>H36</f>
        <v>2142.8571428571427</v>
      </c>
      <c r="D28" s="8">
        <f t="shared" si="9"/>
        <v>428.57142857142856</v>
      </c>
      <c r="E28" s="8">
        <f>$E$32/7</f>
        <v>0</v>
      </c>
      <c r="F28" s="8">
        <f t="shared" si="10"/>
        <v>71.428571428571431</v>
      </c>
      <c r="G28" s="8">
        <f t="shared" si="11"/>
        <v>139.28571428571428</v>
      </c>
      <c r="H28" s="8">
        <f t="shared" si="12"/>
        <v>143.57142857142858</v>
      </c>
      <c r="I28" s="8">
        <f t="shared" si="13"/>
        <v>257.14285714285717</v>
      </c>
      <c r="J28" s="8">
        <f t="shared" si="14"/>
        <v>35.714285714285715</v>
      </c>
      <c r="K28" s="8">
        <f t="shared" si="18"/>
        <v>122.57142857142857</v>
      </c>
      <c r="L28" s="8">
        <f t="shared" si="15"/>
        <v>17.142857142857142</v>
      </c>
      <c r="M28" s="8">
        <f t="shared" si="16"/>
        <v>28.571428571428573</v>
      </c>
      <c r="N28" s="65">
        <f t="shared" si="17"/>
        <v>3386.8571428571427</v>
      </c>
      <c r="AX28" t="s">
        <v>101</v>
      </c>
      <c r="AY28" s="47">
        <v>29600</v>
      </c>
    </row>
    <row r="29" spans="1:63" x14ac:dyDescent="0.3">
      <c r="A29" s="2">
        <v>5</v>
      </c>
      <c r="B29" s="12" t="s">
        <v>51</v>
      </c>
      <c r="C29" s="8">
        <f>H36</f>
        <v>2142.8571428571427</v>
      </c>
      <c r="D29" s="8">
        <f t="shared" si="9"/>
        <v>428.57142857142856</v>
      </c>
      <c r="E29" s="8">
        <f>$E$32/7</f>
        <v>0</v>
      </c>
      <c r="F29" s="8">
        <f t="shared" si="10"/>
        <v>71.428571428571431</v>
      </c>
      <c r="G29" s="8">
        <f t="shared" si="11"/>
        <v>139.28571428571428</v>
      </c>
      <c r="H29" s="8">
        <f t="shared" si="12"/>
        <v>143.57142857142858</v>
      </c>
      <c r="I29" s="8">
        <f t="shared" si="13"/>
        <v>257.14285714285717</v>
      </c>
      <c r="J29" s="8">
        <f t="shared" si="14"/>
        <v>35.714285714285715</v>
      </c>
      <c r="K29" s="8">
        <f t="shared" si="18"/>
        <v>122.57142857142857</v>
      </c>
      <c r="L29" s="8">
        <f t="shared" si="15"/>
        <v>17.142857142857142</v>
      </c>
      <c r="M29" s="8">
        <f t="shared" si="16"/>
        <v>28.571428571428573</v>
      </c>
      <c r="N29" s="65">
        <f t="shared" si="17"/>
        <v>3386.8571428571427</v>
      </c>
      <c r="AX29" t="s">
        <v>102</v>
      </c>
      <c r="AY29" s="48">
        <f>AY27-AY28</f>
        <v>4547</v>
      </c>
    </row>
    <row r="30" spans="1:63" x14ac:dyDescent="0.3">
      <c r="A30" s="2">
        <v>6</v>
      </c>
      <c r="B30" s="12" t="s">
        <v>104</v>
      </c>
      <c r="C30" s="8">
        <f>H37</f>
        <v>2892.8571428571427</v>
      </c>
      <c r="D30" s="8">
        <f t="shared" si="9"/>
        <v>428.57142857142856</v>
      </c>
      <c r="E30" s="8">
        <v>0</v>
      </c>
      <c r="F30" s="8">
        <f t="shared" si="10"/>
        <v>71.428571428571431</v>
      </c>
      <c r="G30" s="8">
        <f t="shared" si="11"/>
        <v>139.28571428571428</v>
      </c>
      <c r="H30" s="8">
        <f t="shared" si="12"/>
        <v>143.57142857142858</v>
      </c>
      <c r="I30" s="8">
        <f t="shared" si="13"/>
        <v>257.14285714285717</v>
      </c>
      <c r="J30" s="8">
        <f t="shared" si="14"/>
        <v>35.714285714285715</v>
      </c>
      <c r="K30" s="8">
        <f t="shared" si="18"/>
        <v>122.57142857142857</v>
      </c>
      <c r="L30" s="8">
        <f t="shared" si="15"/>
        <v>17.142857142857142</v>
      </c>
      <c r="M30" s="8">
        <f t="shared" si="16"/>
        <v>28.571428571428573</v>
      </c>
      <c r="N30" s="65">
        <f>SUM(C30:M30)</f>
        <v>4136.8571428571422</v>
      </c>
      <c r="AY30" s="47"/>
    </row>
    <row r="31" spans="1:63" x14ac:dyDescent="0.3">
      <c r="A31" s="2">
        <v>7</v>
      </c>
      <c r="B31" s="12" t="s">
        <v>105</v>
      </c>
      <c r="C31" s="8">
        <f>H37</f>
        <v>2892.8571428571427</v>
      </c>
      <c r="D31" s="8">
        <f t="shared" si="9"/>
        <v>428.57142857142856</v>
      </c>
      <c r="E31" s="8">
        <v>0</v>
      </c>
      <c r="F31" s="8">
        <f t="shared" si="10"/>
        <v>71.428571428571431</v>
      </c>
      <c r="G31" s="8">
        <f t="shared" si="11"/>
        <v>139.28571428571428</v>
      </c>
      <c r="H31" s="8">
        <f t="shared" si="12"/>
        <v>143.57142857142858</v>
      </c>
      <c r="I31" s="8">
        <f t="shared" si="13"/>
        <v>257.14285714285717</v>
      </c>
      <c r="J31" s="8">
        <f t="shared" si="14"/>
        <v>35.714285714285715</v>
      </c>
      <c r="K31" s="8">
        <f t="shared" si="18"/>
        <v>122.57142857142857</v>
      </c>
      <c r="L31" s="8">
        <f t="shared" si="15"/>
        <v>17.142857142857142</v>
      </c>
      <c r="M31" s="8">
        <f t="shared" si="16"/>
        <v>28.571428571428573</v>
      </c>
      <c r="N31" s="65">
        <f>SUM(C31:M31)</f>
        <v>4136.8571428571422</v>
      </c>
      <c r="AY31" s="47"/>
    </row>
    <row r="32" spans="1:63" x14ac:dyDescent="0.3">
      <c r="A32" s="111" t="s">
        <v>47</v>
      </c>
      <c r="B32" s="111"/>
      <c r="C32" s="65">
        <f>SUM(C25:C31)</f>
        <v>18500</v>
      </c>
      <c r="D32" s="67">
        <v>3000</v>
      </c>
      <c r="E32" s="65"/>
      <c r="F32" s="65">
        <f>500</f>
        <v>500</v>
      </c>
      <c r="G32" s="65">
        <f>975</f>
        <v>975</v>
      </c>
      <c r="H32" s="65">
        <v>1005</v>
      </c>
      <c r="I32" s="65">
        <v>1800</v>
      </c>
      <c r="J32" s="65">
        <f>250</f>
        <v>250</v>
      </c>
      <c r="K32" s="65">
        <f>408+430+20</f>
        <v>858</v>
      </c>
      <c r="L32" s="65">
        <f>120</f>
        <v>120</v>
      </c>
      <c r="M32" s="65">
        <v>200</v>
      </c>
      <c r="N32" s="65">
        <f>SUM(N25:N31)</f>
        <v>27207.999999999993</v>
      </c>
      <c r="AY32" s="47"/>
    </row>
    <row r="33" spans="4:51" x14ac:dyDescent="0.3">
      <c r="AX33" t="s">
        <v>103</v>
      </c>
      <c r="AY33" s="47">
        <f>AY28-21100</f>
        <v>8500</v>
      </c>
    </row>
    <row r="34" spans="4:51" x14ac:dyDescent="0.3">
      <c r="N34" t="s">
        <v>61</v>
      </c>
      <c r="O34" s="9">
        <f>C32</f>
        <v>18500</v>
      </c>
      <c r="P34" s="9"/>
    </row>
    <row r="35" spans="4:51" x14ac:dyDescent="0.3">
      <c r="D35" s="1">
        <v>6000</v>
      </c>
      <c r="E35" s="1">
        <v>2</v>
      </c>
      <c r="F35" s="1">
        <f>D35/E35</f>
        <v>3000</v>
      </c>
      <c r="G35" s="1">
        <f>(500+500)/7</f>
        <v>142.85714285714286</v>
      </c>
      <c r="H35" s="11">
        <f>F35+G35</f>
        <v>3142.8571428571427</v>
      </c>
      <c r="I35" s="11">
        <f>H35*E35</f>
        <v>6285.7142857142853</v>
      </c>
      <c r="N35" t="s">
        <v>71</v>
      </c>
      <c r="O35" s="9">
        <f>G32</f>
        <v>975</v>
      </c>
    </row>
    <row r="36" spans="4:51" x14ac:dyDescent="0.3">
      <c r="D36" s="1">
        <v>6000</v>
      </c>
      <c r="E36" s="1">
        <v>3</v>
      </c>
      <c r="F36" s="1">
        <f t="shared" ref="F36:F37" si="19">D36/E36</f>
        <v>2000</v>
      </c>
      <c r="G36" s="1">
        <f t="shared" ref="G36:G37" si="20">(500+500)/7</f>
        <v>142.85714285714286</v>
      </c>
      <c r="H36" s="11">
        <f t="shared" ref="H36" si="21">F36+G36</f>
        <v>2142.8571428571427</v>
      </c>
      <c r="I36" s="11">
        <f t="shared" ref="I36:I37" si="22">H36*E36</f>
        <v>6428.5714285714275</v>
      </c>
      <c r="N36" t="s">
        <v>72</v>
      </c>
      <c r="O36" s="9">
        <f>I32</f>
        <v>1800</v>
      </c>
    </row>
    <row r="37" spans="4:51" x14ac:dyDescent="0.3">
      <c r="D37" s="1">
        <v>5500</v>
      </c>
      <c r="E37" s="1">
        <v>2</v>
      </c>
      <c r="F37" s="11">
        <f t="shared" si="19"/>
        <v>2750</v>
      </c>
      <c r="G37" s="1">
        <f t="shared" si="20"/>
        <v>142.85714285714286</v>
      </c>
      <c r="H37" s="11">
        <f>F37+G37</f>
        <v>2892.8571428571427</v>
      </c>
      <c r="I37" s="11">
        <f t="shared" si="22"/>
        <v>5785.7142857142853</v>
      </c>
      <c r="N37" t="s">
        <v>73</v>
      </c>
      <c r="O37" s="9">
        <f>H32</f>
        <v>1005</v>
      </c>
    </row>
    <row r="38" spans="4:51" x14ac:dyDescent="0.3">
      <c r="D38" s="1">
        <f>SUM(D35:D37)</f>
        <v>17500</v>
      </c>
      <c r="E38" s="1"/>
      <c r="F38" s="1"/>
      <c r="G38" s="1"/>
      <c r="H38" s="1"/>
      <c r="I38" s="11">
        <f>SUM(I35:I37)</f>
        <v>18500</v>
      </c>
      <c r="N38" t="s">
        <v>74</v>
      </c>
      <c r="O38" s="9">
        <f>J32</f>
        <v>250</v>
      </c>
    </row>
    <row r="39" spans="4:51" x14ac:dyDescent="0.3">
      <c r="O39" s="9">
        <f>SUM(O34:O38)</f>
        <v>22530</v>
      </c>
    </row>
    <row r="40" spans="4:51" x14ac:dyDescent="0.3">
      <c r="O40" s="9"/>
    </row>
    <row r="41" spans="4:51" x14ac:dyDescent="0.3">
      <c r="O41" s="9"/>
    </row>
    <row r="42" spans="4:51" x14ac:dyDescent="0.3">
      <c r="N42" t="s">
        <v>12</v>
      </c>
      <c r="O42" s="9">
        <f>D32</f>
        <v>3000</v>
      </c>
    </row>
    <row r="43" spans="4:51" x14ac:dyDescent="0.3">
      <c r="N43" t="s">
        <v>13</v>
      </c>
      <c r="O43" s="9">
        <f>E32</f>
        <v>0</v>
      </c>
      <c r="P43" s="9"/>
    </row>
    <row r="44" spans="4:51" x14ac:dyDescent="0.3">
      <c r="N44" t="s">
        <v>14</v>
      </c>
      <c r="O44" s="9">
        <f>F32</f>
        <v>500</v>
      </c>
    </row>
    <row r="45" spans="4:51" x14ac:dyDescent="0.3">
      <c r="N45" t="s">
        <v>20</v>
      </c>
      <c r="O45" s="9">
        <f>L32</f>
        <v>120</v>
      </c>
    </row>
    <row r="46" spans="4:51" x14ac:dyDescent="0.3">
      <c r="N46" t="s">
        <v>123</v>
      </c>
      <c r="O46" s="9">
        <f>K32</f>
        <v>858</v>
      </c>
    </row>
    <row r="47" spans="4:51" x14ac:dyDescent="0.3">
      <c r="N47" t="s">
        <v>21</v>
      </c>
      <c r="O47" s="9">
        <f>M32</f>
        <v>200</v>
      </c>
    </row>
    <row r="48" spans="4:51" x14ac:dyDescent="0.3">
      <c r="O48" s="9">
        <f>SUM(O42:O47)</f>
        <v>4678</v>
      </c>
    </row>
    <row r="50" spans="14:15" x14ac:dyDescent="0.3">
      <c r="N50" s="70" t="s">
        <v>124</v>
      </c>
      <c r="O50" s="44">
        <f>O48+O39</f>
        <v>27208</v>
      </c>
    </row>
    <row r="52" spans="14:15" x14ac:dyDescent="0.3">
      <c r="N52" s="70" t="s">
        <v>125</v>
      </c>
      <c r="O52" s="9">
        <f>N32-O50</f>
        <v>0</v>
      </c>
    </row>
  </sheetData>
  <mergeCells count="3">
    <mergeCell ref="C1:D2"/>
    <mergeCell ref="E1:F2"/>
    <mergeCell ref="A32:B32"/>
  </mergeCells>
  <conditionalFormatting sqref="AN5:AN12 AU5:AU12">
    <cfRule type="cellIs" dxfId="6" priority="2" operator="lessThan">
      <formula>0</formula>
    </cfRule>
  </conditionalFormatting>
  <pageMargins left="0.7" right="0.7" top="0.75" bottom="0.75" header="0.3" footer="0.3"/>
  <pageSetup orientation="portrait" horizontalDpi="1200" verticalDpi="1200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BK52"/>
  <sheetViews>
    <sheetView zoomScale="90" zoomScaleNormal="90" workbookViewId="0">
      <pane xSplit="2" ySplit="4" topLeftCell="C19" activePane="bottomRight" state="frozen"/>
      <selection activeCell="E11" sqref="E11:F11"/>
      <selection pane="topRight" activeCell="E11" sqref="E11:F11"/>
      <selection pane="bottomLeft" activeCell="E11" sqref="E11:F11"/>
      <selection pane="bottomRight" activeCell="AR16" sqref="AR16"/>
    </sheetView>
  </sheetViews>
  <sheetFormatPr defaultRowHeight="14.4" x14ac:dyDescent="0.3"/>
  <cols>
    <col min="1" max="1" width="7" bestFit="1" customWidth="1"/>
    <col min="2" max="2" width="20.109375" bestFit="1" customWidth="1"/>
    <col min="3" max="5" width="9.33203125" bestFit="1" customWidth="1"/>
    <col min="6" max="6" width="11.5546875" customWidth="1"/>
    <col min="7" max="7" width="12" bestFit="1" customWidth="1"/>
    <col min="8" max="8" width="13.33203125" customWidth="1"/>
    <col min="9" max="9" width="9.6640625" customWidth="1"/>
    <col min="10" max="10" width="9.33203125" bestFit="1" customWidth="1"/>
    <col min="11" max="11" width="14.5546875" customWidth="1"/>
    <col min="12" max="13" width="10.33203125" bestFit="1" customWidth="1"/>
    <col min="14" max="14" width="11.5546875" bestFit="1" customWidth="1"/>
    <col min="15" max="34" width="10.33203125" bestFit="1" customWidth="1"/>
    <col min="35" max="35" width="5.88671875" customWidth="1"/>
    <col min="36" max="36" width="7.109375" bestFit="1" customWidth="1"/>
    <col min="37" max="37" width="22.33203125" customWidth="1"/>
    <col min="38" max="38" width="13.109375" customWidth="1"/>
    <col min="39" max="39" width="12.33203125" customWidth="1"/>
    <col min="40" max="40" width="12.5546875" customWidth="1"/>
    <col min="41" max="41" width="12" customWidth="1"/>
    <col min="42" max="42" width="10.33203125" customWidth="1"/>
    <col min="43" max="43" width="13.6640625" customWidth="1"/>
    <col min="44" max="44" width="17.6640625" customWidth="1"/>
    <col min="45" max="45" width="9.44140625" customWidth="1"/>
    <col min="46" max="46" width="10.33203125" customWidth="1"/>
    <col min="47" max="47" width="13.6640625" customWidth="1"/>
    <col min="48" max="48" width="11.33203125" bestFit="1" customWidth="1"/>
    <col min="49" max="49" width="10.33203125" bestFit="1" customWidth="1"/>
    <col min="50" max="50" width="30.33203125" bestFit="1" customWidth="1"/>
    <col min="51" max="51" width="10.109375" bestFit="1" customWidth="1"/>
  </cols>
  <sheetData>
    <row r="1" spans="1:63" ht="14.7" customHeight="1" x14ac:dyDescent="0.3">
      <c r="C1" s="107" t="s">
        <v>127</v>
      </c>
      <c r="D1" s="107"/>
      <c r="E1" s="108">
        <f>AH22/AH12</f>
        <v>50.524193548387096</v>
      </c>
      <c r="F1" s="108"/>
    </row>
    <row r="2" spans="1:63" ht="25.5" customHeight="1" x14ac:dyDescent="0.3">
      <c r="C2" s="107"/>
      <c r="D2" s="107"/>
      <c r="E2" s="108"/>
      <c r="F2" s="108"/>
    </row>
    <row r="4" spans="1:63" ht="57.6" x14ac:dyDescent="0.3">
      <c r="A4" s="53" t="s">
        <v>0</v>
      </c>
      <c r="B4" s="53" t="s">
        <v>2</v>
      </c>
      <c r="C4" s="54">
        <v>44531</v>
      </c>
      <c r="D4" s="54">
        <v>44532</v>
      </c>
      <c r="E4" s="54">
        <v>44533</v>
      </c>
      <c r="F4" s="54">
        <v>44534</v>
      </c>
      <c r="G4" s="54">
        <v>44535</v>
      </c>
      <c r="H4" s="54">
        <v>44536</v>
      </c>
      <c r="I4" s="54">
        <v>44537</v>
      </c>
      <c r="J4" s="54">
        <v>44538</v>
      </c>
      <c r="K4" s="54">
        <v>44539</v>
      </c>
      <c r="L4" s="54">
        <v>44540</v>
      </c>
      <c r="M4" s="54">
        <v>44541</v>
      </c>
      <c r="N4" s="54">
        <v>44542</v>
      </c>
      <c r="O4" s="54">
        <v>44543</v>
      </c>
      <c r="P4" s="54">
        <v>44544</v>
      </c>
      <c r="Q4" s="54">
        <v>44545</v>
      </c>
      <c r="R4" s="54">
        <v>44546</v>
      </c>
      <c r="S4" s="54">
        <v>44547</v>
      </c>
      <c r="T4" s="54">
        <v>44548</v>
      </c>
      <c r="U4" s="54">
        <v>44549</v>
      </c>
      <c r="V4" s="54">
        <v>44550</v>
      </c>
      <c r="W4" s="54">
        <v>44551</v>
      </c>
      <c r="X4" s="54">
        <v>44552</v>
      </c>
      <c r="Y4" s="54">
        <v>44553</v>
      </c>
      <c r="Z4" s="54">
        <v>44554</v>
      </c>
      <c r="AA4" s="54">
        <v>44555</v>
      </c>
      <c r="AB4" s="54">
        <v>44556</v>
      </c>
      <c r="AC4" s="54">
        <v>44557</v>
      </c>
      <c r="AD4" s="54">
        <v>44558</v>
      </c>
      <c r="AE4" s="54">
        <v>44559</v>
      </c>
      <c r="AF4" s="54">
        <v>44560</v>
      </c>
      <c r="AG4" s="54">
        <v>44561</v>
      </c>
      <c r="AH4" s="53" t="s">
        <v>1</v>
      </c>
      <c r="AJ4" s="49" t="s">
        <v>0</v>
      </c>
      <c r="AK4" s="49" t="s">
        <v>2</v>
      </c>
      <c r="AL4" s="50" t="s">
        <v>23</v>
      </c>
      <c r="AM4" s="50" t="s">
        <v>24</v>
      </c>
      <c r="AN4" s="50" t="s">
        <v>26</v>
      </c>
      <c r="AO4" s="50" t="s">
        <v>130</v>
      </c>
      <c r="AP4" s="50" t="s">
        <v>27</v>
      </c>
      <c r="AQ4" s="50" t="s">
        <v>30</v>
      </c>
      <c r="AR4" s="50" t="s">
        <v>32</v>
      </c>
      <c r="AS4" s="50" t="s">
        <v>28</v>
      </c>
      <c r="AT4" s="50" t="s">
        <v>29</v>
      </c>
      <c r="AU4" s="50" t="s">
        <v>31</v>
      </c>
      <c r="AW4" s="71" t="s">
        <v>126</v>
      </c>
    </row>
    <row r="5" spans="1:63" x14ac:dyDescent="0.3">
      <c r="A5" s="2">
        <v>1</v>
      </c>
      <c r="B5" s="3" t="s">
        <v>5</v>
      </c>
      <c r="C5" s="7">
        <v>2.5</v>
      </c>
      <c r="D5" s="7">
        <v>2.5</v>
      </c>
      <c r="E5" s="7">
        <v>1.5</v>
      </c>
      <c r="F5" s="7">
        <v>2.5</v>
      </c>
      <c r="G5" s="7">
        <v>2.5</v>
      </c>
      <c r="H5" s="7">
        <v>2.5</v>
      </c>
      <c r="I5" s="7">
        <v>2.5</v>
      </c>
      <c r="J5" s="7">
        <v>2.5</v>
      </c>
      <c r="K5" s="7">
        <v>0.5</v>
      </c>
      <c r="L5" s="7">
        <v>3</v>
      </c>
      <c r="M5" s="7">
        <v>1</v>
      </c>
      <c r="N5" s="7">
        <v>2.5</v>
      </c>
      <c r="O5" s="7">
        <v>2.5</v>
      </c>
      <c r="P5" s="7">
        <v>0</v>
      </c>
      <c r="Q5" s="7">
        <v>2.5</v>
      </c>
      <c r="R5" s="7">
        <v>2.5</v>
      </c>
      <c r="S5" s="7">
        <v>1.5</v>
      </c>
      <c r="T5" s="7">
        <v>0</v>
      </c>
      <c r="U5" s="7">
        <v>2.5</v>
      </c>
      <c r="V5" s="7">
        <v>2.5</v>
      </c>
      <c r="W5" s="7">
        <v>2.5</v>
      </c>
      <c r="X5" s="7">
        <v>2.5</v>
      </c>
      <c r="Y5" s="7">
        <v>1.5</v>
      </c>
      <c r="Z5" s="7">
        <v>0.5</v>
      </c>
      <c r="AA5" s="7">
        <v>0</v>
      </c>
      <c r="AB5" s="7">
        <v>0</v>
      </c>
      <c r="AC5" s="7">
        <v>2</v>
      </c>
      <c r="AD5" s="7">
        <v>2.5</v>
      </c>
      <c r="AE5" s="7">
        <v>1.5</v>
      </c>
      <c r="AF5" s="7">
        <v>2.5</v>
      </c>
      <c r="AG5" s="7">
        <v>2.5</v>
      </c>
      <c r="AH5" s="56">
        <f>SUM(C5:AG5)</f>
        <v>58</v>
      </c>
      <c r="AJ5" s="2">
        <v>1</v>
      </c>
      <c r="AK5" s="3" t="s">
        <v>5</v>
      </c>
      <c r="AL5" s="16">
        <f>AH5*$E$1</f>
        <v>2930.4032258064517</v>
      </c>
      <c r="AM5" s="16">
        <f>AH15</f>
        <v>3623</v>
      </c>
      <c r="AN5" s="16">
        <f>AM5-AL5</f>
        <v>692.5967741935483</v>
      </c>
      <c r="AO5" s="16">
        <f>N25</f>
        <v>4326.8571428571422</v>
      </c>
      <c r="AP5" s="16">
        <f t="shared" ref="AP5:AP12" si="0">AO5-AN5</f>
        <v>3634.2603686635939</v>
      </c>
      <c r="AQ5" s="68">
        <f>'Meal Nov''21 &amp; Rent Dec''21'!AU5</f>
        <v>1274.7572474081412</v>
      </c>
      <c r="AR5" s="16">
        <f t="shared" ref="AR5:AR12" si="1">AP5-AQ5</f>
        <v>2359.5031212554527</v>
      </c>
      <c r="AS5" s="26">
        <f>120+858+500+1810</f>
        <v>3288</v>
      </c>
      <c r="AT5" s="62"/>
      <c r="AU5" s="16">
        <f t="shared" ref="AU5:AU12" si="2">AS5-AR5</f>
        <v>928.4968787445473</v>
      </c>
      <c r="AY5" s="9"/>
    </row>
    <row r="6" spans="1:63" x14ac:dyDescent="0.3">
      <c r="A6" s="2">
        <v>2</v>
      </c>
      <c r="B6" s="3" t="s">
        <v>111</v>
      </c>
      <c r="C6" s="7">
        <v>2.5</v>
      </c>
      <c r="D6" s="7">
        <v>1.5</v>
      </c>
      <c r="E6" s="7">
        <v>1</v>
      </c>
      <c r="F6" s="7">
        <v>1</v>
      </c>
      <c r="G6" s="7">
        <v>0</v>
      </c>
      <c r="H6" s="7">
        <v>0</v>
      </c>
      <c r="I6" s="7">
        <v>1.5</v>
      </c>
      <c r="J6" s="7">
        <v>2.5</v>
      </c>
      <c r="K6" s="7">
        <v>2</v>
      </c>
      <c r="L6" s="7">
        <v>2</v>
      </c>
      <c r="M6" s="7">
        <v>1</v>
      </c>
      <c r="N6" s="7">
        <v>2.5</v>
      </c>
      <c r="O6" s="7">
        <v>2.5</v>
      </c>
      <c r="P6" s="7">
        <v>1.5</v>
      </c>
      <c r="Q6" s="7">
        <v>3</v>
      </c>
      <c r="R6" s="7">
        <v>5</v>
      </c>
      <c r="S6" s="7">
        <v>5</v>
      </c>
      <c r="T6" s="7">
        <v>2.5</v>
      </c>
      <c r="U6" s="7">
        <v>0</v>
      </c>
      <c r="V6" s="7">
        <v>0</v>
      </c>
      <c r="W6" s="7">
        <v>0</v>
      </c>
      <c r="X6" s="7">
        <v>0</v>
      </c>
      <c r="Y6" s="7">
        <v>0</v>
      </c>
      <c r="Z6" s="7">
        <v>0</v>
      </c>
      <c r="AA6" s="7">
        <v>0</v>
      </c>
      <c r="AB6" s="7">
        <v>0</v>
      </c>
      <c r="AC6" s="7">
        <v>0</v>
      </c>
      <c r="AD6" s="7">
        <v>0</v>
      </c>
      <c r="AE6" s="7">
        <v>0</v>
      </c>
      <c r="AF6" s="7">
        <v>1</v>
      </c>
      <c r="AG6" s="7">
        <v>0</v>
      </c>
      <c r="AH6" s="56">
        <f t="shared" ref="AH6:AH11" si="3">SUM(C6:AG6)</f>
        <v>38</v>
      </c>
      <c r="AJ6" s="72">
        <v>2</v>
      </c>
      <c r="AK6" s="73" t="s">
        <v>111</v>
      </c>
      <c r="AL6" s="74">
        <f>AH6*$E$1</f>
        <v>1919.9193548387098</v>
      </c>
      <c r="AM6" s="74">
        <f t="shared" ref="AM6" si="4">AH16</f>
        <v>2365</v>
      </c>
      <c r="AN6" s="74">
        <f>AM6-AL6</f>
        <v>445.08064516129025</v>
      </c>
      <c r="AO6" s="74">
        <f>AO5-3000</f>
        <v>1326.8571428571422</v>
      </c>
      <c r="AP6" s="74">
        <f t="shared" si="0"/>
        <v>881.77649769585196</v>
      </c>
      <c r="AQ6" s="74">
        <f>'Meal Nov''21 &amp; Rent Dec''21'!AU6</f>
        <v>3.0851454848116191</v>
      </c>
      <c r="AR6" s="74">
        <f t="shared" si="1"/>
        <v>878.69135221104034</v>
      </c>
      <c r="AS6" s="75">
        <v>879</v>
      </c>
      <c r="AT6" s="76"/>
      <c r="AU6" s="74">
        <f t="shared" si="2"/>
        <v>0.30864778895966083</v>
      </c>
      <c r="AY6" s="9"/>
    </row>
    <row r="7" spans="1:63" x14ac:dyDescent="0.3">
      <c r="A7" s="2">
        <v>3</v>
      </c>
      <c r="B7" s="3" t="s">
        <v>6</v>
      </c>
      <c r="C7" s="7">
        <v>1.5</v>
      </c>
      <c r="D7" s="7">
        <v>1</v>
      </c>
      <c r="E7" s="7">
        <v>2.5</v>
      </c>
      <c r="F7" s="7">
        <v>3.5</v>
      </c>
      <c r="G7" s="7">
        <v>1.5</v>
      </c>
      <c r="H7" s="7">
        <v>2.5</v>
      </c>
      <c r="I7" s="7">
        <v>2</v>
      </c>
      <c r="J7" s="7">
        <v>2.5</v>
      </c>
      <c r="K7" s="7">
        <v>2.5</v>
      </c>
      <c r="L7" s="7">
        <v>2.5</v>
      </c>
      <c r="M7" s="7">
        <v>1</v>
      </c>
      <c r="N7" s="7">
        <v>2.5</v>
      </c>
      <c r="O7" s="7">
        <v>1.5</v>
      </c>
      <c r="P7" s="7">
        <v>1.5</v>
      </c>
      <c r="Q7" s="7">
        <v>2.5</v>
      </c>
      <c r="R7" s="7">
        <v>2.5</v>
      </c>
      <c r="S7" s="7">
        <v>1.5</v>
      </c>
      <c r="T7" s="7">
        <v>2.5</v>
      </c>
      <c r="U7" s="7">
        <v>2</v>
      </c>
      <c r="V7" s="7">
        <v>2</v>
      </c>
      <c r="W7" s="7">
        <v>2.5</v>
      </c>
      <c r="X7" s="7">
        <v>2.5</v>
      </c>
      <c r="Y7" s="7">
        <v>2.5</v>
      </c>
      <c r="Z7" s="7">
        <v>2</v>
      </c>
      <c r="AA7" s="7">
        <v>1</v>
      </c>
      <c r="AB7" s="7">
        <v>2.5</v>
      </c>
      <c r="AC7" s="7">
        <v>2.5</v>
      </c>
      <c r="AD7" s="7">
        <v>2.5</v>
      </c>
      <c r="AE7" s="7">
        <v>2.5</v>
      </c>
      <c r="AF7" s="7">
        <v>2.5</v>
      </c>
      <c r="AG7" s="7">
        <v>2.5</v>
      </c>
      <c r="AH7" s="56">
        <f t="shared" si="3"/>
        <v>67</v>
      </c>
      <c r="AJ7" s="2">
        <v>3</v>
      </c>
      <c r="AK7" s="3" t="s">
        <v>131</v>
      </c>
      <c r="AL7" s="16"/>
      <c r="AM7" s="16"/>
      <c r="AN7" s="16"/>
      <c r="AO7" s="16">
        <f>AO5-AO6</f>
        <v>3000</v>
      </c>
      <c r="AP7" s="16">
        <f t="shared" si="0"/>
        <v>3000</v>
      </c>
      <c r="AQ7" s="68"/>
      <c r="AR7" s="16">
        <f t="shared" si="1"/>
        <v>3000</v>
      </c>
      <c r="AS7" s="26">
        <f>4000-AS6</f>
        <v>3121</v>
      </c>
      <c r="AT7" s="62"/>
      <c r="AU7" s="16">
        <f t="shared" si="2"/>
        <v>121</v>
      </c>
      <c r="AY7" s="9"/>
    </row>
    <row r="8" spans="1:63" x14ac:dyDescent="0.3">
      <c r="A8" s="2">
        <v>4</v>
      </c>
      <c r="B8" s="3" t="s">
        <v>57</v>
      </c>
      <c r="C8" s="7">
        <v>2.5</v>
      </c>
      <c r="D8" s="7">
        <v>1.5</v>
      </c>
      <c r="E8" s="7">
        <v>1</v>
      </c>
      <c r="F8" s="7">
        <v>2.5</v>
      </c>
      <c r="G8" s="7">
        <v>2.5</v>
      </c>
      <c r="H8" s="7">
        <v>2.5</v>
      </c>
      <c r="I8" s="7">
        <v>2.5</v>
      </c>
      <c r="J8" s="7">
        <v>2.5</v>
      </c>
      <c r="K8" s="7">
        <v>2.5</v>
      </c>
      <c r="L8" s="7">
        <v>2.5</v>
      </c>
      <c r="M8" s="7">
        <v>1</v>
      </c>
      <c r="N8" s="7">
        <v>2.5</v>
      </c>
      <c r="O8" s="7">
        <v>2.5</v>
      </c>
      <c r="P8" s="7">
        <v>1.5</v>
      </c>
      <c r="Q8" s="7">
        <v>2.5</v>
      </c>
      <c r="R8" s="7">
        <v>2.5</v>
      </c>
      <c r="S8" s="7">
        <v>2.5</v>
      </c>
      <c r="T8" s="7">
        <v>2.5</v>
      </c>
      <c r="U8" s="7">
        <v>2</v>
      </c>
      <c r="V8" s="7">
        <v>2</v>
      </c>
      <c r="W8" s="7">
        <v>2.5</v>
      </c>
      <c r="X8" s="7">
        <v>2.5</v>
      </c>
      <c r="Y8" s="7">
        <v>2.5</v>
      </c>
      <c r="Z8" s="7">
        <v>2</v>
      </c>
      <c r="AA8" s="7">
        <v>1</v>
      </c>
      <c r="AB8" s="7">
        <v>2.5</v>
      </c>
      <c r="AC8" s="7">
        <v>2.5</v>
      </c>
      <c r="AD8" s="7">
        <v>2.5</v>
      </c>
      <c r="AE8" s="7">
        <v>2.5</v>
      </c>
      <c r="AF8" s="7">
        <v>2.5</v>
      </c>
      <c r="AG8" s="7">
        <v>1.5</v>
      </c>
      <c r="AH8" s="56">
        <f t="shared" si="3"/>
        <v>68.5</v>
      </c>
      <c r="AJ8" s="2">
        <v>4</v>
      </c>
      <c r="AK8" s="3" t="s">
        <v>6</v>
      </c>
      <c r="AL8" s="16">
        <f>AH7*$E$1</f>
        <v>3385.1209677419356</v>
      </c>
      <c r="AM8" s="16">
        <f>AH17</f>
        <v>380</v>
      </c>
      <c r="AN8" s="16">
        <f t="shared" ref="AN8:AN12" si="5">AM8-AL8</f>
        <v>-3005.1209677419356</v>
      </c>
      <c r="AO8" s="16">
        <f>N27</f>
        <v>3326.8571428571427</v>
      </c>
      <c r="AP8" s="16">
        <f t="shared" si="0"/>
        <v>6331.9781105990787</v>
      </c>
      <c r="AQ8" s="68">
        <f>'Meal Nov''21 &amp; Rent Dec''21'!AU7</f>
        <v>-672.05877003766909</v>
      </c>
      <c r="AR8" s="16">
        <f t="shared" si="1"/>
        <v>7004.0368806367478</v>
      </c>
      <c r="AS8" s="26">
        <f>3800+2500</f>
        <v>6300</v>
      </c>
      <c r="AT8" s="62"/>
      <c r="AU8" s="16">
        <f>AS8-AR8</f>
        <v>-704.03688063674781</v>
      </c>
      <c r="AV8" s="25"/>
      <c r="AW8">
        <v>2000</v>
      </c>
      <c r="AY8" s="9"/>
    </row>
    <row r="9" spans="1:63" x14ac:dyDescent="0.3">
      <c r="A9" s="2">
        <v>5</v>
      </c>
      <c r="B9" s="12" t="s">
        <v>51</v>
      </c>
      <c r="C9" s="7">
        <v>4</v>
      </c>
      <c r="D9" s="7">
        <v>5</v>
      </c>
      <c r="E9" s="7">
        <v>5</v>
      </c>
      <c r="F9" s="7">
        <v>2.5</v>
      </c>
      <c r="G9" s="7">
        <v>3.5</v>
      </c>
      <c r="H9" s="7">
        <v>4</v>
      </c>
      <c r="I9" s="7">
        <v>3</v>
      </c>
      <c r="J9" s="7">
        <v>1</v>
      </c>
      <c r="K9" s="7">
        <v>2.5</v>
      </c>
      <c r="L9" s="7">
        <v>2.5</v>
      </c>
      <c r="M9" s="7">
        <v>1</v>
      </c>
      <c r="N9" s="7">
        <v>1</v>
      </c>
      <c r="O9" s="7">
        <v>1</v>
      </c>
      <c r="P9" s="7">
        <v>1</v>
      </c>
      <c r="Q9" s="7">
        <v>1</v>
      </c>
      <c r="R9" s="7">
        <v>2.5</v>
      </c>
      <c r="S9" s="7">
        <v>2</v>
      </c>
      <c r="T9" s="7">
        <v>1</v>
      </c>
      <c r="U9" s="7">
        <v>0</v>
      </c>
      <c r="V9" s="7">
        <v>1</v>
      </c>
      <c r="W9" s="7">
        <v>1</v>
      </c>
      <c r="X9" s="7">
        <v>1</v>
      </c>
      <c r="Y9" s="7">
        <v>1</v>
      </c>
      <c r="Z9" s="7">
        <v>2</v>
      </c>
      <c r="AA9" s="7">
        <v>1</v>
      </c>
      <c r="AB9" s="7">
        <v>1.5</v>
      </c>
      <c r="AC9" s="7">
        <v>1</v>
      </c>
      <c r="AD9" s="7">
        <v>1</v>
      </c>
      <c r="AE9" s="7">
        <v>1</v>
      </c>
      <c r="AF9" s="7">
        <v>1</v>
      </c>
      <c r="AG9" s="7">
        <v>2.5</v>
      </c>
      <c r="AH9" s="56">
        <f t="shared" si="3"/>
        <v>58.5</v>
      </c>
      <c r="AJ9" s="2">
        <v>5</v>
      </c>
      <c r="AK9" s="3" t="s">
        <v>57</v>
      </c>
      <c r="AL9" s="16">
        <f>AH8*$E$1</f>
        <v>3460.9072580645161</v>
      </c>
      <c r="AM9" s="16">
        <f>AH18</f>
        <v>2284</v>
      </c>
      <c r="AN9" s="16">
        <f t="shared" si="5"/>
        <v>-1176.9072580645161</v>
      </c>
      <c r="AO9" s="16">
        <f>N28</f>
        <v>3326.8571428571427</v>
      </c>
      <c r="AP9" s="16">
        <f t="shared" si="0"/>
        <v>4503.7644009216583</v>
      </c>
      <c r="AQ9" s="68">
        <f>'Meal Nov''21 &amp; Rent Dec''21'!AU8</f>
        <v>22.475833344714374</v>
      </c>
      <c r="AR9" s="16">
        <f t="shared" si="1"/>
        <v>4481.2885675769439</v>
      </c>
      <c r="AS9" s="26">
        <v>4500</v>
      </c>
      <c r="AT9" s="62"/>
      <c r="AU9" s="16">
        <f t="shared" si="2"/>
        <v>18.711432423056067</v>
      </c>
    </row>
    <row r="10" spans="1:63" x14ac:dyDescent="0.3">
      <c r="A10" s="2">
        <v>6</v>
      </c>
      <c r="B10" s="1" t="s">
        <v>110</v>
      </c>
      <c r="C10" s="7">
        <v>2.5</v>
      </c>
      <c r="D10" s="7">
        <v>2.5</v>
      </c>
      <c r="E10" s="7">
        <v>2.5</v>
      </c>
      <c r="F10" s="7">
        <v>2.5</v>
      </c>
      <c r="G10" s="7">
        <v>2.5</v>
      </c>
      <c r="H10" s="7">
        <v>2.5</v>
      </c>
      <c r="I10" s="7">
        <v>2.5</v>
      </c>
      <c r="J10" s="7">
        <v>2</v>
      </c>
      <c r="K10" s="7">
        <v>2.5</v>
      </c>
      <c r="L10" s="7">
        <v>3</v>
      </c>
      <c r="M10" s="7">
        <v>1</v>
      </c>
      <c r="N10" s="7">
        <v>2.5</v>
      </c>
      <c r="O10" s="7">
        <v>2.5</v>
      </c>
      <c r="P10" s="7">
        <v>1</v>
      </c>
      <c r="Q10" s="7">
        <v>2.5</v>
      </c>
      <c r="R10" s="7">
        <v>2.5</v>
      </c>
      <c r="S10" s="7">
        <v>2.5</v>
      </c>
      <c r="T10" s="7">
        <v>2.5</v>
      </c>
      <c r="U10" s="7">
        <v>2.5</v>
      </c>
      <c r="V10" s="7">
        <v>2.5</v>
      </c>
      <c r="W10" s="7">
        <v>2.5</v>
      </c>
      <c r="X10" s="7">
        <v>2.5</v>
      </c>
      <c r="Y10" s="7">
        <v>0.5</v>
      </c>
      <c r="Z10" s="7">
        <v>0</v>
      </c>
      <c r="AA10" s="7">
        <v>1</v>
      </c>
      <c r="AB10" s="7">
        <v>1</v>
      </c>
      <c r="AC10" s="7">
        <v>1</v>
      </c>
      <c r="AD10" s="7">
        <v>2.5</v>
      </c>
      <c r="AE10" s="7">
        <v>1</v>
      </c>
      <c r="AF10" s="7">
        <v>2.5</v>
      </c>
      <c r="AG10" s="7">
        <v>2.5</v>
      </c>
      <c r="AH10" s="56">
        <f t="shared" si="3"/>
        <v>64</v>
      </c>
      <c r="AJ10" s="2">
        <v>6</v>
      </c>
      <c r="AK10" s="12" t="s">
        <v>51</v>
      </c>
      <c r="AL10" s="16">
        <f>AH9*$E$1</f>
        <v>2955.6653225806449</v>
      </c>
      <c r="AM10" s="16">
        <f>AH19</f>
        <v>3180</v>
      </c>
      <c r="AN10" s="16">
        <f t="shared" si="5"/>
        <v>224.3346774193551</v>
      </c>
      <c r="AO10" s="16">
        <f>N29</f>
        <v>3326.8571428571427</v>
      </c>
      <c r="AP10" s="16">
        <f>AO10-AN10</f>
        <v>3102.5224654377876</v>
      </c>
      <c r="AQ10" s="68">
        <f>'Meal Nov''21 &amp; Rent Dec''21'!AU9</f>
        <v>756.55933869849969</v>
      </c>
      <c r="AR10" s="16">
        <f t="shared" si="1"/>
        <v>2345.9631267392879</v>
      </c>
      <c r="AS10" s="26">
        <v>3000</v>
      </c>
      <c r="AT10" s="62"/>
      <c r="AU10" s="16">
        <f t="shared" si="2"/>
        <v>654.03687326071213</v>
      </c>
      <c r="AV10" s="47"/>
    </row>
    <row r="11" spans="1:63" x14ac:dyDescent="0.3">
      <c r="A11" s="2">
        <v>7</v>
      </c>
      <c r="B11" s="3" t="s">
        <v>118</v>
      </c>
      <c r="C11" s="7">
        <v>0</v>
      </c>
      <c r="D11" s="7">
        <v>0</v>
      </c>
      <c r="E11" s="7">
        <v>0</v>
      </c>
      <c r="F11" s="7">
        <v>0</v>
      </c>
      <c r="G11" s="7">
        <v>2</v>
      </c>
      <c r="H11" s="7">
        <v>2</v>
      </c>
      <c r="I11" s="7">
        <v>1</v>
      </c>
      <c r="J11" s="7">
        <v>0</v>
      </c>
      <c r="K11" s="7">
        <v>0</v>
      </c>
      <c r="L11" s="7">
        <v>0</v>
      </c>
      <c r="M11" s="7">
        <v>1</v>
      </c>
      <c r="N11" s="7">
        <v>1</v>
      </c>
      <c r="O11" s="7">
        <v>1</v>
      </c>
      <c r="P11" s="7">
        <v>1</v>
      </c>
      <c r="Q11" s="7">
        <v>1</v>
      </c>
      <c r="R11" s="7">
        <v>0</v>
      </c>
      <c r="S11" s="7">
        <v>0</v>
      </c>
      <c r="T11" s="7">
        <v>0</v>
      </c>
      <c r="U11" s="7">
        <v>0</v>
      </c>
      <c r="V11" s="7">
        <v>1</v>
      </c>
      <c r="W11" s="7">
        <v>1</v>
      </c>
      <c r="X11" s="7">
        <v>1</v>
      </c>
      <c r="Y11" s="7">
        <v>1</v>
      </c>
      <c r="Z11" s="7">
        <v>0</v>
      </c>
      <c r="AA11" s="7">
        <v>0</v>
      </c>
      <c r="AB11" s="7">
        <v>1</v>
      </c>
      <c r="AC11" s="7">
        <v>1</v>
      </c>
      <c r="AD11" s="7">
        <v>1</v>
      </c>
      <c r="AE11" s="7">
        <v>1</v>
      </c>
      <c r="AF11" s="7">
        <v>0</v>
      </c>
      <c r="AG11" s="7">
        <v>0</v>
      </c>
      <c r="AH11" s="56">
        <f t="shared" si="3"/>
        <v>18</v>
      </c>
      <c r="AJ11" s="2">
        <v>7</v>
      </c>
      <c r="AK11" s="12" t="s">
        <v>104</v>
      </c>
      <c r="AL11" s="16">
        <f>AH10*$E$1</f>
        <v>3233.5483870967741</v>
      </c>
      <c r="AM11" s="16">
        <f>AH20</f>
        <v>4298</v>
      </c>
      <c r="AN11" s="16">
        <f t="shared" si="5"/>
        <v>1064.4516129032259</v>
      </c>
      <c r="AO11" s="16">
        <f>N30</f>
        <v>4076.8571428571427</v>
      </c>
      <c r="AP11" s="16">
        <f t="shared" si="0"/>
        <v>3012.4055299539168</v>
      </c>
      <c r="AQ11" s="68">
        <f>'Meal Nov''21 &amp; Rent Dec''21'!AU10</f>
        <v>26.359616572925461</v>
      </c>
      <c r="AR11" s="16">
        <f t="shared" si="1"/>
        <v>2986.0459133809914</v>
      </c>
      <c r="AS11" s="26">
        <v>3100</v>
      </c>
      <c r="AT11" s="62"/>
      <c r="AU11" s="16">
        <f>AS11-AR11</f>
        <v>113.95408661900865</v>
      </c>
      <c r="AV11" s="9"/>
    </row>
    <row r="12" spans="1:63" x14ac:dyDescent="0.3">
      <c r="C12" s="55">
        <f>SUM(C5:C11)</f>
        <v>15.5</v>
      </c>
      <c r="D12" s="55">
        <f t="shared" ref="D12:AF12" si="6">SUM(D5:D11)</f>
        <v>14</v>
      </c>
      <c r="E12" s="55">
        <f t="shared" si="6"/>
        <v>13.5</v>
      </c>
      <c r="F12" s="55">
        <f t="shared" si="6"/>
        <v>14.5</v>
      </c>
      <c r="G12" s="55">
        <f t="shared" si="6"/>
        <v>14.5</v>
      </c>
      <c r="H12" s="55">
        <f t="shared" si="6"/>
        <v>16</v>
      </c>
      <c r="I12" s="55">
        <f t="shared" si="6"/>
        <v>15</v>
      </c>
      <c r="J12" s="55">
        <f t="shared" si="6"/>
        <v>13</v>
      </c>
      <c r="K12" s="55">
        <f t="shared" si="6"/>
        <v>12.5</v>
      </c>
      <c r="L12" s="55">
        <f t="shared" si="6"/>
        <v>15.5</v>
      </c>
      <c r="M12" s="55">
        <f t="shared" si="6"/>
        <v>7</v>
      </c>
      <c r="N12" s="55">
        <f t="shared" si="6"/>
        <v>14.5</v>
      </c>
      <c r="O12" s="55">
        <f t="shared" si="6"/>
        <v>13.5</v>
      </c>
      <c r="P12" s="55">
        <f t="shared" si="6"/>
        <v>7.5</v>
      </c>
      <c r="Q12" s="55">
        <f t="shared" si="6"/>
        <v>15</v>
      </c>
      <c r="R12" s="55">
        <f t="shared" si="6"/>
        <v>17.5</v>
      </c>
      <c r="S12" s="55">
        <f t="shared" si="6"/>
        <v>15</v>
      </c>
      <c r="T12" s="55">
        <f t="shared" si="6"/>
        <v>11</v>
      </c>
      <c r="U12" s="55">
        <f t="shared" si="6"/>
        <v>9</v>
      </c>
      <c r="V12" s="55">
        <f t="shared" si="6"/>
        <v>11</v>
      </c>
      <c r="W12" s="55">
        <f t="shared" si="6"/>
        <v>12</v>
      </c>
      <c r="X12" s="55">
        <f t="shared" si="6"/>
        <v>12</v>
      </c>
      <c r="Y12" s="55">
        <f t="shared" si="6"/>
        <v>9</v>
      </c>
      <c r="Z12" s="55">
        <f t="shared" si="6"/>
        <v>6.5</v>
      </c>
      <c r="AA12" s="55">
        <f t="shared" si="6"/>
        <v>4</v>
      </c>
      <c r="AB12" s="55">
        <f t="shared" si="6"/>
        <v>8.5</v>
      </c>
      <c r="AC12" s="55">
        <f t="shared" si="6"/>
        <v>10</v>
      </c>
      <c r="AD12" s="55">
        <f t="shared" si="6"/>
        <v>12</v>
      </c>
      <c r="AE12" s="55">
        <f t="shared" si="6"/>
        <v>9.5</v>
      </c>
      <c r="AF12" s="55">
        <f t="shared" si="6"/>
        <v>12</v>
      </c>
      <c r="AG12" s="55"/>
      <c r="AH12" s="55">
        <f>SUM(AH5:AH11)</f>
        <v>372</v>
      </c>
      <c r="AJ12" s="2">
        <v>8</v>
      </c>
      <c r="AK12" s="3" t="s">
        <v>118</v>
      </c>
      <c r="AL12" s="16">
        <f>AH11*$E$1</f>
        <v>909.43548387096769</v>
      </c>
      <c r="AM12" s="16">
        <f>AH21</f>
        <v>2665</v>
      </c>
      <c r="AN12" s="16">
        <f t="shared" si="5"/>
        <v>1755.5645161290322</v>
      </c>
      <c r="AO12" s="16">
        <f>N31</f>
        <v>4076.8571428571427</v>
      </c>
      <c r="AP12" s="16">
        <f t="shared" si="0"/>
        <v>2321.2926267281105</v>
      </c>
      <c r="AQ12" s="68">
        <f>'Meal Nov''21 &amp; Rent Dec''21'!AU11</f>
        <v>2.1901480902847652</v>
      </c>
      <c r="AR12" s="16">
        <f t="shared" si="1"/>
        <v>2319.1024786378257</v>
      </c>
      <c r="AS12" s="61">
        <v>2400</v>
      </c>
      <c r="AT12" s="62"/>
      <c r="AU12" s="16">
        <f t="shared" si="2"/>
        <v>80.897521362174302</v>
      </c>
      <c r="AV12" s="9"/>
    </row>
    <row r="13" spans="1:63" x14ac:dyDescent="0.3">
      <c r="AJ13" s="2"/>
      <c r="AK13" s="12"/>
      <c r="AL13" s="51">
        <f t="shared" ref="AL13:AQ13" si="7">SUM(AL5:AL12)</f>
        <v>18794.999999999996</v>
      </c>
      <c r="AM13" s="51">
        <f t="shared" si="7"/>
        <v>18795</v>
      </c>
      <c r="AN13" s="51">
        <f t="shared" si="7"/>
        <v>0</v>
      </c>
      <c r="AO13" s="51">
        <f t="shared" si="7"/>
        <v>26787.999999999996</v>
      </c>
      <c r="AP13" s="51">
        <f t="shared" si="7"/>
        <v>26788</v>
      </c>
      <c r="AQ13" s="69">
        <f t="shared" si="7"/>
        <v>1413.368559561708</v>
      </c>
      <c r="AR13" s="51">
        <f>AP13-AQ13</f>
        <v>25374.631440438294</v>
      </c>
      <c r="AS13" s="63">
        <f>SUM(AS5:AS12)</f>
        <v>26588</v>
      </c>
      <c r="AT13" s="63"/>
      <c r="AU13" s="51">
        <f>SUM(AU5:AU12)</f>
        <v>1213.3685595617103</v>
      </c>
      <c r="AV13" s="9"/>
      <c r="AW13" s="9"/>
      <c r="AX13" s="44" t="s">
        <v>88</v>
      </c>
      <c r="AY13" s="9"/>
    </row>
    <row r="14" spans="1:63" x14ac:dyDescent="0.3">
      <c r="B14" s="64" t="s">
        <v>128</v>
      </c>
      <c r="AL14" s="25"/>
      <c r="AM14" s="9"/>
      <c r="AN14" s="9"/>
      <c r="AO14" s="9"/>
      <c r="AP14" s="9"/>
      <c r="AQ14" s="9"/>
      <c r="AR14" s="25"/>
      <c r="AS14" s="9"/>
      <c r="AT14" s="9"/>
      <c r="AU14" s="9"/>
      <c r="AX14" s="1" t="s">
        <v>89</v>
      </c>
      <c r="AY14" s="1" t="s">
        <v>95</v>
      </c>
    </row>
    <row r="15" spans="1:63" x14ac:dyDescent="0.3">
      <c r="A15" s="2">
        <v>1</v>
      </c>
      <c r="B15" s="3" t="s">
        <v>5</v>
      </c>
      <c r="C15" s="8"/>
      <c r="D15" s="8">
        <v>538</v>
      </c>
      <c r="E15" s="8">
        <v>2540</v>
      </c>
      <c r="F15" s="8">
        <v>220</v>
      </c>
      <c r="G15" s="8">
        <v>170</v>
      </c>
      <c r="H15" s="8">
        <v>155</v>
      </c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65">
        <f>SUM(C15:AG15)</f>
        <v>3623</v>
      </c>
      <c r="AX15" s="1" t="s">
        <v>107</v>
      </c>
      <c r="AY15" s="16">
        <f>O41</f>
        <v>0</v>
      </c>
      <c r="BI15" s="1" t="s">
        <v>96</v>
      </c>
      <c r="BJ15" s="1"/>
      <c r="BK15" s="1"/>
    </row>
    <row r="16" spans="1:63" x14ac:dyDescent="0.3">
      <c r="A16" s="2">
        <v>2</v>
      </c>
      <c r="B16" s="3" t="s">
        <v>111</v>
      </c>
      <c r="C16" s="8"/>
      <c r="D16" s="8"/>
      <c r="E16" s="8"/>
      <c r="F16" s="8"/>
      <c r="G16" s="8"/>
      <c r="H16" s="8"/>
      <c r="I16" s="8"/>
      <c r="J16" s="8"/>
      <c r="K16" s="8"/>
      <c r="L16" s="8">
        <v>1510</v>
      </c>
      <c r="M16" s="8">
        <v>320</v>
      </c>
      <c r="N16" s="8">
        <v>430</v>
      </c>
      <c r="O16" s="8">
        <v>105</v>
      </c>
      <c r="P16" s="8"/>
      <c r="Q16" s="8"/>
      <c r="R16" s="8"/>
      <c r="S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65">
        <f t="shared" ref="AH16:AH21" si="8">SUM(C16:AG16)</f>
        <v>2365</v>
      </c>
      <c r="AR16" s="25"/>
      <c r="AU16" s="9"/>
      <c r="AX16" s="1" t="s">
        <v>91</v>
      </c>
      <c r="AY16" s="16">
        <f>-AQ13</f>
        <v>-1413.368559561708</v>
      </c>
      <c r="BI16" s="1" t="s">
        <v>97</v>
      </c>
      <c r="BJ16" s="1">
        <v>4000</v>
      </c>
      <c r="BK16" s="1"/>
    </row>
    <row r="17" spans="1:63" x14ac:dyDescent="0.3">
      <c r="A17" s="2">
        <v>3</v>
      </c>
      <c r="B17" s="3" t="s">
        <v>6</v>
      </c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>
        <v>380</v>
      </c>
      <c r="Y17" s="8"/>
      <c r="Z17">
        <f>150-150</f>
        <v>0</v>
      </c>
      <c r="AA17" s="8"/>
      <c r="AB17" s="8"/>
      <c r="AC17" s="8"/>
      <c r="AD17" s="8"/>
      <c r="AE17" s="8"/>
      <c r="AF17" s="8"/>
      <c r="AG17" s="8"/>
      <c r="AH17" s="65">
        <f t="shared" si="8"/>
        <v>380</v>
      </c>
      <c r="AX17" s="1"/>
      <c r="AY17" s="16">
        <f>SUM(AY15:AY16)</f>
        <v>-1413.368559561708</v>
      </c>
      <c r="BI17" s="1" t="s">
        <v>36</v>
      </c>
      <c r="BJ17" s="1">
        <f>BJ16/6</f>
        <v>666.66666666666663</v>
      </c>
      <c r="BK17" s="1">
        <f>BJ17*5</f>
        <v>3333.333333333333</v>
      </c>
    </row>
    <row r="18" spans="1:63" x14ac:dyDescent="0.3">
      <c r="A18" s="2">
        <v>4</v>
      </c>
      <c r="B18" s="3" t="s">
        <v>57</v>
      </c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>
        <v>950</v>
      </c>
      <c r="R18" s="8">
        <v>650</v>
      </c>
      <c r="S18" s="8">
        <v>394</v>
      </c>
      <c r="T18" s="8">
        <v>290</v>
      </c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65">
        <f t="shared" si="8"/>
        <v>2284</v>
      </c>
      <c r="AR18" s="25"/>
      <c r="BA18" s="9">
        <v>4547</v>
      </c>
      <c r="BI18" s="1" t="s">
        <v>37</v>
      </c>
      <c r="BJ18" s="1"/>
      <c r="BK18" s="1"/>
    </row>
    <row r="19" spans="1:63" x14ac:dyDescent="0.3">
      <c r="A19" s="2">
        <v>5</v>
      </c>
      <c r="B19" s="12" t="s">
        <v>51</v>
      </c>
      <c r="C19" s="8"/>
      <c r="D19" s="8"/>
      <c r="E19" s="8"/>
      <c r="F19" s="8"/>
      <c r="G19" s="8"/>
      <c r="H19" s="8"/>
      <c r="I19" s="8">
        <v>1650</v>
      </c>
      <c r="J19" s="8">
        <v>430</v>
      </c>
      <c r="K19" s="8">
        <v>1100</v>
      </c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65">
        <f t="shared" si="8"/>
        <v>3180</v>
      </c>
      <c r="AR19" s="25"/>
      <c r="AX19" s="1" t="s">
        <v>92</v>
      </c>
      <c r="AY19" s="1"/>
      <c r="BA19" s="9">
        <f>AY15+BA18</f>
        <v>4547</v>
      </c>
      <c r="BI19" s="1" t="s">
        <v>98</v>
      </c>
      <c r="BJ19" s="1">
        <f>$BJ$17</f>
        <v>666.66666666666663</v>
      </c>
      <c r="BK19" s="1"/>
    </row>
    <row r="20" spans="1:63" x14ac:dyDescent="0.3">
      <c r="A20" s="2">
        <v>6</v>
      </c>
      <c r="B20" s="1" t="s">
        <v>110</v>
      </c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>
        <v>2118</v>
      </c>
      <c r="V20" s="8">
        <v>1710</v>
      </c>
      <c r="W20" s="8">
        <v>470</v>
      </c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65">
        <f>SUM(C20:AG20)</f>
        <v>4298</v>
      </c>
      <c r="AV20" s="25"/>
      <c r="AX20" s="1" t="s">
        <v>93</v>
      </c>
      <c r="AY20" s="16">
        <f>-AU13</f>
        <v>-1213.3685595617103</v>
      </c>
      <c r="BI20" s="1" t="s">
        <v>49</v>
      </c>
      <c r="BJ20" s="1">
        <f>$BJ$17</f>
        <v>666.66666666666663</v>
      </c>
      <c r="BK20" s="1"/>
    </row>
    <row r="21" spans="1:63" x14ac:dyDescent="0.3">
      <c r="A21" s="2">
        <v>7</v>
      </c>
      <c r="B21" s="3" t="s">
        <v>118</v>
      </c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>
        <v>520</v>
      </c>
      <c r="Z21" s="8"/>
      <c r="AA21" s="8">
        <v>1330</v>
      </c>
      <c r="AB21" s="8"/>
      <c r="AC21" s="8"/>
      <c r="AD21" s="8">
        <v>655</v>
      </c>
      <c r="AE21" s="8"/>
      <c r="AF21" s="8">
        <v>160</v>
      </c>
      <c r="AG21" s="8"/>
      <c r="AH21" s="65">
        <f t="shared" si="8"/>
        <v>2665</v>
      </c>
      <c r="AX21" s="1" t="s">
        <v>94</v>
      </c>
      <c r="AY21" s="1">
        <v>2000</v>
      </c>
      <c r="BI21" s="1" t="s">
        <v>38</v>
      </c>
      <c r="BJ21" s="1">
        <f>$BJ$17</f>
        <v>666.66666666666663</v>
      </c>
      <c r="BK21" s="1"/>
    </row>
    <row r="22" spans="1:63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51">
        <f>SUM(AH15:AH21)</f>
        <v>18795</v>
      </c>
      <c r="AX22" s="1"/>
      <c r="AY22" s="16">
        <f>SUM(AY20:AY21)</f>
        <v>786.6314404382897</v>
      </c>
      <c r="BI22" s="1" t="s">
        <v>99</v>
      </c>
      <c r="BJ22" s="1">
        <f>$BJ$17</f>
        <v>666.66666666666663</v>
      </c>
      <c r="BK22" s="1"/>
    </row>
    <row r="23" spans="1:63" x14ac:dyDescent="0.3">
      <c r="BI23" s="1" t="s">
        <v>40</v>
      </c>
      <c r="BJ23" s="1">
        <f>$BJ$17</f>
        <v>666.66666666666663</v>
      </c>
      <c r="BK23" s="1"/>
    </row>
    <row r="24" spans="1:63" x14ac:dyDescent="0.3">
      <c r="A24" s="4"/>
      <c r="B24" s="13" t="s">
        <v>129</v>
      </c>
      <c r="C24" s="66" t="s">
        <v>11</v>
      </c>
      <c r="D24" s="66" t="s">
        <v>12</v>
      </c>
      <c r="E24" s="66" t="s">
        <v>13</v>
      </c>
      <c r="F24" s="66" t="s">
        <v>14</v>
      </c>
      <c r="G24" s="66" t="s">
        <v>15</v>
      </c>
      <c r="H24" s="66" t="s">
        <v>16</v>
      </c>
      <c r="I24" s="66" t="s">
        <v>17</v>
      </c>
      <c r="J24" s="66" t="s">
        <v>18</v>
      </c>
      <c r="K24" s="66" t="s">
        <v>19</v>
      </c>
      <c r="L24" s="66" t="s">
        <v>20</v>
      </c>
      <c r="M24" s="66" t="s">
        <v>21</v>
      </c>
      <c r="N24" s="66" t="s">
        <v>22</v>
      </c>
      <c r="AX24" t="s">
        <v>100</v>
      </c>
      <c r="BI24" s="1"/>
      <c r="BJ24" s="1">
        <f>SUM(BJ19:BJ23)</f>
        <v>3333.333333333333</v>
      </c>
      <c r="BK24" s="1"/>
    </row>
    <row r="25" spans="1:63" x14ac:dyDescent="0.3">
      <c r="A25" s="2">
        <v>1</v>
      </c>
      <c r="B25" s="12" t="s">
        <v>5</v>
      </c>
      <c r="C25" s="8">
        <f>H35</f>
        <v>3142.8571428571427</v>
      </c>
      <c r="D25" s="8">
        <f t="shared" ref="D25:D31" si="9">$D$32/7</f>
        <v>428.57142857142856</v>
      </c>
      <c r="E25" s="8">
        <f>$E$32/7</f>
        <v>0</v>
      </c>
      <c r="F25" s="8">
        <f t="shared" ref="F25:F31" si="10">$F$32/7</f>
        <v>71.428571428571431</v>
      </c>
      <c r="G25" s="8">
        <f t="shared" ref="G25:G31" si="11">$G$32/7</f>
        <v>139.28571428571428</v>
      </c>
      <c r="H25" s="8">
        <f t="shared" ref="H25:H31" si="12">$H$32/7</f>
        <v>96.428571428571431</v>
      </c>
      <c r="I25" s="8">
        <f t="shared" ref="I25:I31" si="13">$I$32/7</f>
        <v>244.28571428571428</v>
      </c>
      <c r="J25" s="8">
        <f t="shared" ref="J25:J31" si="14">$J$32/7</f>
        <v>35.714285714285715</v>
      </c>
      <c r="K25" s="8">
        <f>$K$32/7</f>
        <v>122.57142857142857</v>
      </c>
      <c r="L25" s="8">
        <f t="shared" ref="L25:L31" si="15">$L$32/7</f>
        <v>17.142857142857142</v>
      </c>
      <c r="M25" s="8">
        <f t="shared" ref="M25:M31" si="16">$M$32/7</f>
        <v>28.571428571428573</v>
      </c>
      <c r="N25" s="65">
        <f t="shared" ref="N25:N29" si="17">SUM(C25:M25)</f>
        <v>4326.8571428571422</v>
      </c>
      <c r="AX25" t="s">
        <v>90</v>
      </c>
      <c r="AY25" s="47">
        <v>23773</v>
      </c>
    </row>
    <row r="26" spans="1:63" x14ac:dyDescent="0.3">
      <c r="A26" s="2">
        <v>2</v>
      </c>
      <c r="B26" s="12" t="s">
        <v>131</v>
      </c>
      <c r="C26" s="8">
        <f>H35</f>
        <v>3142.8571428571427</v>
      </c>
      <c r="D26" s="8">
        <f t="shared" si="9"/>
        <v>428.57142857142856</v>
      </c>
      <c r="E26" s="8">
        <f>$E$32/7</f>
        <v>0</v>
      </c>
      <c r="F26" s="8">
        <f t="shared" si="10"/>
        <v>71.428571428571431</v>
      </c>
      <c r="G26" s="8">
        <f t="shared" si="11"/>
        <v>139.28571428571428</v>
      </c>
      <c r="H26" s="8">
        <f t="shared" si="12"/>
        <v>96.428571428571431</v>
      </c>
      <c r="I26" s="8">
        <f t="shared" si="13"/>
        <v>244.28571428571428</v>
      </c>
      <c r="J26" s="8">
        <f t="shared" si="14"/>
        <v>35.714285714285715</v>
      </c>
      <c r="K26" s="8">
        <f t="shared" ref="K26:K31" si="18">$K$32/7</f>
        <v>122.57142857142857</v>
      </c>
      <c r="L26" s="8">
        <f t="shared" si="15"/>
        <v>17.142857142857142</v>
      </c>
      <c r="M26" s="8">
        <f t="shared" si="16"/>
        <v>28.571428571428573</v>
      </c>
      <c r="N26" s="65">
        <f t="shared" si="17"/>
        <v>4326.8571428571422</v>
      </c>
      <c r="AX26" t="s">
        <v>91</v>
      </c>
      <c r="AY26" s="47">
        <v>10374</v>
      </c>
    </row>
    <row r="27" spans="1:63" x14ac:dyDescent="0.3">
      <c r="A27" s="2">
        <v>3</v>
      </c>
      <c r="B27" s="12" t="s">
        <v>6</v>
      </c>
      <c r="C27" s="8">
        <f>H36</f>
        <v>2142.8571428571427</v>
      </c>
      <c r="D27" s="8">
        <f t="shared" si="9"/>
        <v>428.57142857142856</v>
      </c>
      <c r="E27" s="8">
        <f>$E$32/7</f>
        <v>0</v>
      </c>
      <c r="F27" s="8">
        <f t="shared" si="10"/>
        <v>71.428571428571431</v>
      </c>
      <c r="G27" s="8">
        <f t="shared" si="11"/>
        <v>139.28571428571428</v>
      </c>
      <c r="H27" s="8">
        <f t="shared" si="12"/>
        <v>96.428571428571431</v>
      </c>
      <c r="I27" s="8">
        <f t="shared" si="13"/>
        <v>244.28571428571428</v>
      </c>
      <c r="J27" s="8">
        <f t="shared" si="14"/>
        <v>35.714285714285715</v>
      </c>
      <c r="K27" s="8">
        <f t="shared" si="18"/>
        <v>122.57142857142857</v>
      </c>
      <c r="L27" s="8">
        <f t="shared" si="15"/>
        <v>17.142857142857142</v>
      </c>
      <c r="M27" s="8">
        <f t="shared" si="16"/>
        <v>28.571428571428573</v>
      </c>
      <c r="N27" s="65">
        <f t="shared" si="17"/>
        <v>3326.8571428571427</v>
      </c>
      <c r="AY27" s="47">
        <f>SUM(AY25:AY26)</f>
        <v>34147</v>
      </c>
    </row>
    <row r="28" spans="1:63" x14ac:dyDescent="0.3">
      <c r="A28" s="2">
        <v>4</v>
      </c>
      <c r="B28" s="12" t="s">
        <v>57</v>
      </c>
      <c r="C28" s="8">
        <f>H36</f>
        <v>2142.8571428571427</v>
      </c>
      <c r="D28" s="8">
        <f t="shared" si="9"/>
        <v>428.57142857142856</v>
      </c>
      <c r="E28" s="8">
        <f>$E$32/7</f>
        <v>0</v>
      </c>
      <c r="F28" s="8">
        <f t="shared" si="10"/>
        <v>71.428571428571431</v>
      </c>
      <c r="G28" s="8">
        <f t="shared" si="11"/>
        <v>139.28571428571428</v>
      </c>
      <c r="H28" s="8">
        <f t="shared" si="12"/>
        <v>96.428571428571431</v>
      </c>
      <c r="I28" s="8">
        <f t="shared" si="13"/>
        <v>244.28571428571428</v>
      </c>
      <c r="J28" s="8">
        <f t="shared" si="14"/>
        <v>35.714285714285715</v>
      </c>
      <c r="K28" s="8">
        <f t="shared" si="18"/>
        <v>122.57142857142857</v>
      </c>
      <c r="L28" s="8">
        <f t="shared" si="15"/>
        <v>17.142857142857142</v>
      </c>
      <c r="M28" s="8">
        <f t="shared" si="16"/>
        <v>28.571428571428573</v>
      </c>
      <c r="N28" s="65">
        <f t="shared" si="17"/>
        <v>3326.8571428571427</v>
      </c>
      <c r="AX28" t="s">
        <v>101</v>
      </c>
      <c r="AY28" s="47">
        <v>29600</v>
      </c>
    </row>
    <row r="29" spans="1:63" x14ac:dyDescent="0.3">
      <c r="A29" s="2">
        <v>5</v>
      </c>
      <c r="B29" s="12" t="s">
        <v>51</v>
      </c>
      <c r="C29" s="8">
        <f>H36</f>
        <v>2142.8571428571427</v>
      </c>
      <c r="D29" s="8">
        <f t="shared" si="9"/>
        <v>428.57142857142856</v>
      </c>
      <c r="E29" s="8">
        <f>$E$32/7</f>
        <v>0</v>
      </c>
      <c r="F29" s="8">
        <f t="shared" si="10"/>
        <v>71.428571428571431</v>
      </c>
      <c r="G29" s="8">
        <f t="shared" si="11"/>
        <v>139.28571428571428</v>
      </c>
      <c r="H29" s="8">
        <f t="shared" si="12"/>
        <v>96.428571428571431</v>
      </c>
      <c r="I29" s="8">
        <f t="shared" si="13"/>
        <v>244.28571428571428</v>
      </c>
      <c r="J29" s="8">
        <f t="shared" si="14"/>
        <v>35.714285714285715</v>
      </c>
      <c r="K29" s="8">
        <f t="shared" si="18"/>
        <v>122.57142857142857</v>
      </c>
      <c r="L29" s="8">
        <f t="shared" si="15"/>
        <v>17.142857142857142</v>
      </c>
      <c r="M29" s="8">
        <f t="shared" si="16"/>
        <v>28.571428571428573</v>
      </c>
      <c r="N29" s="65">
        <f t="shared" si="17"/>
        <v>3326.8571428571427</v>
      </c>
      <c r="AX29" t="s">
        <v>102</v>
      </c>
      <c r="AY29" s="48">
        <f>AY27-AY28</f>
        <v>4547</v>
      </c>
    </row>
    <row r="30" spans="1:63" x14ac:dyDescent="0.3">
      <c r="A30" s="2">
        <v>6</v>
      </c>
      <c r="B30" s="12" t="s">
        <v>104</v>
      </c>
      <c r="C30" s="8">
        <f>H37</f>
        <v>2892.8571428571427</v>
      </c>
      <c r="D30" s="8">
        <f t="shared" si="9"/>
        <v>428.57142857142856</v>
      </c>
      <c r="E30" s="8">
        <v>0</v>
      </c>
      <c r="F30" s="8">
        <f t="shared" si="10"/>
        <v>71.428571428571431</v>
      </c>
      <c r="G30" s="8">
        <f t="shared" si="11"/>
        <v>139.28571428571428</v>
      </c>
      <c r="H30" s="8">
        <f t="shared" si="12"/>
        <v>96.428571428571431</v>
      </c>
      <c r="I30" s="8">
        <f t="shared" si="13"/>
        <v>244.28571428571428</v>
      </c>
      <c r="J30" s="8">
        <f t="shared" si="14"/>
        <v>35.714285714285715</v>
      </c>
      <c r="K30" s="8">
        <f t="shared" si="18"/>
        <v>122.57142857142857</v>
      </c>
      <c r="L30" s="8">
        <f t="shared" si="15"/>
        <v>17.142857142857142</v>
      </c>
      <c r="M30" s="8">
        <f t="shared" si="16"/>
        <v>28.571428571428573</v>
      </c>
      <c r="N30" s="65">
        <f>SUM(C30:M30)</f>
        <v>4076.8571428571427</v>
      </c>
      <c r="AY30" s="47"/>
    </row>
    <row r="31" spans="1:63" x14ac:dyDescent="0.3">
      <c r="A31" s="2">
        <v>7</v>
      </c>
      <c r="B31" s="12" t="s">
        <v>105</v>
      </c>
      <c r="C31" s="8">
        <f>H37</f>
        <v>2892.8571428571427</v>
      </c>
      <c r="D31" s="8">
        <f t="shared" si="9"/>
        <v>428.57142857142856</v>
      </c>
      <c r="E31" s="8">
        <v>0</v>
      </c>
      <c r="F31" s="8">
        <f t="shared" si="10"/>
        <v>71.428571428571431</v>
      </c>
      <c r="G31" s="8">
        <f t="shared" si="11"/>
        <v>139.28571428571428</v>
      </c>
      <c r="H31" s="8">
        <f t="shared" si="12"/>
        <v>96.428571428571431</v>
      </c>
      <c r="I31" s="8">
        <f t="shared" si="13"/>
        <v>244.28571428571428</v>
      </c>
      <c r="J31" s="8">
        <f t="shared" si="14"/>
        <v>35.714285714285715</v>
      </c>
      <c r="K31" s="8">
        <f t="shared" si="18"/>
        <v>122.57142857142857</v>
      </c>
      <c r="L31" s="8">
        <f t="shared" si="15"/>
        <v>17.142857142857142</v>
      </c>
      <c r="M31" s="8">
        <f t="shared" si="16"/>
        <v>28.571428571428573</v>
      </c>
      <c r="N31" s="65">
        <f>SUM(C31:M31)</f>
        <v>4076.8571428571427</v>
      </c>
      <c r="AY31" s="47"/>
    </row>
    <row r="32" spans="1:63" x14ac:dyDescent="0.3">
      <c r="A32" s="111" t="s">
        <v>47</v>
      </c>
      <c r="B32" s="111"/>
      <c r="C32" s="65">
        <f>SUM(C25:C31)</f>
        <v>18500</v>
      </c>
      <c r="D32" s="67">
        <v>3000</v>
      </c>
      <c r="E32" s="65"/>
      <c r="F32" s="65">
        <f>500</f>
        <v>500</v>
      </c>
      <c r="G32" s="65">
        <f>975</f>
        <v>975</v>
      </c>
      <c r="H32" s="65">
        <v>675</v>
      </c>
      <c r="I32" s="65">
        <v>1710</v>
      </c>
      <c r="J32" s="65">
        <f>250</f>
        <v>250</v>
      </c>
      <c r="K32" s="65">
        <f>408+430+20</f>
        <v>858</v>
      </c>
      <c r="L32" s="65">
        <f>120</f>
        <v>120</v>
      </c>
      <c r="M32" s="65">
        <v>200</v>
      </c>
      <c r="N32" s="65">
        <f>SUM(N25:N31)</f>
        <v>26787.999999999996</v>
      </c>
      <c r="AY32" s="47"/>
    </row>
    <row r="33" spans="4:51" x14ac:dyDescent="0.3">
      <c r="AX33" t="s">
        <v>103</v>
      </c>
      <c r="AY33" s="47">
        <f>AY28-21100</f>
        <v>8500</v>
      </c>
    </row>
    <row r="34" spans="4:51" x14ac:dyDescent="0.3">
      <c r="N34" t="s">
        <v>61</v>
      </c>
      <c r="O34" s="9">
        <f>C32</f>
        <v>18500</v>
      </c>
      <c r="P34" s="9"/>
    </row>
    <row r="35" spans="4:51" x14ac:dyDescent="0.3">
      <c r="D35" s="1">
        <v>6000</v>
      </c>
      <c r="E35" s="1">
        <v>2</v>
      </c>
      <c r="F35" s="1">
        <f>D35/E35</f>
        <v>3000</v>
      </c>
      <c r="G35" s="1">
        <f>(500+500)/7</f>
        <v>142.85714285714286</v>
      </c>
      <c r="H35" s="11">
        <f>F35+G35</f>
        <v>3142.8571428571427</v>
      </c>
      <c r="I35" s="11">
        <f>H35*E35</f>
        <v>6285.7142857142853</v>
      </c>
      <c r="N35" t="s">
        <v>71</v>
      </c>
      <c r="O35" s="9">
        <f>G32</f>
        <v>975</v>
      </c>
    </row>
    <row r="36" spans="4:51" x14ac:dyDescent="0.3">
      <c r="D36" s="1">
        <v>6000</v>
      </c>
      <c r="E36" s="1">
        <v>3</v>
      </c>
      <c r="F36" s="1">
        <f t="shared" ref="F36:F37" si="19">D36/E36</f>
        <v>2000</v>
      </c>
      <c r="G36" s="1">
        <f t="shared" ref="G36:G37" si="20">(500+500)/7</f>
        <v>142.85714285714286</v>
      </c>
      <c r="H36" s="11">
        <f t="shared" ref="H36" si="21">F36+G36</f>
        <v>2142.8571428571427</v>
      </c>
      <c r="I36" s="11">
        <f t="shared" ref="I36:I37" si="22">H36*E36</f>
        <v>6428.5714285714275</v>
      </c>
      <c r="N36" t="s">
        <v>72</v>
      </c>
      <c r="O36" s="9">
        <f>I32</f>
        <v>1710</v>
      </c>
    </row>
    <row r="37" spans="4:51" x14ac:dyDescent="0.3">
      <c r="D37" s="1">
        <v>5500</v>
      </c>
      <c r="E37" s="1">
        <v>2</v>
      </c>
      <c r="F37" s="11">
        <f t="shared" si="19"/>
        <v>2750</v>
      </c>
      <c r="G37" s="1">
        <f t="shared" si="20"/>
        <v>142.85714285714286</v>
      </c>
      <c r="H37" s="11">
        <f>F37+G37</f>
        <v>2892.8571428571427</v>
      </c>
      <c r="I37" s="11">
        <f t="shared" si="22"/>
        <v>5785.7142857142853</v>
      </c>
      <c r="N37" t="s">
        <v>73</v>
      </c>
      <c r="O37" s="9">
        <f>H32</f>
        <v>675</v>
      </c>
    </row>
    <row r="38" spans="4:51" x14ac:dyDescent="0.3">
      <c r="D38" s="1">
        <f>SUM(D35:D37)</f>
        <v>17500</v>
      </c>
      <c r="E38" s="1"/>
      <c r="F38" s="1"/>
      <c r="G38" s="1"/>
      <c r="H38" s="1"/>
      <c r="I38" s="11">
        <f>SUM(I35:I37)</f>
        <v>18500</v>
      </c>
      <c r="N38" t="s">
        <v>74</v>
      </c>
      <c r="O38" s="9">
        <f>J32</f>
        <v>250</v>
      </c>
    </row>
    <row r="39" spans="4:51" x14ac:dyDescent="0.3">
      <c r="O39" s="9">
        <f>SUM(O34:O38)</f>
        <v>22110</v>
      </c>
    </row>
    <row r="40" spans="4:51" x14ac:dyDescent="0.3">
      <c r="O40" s="9"/>
    </row>
    <row r="41" spans="4:51" x14ac:dyDescent="0.3">
      <c r="O41" s="9"/>
    </row>
    <row r="42" spans="4:51" x14ac:dyDescent="0.3">
      <c r="N42" t="s">
        <v>12</v>
      </c>
      <c r="O42" s="9">
        <f>D32</f>
        <v>3000</v>
      </c>
    </row>
    <row r="43" spans="4:51" x14ac:dyDescent="0.3">
      <c r="N43" t="s">
        <v>13</v>
      </c>
      <c r="O43" s="9">
        <f>E32</f>
        <v>0</v>
      </c>
      <c r="P43" s="9"/>
    </row>
    <row r="44" spans="4:51" x14ac:dyDescent="0.3">
      <c r="N44" t="s">
        <v>14</v>
      </c>
      <c r="O44" s="9">
        <f>F32</f>
        <v>500</v>
      </c>
    </row>
    <row r="45" spans="4:51" x14ac:dyDescent="0.3">
      <c r="N45" t="s">
        <v>20</v>
      </c>
      <c r="O45" s="9">
        <f>L32</f>
        <v>120</v>
      </c>
    </row>
    <row r="46" spans="4:51" x14ac:dyDescent="0.3">
      <c r="N46" t="s">
        <v>123</v>
      </c>
      <c r="O46" s="9">
        <f>K32</f>
        <v>858</v>
      </c>
    </row>
    <row r="47" spans="4:51" x14ac:dyDescent="0.3">
      <c r="N47" t="s">
        <v>21</v>
      </c>
      <c r="O47" s="9">
        <f>M32</f>
        <v>200</v>
      </c>
    </row>
    <row r="48" spans="4:51" x14ac:dyDescent="0.3">
      <c r="O48" s="9">
        <f>SUM(O42:O47)</f>
        <v>4678</v>
      </c>
    </row>
    <row r="50" spans="14:15" x14ac:dyDescent="0.3">
      <c r="N50" s="70" t="s">
        <v>124</v>
      </c>
      <c r="O50" s="44">
        <f>O48+O39</f>
        <v>26788</v>
      </c>
    </row>
    <row r="52" spans="14:15" x14ac:dyDescent="0.3">
      <c r="N52" s="70" t="s">
        <v>125</v>
      </c>
      <c r="O52" s="9">
        <f>N32-O50</f>
        <v>0</v>
      </c>
    </row>
  </sheetData>
  <mergeCells count="3">
    <mergeCell ref="C1:D2"/>
    <mergeCell ref="E1:F2"/>
    <mergeCell ref="A32:B32"/>
  </mergeCells>
  <conditionalFormatting sqref="AN5:AN12 AU5:AU12">
    <cfRule type="cellIs" dxfId="5" priority="1" operator="lessThan">
      <formula>0</formula>
    </cfRule>
  </conditionalFormatting>
  <pageMargins left="0.7" right="0.7" top="0.75" bottom="0.75" header="0.3" footer="0.3"/>
  <pageSetup orientation="portrait" horizontalDpi="1200" verticalDpi="1200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BE52"/>
  <sheetViews>
    <sheetView showGridLines="0" zoomScale="104" zoomScaleNormal="110" workbookViewId="0">
      <pane xSplit="2" ySplit="4" topLeftCell="C20" activePane="bottomRight" state="frozen"/>
      <selection activeCell="E11" sqref="E11:F11"/>
      <selection pane="topRight" activeCell="E11" sqref="E11:F11"/>
      <selection pane="bottomLeft" activeCell="E11" sqref="E11:F11"/>
      <selection pane="bottomRight" activeCell="AV17" sqref="AV17"/>
    </sheetView>
  </sheetViews>
  <sheetFormatPr defaultRowHeight="14.4" x14ac:dyDescent="0.3"/>
  <cols>
    <col min="1" max="1" width="7" bestFit="1" customWidth="1"/>
    <col min="2" max="2" width="20.109375" bestFit="1" customWidth="1"/>
    <col min="3" max="5" width="9.33203125" bestFit="1" customWidth="1"/>
    <col min="6" max="6" width="11.5546875" customWidth="1"/>
    <col min="7" max="7" width="12" bestFit="1" customWidth="1"/>
    <col min="8" max="8" width="10.88671875" customWidth="1"/>
    <col min="9" max="9" width="9.6640625" customWidth="1"/>
    <col min="10" max="10" width="9.33203125" bestFit="1" customWidth="1"/>
    <col min="11" max="11" width="10.44140625" customWidth="1"/>
    <col min="12" max="13" width="10.33203125" bestFit="1" customWidth="1"/>
    <col min="14" max="14" width="11.5546875" bestFit="1" customWidth="1"/>
    <col min="15" max="34" width="10.33203125" bestFit="1" customWidth="1"/>
    <col min="35" max="35" width="5.88671875" customWidth="1"/>
    <col min="36" max="36" width="7.109375" bestFit="1" customWidth="1"/>
    <col min="37" max="37" width="22.33203125" customWidth="1"/>
    <col min="38" max="38" width="13.109375" customWidth="1"/>
    <col min="39" max="39" width="12.33203125" customWidth="1"/>
    <col min="40" max="40" width="12.5546875" customWidth="1"/>
    <col min="41" max="41" width="12" customWidth="1"/>
    <col min="42" max="42" width="10.33203125" customWidth="1"/>
    <col min="43" max="43" width="13.6640625" customWidth="1"/>
    <col min="44" max="44" width="17.6640625" customWidth="1"/>
    <col min="45" max="45" width="9.44140625" customWidth="1"/>
    <col min="46" max="46" width="10.33203125" customWidth="1"/>
    <col min="47" max="47" width="13.6640625" customWidth="1"/>
    <col min="48" max="48" width="11.33203125" bestFit="1" customWidth="1"/>
    <col min="49" max="49" width="10.33203125" bestFit="1" customWidth="1"/>
    <col min="50" max="50" width="30.33203125" bestFit="1" customWidth="1"/>
    <col min="51" max="51" width="10.109375" bestFit="1" customWidth="1"/>
  </cols>
  <sheetData>
    <row r="1" spans="1:57" ht="14.7" customHeight="1" x14ac:dyDescent="0.3">
      <c r="C1" s="112" t="s">
        <v>133</v>
      </c>
      <c r="D1" s="112"/>
      <c r="E1" s="113">
        <f>AH22/AH12</f>
        <v>53.190597394819584</v>
      </c>
      <c r="F1" s="113"/>
    </row>
    <row r="2" spans="1:57" ht="25.5" customHeight="1" x14ac:dyDescent="0.3">
      <c r="C2" s="112"/>
      <c r="D2" s="112"/>
      <c r="E2" s="113"/>
      <c r="F2" s="113"/>
    </row>
    <row r="4" spans="1:57" ht="57.6" x14ac:dyDescent="0.3">
      <c r="A4" s="53" t="s">
        <v>0</v>
      </c>
      <c r="B4" s="53" t="s">
        <v>2</v>
      </c>
      <c r="C4" s="54">
        <v>44562</v>
      </c>
      <c r="D4" s="54">
        <v>44563</v>
      </c>
      <c r="E4" s="54">
        <v>44564</v>
      </c>
      <c r="F4" s="54">
        <v>44565</v>
      </c>
      <c r="G4" s="54">
        <v>44566</v>
      </c>
      <c r="H4" s="54">
        <v>44567</v>
      </c>
      <c r="I4" s="54">
        <v>44568</v>
      </c>
      <c r="J4" s="54">
        <v>44569</v>
      </c>
      <c r="K4" s="54">
        <v>44570</v>
      </c>
      <c r="L4" s="54">
        <v>44571</v>
      </c>
      <c r="M4" s="54">
        <v>44572</v>
      </c>
      <c r="N4" s="54">
        <v>44573</v>
      </c>
      <c r="O4" s="54">
        <v>44574</v>
      </c>
      <c r="P4" s="54">
        <v>44575</v>
      </c>
      <c r="Q4" s="54">
        <v>44576</v>
      </c>
      <c r="R4" s="54">
        <v>44577</v>
      </c>
      <c r="S4" s="54">
        <v>44578</v>
      </c>
      <c r="T4" s="54">
        <v>44579</v>
      </c>
      <c r="U4" s="54">
        <v>44580</v>
      </c>
      <c r="V4" s="54">
        <v>44581</v>
      </c>
      <c r="W4" s="54">
        <v>44582</v>
      </c>
      <c r="X4" s="54">
        <v>44583</v>
      </c>
      <c r="Y4" s="54">
        <v>44584</v>
      </c>
      <c r="Z4" s="54">
        <v>44585</v>
      </c>
      <c r="AA4" s="54">
        <v>44586</v>
      </c>
      <c r="AB4" s="54">
        <v>44587</v>
      </c>
      <c r="AC4" s="54">
        <v>44588</v>
      </c>
      <c r="AD4" s="54">
        <v>44589</v>
      </c>
      <c r="AE4" s="54">
        <v>44590</v>
      </c>
      <c r="AF4" s="54">
        <v>44591</v>
      </c>
      <c r="AG4" s="54">
        <v>44592</v>
      </c>
      <c r="AH4" s="53" t="s">
        <v>1</v>
      </c>
      <c r="AJ4" s="49" t="s">
        <v>0</v>
      </c>
      <c r="AK4" s="81" t="s">
        <v>2</v>
      </c>
      <c r="AL4" s="82" t="s">
        <v>23</v>
      </c>
      <c r="AM4" s="82" t="s">
        <v>24</v>
      </c>
      <c r="AN4" s="82" t="s">
        <v>26</v>
      </c>
      <c r="AO4" s="82" t="s">
        <v>136</v>
      </c>
      <c r="AP4" s="82" t="s">
        <v>27</v>
      </c>
      <c r="AQ4" s="82" t="s">
        <v>30</v>
      </c>
      <c r="AR4" s="82" t="s">
        <v>32</v>
      </c>
      <c r="AS4" s="82" t="s">
        <v>28</v>
      </c>
      <c r="AT4" s="82" t="s">
        <v>29</v>
      </c>
      <c r="AU4" s="82" t="s">
        <v>31</v>
      </c>
    </row>
    <row r="5" spans="1:57" x14ac:dyDescent="0.3">
      <c r="A5" s="2">
        <v>1</v>
      </c>
      <c r="B5" s="3" t="s">
        <v>5</v>
      </c>
      <c r="C5" s="7">
        <v>1.5</v>
      </c>
      <c r="D5" s="7">
        <v>1</v>
      </c>
      <c r="E5" s="7">
        <v>2.5</v>
      </c>
      <c r="F5" s="7">
        <v>1.5</v>
      </c>
      <c r="G5" s="7">
        <v>1.5</v>
      </c>
      <c r="H5" s="7">
        <v>1.5</v>
      </c>
      <c r="I5" s="7">
        <v>0</v>
      </c>
      <c r="J5" s="7">
        <v>0</v>
      </c>
      <c r="K5" s="7">
        <v>1</v>
      </c>
      <c r="L5" s="7">
        <v>1</v>
      </c>
      <c r="M5" s="7">
        <v>1.5</v>
      </c>
      <c r="N5" s="7">
        <v>1.5</v>
      </c>
      <c r="O5" s="7">
        <v>0</v>
      </c>
      <c r="P5" s="7">
        <v>2.5</v>
      </c>
      <c r="Q5" s="7">
        <v>1.5</v>
      </c>
      <c r="R5" s="7">
        <v>1.5</v>
      </c>
      <c r="S5" s="7">
        <v>1.5</v>
      </c>
      <c r="T5" s="7">
        <v>1.5</v>
      </c>
      <c r="U5" s="7">
        <v>1.5</v>
      </c>
      <c r="V5" s="7">
        <v>1.5</v>
      </c>
      <c r="W5" s="7">
        <v>1</v>
      </c>
      <c r="X5" s="7">
        <v>2.5</v>
      </c>
      <c r="Y5" s="7">
        <v>2.5</v>
      </c>
      <c r="Z5" s="7">
        <v>0.5</v>
      </c>
      <c r="AA5" s="7">
        <v>0</v>
      </c>
      <c r="AB5" s="7">
        <v>1</v>
      </c>
      <c r="AC5" s="7">
        <v>1.5</v>
      </c>
      <c r="AD5" s="7">
        <v>0</v>
      </c>
      <c r="AE5" s="7">
        <v>2.5</v>
      </c>
      <c r="AF5" s="7">
        <v>2.5</v>
      </c>
      <c r="AG5" s="7">
        <v>1.5</v>
      </c>
      <c r="AH5" s="56">
        <f>SUM(C5:AG5)</f>
        <v>41.5</v>
      </c>
      <c r="AJ5" s="2">
        <v>1</v>
      </c>
      <c r="AK5" s="83" t="s">
        <v>5</v>
      </c>
      <c r="AL5" s="8">
        <f>AH5*$E$1</f>
        <v>2207.4097918850125</v>
      </c>
      <c r="AM5" s="8">
        <f>AH15</f>
        <v>4087</v>
      </c>
      <c r="AN5" s="8">
        <f>AM5-AL5</f>
        <v>1879.5902081149875</v>
      </c>
      <c r="AO5" s="8">
        <f>N25</f>
        <v>4258.2857142857138</v>
      </c>
      <c r="AP5" s="8">
        <f t="shared" ref="AP5:AP11" si="0">AO5-AN5</f>
        <v>2378.6955061707263</v>
      </c>
      <c r="AQ5" s="40">
        <v>0</v>
      </c>
      <c r="AR5" s="8">
        <f t="shared" ref="AR5:AR11" si="1">AP5-AQ5</f>
        <v>2378.6955061707263</v>
      </c>
      <c r="AS5" s="26">
        <f>500+1879</f>
        <v>2379</v>
      </c>
      <c r="AT5" s="26"/>
      <c r="AU5" s="8">
        <f t="shared" ref="AU5:AU11" si="2">AS5-AR5</f>
        <v>0.30449382927372426</v>
      </c>
      <c r="AY5" s="9"/>
    </row>
    <row r="6" spans="1:57" x14ac:dyDescent="0.3">
      <c r="A6" s="2">
        <v>2</v>
      </c>
      <c r="B6" s="3" t="s">
        <v>131</v>
      </c>
      <c r="C6" s="7">
        <v>2</v>
      </c>
      <c r="D6" s="7">
        <v>2</v>
      </c>
      <c r="E6" s="7">
        <v>2</v>
      </c>
      <c r="F6" s="7">
        <v>2</v>
      </c>
      <c r="G6" s="7">
        <v>2</v>
      </c>
      <c r="H6" s="7">
        <v>3</v>
      </c>
      <c r="I6" s="7"/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  <c r="Z6" s="7">
        <v>0</v>
      </c>
      <c r="AA6" s="7">
        <v>0</v>
      </c>
      <c r="AB6" s="7">
        <v>0</v>
      </c>
      <c r="AC6" s="7">
        <v>0</v>
      </c>
      <c r="AD6" s="7">
        <v>0</v>
      </c>
      <c r="AE6" s="7">
        <v>0</v>
      </c>
      <c r="AF6" s="7">
        <v>0</v>
      </c>
      <c r="AG6" s="7">
        <v>0</v>
      </c>
      <c r="AH6" s="56">
        <f>SUM(C6:AG6)</f>
        <v>13</v>
      </c>
      <c r="AJ6" s="2">
        <v>2</v>
      </c>
      <c r="AK6" s="83" t="s">
        <v>131</v>
      </c>
      <c r="AL6" s="8">
        <f t="shared" ref="AL6:AL11" si="3">AH6*$E$1</f>
        <v>691.47776613265455</v>
      </c>
      <c r="AM6" s="8">
        <f t="shared" ref="AM6:AM7" si="4">AH16</f>
        <v>2710</v>
      </c>
      <c r="AN6" s="8">
        <f t="shared" ref="AN6:AN9" si="5">AM6-AL6</f>
        <v>2018.5222338673454</v>
      </c>
      <c r="AO6" s="8">
        <f t="shared" ref="AO6:AO9" si="6">N26</f>
        <v>4258.2857142857138</v>
      </c>
      <c r="AP6" s="8">
        <f t="shared" si="0"/>
        <v>2239.7634804183681</v>
      </c>
      <c r="AQ6" s="40">
        <v>0</v>
      </c>
      <c r="AR6" s="8">
        <f t="shared" si="1"/>
        <v>2239.7634804183681</v>
      </c>
      <c r="AS6" s="26">
        <f>121+3000</f>
        <v>3121</v>
      </c>
      <c r="AT6" s="26"/>
      <c r="AU6" s="8">
        <f t="shared" si="2"/>
        <v>881.23651958163191</v>
      </c>
      <c r="AX6">
        <v>7273</v>
      </c>
      <c r="AY6" s="9"/>
    </row>
    <row r="7" spans="1:57" x14ac:dyDescent="0.3">
      <c r="A7" s="2">
        <v>3</v>
      </c>
      <c r="B7" s="3" t="s">
        <v>6</v>
      </c>
      <c r="C7" s="7">
        <v>2.5</v>
      </c>
      <c r="D7" s="7">
        <v>1</v>
      </c>
      <c r="E7" s="7">
        <v>2.5</v>
      </c>
      <c r="F7" s="7">
        <v>2.5</v>
      </c>
      <c r="G7" s="7">
        <v>2.5</v>
      </c>
      <c r="H7" s="7">
        <v>3.5</v>
      </c>
      <c r="I7" s="7">
        <v>5</v>
      </c>
      <c r="J7" s="7">
        <v>4.5</v>
      </c>
      <c r="K7" s="7">
        <v>4.5</v>
      </c>
      <c r="L7" s="7">
        <v>2.5</v>
      </c>
      <c r="M7" s="7">
        <v>3</v>
      </c>
      <c r="N7" s="7">
        <v>2.5</v>
      </c>
      <c r="O7" s="7">
        <v>0</v>
      </c>
      <c r="P7" s="7">
        <v>5</v>
      </c>
      <c r="Q7" s="7">
        <v>5</v>
      </c>
      <c r="R7" s="7">
        <v>3</v>
      </c>
      <c r="S7" s="7">
        <v>3</v>
      </c>
      <c r="T7" s="7">
        <v>3.5</v>
      </c>
      <c r="U7" s="7">
        <v>1.5</v>
      </c>
      <c r="V7" s="7">
        <v>3.5</v>
      </c>
      <c r="W7" s="7">
        <v>4.5</v>
      </c>
      <c r="X7" s="7">
        <v>3</v>
      </c>
      <c r="Y7" s="7">
        <v>3.5</v>
      </c>
      <c r="Z7" s="7">
        <v>3.5</v>
      </c>
      <c r="AA7" s="7">
        <v>1.5</v>
      </c>
      <c r="AB7" s="7">
        <v>2</v>
      </c>
      <c r="AC7" s="7">
        <v>4</v>
      </c>
      <c r="AD7" s="7">
        <v>2.5</v>
      </c>
      <c r="AE7" s="7">
        <v>1</v>
      </c>
      <c r="AF7" s="7">
        <v>1</v>
      </c>
      <c r="AG7" s="7">
        <v>1</v>
      </c>
      <c r="AH7" s="56">
        <f t="shared" ref="AH7:AH11" si="7">SUM(C7:AG7)</f>
        <v>88.5</v>
      </c>
      <c r="AJ7" s="2">
        <v>3</v>
      </c>
      <c r="AK7" s="83" t="s">
        <v>6</v>
      </c>
      <c r="AL7" s="8">
        <f t="shared" si="3"/>
        <v>4707.367869441533</v>
      </c>
      <c r="AM7" s="8">
        <f t="shared" si="4"/>
        <v>693</v>
      </c>
      <c r="AN7" s="8">
        <f t="shared" si="5"/>
        <v>-4014.367869441533</v>
      </c>
      <c r="AO7" s="8">
        <f t="shared" si="6"/>
        <v>3258.2857142857142</v>
      </c>
      <c r="AP7" s="8">
        <f t="shared" si="0"/>
        <v>7272.6535837272477</v>
      </c>
      <c r="AQ7" s="40">
        <v>0</v>
      </c>
      <c r="AR7" s="8">
        <f t="shared" si="1"/>
        <v>7272.6535837272477</v>
      </c>
      <c r="AS7" s="26">
        <f>188+7050+35</f>
        <v>7273</v>
      </c>
      <c r="AT7" s="26"/>
      <c r="AU7" s="8">
        <f>AS7-AR7</f>
        <v>0.34641627275232167</v>
      </c>
      <c r="AX7">
        <v>188</v>
      </c>
      <c r="AY7" s="9">
        <f>AX6-AX7</f>
        <v>7085</v>
      </c>
      <c r="AZ7">
        <v>50</v>
      </c>
      <c r="BA7" s="9">
        <f>AY7-AZ7</f>
        <v>7035</v>
      </c>
      <c r="BB7" s="9">
        <v>35</v>
      </c>
      <c r="BC7" s="9">
        <f>BA7+BB7</f>
        <v>7070</v>
      </c>
      <c r="BD7" s="9">
        <f>AY7-BC7</f>
        <v>15</v>
      </c>
    </row>
    <row r="8" spans="1:57" x14ac:dyDescent="0.3">
      <c r="A8" s="2">
        <v>4</v>
      </c>
      <c r="B8" s="3" t="s">
        <v>57</v>
      </c>
      <c r="C8" s="7">
        <v>2.5</v>
      </c>
      <c r="D8" s="7">
        <v>1</v>
      </c>
      <c r="E8" s="7">
        <v>2.5</v>
      </c>
      <c r="F8" s="7">
        <v>2.5</v>
      </c>
      <c r="G8" s="7">
        <v>2.5</v>
      </c>
      <c r="H8" s="7">
        <v>3.5</v>
      </c>
      <c r="I8" s="7">
        <v>3</v>
      </c>
      <c r="J8" s="7">
        <v>2.5</v>
      </c>
      <c r="K8" s="7">
        <v>1</v>
      </c>
      <c r="L8" s="7">
        <v>2.5</v>
      </c>
      <c r="M8" s="7">
        <v>2.5</v>
      </c>
      <c r="N8" s="7">
        <v>1.5</v>
      </c>
      <c r="O8" s="7">
        <v>0</v>
      </c>
      <c r="P8" s="7">
        <v>4.5</v>
      </c>
      <c r="Q8" s="7">
        <v>3.5</v>
      </c>
      <c r="R8" s="7">
        <v>2.5</v>
      </c>
      <c r="S8" s="7">
        <v>5</v>
      </c>
      <c r="T8" s="7">
        <v>3</v>
      </c>
      <c r="U8" s="7">
        <v>2.5</v>
      </c>
      <c r="V8" s="7">
        <v>2.5</v>
      </c>
      <c r="W8" s="7">
        <v>4.5</v>
      </c>
      <c r="X8" s="7">
        <v>1.5</v>
      </c>
      <c r="Y8" s="7">
        <v>2.5</v>
      </c>
      <c r="Z8" s="7">
        <v>2.5</v>
      </c>
      <c r="AA8" s="7">
        <v>1.5</v>
      </c>
      <c r="AB8" s="7">
        <v>1</v>
      </c>
      <c r="AC8" s="7">
        <v>4.5</v>
      </c>
      <c r="AD8" s="7">
        <v>2.5</v>
      </c>
      <c r="AE8" s="7">
        <v>1</v>
      </c>
      <c r="AF8" s="7">
        <v>4</v>
      </c>
      <c r="AG8" s="7">
        <v>3</v>
      </c>
      <c r="AH8" s="56">
        <f t="shared" si="7"/>
        <v>79.5</v>
      </c>
      <c r="AJ8" s="2">
        <v>4</v>
      </c>
      <c r="AK8" s="83" t="s">
        <v>57</v>
      </c>
      <c r="AL8" s="8">
        <f t="shared" si="3"/>
        <v>4228.6524928881572</v>
      </c>
      <c r="AM8" s="8">
        <f>AH18</f>
        <v>2445</v>
      </c>
      <c r="AN8" s="8">
        <f t="shared" si="5"/>
        <v>-1783.6524928881572</v>
      </c>
      <c r="AO8" s="8">
        <f t="shared" si="6"/>
        <v>3258.2857142857142</v>
      </c>
      <c r="AP8" s="8">
        <f t="shared" si="0"/>
        <v>5041.938207173871</v>
      </c>
      <c r="AQ8" s="40">
        <v>0</v>
      </c>
      <c r="AR8" s="8">
        <f t="shared" si="1"/>
        <v>5041.938207173871</v>
      </c>
      <c r="AS8" s="26">
        <f>120+4922</f>
        <v>5042</v>
      </c>
      <c r="AT8" s="26"/>
      <c r="AU8" s="8">
        <f t="shared" si="2"/>
        <v>6.1792826129021705E-2</v>
      </c>
      <c r="AV8" s="25"/>
      <c r="AY8" s="9"/>
    </row>
    <row r="9" spans="1:57" x14ac:dyDescent="0.3">
      <c r="A9" s="2">
        <v>5</v>
      </c>
      <c r="B9" s="12" t="s">
        <v>51</v>
      </c>
      <c r="C9" s="7">
        <v>1.5</v>
      </c>
      <c r="D9" s="7">
        <v>2</v>
      </c>
      <c r="E9" s="7">
        <v>3</v>
      </c>
      <c r="F9" s="7">
        <v>1</v>
      </c>
      <c r="G9" s="7">
        <v>1</v>
      </c>
      <c r="H9" s="7">
        <v>2</v>
      </c>
      <c r="I9" s="7">
        <v>5.5</v>
      </c>
      <c r="J9" s="7">
        <v>2.5</v>
      </c>
      <c r="K9" s="7">
        <v>1</v>
      </c>
      <c r="L9" s="7">
        <v>1</v>
      </c>
      <c r="M9" s="7">
        <v>1</v>
      </c>
      <c r="N9" s="7">
        <v>1</v>
      </c>
      <c r="O9" s="7">
        <v>0</v>
      </c>
      <c r="P9" s="7">
        <v>6</v>
      </c>
      <c r="Q9" s="7">
        <v>2.5</v>
      </c>
      <c r="R9" s="7">
        <v>1</v>
      </c>
      <c r="S9" s="7">
        <v>1</v>
      </c>
      <c r="T9" s="7">
        <v>1</v>
      </c>
      <c r="U9" s="7">
        <v>1</v>
      </c>
      <c r="V9" s="7">
        <v>0</v>
      </c>
      <c r="W9" s="7">
        <v>0</v>
      </c>
      <c r="X9" s="7">
        <v>1</v>
      </c>
      <c r="Y9" s="7">
        <v>1</v>
      </c>
      <c r="Z9" s="7">
        <v>1</v>
      </c>
      <c r="AA9" s="7">
        <v>0</v>
      </c>
      <c r="AB9" s="7">
        <v>1</v>
      </c>
      <c r="AC9" s="7">
        <v>1</v>
      </c>
      <c r="AD9" s="7">
        <v>2.5</v>
      </c>
      <c r="AE9" s="7">
        <v>2.5</v>
      </c>
      <c r="AF9" s="7">
        <v>2.5</v>
      </c>
      <c r="AG9" s="7">
        <v>1.5</v>
      </c>
      <c r="AH9" s="56">
        <f t="shared" si="7"/>
        <v>49</v>
      </c>
      <c r="AJ9" s="2">
        <v>5</v>
      </c>
      <c r="AK9" s="84" t="s">
        <v>51</v>
      </c>
      <c r="AL9" s="8">
        <f t="shared" si="3"/>
        <v>2606.3392723461598</v>
      </c>
      <c r="AM9" s="8">
        <f>AH19</f>
        <v>2630</v>
      </c>
      <c r="AN9" s="8">
        <f t="shared" si="5"/>
        <v>23.66072765384024</v>
      </c>
      <c r="AO9" s="8">
        <f t="shared" si="6"/>
        <v>3258.2857142857142</v>
      </c>
      <c r="AP9" s="8">
        <f>AO9-AN9</f>
        <v>3234.624986631874</v>
      </c>
      <c r="AQ9" s="40">
        <v>0</v>
      </c>
      <c r="AR9" s="8">
        <f t="shared" si="1"/>
        <v>3234.624986631874</v>
      </c>
      <c r="AS9" s="26">
        <f>3000+235</f>
        <v>3235</v>
      </c>
      <c r="AT9" s="26"/>
      <c r="AU9" s="8">
        <f t="shared" si="2"/>
        <v>0.37501336812601949</v>
      </c>
      <c r="AX9" s="9">
        <v>2318</v>
      </c>
    </row>
    <row r="10" spans="1:57" x14ac:dyDescent="0.3">
      <c r="A10" s="2">
        <v>6</v>
      </c>
      <c r="B10" s="1" t="s">
        <v>110</v>
      </c>
      <c r="C10" s="7">
        <v>1.5</v>
      </c>
      <c r="D10" s="7">
        <v>1</v>
      </c>
      <c r="E10" s="7">
        <v>1</v>
      </c>
      <c r="F10" s="7">
        <v>1</v>
      </c>
      <c r="G10" s="7">
        <v>1</v>
      </c>
      <c r="H10" s="7">
        <v>1</v>
      </c>
      <c r="I10" s="7">
        <v>1.5</v>
      </c>
      <c r="J10" s="7">
        <v>2</v>
      </c>
      <c r="K10" s="7">
        <v>1</v>
      </c>
      <c r="L10" s="7">
        <v>1</v>
      </c>
      <c r="M10" s="7">
        <v>1</v>
      </c>
      <c r="N10" s="7">
        <v>1</v>
      </c>
      <c r="O10" s="7">
        <v>1</v>
      </c>
      <c r="P10" s="7">
        <v>1.45</v>
      </c>
      <c r="Q10" s="7">
        <v>1.5</v>
      </c>
      <c r="R10" s="7">
        <v>1</v>
      </c>
      <c r="S10" s="7">
        <v>1</v>
      </c>
      <c r="T10" s="7">
        <v>1</v>
      </c>
      <c r="U10" s="7">
        <v>1</v>
      </c>
      <c r="V10" s="7">
        <v>1</v>
      </c>
      <c r="W10" s="7">
        <v>1.5</v>
      </c>
      <c r="X10" s="7">
        <v>2.5</v>
      </c>
      <c r="Y10" s="7">
        <v>2.5</v>
      </c>
      <c r="Z10" s="7">
        <v>2.5</v>
      </c>
      <c r="AA10" s="7">
        <v>1.5</v>
      </c>
      <c r="AB10" s="7">
        <v>1</v>
      </c>
      <c r="AC10" s="7">
        <v>2.5</v>
      </c>
      <c r="AD10" s="7">
        <v>1.5</v>
      </c>
      <c r="AE10" s="7">
        <v>2.5</v>
      </c>
      <c r="AF10" s="7">
        <v>2.5</v>
      </c>
      <c r="AG10" s="7">
        <v>2</v>
      </c>
      <c r="AH10" s="56">
        <f t="shared" si="7"/>
        <v>45.45</v>
      </c>
      <c r="AJ10" s="2">
        <v>6</v>
      </c>
      <c r="AK10" s="84" t="s">
        <v>104</v>
      </c>
      <c r="AL10" s="8">
        <f t="shared" si="3"/>
        <v>2417.5126515945503</v>
      </c>
      <c r="AM10" s="8">
        <f>AH20</f>
        <v>2603</v>
      </c>
      <c r="AN10" s="8">
        <f t="shared" ref="AN10:AN11" si="8">AM10-AL10</f>
        <v>185.48734840544967</v>
      </c>
      <c r="AO10" s="8">
        <f>N30</f>
        <v>4008.2857142857142</v>
      </c>
      <c r="AP10" s="8">
        <f t="shared" si="0"/>
        <v>3822.7983658802646</v>
      </c>
      <c r="AQ10" s="40">
        <v>0</v>
      </c>
      <c r="AR10" s="8">
        <f t="shared" si="1"/>
        <v>3822.7983658802646</v>
      </c>
      <c r="AS10" s="26">
        <f>250+3573</f>
        <v>3823</v>
      </c>
      <c r="AT10" s="26"/>
      <c r="AU10" s="8">
        <f>AS10-AR10</f>
        <v>0.20163411973544498</v>
      </c>
      <c r="AV10" s="47"/>
      <c r="AW10" s="9"/>
      <c r="AX10">
        <v>4922</v>
      </c>
    </row>
    <row r="11" spans="1:57" x14ac:dyDescent="0.3">
      <c r="A11" s="2">
        <v>7</v>
      </c>
      <c r="B11" s="3" t="s">
        <v>118</v>
      </c>
      <c r="C11" s="7">
        <v>0</v>
      </c>
      <c r="D11" s="7">
        <v>1</v>
      </c>
      <c r="E11" s="7">
        <v>1</v>
      </c>
      <c r="F11" s="7">
        <v>0</v>
      </c>
      <c r="G11" s="7">
        <v>0</v>
      </c>
      <c r="H11" s="7">
        <v>1</v>
      </c>
      <c r="I11" s="7">
        <v>0</v>
      </c>
      <c r="J11" s="7">
        <v>0</v>
      </c>
      <c r="K11" s="7">
        <v>0</v>
      </c>
      <c r="L11" s="7">
        <v>0</v>
      </c>
      <c r="M11" s="7">
        <v>1</v>
      </c>
      <c r="N11" s="7">
        <v>1</v>
      </c>
      <c r="O11" s="7">
        <v>0</v>
      </c>
      <c r="P11" s="7">
        <v>0</v>
      </c>
      <c r="Q11" s="7">
        <v>0</v>
      </c>
      <c r="R11" s="7">
        <v>1</v>
      </c>
      <c r="S11" s="7">
        <v>2</v>
      </c>
      <c r="T11" s="7">
        <v>1</v>
      </c>
      <c r="U11" s="7">
        <v>1</v>
      </c>
      <c r="V11" s="7">
        <v>1</v>
      </c>
      <c r="W11" s="7">
        <v>0</v>
      </c>
      <c r="X11" s="7">
        <v>0</v>
      </c>
      <c r="Y11" s="7">
        <v>1</v>
      </c>
      <c r="Z11" s="7">
        <v>2</v>
      </c>
      <c r="AA11" s="7">
        <v>1</v>
      </c>
      <c r="AB11" s="7">
        <v>1</v>
      </c>
      <c r="AC11" s="7">
        <v>1</v>
      </c>
      <c r="AD11" s="7">
        <v>0</v>
      </c>
      <c r="AE11" s="7">
        <v>0</v>
      </c>
      <c r="AF11" s="7">
        <v>0</v>
      </c>
      <c r="AG11" s="7">
        <v>0</v>
      </c>
      <c r="AH11" s="56">
        <f t="shared" si="7"/>
        <v>17</v>
      </c>
      <c r="AJ11" s="2">
        <v>7</v>
      </c>
      <c r="AK11" s="83" t="s">
        <v>118</v>
      </c>
      <c r="AL11" s="8">
        <f t="shared" si="3"/>
        <v>904.24015571193297</v>
      </c>
      <c r="AM11" s="8">
        <f>AH21</f>
        <v>2595</v>
      </c>
      <c r="AN11" s="8">
        <f t="shared" si="8"/>
        <v>1690.7598442880671</v>
      </c>
      <c r="AO11" s="8">
        <f>N31</f>
        <v>4008.2857142857142</v>
      </c>
      <c r="AP11" s="8">
        <f t="shared" si="0"/>
        <v>2317.5258699976471</v>
      </c>
      <c r="AQ11" s="40">
        <v>0</v>
      </c>
      <c r="AR11" s="8">
        <f t="shared" si="1"/>
        <v>2317.5258699976471</v>
      </c>
      <c r="AS11" s="26">
        <f>2318</f>
        <v>2318</v>
      </c>
      <c r="AT11" s="26"/>
      <c r="AU11" s="8">
        <f t="shared" si="2"/>
        <v>0.47413000235292202</v>
      </c>
      <c r="AV11" s="9"/>
      <c r="AX11">
        <v>2000</v>
      </c>
    </row>
    <row r="12" spans="1:57" x14ac:dyDescent="0.3">
      <c r="A12" s="1"/>
      <c r="B12" s="1"/>
      <c r="C12" s="55">
        <f>SUM(C5:C11)</f>
        <v>11.5</v>
      </c>
      <c r="D12" s="55">
        <f t="shared" ref="D12:AG12" si="9">SUM(D5:D11)</f>
        <v>9</v>
      </c>
      <c r="E12" s="55">
        <f t="shared" si="9"/>
        <v>14.5</v>
      </c>
      <c r="F12" s="55">
        <f t="shared" si="9"/>
        <v>10.5</v>
      </c>
      <c r="G12" s="55">
        <f t="shared" si="9"/>
        <v>10.5</v>
      </c>
      <c r="H12" s="55">
        <f t="shared" si="9"/>
        <v>15.5</v>
      </c>
      <c r="I12" s="55">
        <f t="shared" si="9"/>
        <v>15</v>
      </c>
      <c r="J12" s="55">
        <f t="shared" si="9"/>
        <v>11.5</v>
      </c>
      <c r="K12" s="55">
        <f t="shared" si="9"/>
        <v>8.5</v>
      </c>
      <c r="L12" s="55">
        <f t="shared" si="9"/>
        <v>8</v>
      </c>
      <c r="M12" s="55">
        <f t="shared" si="9"/>
        <v>10</v>
      </c>
      <c r="N12" s="55">
        <f t="shared" si="9"/>
        <v>8.5</v>
      </c>
      <c r="O12" s="55">
        <f t="shared" si="9"/>
        <v>1</v>
      </c>
      <c r="P12" s="55">
        <f t="shared" si="9"/>
        <v>19.45</v>
      </c>
      <c r="Q12" s="55">
        <f t="shared" si="9"/>
        <v>14</v>
      </c>
      <c r="R12" s="55">
        <f t="shared" si="9"/>
        <v>10</v>
      </c>
      <c r="S12" s="55">
        <f t="shared" si="9"/>
        <v>13.5</v>
      </c>
      <c r="T12" s="55">
        <f t="shared" si="9"/>
        <v>11</v>
      </c>
      <c r="U12" s="55">
        <f t="shared" si="9"/>
        <v>8.5</v>
      </c>
      <c r="V12" s="55">
        <f t="shared" si="9"/>
        <v>9.5</v>
      </c>
      <c r="W12" s="55">
        <f t="shared" si="9"/>
        <v>11.5</v>
      </c>
      <c r="X12" s="55">
        <f t="shared" si="9"/>
        <v>10.5</v>
      </c>
      <c r="Y12" s="55">
        <f t="shared" si="9"/>
        <v>13</v>
      </c>
      <c r="Z12" s="55">
        <f t="shared" si="9"/>
        <v>12</v>
      </c>
      <c r="AA12" s="55">
        <f t="shared" si="9"/>
        <v>5.5</v>
      </c>
      <c r="AB12" s="55">
        <f t="shared" si="9"/>
        <v>7</v>
      </c>
      <c r="AC12" s="55">
        <f t="shared" si="9"/>
        <v>14.5</v>
      </c>
      <c r="AD12" s="55">
        <f t="shared" si="9"/>
        <v>9</v>
      </c>
      <c r="AE12" s="55">
        <f t="shared" si="9"/>
        <v>9.5</v>
      </c>
      <c r="AF12" s="55">
        <f t="shared" si="9"/>
        <v>12.5</v>
      </c>
      <c r="AG12" s="55">
        <f t="shared" si="9"/>
        <v>9</v>
      </c>
      <c r="AH12" s="55">
        <f>SUM(AH5:AH11)</f>
        <v>333.95</v>
      </c>
      <c r="AJ12" s="2"/>
      <c r="AK12" s="84"/>
      <c r="AL12" s="65">
        <f t="shared" ref="AL12:AQ12" si="10">SUM(AL5:AL11)</f>
        <v>17763.000000000004</v>
      </c>
      <c r="AM12" s="65">
        <f t="shared" si="10"/>
        <v>17763</v>
      </c>
      <c r="AN12" s="65">
        <f t="shared" si="10"/>
        <v>0</v>
      </c>
      <c r="AO12" s="65">
        <f t="shared" si="10"/>
        <v>26307.999999999996</v>
      </c>
      <c r="AP12" s="65">
        <f t="shared" si="10"/>
        <v>26308.000000000004</v>
      </c>
      <c r="AQ12" s="67">
        <f t="shared" si="10"/>
        <v>0</v>
      </c>
      <c r="AR12" s="65">
        <f>AP12-AQ12</f>
        <v>26308.000000000004</v>
      </c>
      <c r="AS12" s="77">
        <f>SUM(AS5:AS11)</f>
        <v>27191</v>
      </c>
      <c r="AT12" s="77"/>
      <c r="AU12" s="65">
        <f>SUM(AU5:AU11)</f>
        <v>883.00000000000136</v>
      </c>
      <c r="AV12" s="9"/>
      <c r="AX12">
        <v>3000</v>
      </c>
    </row>
    <row r="13" spans="1:57" x14ac:dyDescent="0.3">
      <c r="AL13" s="25"/>
      <c r="AM13" s="9"/>
      <c r="AN13" s="9"/>
      <c r="AP13" s="9"/>
      <c r="AQ13" s="9"/>
      <c r="AR13" s="25"/>
      <c r="AS13" s="9"/>
      <c r="AT13" s="9"/>
      <c r="AU13" s="9"/>
      <c r="AV13" s="9"/>
      <c r="AW13" s="9"/>
      <c r="AX13">
        <v>3500</v>
      </c>
    </row>
    <row r="14" spans="1:57" x14ac:dyDescent="0.3">
      <c r="B14" s="64" t="s">
        <v>134</v>
      </c>
      <c r="AK14" s="44" t="s">
        <v>140</v>
      </c>
      <c r="AL14" s="9"/>
      <c r="AU14" s="9"/>
      <c r="AV14">
        <v>22250</v>
      </c>
      <c r="AX14" s="25">
        <v>235</v>
      </c>
      <c r="BC14">
        <v>7100</v>
      </c>
      <c r="BD14">
        <v>18</v>
      </c>
      <c r="BE14">
        <f>BC14-BD14</f>
        <v>7082</v>
      </c>
    </row>
    <row r="15" spans="1:57" x14ac:dyDescent="0.3">
      <c r="A15" s="2">
        <v>1</v>
      </c>
      <c r="B15" s="3" t="s">
        <v>5</v>
      </c>
      <c r="C15" s="8">
        <v>1782</v>
      </c>
      <c r="D15" s="8">
        <v>1450</v>
      </c>
      <c r="E15" s="8">
        <v>610</v>
      </c>
      <c r="F15" s="8"/>
      <c r="G15" s="8"/>
      <c r="H15" s="8"/>
      <c r="I15" s="8"/>
      <c r="J15" s="8">
        <v>165</v>
      </c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>
        <v>80</v>
      </c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65">
        <f>SUM(C15:AG15)</f>
        <v>4087</v>
      </c>
      <c r="AK15" s="1" t="s">
        <v>89</v>
      </c>
      <c r="AL15" s="1" t="s">
        <v>95</v>
      </c>
      <c r="AR15" s="25"/>
      <c r="AU15" s="9"/>
      <c r="AV15" s="9">
        <f>AV14+AU6</f>
        <v>23131.236519581631</v>
      </c>
      <c r="AX15" s="25">
        <v>7050</v>
      </c>
    </row>
    <row r="16" spans="1:57" x14ac:dyDescent="0.3">
      <c r="A16" s="2">
        <v>2</v>
      </c>
      <c r="B16" s="3" t="s">
        <v>131</v>
      </c>
      <c r="C16" s="8"/>
      <c r="D16" s="8"/>
      <c r="E16" s="8"/>
      <c r="F16" s="8"/>
      <c r="G16" s="8">
        <v>2710</v>
      </c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65">
        <f t="shared" ref="AH16:AH21" si="11">SUM(C16:AG16)</f>
        <v>2710</v>
      </c>
      <c r="AK16" s="1" t="s">
        <v>137</v>
      </c>
      <c r="AL16" s="16">
        <f>N40</f>
        <v>22250</v>
      </c>
      <c r="AQ16" s="9"/>
      <c r="AR16" s="25"/>
      <c r="AU16" s="9"/>
      <c r="AX16" s="9">
        <f>SUM(AX9:AX15)</f>
        <v>23025</v>
      </c>
    </row>
    <row r="17" spans="1:53" x14ac:dyDescent="0.3">
      <c r="A17" s="2">
        <v>3</v>
      </c>
      <c r="B17" s="3" t="s">
        <v>6</v>
      </c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>
        <v>115</v>
      </c>
      <c r="X17" s="8"/>
      <c r="Y17" s="8">
        <v>135</v>
      </c>
      <c r="Z17">
        <v>198</v>
      </c>
      <c r="AA17" s="8">
        <v>245</v>
      </c>
      <c r="AB17" s="8"/>
      <c r="AC17" s="8"/>
      <c r="AD17" s="8"/>
      <c r="AE17" s="8"/>
      <c r="AF17" s="8"/>
      <c r="AG17" s="8"/>
      <c r="AH17" s="65">
        <f t="shared" si="11"/>
        <v>693</v>
      </c>
      <c r="AK17" s="1" t="s">
        <v>142</v>
      </c>
      <c r="AL17" s="16">
        <v>0</v>
      </c>
      <c r="AR17" s="25"/>
      <c r="AU17" s="9"/>
      <c r="AX17" s="25"/>
    </row>
    <row r="18" spans="1:53" x14ac:dyDescent="0.3">
      <c r="A18" s="2">
        <v>4</v>
      </c>
      <c r="B18" s="3" t="s">
        <v>57</v>
      </c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>
        <v>610</v>
      </c>
      <c r="Q18" s="8">
        <v>270</v>
      </c>
      <c r="R18" s="8"/>
      <c r="S18" s="8">
        <v>950</v>
      </c>
      <c r="T18" s="8">
        <v>455</v>
      </c>
      <c r="U18" s="8">
        <v>160</v>
      </c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65">
        <f t="shared" si="11"/>
        <v>2445</v>
      </c>
      <c r="AK18" s="78" t="s">
        <v>138</v>
      </c>
      <c r="AL18" s="51">
        <f>SUM(AL16:AL17)</f>
        <v>22250</v>
      </c>
      <c r="AQ18" s="9">
        <f>AL16+AU6</f>
        <v>23131.236519581631</v>
      </c>
      <c r="AR18" s="25">
        <f>23130</f>
        <v>23130</v>
      </c>
      <c r="AS18" s="25">
        <f>AQ18-AR18</f>
        <v>1.2365195816310006</v>
      </c>
      <c r="AT18" s="25"/>
      <c r="BA18" s="9"/>
    </row>
    <row r="19" spans="1:53" x14ac:dyDescent="0.3">
      <c r="A19" s="2">
        <v>5</v>
      </c>
      <c r="B19" s="12" t="s">
        <v>51</v>
      </c>
      <c r="C19" s="8"/>
      <c r="D19" s="8"/>
      <c r="E19" s="8"/>
      <c r="F19" s="8"/>
      <c r="G19" s="8"/>
      <c r="H19" s="8"/>
      <c r="I19" s="8"/>
      <c r="J19" s="8"/>
      <c r="K19" s="8">
        <v>2290</v>
      </c>
      <c r="L19" s="8"/>
      <c r="M19" s="8"/>
      <c r="N19" s="8">
        <v>340</v>
      </c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65">
        <f t="shared" si="11"/>
        <v>2630</v>
      </c>
      <c r="BA19" s="9"/>
    </row>
    <row r="20" spans="1:53" x14ac:dyDescent="0.3">
      <c r="A20" s="2">
        <v>6</v>
      </c>
      <c r="B20" s="1" t="s">
        <v>110</v>
      </c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>
        <v>2200</v>
      </c>
      <c r="AD20" s="8">
        <v>403</v>
      </c>
      <c r="AE20" s="8"/>
      <c r="AF20" s="8"/>
      <c r="AG20" s="8"/>
      <c r="AH20" s="65">
        <f>SUM(C20:AG20)</f>
        <v>2603</v>
      </c>
      <c r="AK20" s="1" t="s">
        <v>92</v>
      </c>
      <c r="AL20" s="1"/>
      <c r="AV20" s="25"/>
      <c r="AY20">
        <v>7100</v>
      </c>
    </row>
    <row r="21" spans="1:53" x14ac:dyDescent="0.3">
      <c r="A21" s="2">
        <v>7</v>
      </c>
      <c r="B21" s="3" t="s">
        <v>118</v>
      </c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>
        <v>790</v>
      </c>
      <c r="Y21" s="8"/>
      <c r="Z21" s="8"/>
      <c r="AA21" s="8"/>
      <c r="AB21" s="8">
        <v>1805</v>
      </c>
      <c r="AC21" s="8"/>
      <c r="AD21" s="8"/>
      <c r="AE21" s="8"/>
      <c r="AF21" s="8"/>
      <c r="AG21" s="8"/>
      <c r="AH21" s="65">
        <f t="shared" si="11"/>
        <v>2595</v>
      </c>
      <c r="AK21" s="1" t="s">
        <v>93</v>
      </c>
      <c r="AL21" s="16">
        <f>-AU12</f>
        <v>-883.00000000000136</v>
      </c>
      <c r="AS21" s="25"/>
      <c r="AY21">
        <v>50</v>
      </c>
    </row>
    <row r="22" spans="1:53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51">
        <f>SUM(AH15:AH21)</f>
        <v>17763</v>
      </c>
      <c r="AK22" s="1" t="s">
        <v>141</v>
      </c>
      <c r="AL22" s="1">
        <v>2000</v>
      </c>
      <c r="AY22">
        <f>AY20-AY21</f>
        <v>7050</v>
      </c>
    </row>
    <row r="23" spans="1:53" x14ac:dyDescent="0.3">
      <c r="AK23" s="78" t="s">
        <v>139</v>
      </c>
      <c r="AL23" s="51">
        <f>SUM(AL21:AL22)</f>
        <v>1116.9999999999986</v>
      </c>
      <c r="AY23">
        <v>18</v>
      </c>
    </row>
    <row r="24" spans="1:53" x14ac:dyDescent="0.3">
      <c r="A24" s="4"/>
      <c r="B24" s="13" t="s">
        <v>135</v>
      </c>
      <c r="C24" s="66" t="s">
        <v>11</v>
      </c>
      <c r="D24" s="66" t="s">
        <v>12</v>
      </c>
      <c r="E24" s="66" t="s">
        <v>13</v>
      </c>
      <c r="F24" s="66" t="s">
        <v>14</v>
      </c>
      <c r="G24" s="66" t="s">
        <v>15</v>
      </c>
      <c r="H24" s="66" t="s">
        <v>16</v>
      </c>
      <c r="I24" s="66" t="s">
        <v>17</v>
      </c>
      <c r="J24" s="66" t="s">
        <v>18</v>
      </c>
      <c r="K24" s="66" t="s">
        <v>19</v>
      </c>
      <c r="L24" s="66" t="s">
        <v>20</v>
      </c>
      <c r="M24" s="66" t="s">
        <v>21</v>
      </c>
      <c r="N24" s="66" t="s">
        <v>22</v>
      </c>
      <c r="AY24">
        <f>AY22-AY23</f>
        <v>7032</v>
      </c>
    </row>
    <row r="25" spans="1:53" x14ac:dyDescent="0.3">
      <c r="A25" s="2">
        <v>1</v>
      </c>
      <c r="B25" s="12" t="s">
        <v>5</v>
      </c>
      <c r="C25" s="8">
        <f>H35</f>
        <v>3142.8571428571427</v>
      </c>
      <c r="D25" s="8">
        <f t="shared" ref="D25:D31" si="12">$D$32/7</f>
        <v>428.57142857142856</v>
      </c>
      <c r="E25" s="8">
        <f>$E$32/7</f>
        <v>0</v>
      </c>
      <c r="F25" s="8">
        <f t="shared" ref="F25:F31" si="13">$F$32/7</f>
        <v>71.428571428571431</v>
      </c>
      <c r="G25" s="8">
        <f t="shared" ref="G25:G31" si="14">$G$32/7</f>
        <v>139.28571428571428</v>
      </c>
      <c r="H25" s="26">
        <f t="shared" ref="H25:H31" si="15">$H$32/7</f>
        <v>70.714285714285708</v>
      </c>
      <c r="I25" s="8">
        <f t="shared" ref="I25:I31" si="16">$I$32/7</f>
        <v>290</v>
      </c>
      <c r="J25" s="8">
        <f t="shared" ref="J25:J31" si="17">$J$32/7</f>
        <v>35.714285714285715</v>
      </c>
      <c r="K25" s="26">
        <f>$K$32/7</f>
        <v>62.571428571428569</v>
      </c>
      <c r="L25" s="40">
        <f t="shared" ref="L25:L31" si="18">$L$32/7</f>
        <v>17.142857142857142</v>
      </c>
      <c r="M25" s="8">
        <f t="shared" ref="M25:M31" si="19">$M$32/7</f>
        <v>0</v>
      </c>
      <c r="N25" s="65">
        <f t="shared" ref="N25:N29" si="20">SUM(C25:M25)</f>
        <v>4258.2857142857138</v>
      </c>
      <c r="AK25" s="70" t="s">
        <v>125</v>
      </c>
      <c r="AL25" s="44">
        <f>AL18-AL23</f>
        <v>21133</v>
      </c>
      <c r="AY25" s="47">
        <v>50</v>
      </c>
    </row>
    <row r="26" spans="1:53" x14ac:dyDescent="0.3">
      <c r="A26" s="2">
        <v>2</v>
      </c>
      <c r="B26" s="12" t="s">
        <v>131</v>
      </c>
      <c r="C26" s="8">
        <f>H35</f>
        <v>3142.8571428571427</v>
      </c>
      <c r="D26" s="8">
        <f t="shared" si="12"/>
        <v>428.57142857142856</v>
      </c>
      <c r="E26" s="8">
        <f>$E$32/7</f>
        <v>0</v>
      </c>
      <c r="F26" s="8">
        <f t="shared" si="13"/>
        <v>71.428571428571431</v>
      </c>
      <c r="G26" s="8">
        <f t="shared" si="14"/>
        <v>139.28571428571428</v>
      </c>
      <c r="H26" s="26">
        <f t="shared" si="15"/>
        <v>70.714285714285708</v>
      </c>
      <c r="I26" s="8">
        <f t="shared" si="16"/>
        <v>290</v>
      </c>
      <c r="J26" s="8">
        <f t="shared" si="17"/>
        <v>35.714285714285715</v>
      </c>
      <c r="K26" s="26">
        <f t="shared" ref="K26:K31" si="21">$K$32/7</f>
        <v>62.571428571428569</v>
      </c>
      <c r="L26" s="40">
        <f t="shared" si="18"/>
        <v>17.142857142857142</v>
      </c>
      <c r="M26" s="8">
        <f t="shared" si="19"/>
        <v>0</v>
      </c>
      <c r="N26" s="65">
        <f t="shared" si="20"/>
        <v>4258.2857142857138</v>
      </c>
      <c r="AY26" s="47">
        <f>AY24+AY25</f>
        <v>7082</v>
      </c>
    </row>
    <row r="27" spans="1:53" x14ac:dyDescent="0.3">
      <c r="A27" s="2">
        <v>3</v>
      </c>
      <c r="B27" s="12" t="s">
        <v>6</v>
      </c>
      <c r="C27" s="8">
        <f>H36</f>
        <v>2142.8571428571427</v>
      </c>
      <c r="D27" s="8">
        <f t="shared" si="12"/>
        <v>428.57142857142856</v>
      </c>
      <c r="E27" s="8">
        <f>$E$32/7</f>
        <v>0</v>
      </c>
      <c r="F27" s="8">
        <f t="shared" si="13"/>
        <v>71.428571428571431</v>
      </c>
      <c r="G27" s="8">
        <f t="shared" si="14"/>
        <v>139.28571428571428</v>
      </c>
      <c r="H27" s="26">
        <f t="shared" si="15"/>
        <v>70.714285714285708</v>
      </c>
      <c r="I27" s="8">
        <f t="shared" si="16"/>
        <v>290</v>
      </c>
      <c r="J27" s="8">
        <f t="shared" si="17"/>
        <v>35.714285714285715</v>
      </c>
      <c r="K27" s="26">
        <f t="shared" si="21"/>
        <v>62.571428571428569</v>
      </c>
      <c r="L27" s="40">
        <f t="shared" si="18"/>
        <v>17.142857142857142</v>
      </c>
      <c r="M27" s="8">
        <f t="shared" si="19"/>
        <v>0</v>
      </c>
      <c r="N27" s="65">
        <f t="shared" si="20"/>
        <v>3258.2857142857142</v>
      </c>
      <c r="AY27" s="47"/>
    </row>
    <row r="28" spans="1:53" x14ac:dyDescent="0.3">
      <c r="A28" s="2">
        <v>4</v>
      </c>
      <c r="B28" s="12" t="s">
        <v>57</v>
      </c>
      <c r="C28" s="8">
        <f>H36</f>
        <v>2142.8571428571427</v>
      </c>
      <c r="D28" s="8">
        <f t="shared" si="12"/>
        <v>428.57142857142856</v>
      </c>
      <c r="E28" s="8">
        <f>$E$32/7</f>
        <v>0</v>
      </c>
      <c r="F28" s="8">
        <f t="shared" si="13"/>
        <v>71.428571428571431</v>
      </c>
      <c r="G28" s="8">
        <f t="shared" si="14"/>
        <v>139.28571428571428</v>
      </c>
      <c r="H28" s="26">
        <f t="shared" si="15"/>
        <v>70.714285714285708</v>
      </c>
      <c r="I28" s="8">
        <f t="shared" si="16"/>
        <v>290</v>
      </c>
      <c r="J28" s="8">
        <f t="shared" si="17"/>
        <v>35.714285714285715</v>
      </c>
      <c r="K28" s="26">
        <f t="shared" si="21"/>
        <v>62.571428571428569</v>
      </c>
      <c r="L28" s="40">
        <f t="shared" si="18"/>
        <v>17.142857142857142</v>
      </c>
      <c r="M28" s="8">
        <f t="shared" si="19"/>
        <v>0</v>
      </c>
      <c r="N28" s="65">
        <f t="shared" si="20"/>
        <v>3258.2857142857142</v>
      </c>
      <c r="AY28" s="47"/>
    </row>
    <row r="29" spans="1:53" x14ac:dyDescent="0.3">
      <c r="A29" s="2">
        <v>5</v>
      </c>
      <c r="B29" s="12" t="s">
        <v>51</v>
      </c>
      <c r="C29" s="8">
        <f>H36</f>
        <v>2142.8571428571427</v>
      </c>
      <c r="D29" s="8">
        <f t="shared" si="12"/>
        <v>428.57142857142856</v>
      </c>
      <c r="E29" s="8">
        <f>$E$32/7</f>
        <v>0</v>
      </c>
      <c r="F29" s="8">
        <f t="shared" si="13"/>
        <v>71.428571428571431</v>
      </c>
      <c r="G29" s="8">
        <f t="shared" si="14"/>
        <v>139.28571428571428</v>
      </c>
      <c r="H29" s="26">
        <f t="shared" si="15"/>
        <v>70.714285714285708</v>
      </c>
      <c r="I29" s="8">
        <f t="shared" si="16"/>
        <v>290</v>
      </c>
      <c r="J29" s="8">
        <f t="shared" si="17"/>
        <v>35.714285714285715</v>
      </c>
      <c r="K29" s="26">
        <f t="shared" si="21"/>
        <v>62.571428571428569</v>
      </c>
      <c r="L29" s="40">
        <f t="shared" si="18"/>
        <v>17.142857142857142</v>
      </c>
      <c r="M29" s="8">
        <f t="shared" si="19"/>
        <v>0</v>
      </c>
      <c r="N29" s="65">
        <f t="shared" si="20"/>
        <v>3258.2857142857142</v>
      </c>
      <c r="AY29" s="48"/>
    </row>
    <row r="30" spans="1:53" x14ac:dyDescent="0.3">
      <c r="A30" s="2">
        <v>6</v>
      </c>
      <c r="B30" s="12" t="s">
        <v>104</v>
      </c>
      <c r="C30" s="8">
        <f>H37</f>
        <v>2892.8571428571427</v>
      </c>
      <c r="D30" s="8">
        <f t="shared" si="12"/>
        <v>428.57142857142856</v>
      </c>
      <c r="E30" s="8">
        <v>0</v>
      </c>
      <c r="F30" s="8">
        <f t="shared" si="13"/>
        <v>71.428571428571431</v>
      </c>
      <c r="G30" s="8">
        <f t="shared" si="14"/>
        <v>139.28571428571428</v>
      </c>
      <c r="H30" s="26">
        <f t="shared" si="15"/>
        <v>70.714285714285708</v>
      </c>
      <c r="I30" s="8">
        <f t="shared" si="16"/>
        <v>290</v>
      </c>
      <c r="J30" s="8">
        <f t="shared" si="17"/>
        <v>35.714285714285715</v>
      </c>
      <c r="K30" s="26">
        <f t="shared" si="21"/>
        <v>62.571428571428569</v>
      </c>
      <c r="L30" s="40">
        <f t="shared" si="18"/>
        <v>17.142857142857142</v>
      </c>
      <c r="M30" s="8">
        <f t="shared" si="19"/>
        <v>0</v>
      </c>
      <c r="N30" s="65">
        <f>SUM(C30:M30)</f>
        <v>4008.2857142857142</v>
      </c>
      <c r="AY30" s="47"/>
    </row>
    <row r="31" spans="1:53" x14ac:dyDescent="0.3">
      <c r="A31" s="2">
        <v>7</v>
      </c>
      <c r="B31" s="3" t="s">
        <v>118</v>
      </c>
      <c r="C31" s="8">
        <f>H37</f>
        <v>2892.8571428571427</v>
      </c>
      <c r="D31" s="8">
        <f t="shared" si="12"/>
        <v>428.57142857142856</v>
      </c>
      <c r="E31" s="8">
        <v>0</v>
      </c>
      <c r="F31" s="8">
        <f t="shared" si="13"/>
        <v>71.428571428571431</v>
      </c>
      <c r="G31" s="8">
        <f t="shared" si="14"/>
        <v>139.28571428571428</v>
      </c>
      <c r="H31" s="26">
        <f t="shared" si="15"/>
        <v>70.714285714285708</v>
      </c>
      <c r="I31" s="8">
        <f t="shared" si="16"/>
        <v>290</v>
      </c>
      <c r="J31" s="8">
        <f t="shared" si="17"/>
        <v>35.714285714285715</v>
      </c>
      <c r="K31" s="26">
        <f t="shared" si="21"/>
        <v>62.571428571428569</v>
      </c>
      <c r="L31" s="40">
        <f t="shared" si="18"/>
        <v>17.142857142857142</v>
      </c>
      <c r="M31" s="8">
        <f t="shared" si="19"/>
        <v>0</v>
      </c>
      <c r="N31" s="65">
        <f>SUM(C31:M31)</f>
        <v>4008.2857142857142</v>
      </c>
      <c r="AY31" s="47"/>
    </row>
    <row r="32" spans="1:53" x14ac:dyDescent="0.3">
      <c r="A32" s="111" t="s">
        <v>47</v>
      </c>
      <c r="B32" s="111"/>
      <c r="C32" s="65">
        <f>SUM(C25:C31)</f>
        <v>18500</v>
      </c>
      <c r="D32" s="67">
        <v>3000</v>
      </c>
      <c r="E32" s="65"/>
      <c r="F32" s="65">
        <f>500</f>
        <v>500</v>
      </c>
      <c r="G32" s="65">
        <f>975</f>
        <v>975</v>
      </c>
      <c r="H32" s="77">
        <v>495</v>
      </c>
      <c r="I32" s="65">
        <v>2030</v>
      </c>
      <c r="J32" s="65">
        <f>250</f>
        <v>250</v>
      </c>
      <c r="K32" s="77">
        <v>438</v>
      </c>
      <c r="L32" s="67">
        <f>120</f>
        <v>120</v>
      </c>
      <c r="M32" s="65"/>
      <c r="N32" s="65">
        <f>SUM(N25:N31)</f>
        <v>26307.999999999996</v>
      </c>
      <c r="AY32" s="47"/>
    </row>
    <row r="33" spans="4:51" x14ac:dyDescent="0.3">
      <c r="AY33" s="47"/>
    </row>
    <row r="34" spans="4:51" x14ac:dyDescent="0.3">
      <c r="P34" s="9"/>
    </row>
    <row r="35" spans="4:51" x14ac:dyDescent="0.3">
      <c r="D35" s="1">
        <v>6000</v>
      </c>
      <c r="E35" s="1">
        <v>2</v>
      </c>
      <c r="F35" s="1">
        <f>D35/E35</f>
        <v>3000</v>
      </c>
      <c r="G35" s="1">
        <f>(500+500)/7</f>
        <v>142.85714285714286</v>
      </c>
      <c r="H35" s="11">
        <f>F35+G35</f>
        <v>3142.8571428571427</v>
      </c>
      <c r="I35" s="11">
        <f>H35*E35</f>
        <v>6285.7142857142853</v>
      </c>
      <c r="M35" s="1" t="s">
        <v>61</v>
      </c>
      <c r="N35" s="16">
        <f>C32</f>
        <v>18500</v>
      </c>
    </row>
    <row r="36" spans="4:51" x14ac:dyDescent="0.3">
      <c r="D36" s="1">
        <v>6000</v>
      </c>
      <c r="E36" s="1">
        <v>3</v>
      </c>
      <c r="F36" s="1">
        <f t="shared" ref="F36:F37" si="22">D36/E36</f>
        <v>2000</v>
      </c>
      <c r="G36" s="1">
        <f t="shared" ref="G36:G37" si="23">(500+500)/7</f>
        <v>142.85714285714286</v>
      </c>
      <c r="H36" s="11">
        <f t="shared" ref="H36" si="24">F36+G36</f>
        <v>2142.8571428571427</v>
      </c>
      <c r="I36" s="11">
        <f t="shared" ref="I36:I37" si="25">H36*E36</f>
        <v>6428.5714285714275</v>
      </c>
      <c r="M36" s="1" t="s">
        <v>71</v>
      </c>
      <c r="N36" s="16">
        <f>G32</f>
        <v>975</v>
      </c>
    </row>
    <row r="37" spans="4:51" x14ac:dyDescent="0.3">
      <c r="D37" s="1">
        <v>5500</v>
      </c>
      <c r="E37" s="1">
        <v>2</v>
      </c>
      <c r="F37" s="11">
        <f t="shared" si="22"/>
        <v>2750</v>
      </c>
      <c r="G37" s="1">
        <f t="shared" si="23"/>
        <v>142.85714285714286</v>
      </c>
      <c r="H37" s="11">
        <f>F37+G37</f>
        <v>2892.8571428571427</v>
      </c>
      <c r="I37" s="11">
        <f t="shared" si="25"/>
        <v>5785.7142857142853</v>
      </c>
      <c r="M37" s="1" t="s">
        <v>72</v>
      </c>
      <c r="N37" s="16">
        <f>I32</f>
        <v>2030</v>
      </c>
    </row>
    <row r="38" spans="4:51" x14ac:dyDescent="0.3">
      <c r="D38" s="1">
        <f>SUM(D35:D37)</f>
        <v>17500</v>
      </c>
      <c r="E38" s="1"/>
      <c r="F38" s="1"/>
      <c r="G38" s="1"/>
      <c r="H38" s="1"/>
      <c r="I38" s="11">
        <f>SUM(I35:I37)</f>
        <v>18500</v>
      </c>
      <c r="M38" s="1" t="s">
        <v>73</v>
      </c>
      <c r="N38" s="16">
        <f>H32</f>
        <v>495</v>
      </c>
    </row>
    <row r="39" spans="4:51" x14ac:dyDescent="0.3">
      <c r="M39" s="1" t="s">
        <v>74</v>
      </c>
      <c r="N39" s="16">
        <f>J32</f>
        <v>250</v>
      </c>
    </row>
    <row r="40" spans="4:51" x14ac:dyDescent="0.3">
      <c r="M40" s="78" t="s">
        <v>47</v>
      </c>
      <c r="N40" s="51">
        <f>SUM(N35:N39)</f>
        <v>22250</v>
      </c>
    </row>
    <row r="41" spans="4:51" x14ac:dyDescent="0.3">
      <c r="N41" s="9"/>
    </row>
    <row r="42" spans="4:51" x14ac:dyDescent="0.3">
      <c r="M42" s="1" t="s">
        <v>12</v>
      </c>
      <c r="N42" s="16">
        <f>D32</f>
        <v>3000</v>
      </c>
    </row>
    <row r="43" spans="4:51" x14ac:dyDescent="0.3">
      <c r="M43" s="1" t="s">
        <v>13</v>
      </c>
      <c r="N43" s="16">
        <f>E32</f>
        <v>0</v>
      </c>
      <c r="P43" s="9"/>
    </row>
    <row r="44" spans="4:51" x14ac:dyDescent="0.3">
      <c r="M44" s="1" t="s">
        <v>14</v>
      </c>
      <c r="N44" s="16">
        <f>F32</f>
        <v>500</v>
      </c>
    </row>
    <row r="45" spans="4:51" x14ac:dyDescent="0.3">
      <c r="M45" s="1" t="s">
        <v>20</v>
      </c>
      <c r="N45" s="16">
        <f>L32</f>
        <v>120</v>
      </c>
    </row>
    <row r="46" spans="4:51" x14ac:dyDescent="0.3">
      <c r="M46" s="1" t="s">
        <v>123</v>
      </c>
      <c r="N46" s="16">
        <f>K32</f>
        <v>438</v>
      </c>
    </row>
    <row r="47" spans="4:51" x14ac:dyDescent="0.3">
      <c r="M47" s="1" t="s">
        <v>21</v>
      </c>
      <c r="N47" s="16">
        <f>M32</f>
        <v>0</v>
      </c>
    </row>
    <row r="48" spans="4:51" x14ac:dyDescent="0.3">
      <c r="M48" s="78" t="s">
        <v>47</v>
      </c>
      <c r="N48" s="51">
        <f>SUM(N42:N47)</f>
        <v>4058</v>
      </c>
    </row>
    <row r="50" spans="13:14" ht="15" thickBot="1" x14ac:dyDescent="0.35">
      <c r="M50" s="79" t="s">
        <v>124</v>
      </c>
      <c r="N50" s="80">
        <f>N48+N40</f>
        <v>26308</v>
      </c>
    </row>
    <row r="51" spans="13:14" ht="15" thickTop="1" x14ac:dyDescent="0.3"/>
    <row r="52" spans="13:14" x14ac:dyDescent="0.3">
      <c r="M52" s="78" t="s">
        <v>125</v>
      </c>
      <c r="N52" s="16">
        <f>N32-N50</f>
        <v>0</v>
      </c>
    </row>
  </sheetData>
  <mergeCells count="3">
    <mergeCell ref="C1:D2"/>
    <mergeCell ref="E1:F2"/>
    <mergeCell ref="A32:B32"/>
  </mergeCells>
  <conditionalFormatting sqref="AU5:AU11 AN5:AN11">
    <cfRule type="cellIs" dxfId="4" priority="1" operator="lessThan">
      <formula>0</formula>
    </cfRule>
  </conditionalFormatting>
  <pageMargins left="0.7" right="0.7" top="0.75" bottom="0.75" header="0.3" footer="0.3"/>
  <pageSetup orientation="portrait" horizontalDpi="1200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T34"/>
  <sheetViews>
    <sheetView zoomScaleNormal="100" workbookViewId="0">
      <pane xSplit="2" ySplit="4" topLeftCell="AM5" activePane="bottomRight" state="frozen"/>
      <selection pane="topRight" activeCell="C1" sqref="C1"/>
      <selection pane="bottomLeft" activeCell="A5" sqref="A5"/>
      <selection pane="bottomRight" activeCell="AR8" sqref="AR8"/>
    </sheetView>
  </sheetViews>
  <sheetFormatPr defaultRowHeight="14.4" x14ac:dyDescent="0.3"/>
  <cols>
    <col min="1" max="1" width="7" bestFit="1" customWidth="1"/>
    <col min="2" max="2" width="23.6640625" bestFit="1" customWidth="1"/>
    <col min="3" max="3" width="10.5546875" bestFit="1" customWidth="1"/>
    <col min="4" max="4" width="9.5546875" bestFit="1" customWidth="1"/>
    <col min="5" max="5" width="9" bestFit="1" customWidth="1"/>
    <col min="6" max="6" width="11.5546875" bestFit="1" customWidth="1"/>
    <col min="7" max="7" width="9" bestFit="1" customWidth="1"/>
    <col min="8" max="8" width="13.33203125" bestFit="1" customWidth="1"/>
    <col min="9" max="9" width="9.6640625" bestFit="1" customWidth="1"/>
    <col min="10" max="10" width="9" bestFit="1" customWidth="1"/>
    <col min="11" max="11" width="14.5546875" bestFit="1" customWidth="1"/>
    <col min="12" max="14" width="10" bestFit="1" customWidth="1"/>
    <col min="15" max="32" width="9.6640625" bestFit="1" customWidth="1"/>
    <col min="33" max="33" width="10.33203125" bestFit="1" customWidth="1"/>
    <col min="35" max="35" width="23" bestFit="1" customWidth="1"/>
    <col min="36" max="36" width="19.33203125" bestFit="1" customWidth="1"/>
    <col min="37" max="37" width="25.6640625" bestFit="1" customWidth="1"/>
    <col min="38" max="38" width="20.6640625" bestFit="1" customWidth="1"/>
    <col min="39" max="39" width="24" bestFit="1" customWidth="1"/>
    <col min="40" max="40" width="33" bestFit="1" customWidth="1"/>
    <col min="41" max="41" width="33" customWidth="1"/>
    <col min="42" max="42" width="12.33203125" bestFit="1" customWidth="1"/>
    <col min="43" max="43" width="13.44140625" bestFit="1" customWidth="1"/>
    <col min="44" max="44" width="25.5546875" bestFit="1" customWidth="1"/>
    <col min="45" max="45" width="11.33203125" bestFit="1" customWidth="1"/>
    <col min="46" max="46" width="10.33203125" bestFit="1" customWidth="1"/>
  </cols>
  <sheetData>
    <row r="1" spans="1:46" x14ac:dyDescent="0.3">
      <c r="C1" s="107" t="s">
        <v>33</v>
      </c>
      <c r="D1" s="107"/>
      <c r="E1" s="106">
        <f>AG20/AG11</f>
        <v>48.710571923743501</v>
      </c>
      <c r="F1" s="106"/>
    </row>
    <row r="2" spans="1:46" ht="25.5" customHeight="1" x14ac:dyDescent="0.3">
      <c r="C2" s="107"/>
      <c r="D2" s="107"/>
      <c r="E2" s="106"/>
      <c r="F2" s="106"/>
    </row>
    <row r="4" spans="1:46" x14ac:dyDescent="0.3">
      <c r="A4" s="4" t="s">
        <v>0</v>
      </c>
      <c r="B4" s="4" t="s">
        <v>2</v>
      </c>
      <c r="C4" s="5">
        <v>44136</v>
      </c>
      <c r="D4" s="5">
        <v>44137</v>
      </c>
      <c r="E4" s="5">
        <v>44138</v>
      </c>
      <c r="F4" s="5">
        <v>44139</v>
      </c>
      <c r="G4" s="5">
        <v>44140</v>
      </c>
      <c r="H4" s="5">
        <v>44141</v>
      </c>
      <c r="I4" s="5">
        <v>44142</v>
      </c>
      <c r="J4" s="5">
        <v>44143</v>
      </c>
      <c r="K4" s="5">
        <v>44144</v>
      </c>
      <c r="L4" s="5">
        <v>44145</v>
      </c>
      <c r="M4" s="5">
        <v>44146</v>
      </c>
      <c r="N4" s="5">
        <v>44147</v>
      </c>
      <c r="O4" s="5">
        <v>44148</v>
      </c>
      <c r="P4" s="5">
        <v>44149</v>
      </c>
      <c r="Q4" s="5">
        <v>44150</v>
      </c>
      <c r="R4" s="5">
        <v>44151</v>
      </c>
      <c r="S4" s="5">
        <v>44152</v>
      </c>
      <c r="T4" s="5">
        <v>44153</v>
      </c>
      <c r="U4" s="5">
        <v>44154</v>
      </c>
      <c r="V4" s="5">
        <v>44155</v>
      </c>
      <c r="W4" s="5">
        <v>44156</v>
      </c>
      <c r="X4" s="5">
        <v>44157</v>
      </c>
      <c r="Y4" s="5">
        <v>44158</v>
      </c>
      <c r="Z4" s="5">
        <v>44159</v>
      </c>
      <c r="AA4" s="5">
        <v>44160</v>
      </c>
      <c r="AB4" s="5">
        <v>44161</v>
      </c>
      <c r="AC4" s="5">
        <v>44162</v>
      </c>
      <c r="AD4" s="5">
        <v>44163</v>
      </c>
      <c r="AE4" s="5">
        <v>44164</v>
      </c>
      <c r="AF4" s="5">
        <v>44165</v>
      </c>
      <c r="AG4" s="4" t="s">
        <v>1</v>
      </c>
      <c r="AI4" s="4" t="s">
        <v>23</v>
      </c>
      <c r="AJ4" s="4" t="s">
        <v>24</v>
      </c>
      <c r="AK4" s="4" t="s">
        <v>26</v>
      </c>
      <c r="AL4" s="4" t="s">
        <v>25</v>
      </c>
      <c r="AM4" s="4" t="s">
        <v>27</v>
      </c>
      <c r="AN4" s="4" t="s">
        <v>30</v>
      </c>
      <c r="AO4" s="4" t="s">
        <v>32</v>
      </c>
      <c r="AP4" s="4" t="s">
        <v>28</v>
      </c>
      <c r="AQ4" s="4" t="s">
        <v>29</v>
      </c>
      <c r="AR4" s="4" t="s">
        <v>31</v>
      </c>
    </row>
    <row r="5" spans="1:46" x14ac:dyDescent="0.3">
      <c r="A5" s="2">
        <v>1</v>
      </c>
      <c r="B5" s="3" t="s">
        <v>4</v>
      </c>
      <c r="C5" s="7">
        <v>0.5</v>
      </c>
      <c r="D5" s="7">
        <v>0.5</v>
      </c>
      <c r="E5" s="7">
        <v>1</v>
      </c>
      <c r="F5" s="7">
        <v>1</v>
      </c>
      <c r="G5" s="7">
        <v>2.5</v>
      </c>
      <c r="H5" s="7">
        <v>1.5</v>
      </c>
      <c r="I5" s="7">
        <v>2.5</v>
      </c>
      <c r="J5" s="7">
        <v>1.5</v>
      </c>
      <c r="K5" s="7">
        <v>2.5</v>
      </c>
      <c r="L5" s="7">
        <v>2.5</v>
      </c>
      <c r="M5" s="7">
        <v>1</v>
      </c>
      <c r="N5" s="7">
        <v>0</v>
      </c>
      <c r="O5" s="7">
        <v>0</v>
      </c>
      <c r="P5" s="7">
        <v>1</v>
      </c>
      <c r="Q5" s="7">
        <v>1.5</v>
      </c>
      <c r="R5" s="7">
        <v>1.5</v>
      </c>
      <c r="S5" s="7">
        <v>1</v>
      </c>
      <c r="T5" s="7">
        <v>2.5</v>
      </c>
      <c r="U5" s="7">
        <v>2.5</v>
      </c>
      <c r="V5" s="7">
        <v>2</v>
      </c>
      <c r="W5" s="7">
        <v>1</v>
      </c>
      <c r="X5" s="7">
        <v>2</v>
      </c>
      <c r="Y5" s="7">
        <v>1</v>
      </c>
      <c r="Z5" s="7">
        <v>1.5</v>
      </c>
      <c r="AA5" s="7">
        <v>1.5</v>
      </c>
      <c r="AB5" s="7">
        <v>2.5</v>
      </c>
      <c r="AC5" s="7">
        <v>1.5</v>
      </c>
      <c r="AD5" s="7">
        <v>1</v>
      </c>
      <c r="AE5" s="7">
        <v>1.5</v>
      </c>
      <c r="AF5" s="7">
        <v>2.5</v>
      </c>
      <c r="AG5" s="7">
        <f t="shared" ref="AG5:AG10" si="0">SUM(C5:AF5)</f>
        <v>45</v>
      </c>
      <c r="AI5" s="15">
        <f>AG5*$E$1</f>
        <v>2191.9757365684577</v>
      </c>
      <c r="AJ5" s="16">
        <f>AG14</f>
        <v>3773</v>
      </c>
      <c r="AK5" s="15">
        <f>AJ5-AI5</f>
        <v>1581.0242634315423</v>
      </c>
      <c r="AL5" s="16">
        <f>N22</f>
        <v>4557.5</v>
      </c>
      <c r="AM5" s="15">
        <f>AL5-AK5</f>
        <v>2976.4757365684577</v>
      </c>
      <c r="AN5" s="15">
        <v>4038.6373319419699</v>
      </c>
      <c r="AO5" s="15">
        <f>AM5-AN5</f>
        <v>-1062.1615953735122</v>
      </c>
      <c r="AP5" s="6">
        <f>1000+1000</f>
        <v>2000</v>
      </c>
      <c r="AQ5" s="17">
        <v>44171</v>
      </c>
      <c r="AR5" s="15">
        <f>AP5-AO5</f>
        <v>3062.1615953735122</v>
      </c>
    </row>
    <row r="6" spans="1:46" x14ac:dyDescent="0.3">
      <c r="A6" s="2">
        <v>2</v>
      </c>
      <c r="B6" s="3" t="s">
        <v>5</v>
      </c>
      <c r="C6" s="7">
        <v>1.5</v>
      </c>
      <c r="D6" s="7">
        <v>2</v>
      </c>
      <c r="E6" s="7">
        <v>1</v>
      </c>
      <c r="F6" s="7">
        <v>1</v>
      </c>
      <c r="G6" s="7">
        <v>1.5</v>
      </c>
      <c r="H6" s="7">
        <v>1.5</v>
      </c>
      <c r="I6" s="7">
        <v>1.5</v>
      </c>
      <c r="J6" s="7">
        <v>1.5</v>
      </c>
      <c r="K6" s="7">
        <v>1.5</v>
      </c>
      <c r="L6" s="7">
        <v>1.5</v>
      </c>
      <c r="M6" s="7">
        <v>0</v>
      </c>
      <c r="N6" s="7">
        <v>0</v>
      </c>
      <c r="O6" s="7">
        <v>0</v>
      </c>
      <c r="P6" s="7">
        <v>0</v>
      </c>
      <c r="Q6" s="7">
        <v>2</v>
      </c>
      <c r="R6" s="7">
        <v>2.5</v>
      </c>
      <c r="S6" s="7">
        <v>1.5</v>
      </c>
      <c r="T6" s="7">
        <v>2.5</v>
      </c>
      <c r="U6" s="7">
        <v>1.5</v>
      </c>
      <c r="V6" s="7">
        <v>0</v>
      </c>
      <c r="W6" s="7">
        <v>0</v>
      </c>
      <c r="X6" s="7">
        <v>1</v>
      </c>
      <c r="Y6" s="7">
        <v>3.5</v>
      </c>
      <c r="Z6" s="7">
        <v>2.5</v>
      </c>
      <c r="AA6" s="7">
        <v>0</v>
      </c>
      <c r="AB6" s="7">
        <v>2.5</v>
      </c>
      <c r="AC6" s="7">
        <v>2.5</v>
      </c>
      <c r="AD6" s="7">
        <v>2</v>
      </c>
      <c r="AE6" s="7">
        <v>2.5</v>
      </c>
      <c r="AF6" s="7">
        <v>2.5</v>
      </c>
      <c r="AG6" s="7">
        <f t="shared" si="0"/>
        <v>43.5</v>
      </c>
      <c r="AI6" s="15">
        <f t="shared" ref="AI6:AI10" si="1">AG6*$E$1</f>
        <v>2118.9098786828422</v>
      </c>
      <c r="AJ6" s="16">
        <f t="shared" ref="AJ6:AJ10" si="2">AG15</f>
        <v>5200</v>
      </c>
      <c r="AK6" s="15">
        <f>AJ6-AI6</f>
        <v>3081.0901213171578</v>
      </c>
      <c r="AL6" s="16">
        <f t="shared" ref="AL6:AL10" si="3">N23</f>
        <v>4557.5</v>
      </c>
      <c r="AM6" s="15">
        <f t="shared" ref="AM6:AM10" si="4">AL6-AK6</f>
        <v>1476.4098786828422</v>
      </c>
      <c r="AN6" s="15">
        <v>-20.486919176676601</v>
      </c>
      <c r="AO6" s="15">
        <f t="shared" ref="AO6:AO10" si="5">AM6-AN6</f>
        <v>1496.8967978595188</v>
      </c>
      <c r="AP6" s="6">
        <f>2600+120</f>
        <v>2720</v>
      </c>
      <c r="AQ6" s="17">
        <v>44180</v>
      </c>
      <c r="AR6" s="15">
        <f t="shared" ref="AR6:AR10" si="6">AP6-AO6</f>
        <v>1223.1032021404812</v>
      </c>
    </row>
    <row r="7" spans="1:46" x14ac:dyDescent="0.3">
      <c r="A7" s="2">
        <v>3</v>
      </c>
      <c r="B7" s="3" t="s">
        <v>6</v>
      </c>
      <c r="C7" s="7">
        <v>0.5</v>
      </c>
      <c r="D7" s="7">
        <v>1</v>
      </c>
      <c r="E7" s="7">
        <v>1</v>
      </c>
      <c r="F7" s="7">
        <v>1</v>
      </c>
      <c r="G7" s="7">
        <v>1.5</v>
      </c>
      <c r="H7" s="7">
        <v>2.5</v>
      </c>
      <c r="I7" s="7">
        <v>1.5</v>
      </c>
      <c r="J7" s="7">
        <v>1.5</v>
      </c>
      <c r="K7" s="7">
        <v>1.5</v>
      </c>
      <c r="L7" s="7">
        <v>1.5</v>
      </c>
      <c r="M7" s="7">
        <v>1.5</v>
      </c>
      <c r="N7" s="7">
        <v>1.5</v>
      </c>
      <c r="O7" s="7">
        <v>2.5</v>
      </c>
      <c r="P7" s="7">
        <v>1.5</v>
      </c>
      <c r="Q7" s="7">
        <v>1.5</v>
      </c>
      <c r="R7" s="7">
        <v>1.5</v>
      </c>
      <c r="S7" s="7">
        <v>1.5</v>
      </c>
      <c r="T7" s="7">
        <v>1.5</v>
      </c>
      <c r="U7" s="7">
        <v>1.5</v>
      </c>
      <c r="V7" s="7">
        <v>2.5</v>
      </c>
      <c r="W7" s="7">
        <v>0</v>
      </c>
      <c r="X7" s="7">
        <v>1.5</v>
      </c>
      <c r="Y7" s="7">
        <v>1.5</v>
      </c>
      <c r="Z7" s="7">
        <v>1.5</v>
      </c>
      <c r="AA7" s="7">
        <v>1.5</v>
      </c>
      <c r="AB7" s="7">
        <v>2.5</v>
      </c>
      <c r="AC7" s="7">
        <v>1.5</v>
      </c>
      <c r="AD7" s="7">
        <v>1.5</v>
      </c>
      <c r="AE7" s="7">
        <v>1.5</v>
      </c>
      <c r="AF7" s="7">
        <v>1.5</v>
      </c>
      <c r="AG7" s="7">
        <f t="shared" si="0"/>
        <v>45</v>
      </c>
      <c r="AI7" s="15">
        <f t="shared" si="1"/>
        <v>2191.9757365684577</v>
      </c>
      <c r="AJ7" s="16">
        <f t="shared" si="2"/>
        <v>0</v>
      </c>
      <c r="AK7" s="15">
        <f t="shared" ref="AK7:AK10" si="7">AJ7-AI7</f>
        <v>-2191.9757365684577</v>
      </c>
      <c r="AL7" s="16">
        <f t="shared" si="3"/>
        <v>4307.5</v>
      </c>
      <c r="AM7" s="15">
        <f t="shared" si="4"/>
        <v>6499.4757365684582</v>
      </c>
      <c r="AN7" s="15">
        <v>-4285.9775676320696</v>
      </c>
      <c r="AO7" s="15">
        <f t="shared" si="5"/>
        <v>10785.453304200528</v>
      </c>
      <c r="AP7" s="6">
        <f>6500</f>
        <v>6500</v>
      </c>
      <c r="AQ7" s="17">
        <v>44187</v>
      </c>
      <c r="AR7" s="15">
        <f t="shared" si="6"/>
        <v>-4285.4533042005278</v>
      </c>
    </row>
    <row r="8" spans="1:46" x14ac:dyDescent="0.3">
      <c r="A8" s="2">
        <v>4</v>
      </c>
      <c r="B8" s="3" t="s">
        <v>3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1</v>
      </c>
      <c r="K8" s="7">
        <v>1.5</v>
      </c>
      <c r="L8" s="7">
        <v>2</v>
      </c>
      <c r="M8" s="7">
        <v>1.5</v>
      </c>
      <c r="N8" s="7">
        <v>1</v>
      </c>
      <c r="O8" s="7">
        <v>0</v>
      </c>
      <c r="P8" s="7">
        <v>0</v>
      </c>
      <c r="Q8" s="7">
        <v>2</v>
      </c>
      <c r="R8" s="7">
        <v>3</v>
      </c>
      <c r="S8" s="7">
        <v>1</v>
      </c>
      <c r="T8" s="7">
        <v>1</v>
      </c>
      <c r="U8" s="7">
        <v>0</v>
      </c>
      <c r="V8" s="7">
        <v>0</v>
      </c>
      <c r="W8" s="7">
        <v>0</v>
      </c>
      <c r="X8" s="7">
        <v>1</v>
      </c>
      <c r="Y8" s="7">
        <v>1.5</v>
      </c>
      <c r="Z8" s="7">
        <v>1</v>
      </c>
      <c r="AA8" s="7">
        <v>1</v>
      </c>
      <c r="AB8" s="7">
        <v>0</v>
      </c>
      <c r="AC8" s="7">
        <v>0</v>
      </c>
      <c r="AD8" s="7">
        <v>1</v>
      </c>
      <c r="AE8" s="7">
        <v>1.5</v>
      </c>
      <c r="AF8" s="7">
        <v>1.5</v>
      </c>
      <c r="AG8" s="7">
        <f t="shared" si="0"/>
        <v>22.5</v>
      </c>
      <c r="AI8" s="15">
        <f t="shared" si="1"/>
        <v>1095.9878682842289</v>
      </c>
      <c r="AJ8" s="16">
        <f t="shared" si="2"/>
        <v>1965</v>
      </c>
      <c r="AK8" s="15">
        <f t="shared" si="7"/>
        <v>869.01213171577115</v>
      </c>
      <c r="AL8" s="16">
        <f t="shared" si="3"/>
        <v>4307.5</v>
      </c>
      <c r="AM8" s="15">
        <f t="shared" si="4"/>
        <v>3438.4878682842291</v>
      </c>
      <c r="AN8" s="15">
        <v>-44.579435489804801</v>
      </c>
      <c r="AO8" s="15">
        <f t="shared" si="5"/>
        <v>3483.0673037740339</v>
      </c>
      <c r="AP8" s="6">
        <f>4000</f>
        <v>4000</v>
      </c>
      <c r="AQ8" s="17">
        <v>44201</v>
      </c>
      <c r="AR8" s="15">
        <f>AP8-AO8-1390-45</f>
        <v>-918.06730377403392</v>
      </c>
      <c r="AT8" s="25">
        <f>AR8+1390+45</f>
        <v>516.93269622596608</v>
      </c>
    </row>
    <row r="9" spans="1:46" x14ac:dyDescent="0.3">
      <c r="A9" s="2">
        <v>5</v>
      </c>
      <c r="B9" s="3" t="s">
        <v>7</v>
      </c>
      <c r="C9" s="7">
        <v>0.5</v>
      </c>
      <c r="D9" s="7">
        <v>1</v>
      </c>
      <c r="E9" s="7">
        <v>1</v>
      </c>
      <c r="F9" s="7">
        <v>1</v>
      </c>
      <c r="G9" s="7">
        <v>1.5</v>
      </c>
      <c r="H9" s="7">
        <v>2.5</v>
      </c>
      <c r="I9" s="7">
        <v>1.5</v>
      </c>
      <c r="J9" s="7">
        <v>1.5</v>
      </c>
      <c r="K9" s="7">
        <v>1.5</v>
      </c>
      <c r="L9" s="7">
        <v>1.5</v>
      </c>
      <c r="M9" s="7">
        <v>1.5</v>
      </c>
      <c r="N9" s="7">
        <v>1.5</v>
      </c>
      <c r="O9" s="7">
        <v>2.5</v>
      </c>
      <c r="P9" s="7">
        <v>2.5</v>
      </c>
      <c r="Q9" s="7">
        <v>1.5</v>
      </c>
      <c r="R9" s="7">
        <v>0.5</v>
      </c>
      <c r="S9" s="7">
        <v>1</v>
      </c>
      <c r="T9" s="7">
        <v>1.5</v>
      </c>
      <c r="U9" s="7">
        <v>1.5</v>
      </c>
      <c r="V9" s="7">
        <v>2.5</v>
      </c>
      <c r="W9" s="7">
        <v>0</v>
      </c>
      <c r="X9" s="7">
        <v>1.5</v>
      </c>
      <c r="Y9" s="7">
        <v>2.5</v>
      </c>
      <c r="Z9" s="7">
        <v>2.5</v>
      </c>
      <c r="AA9" s="7">
        <v>3.5</v>
      </c>
      <c r="AB9" s="7">
        <v>3</v>
      </c>
      <c r="AC9" s="7">
        <v>2.5</v>
      </c>
      <c r="AD9" s="7">
        <v>3.5</v>
      </c>
      <c r="AE9" s="7">
        <v>1.5</v>
      </c>
      <c r="AF9" s="7">
        <v>1.5</v>
      </c>
      <c r="AG9" s="7">
        <f t="shared" si="0"/>
        <v>52</v>
      </c>
      <c r="AI9" s="15">
        <f t="shared" si="1"/>
        <v>2532.9497400346622</v>
      </c>
      <c r="AJ9" s="16">
        <f t="shared" si="2"/>
        <v>1000</v>
      </c>
      <c r="AK9" s="15">
        <f t="shared" si="7"/>
        <v>-1532.9497400346622</v>
      </c>
      <c r="AL9" s="16">
        <f t="shared" si="3"/>
        <v>4557.5</v>
      </c>
      <c r="AM9" s="15">
        <f t="shared" si="4"/>
        <v>6090.4497400346627</v>
      </c>
      <c r="AN9" s="15">
        <v>237.69945093533499</v>
      </c>
      <c r="AO9" s="15">
        <f t="shared" si="5"/>
        <v>5852.7502890993273</v>
      </c>
      <c r="AP9" s="6">
        <f>5000</f>
        <v>5000</v>
      </c>
      <c r="AQ9" s="17">
        <v>44188</v>
      </c>
      <c r="AR9" s="15">
        <f t="shared" si="6"/>
        <v>-852.75028909932735</v>
      </c>
    </row>
    <row r="10" spans="1:46" x14ac:dyDescent="0.3">
      <c r="A10" s="2">
        <v>6</v>
      </c>
      <c r="B10" s="3" t="s">
        <v>8</v>
      </c>
      <c r="C10" s="7">
        <v>1.5</v>
      </c>
      <c r="D10" s="7">
        <v>2</v>
      </c>
      <c r="E10" s="7">
        <v>1</v>
      </c>
      <c r="F10" s="7">
        <v>1</v>
      </c>
      <c r="G10" s="7">
        <v>2.5</v>
      </c>
      <c r="H10" s="7">
        <v>2.5</v>
      </c>
      <c r="I10" s="7">
        <v>2.5</v>
      </c>
      <c r="J10" s="7">
        <v>2</v>
      </c>
      <c r="K10" s="7">
        <v>2.5</v>
      </c>
      <c r="L10" s="7">
        <v>2.5</v>
      </c>
      <c r="M10" s="7">
        <v>2.5</v>
      </c>
      <c r="N10" s="7">
        <v>4.5</v>
      </c>
      <c r="O10" s="7">
        <v>2.5</v>
      </c>
      <c r="P10" s="7">
        <v>4.5</v>
      </c>
      <c r="Q10" s="7">
        <v>5.5</v>
      </c>
      <c r="R10" s="7">
        <v>4.5</v>
      </c>
      <c r="S10" s="7">
        <v>3.5</v>
      </c>
      <c r="T10" s="7">
        <v>2.5</v>
      </c>
      <c r="U10" s="7">
        <v>2.5</v>
      </c>
      <c r="V10" s="7">
        <v>2.5</v>
      </c>
      <c r="W10" s="7">
        <v>1</v>
      </c>
      <c r="X10" s="7">
        <v>2.5</v>
      </c>
      <c r="Y10" s="7">
        <v>2.5</v>
      </c>
      <c r="Z10" s="7">
        <v>2.5</v>
      </c>
      <c r="AA10" s="7">
        <v>2.5</v>
      </c>
      <c r="AB10" s="7">
        <v>2.5</v>
      </c>
      <c r="AC10" s="7">
        <v>2</v>
      </c>
      <c r="AD10" s="7">
        <v>2</v>
      </c>
      <c r="AE10" s="7">
        <v>5.5</v>
      </c>
      <c r="AF10" s="7">
        <v>2.5</v>
      </c>
      <c r="AG10" s="7">
        <f t="shared" si="0"/>
        <v>80.5</v>
      </c>
      <c r="AI10" s="15">
        <f t="shared" si="1"/>
        <v>3921.201039861352</v>
      </c>
      <c r="AJ10" s="16">
        <f t="shared" si="2"/>
        <v>2115</v>
      </c>
      <c r="AK10" s="15">
        <f t="shared" si="7"/>
        <v>-1806.201039861352</v>
      </c>
      <c r="AL10" s="16">
        <f t="shared" si="3"/>
        <v>4557.5</v>
      </c>
      <c r="AM10" s="15">
        <f t="shared" si="4"/>
        <v>6363.701039861352</v>
      </c>
      <c r="AN10" s="15">
        <v>229</v>
      </c>
      <c r="AO10" s="15">
        <f t="shared" si="5"/>
        <v>6134.701039861352</v>
      </c>
      <c r="AP10" s="6">
        <v>6000</v>
      </c>
      <c r="AQ10" s="17">
        <v>44215</v>
      </c>
      <c r="AR10" s="15">
        <f t="shared" si="6"/>
        <v>-134.701039861352</v>
      </c>
    </row>
    <row r="11" spans="1:46" x14ac:dyDescent="0.3">
      <c r="A11" s="1"/>
      <c r="B11" s="1"/>
      <c r="C11" s="7">
        <f>SUM(C5:C10)</f>
        <v>4.5</v>
      </c>
      <c r="D11" s="7">
        <f t="shared" ref="D11:AF11" si="8">SUM(D5:D10)</f>
        <v>6.5</v>
      </c>
      <c r="E11" s="7">
        <f t="shared" si="8"/>
        <v>5</v>
      </c>
      <c r="F11" s="7">
        <f t="shared" si="8"/>
        <v>5</v>
      </c>
      <c r="G11" s="7">
        <f t="shared" si="8"/>
        <v>9.5</v>
      </c>
      <c r="H11" s="7">
        <f t="shared" si="8"/>
        <v>10.5</v>
      </c>
      <c r="I11" s="7">
        <f t="shared" si="8"/>
        <v>9.5</v>
      </c>
      <c r="J11" s="7">
        <f t="shared" si="8"/>
        <v>9</v>
      </c>
      <c r="K11" s="7">
        <f t="shared" si="8"/>
        <v>11</v>
      </c>
      <c r="L11" s="7">
        <f t="shared" si="8"/>
        <v>11.5</v>
      </c>
      <c r="M11" s="7">
        <f t="shared" si="8"/>
        <v>8</v>
      </c>
      <c r="N11" s="7">
        <f t="shared" si="8"/>
        <v>8.5</v>
      </c>
      <c r="O11" s="7">
        <f t="shared" si="8"/>
        <v>7.5</v>
      </c>
      <c r="P11" s="7">
        <f t="shared" si="8"/>
        <v>9.5</v>
      </c>
      <c r="Q11" s="7">
        <f t="shared" si="8"/>
        <v>14</v>
      </c>
      <c r="R11" s="7">
        <f t="shared" si="8"/>
        <v>13.5</v>
      </c>
      <c r="S11" s="7">
        <f t="shared" si="8"/>
        <v>9.5</v>
      </c>
      <c r="T11" s="7">
        <f t="shared" si="8"/>
        <v>11.5</v>
      </c>
      <c r="U11" s="7">
        <f t="shared" si="8"/>
        <v>9.5</v>
      </c>
      <c r="V11" s="7">
        <f t="shared" si="8"/>
        <v>9.5</v>
      </c>
      <c r="W11" s="7">
        <f t="shared" si="8"/>
        <v>2</v>
      </c>
      <c r="X11" s="7">
        <f t="shared" si="8"/>
        <v>9.5</v>
      </c>
      <c r="Y11" s="7">
        <f t="shared" si="8"/>
        <v>12.5</v>
      </c>
      <c r="Z11" s="7">
        <f t="shared" si="8"/>
        <v>11.5</v>
      </c>
      <c r="AA11" s="7">
        <f t="shared" si="8"/>
        <v>10</v>
      </c>
      <c r="AB11" s="7">
        <f t="shared" si="8"/>
        <v>13</v>
      </c>
      <c r="AC11" s="7">
        <f t="shared" si="8"/>
        <v>10</v>
      </c>
      <c r="AD11" s="7">
        <f t="shared" si="8"/>
        <v>11</v>
      </c>
      <c r="AE11" s="7">
        <f t="shared" si="8"/>
        <v>14</v>
      </c>
      <c r="AF11" s="7">
        <f t="shared" si="8"/>
        <v>12</v>
      </c>
      <c r="AG11" s="7">
        <f>SUM(AG5:AG10)</f>
        <v>288.5</v>
      </c>
      <c r="AI11" s="15">
        <f t="shared" ref="AI11:AP11" si="9">SUM(AI5:AI10)</f>
        <v>14053</v>
      </c>
      <c r="AJ11" s="16">
        <f t="shared" si="9"/>
        <v>14053</v>
      </c>
      <c r="AK11" s="16">
        <f t="shared" si="9"/>
        <v>0</v>
      </c>
      <c r="AL11" s="16">
        <f t="shared" si="9"/>
        <v>26845</v>
      </c>
      <c r="AM11" s="16">
        <f t="shared" si="9"/>
        <v>26845.000000000004</v>
      </c>
      <c r="AN11" s="16">
        <f t="shared" si="9"/>
        <v>154.29286057875396</v>
      </c>
      <c r="AO11" s="16">
        <f t="shared" si="9"/>
        <v>26690.707139421251</v>
      </c>
      <c r="AP11" s="16">
        <f t="shared" si="9"/>
        <v>26220</v>
      </c>
      <c r="AQ11" s="16"/>
      <c r="AR11" s="16">
        <f>SUM(AR5:AR10)</f>
        <v>-1905.7071394212476</v>
      </c>
    </row>
    <row r="13" spans="1:46" x14ac:dyDescent="0.3">
      <c r="B13" s="10" t="s">
        <v>10</v>
      </c>
    </row>
    <row r="14" spans="1:46" x14ac:dyDescent="0.3">
      <c r="A14" s="2">
        <v>1</v>
      </c>
      <c r="B14" s="3" t="s">
        <v>4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3510</v>
      </c>
      <c r="Q14" s="8">
        <v>0</v>
      </c>
      <c r="R14" s="8">
        <v>0</v>
      </c>
      <c r="S14" s="8">
        <v>263</v>
      </c>
      <c r="T14" s="8">
        <v>0</v>
      </c>
      <c r="U14" s="8">
        <v>0</v>
      </c>
      <c r="V14" s="8">
        <v>0</v>
      </c>
      <c r="W14" s="8">
        <v>0</v>
      </c>
      <c r="X14" s="8">
        <v>0</v>
      </c>
      <c r="Y14" s="8">
        <v>0</v>
      </c>
      <c r="Z14" s="8">
        <v>0</v>
      </c>
      <c r="AA14" s="8">
        <v>0</v>
      </c>
      <c r="AB14" s="8">
        <v>0</v>
      </c>
      <c r="AC14" s="8">
        <v>0</v>
      </c>
      <c r="AD14" s="8">
        <v>0</v>
      </c>
      <c r="AE14" s="8">
        <v>0</v>
      </c>
      <c r="AF14" s="8">
        <v>0</v>
      </c>
      <c r="AG14" s="8">
        <f>SUM(C14:AF14)</f>
        <v>3773</v>
      </c>
      <c r="AO14" s="25"/>
    </row>
    <row r="15" spans="1:46" x14ac:dyDescent="0.3">
      <c r="A15" s="2">
        <v>2</v>
      </c>
      <c r="B15" s="3" t="s">
        <v>5</v>
      </c>
      <c r="C15" s="8">
        <v>2650</v>
      </c>
      <c r="D15" s="8">
        <v>0</v>
      </c>
      <c r="E15" s="8">
        <v>0</v>
      </c>
      <c r="F15" s="8">
        <v>0</v>
      </c>
      <c r="G15" s="8">
        <v>390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 s="8">
        <v>0</v>
      </c>
      <c r="V15" s="8">
        <v>0</v>
      </c>
      <c r="W15" s="8">
        <v>0</v>
      </c>
      <c r="X15" s="8">
        <v>0</v>
      </c>
      <c r="Y15" s="8">
        <v>0</v>
      </c>
      <c r="Z15" s="8">
        <v>0</v>
      </c>
      <c r="AA15" s="8">
        <v>1380</v>
      </c>
      <c r="AB15" s="8">
        <v>510</v>
      </c>
      <c r="AC15" s="8">
        <v>0</v>
      </c>
      <c r="AD15" s="8">
        <v>270</v>
      </c>
      <c r="AE15" s="8">
        <v>0</v>
      </c>
      <c r="AF15" s="8">
        <v>0</v>
      </c>
      <c r="AG15" s="8">
        <f t="shared" ref="AG15:AG19" si="10">SUM(C15:AF15)</f>
        <v>5200</v>
      </c>
      <c r="AR15" s="25"/>
      <c r="AS15" s="25"/>
    </row>
    <row r="16" spans="1:46" x14ac:dyDescent="0.3">
      <c r="A16" s="2">
        <v>3</v>
      </c>
      <c r="B16" s="3" t="s">
        <v>6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  <c r="U16" s="8">
        <v>0</v>
      </c>
      <c r="V16" s="8">
        <v>0</v>
      </c>
      <c r="W16" s="8">
        <v>0</v>
      </c>
      <c r="X16" s="8">
        <v>0</v>
      </c>
      <c r="Y16" s="8">
        <v>0</v>
      </c>
      <c r="Z16" s="8">
        <v>0</v>
      </c>
      <c r="AA16" s="8">
        <v>0</v>
      </c>
      <c r="AB16" s="8">
        <v>0</v>
      </c>
      <c r="AC16" s="8">
        <v>0</v>
      </c>
      <c r="AD16" s="8">
        <v>0</v>
      </c>
      <c r="AE16" s="8">
        <v>0</v>
      </c>
      <c r="AF16" s="8">
        <v>0</v>
      </c>
      <c r="AG16" s="8">
        <f t="shared" si="10"/>
        <v>0</v>
      </c>
      <c r="AO16" s="25"/>
      <c r="AR16" s="25"/>
      <c r="AS16" s="25"/>
    </row>
    <row r="17" spans="1:45" x14ac:dyDescent="0.3">
      <c r="A17" s="2">
        <v>4</v>
      </c>
      <c r="B17" s="3" t="s">
        <v>3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360</v>
      </c>
      <c r="K17" s="8">
        <v>900</v>
      </c>
      <c r="L17" s="8">
        <v>285</v>
      </c>
      <c r="M17" s="8">
        <v>420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</v>
      </c>
      <c r="U17" s="8">
        <v>0</v>
      </c>
      <c r="V17" s="8">
        <v>0</v>
      </c>
      <c r="W17" s="8">
        <v>0</v>
      </c>
      <c r="X17" s="8">
        <v>0</v>
      </c>
      <c r="Y17" s="8">
        <v>0</v>
      </c>
      <c r="Z17" s="8">
        <v>0</v>
      </c>
      <c r="AA17" s="8">
        <v>0</v>
      </c>
      <c r="AB17" s="8">
        <v>0</v>
      </c>
      <c r="AC17" s="8">
        <v>0</v>
      </c>
      <c r="AD17" s="8">
        <v>0</v>
      </c>
      <c r="AE17" s="8">
        <v>0</v>
      </c>
      <c r="AF17" s="8">
        <v>0</v>
      </c>
      <c r="AG17" s="8">
        <f t="shared" si="10"/>
        <v>1965</v>
      </c>
    </row>
    <row r="18" spans="1:45" x14ac:dyDescent="0.3">
      <c r="A18" s="2">
        <v>5</v>
      </c>
      <c r="B18" s="3" t="s">
        <v>7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  <c r="T18" s="8">
        <v>0</v>
      </c>
      <c r="U18" s="8">
        <v>0</v>
      </c>
      <c r="V18" s="8">
        <v>0</v>
      </c>
      <c r="W18" s="8">
        <v>0</v>
      </c>
      <c r="X18" s="8">
        <v>0</v>
      </c>
      <c r="Y18" s="8">
        <v>1000</v>
      </c>
      <c r="Z18" s="8">
        <v>0</v>
      </c>
      <c r="AA18" s="8">
        <v>0</v>
      </c>
      <c r="AB18" s="8">
        <v>0</v>
      </c>
      <c r="AC18" s="8">
        <v>0</v>
      </c>
      <c r="AD18" s="8">
        <v>0</v>
      </c>
      <c r="AE18" s="8">
        <v>0</v>
      </c>
      <c r="AF18" s="8">
        <v>0</v>
      </c>
      <c r="AG18" s="8">
        <f t="shared" si="10"/>
        <v>1000</v>
      </c>
      <c r="AS18" s="25"/>
    </row>
    <row r="19" spans="1:45" x14ac:dyDescent="0.3">
      <c r="A19" s="2">
        <v>6</v>
      </c>
      <c r="B19" s="3" t="s">
        <v>8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655</v>
      </c>
      <c r="R19" s="8">
        <v>30</v>
      </c>
      <c r="S19" s="8">
        <v>0</v>
      </c>
      <c r="T19" s="8">
        <v>0</v>
      </c>
      <c r="U19" s="8">
        <v>1150</v>
      </c>
      <c r="V19" s="8">
        <v>90</v>
      </c>
      <c r="W19" s="8">
        <v>0</v>
      </c>
      <c r="X19" s="8">
        <v>190</v>
      </c>
      <c r="Y19" s="8">
        <v>0</v>
      </c>
      <c r="Z19" s="8">
        <v>0</v>
      </c>
      <c r="AA19" s="8">
        <v>0</v>
      </c>
      <c r="AB19" s="8">
        <v>0</v>
      </c>
      <c r="AC19" s="8">
        <v>0</v>
      </c>
      <c r="AD19" s="8">
        <v>0</v>
      </c>
      <c r="AE19" s="8">
        <v>0</v>
      </c>
      <c r="AF19" s="8">
        <v>0</v>
      </c>
      <c r="AG19" s="8">
        <f t="shared" si="10"/>
        <v>2115</v>
      </c>
    </row>
    <row r="20" spans="1:45" x14ac:dyDescent="0.3">
      <c r="AG20" s="9">
        <f>SUM(AG14:AG19)</f>
        <v>14053</v>
      </c>
    </row>
    <row r="21" spans="1:45" x14ac:dyDescent="0.3">
      <c r="A21" s="4"/>
      <c r="B21" s="13" t="s">
        <v>9</v>
      </c>
      <c r="C21" s="4" t="s">
        <v>11</v>
      </c>
      <c r="D21" s="4" t="s">
        <v>12</v>
      </c>
      <c r="E21" s="4" t="s">
        <v>13</v>
      </c>
      <c r="F21" s="4" t="s">
        <v>14</v>
      </c>
      <c r="G21" s="4" t="s">
        <v>15</v>
      </c>
      <c r="H21" s="4" t="s">
        <v>16</v>
      </c>
      <c r="I21" s="4" t="s">
        <v>17</v>
      </c>
      <c r="J21" s="4" t="s">
        <v>18</v>
      </c>
      <c r="K21" s="4" t="s">
        <v>19</v>
      </c>
      <c r="L21" s="4" t="s">
        <v>20</v>
      </c>
      <c r="M21" s="4" t="s">
        <v>21</v>
      </c>
      <c r="N21" s="4" t="s">
        <v>22</v>
      </c>
    </row>
    <row r="22" spans="1:45" x14ac:dyDescent="0.3">
      <c r="A22" s="2">
        <v>1</v>
      </c>
      <c r="B22" s="12" t="s">
        <v>4</v>
      </c>
      <c r="C22" s="8">
        <f>H31</f>
        <v>3166.6666666666665</v>
      </c>
      <c r="D22" s="8">
        <f>$D$28/6</f>
        <v>433.33333333333331</v>
      </c>
      <c r="E22" s="8">
        <f>$E$28/6</f>
        <v>0</v>
      </c>
      <c r="F22" s="8">
        <f>$F$28/6</f>
        <v>166.66666666666666</v>
      </c>
      <c r="G22" s="8">
        <f>$G$28/6</f>
        <v>162.5</v>
      </c>
      <c r="H22" s="8">
        <f>$H$28/6</f>
        <v>300</v>
      </c>
      <c r="I22" s="8">
        <f>$I$28/6</f>
        <v>266.66666666666669</v>
      </c>
      <c r="J22" s="8">
        <f>$J$28/6</f>
        <v>41.666666666666664</v>
      </c>
      <c r="K22" s="8">
        <f>$K$28/6</f>
        <v>0</v>
      </c>
      <c r="L22" s="8">
        <f>$L$28/6</f>
        <v>20</v>
      </c>
      <c r="M22" s="8">
        <f>$M$28/6</f>
        <v>0</v>
      </c>
      <c r="N22" s="8">
        <f>SUM(C22:M22)</f>
        <v>4557.5</v>
      </c>
    </row>
    <row r="23" spans="1:45" x14ac:dyDescent="0.3">
      <c r="A23" s="2">
        <v>2</v>
      </c>
      <c r="B23" s="12" t="s">
        <v>5</v>
      </c>
      <c r="C23" s="8">
        <f>H32</f>
        <v>3166.6666666666665</v>
      </c>
      <c r="D23" s="8">
        <f t="shared" ref="D23:D27" si="11">$D$28/6</f>
        <v>433.33333333333331</v>
      </c>
      <c r="E23" s="8">
        <f t="shared" ref="E23:E27" si="12">$E$28/6</f>
        <v>0</v>
      </c>
      <c r="F23" s="8">
        <f t="shared" ref="F23:F27" si="13">$F$28/6</f>
        <v>166.66666666666666</v>
      </c>
      <c r="G23" s="8">
        <f t="shared" ref="G23:G27" si="14">$G$28/6</f>
        <v>162.5</v>
      </c>
      <c r="H23" s="8">
        <f t="shared" ref="H23:H27" si="15">$H$28/6</f>
        <v>300</v>
      </c>
      <c r="I23" s="8">
        <f t="shared" ref="I23:I27" si="16">$I$28/6</f>
        <v>266.66666666666669</v>
      </c>
      <c r="J23" s="8">
        <f t="shared" ref="J23:J27" si="17">$J$28/6</f>
        <v>41.666666666666664</v>
      </c>
      <c r="K23" s="8">
        <f t="shared" ref="K23:K27" si="18">$K$28/6</f>
        <v>0</v>
      </c>
      <c r="L23" s="8">
        <f t="shared" ref="L23:L27" si="19">$L$28/6</f>
        <v>20</v>
      </c>
      <c r="M23" s="8">
        <f t="shared" ref="M23:M27" si="20">$M$28/6</f>
        <v>0</v>
      </c>
      <c r="N23" s="8">
        <f t="shared" ref="N23:N27" si="21">SUM(C23:M23)</f>
        <v>4557.5</v>
      </c>
    </row>
    <row r="24" spans="1:45" x14ac:dyDescent="0.3">
      <c r="A24" s="2">
        <v>3</v>
      </c>
      <c r="B24" s="12" t="s">
        <v>6</v>
      </c>
      <c r="C24" s="8">
        <f>H33</f>
        <v>2916.6666666666665</v>
      </c>
      <c r="D24" s="8">
        <f t="shared" si="11"/>
        <v>433.33333333333331</v>
      </c>
      <c r="E24" s="8">
        <f t="shared" si="12"/>
        <v>0</v>
      </c>
      <c r="F24" s="8">
        <f t="shared" si="13"/>
        <v>166.66666666666666</v>
      </c>
      <c r="G24" s="8">
        <f t="shared" si="14"/>
        <v>162.5</v>
      </c>
      <c r="H24" s="8">
        <f t="shared" si="15"/>
        <v>300</v>
      </c>
      <c r="I24" s="8">
        <f t="shared" si="16"/>
        <v>266.66666666666669</v>
      </c>
      <c r="J24" s="8">
        <f t="shared" si="17"/>
        <v>41.666666666666664</v>
      </c>
      <c r="K24" s="8">
        <f t="shared" si="18"/>
        <v>0</v>
      </c>
      <c r="L24" s="8">
        <f t="shared" si="19"/>
        <v>20</v>
      </c>
      <c r="M24" s="8">
        <f t="shared" si="20"/>
        <v>0</v>
      </c>
      <c r="N24" s="8">
        <f t="shared" si="21"/>
        <v>4307.5</v>
      </c>
    </row>
    <row r="25" spans="1:45" x14ac:dyDescent="0.3">
      <c r="A25" s="2">
        <v>4</v>
      </c>
      <c r="B25" s="12" t="s">
        <v>3</v>
      </c>
      <c r="C25" s="8">
        <f>H33</f>
        <v>2916.6666666666665</v>
      </c>
      <c r="D25" s="8">
        <f t="shared" si="11"/>
        <v>433.33333333333331</v>
      </c>
      <c r="E25" s="8">
        <f t="shared" si="12"/>
        <v>0</v>
      </c>
      <c r="F25" s="8">
        <f t="shared" si="13"/>
        <v>166.66666666666666</v>
      </c>
      <c r="G25" s="8">
        <f t="shared" si="14"/>
        <v>162.5</v>
      </c>
      <c r="H25" s="8">
        <f t="shared" si="15"/>
        <v>300</v>
      </c>
      <c r="I25" s="8">
        <f t="shared" si="16"/>
        <v>266.66666666666669</v>
      </c>
      <c r="J25" s="8">
        <f t="shared" si="17"/>
        <v>41.666666666666664</v>
      </c>
      <c r="K25" s="8">
        <f t="shared" si="18"/>
        <v>0</v>
      </c>
      <c r="L25" s="8">
        <f t="shared" si="19"/>
        <v>20</v>
      </c>
      <c r="M25" s="8">
        <f t="shared" si="20"/>
        <v>0</v>
      </c>
      <c r="N25" s="8">
        <f t="shared" si="21"/>
        <v>4307.5</v>
      </c>
    </row>
    <row r="26" spans="1:45" x14ac:dyDescent="0.3">
      <c r="A26" s="2">
        <v>5</v>
      </c>
      <c r="B26" s="12" t="s">
        <v>7</v>
      </c>
      <c r="C26" s="8">
        <f>H32</f>
        <v>3166.6666666666665</v>
      </c>
      <c r="D26" s="8">
        <f t="shared" si="11"/>
        <v>433.33333333333331</v>
      </c>
      <c r="E26" s="8">
        <f t="shared" si="12"/>
        <v>0</v>
      </c>
      <c r="F26" s="8">
        <f t="shared" si="13"/>
        <v>166.66666666666666</v>
      </c>
      <c r="G26" s="8">
        <f t="shared" si="14"/>
        <v>162.5</v>
      </c>
      <c r="H26" s="8">
        <f t="shared" si="15"/>
        <v>300</v>
      </c>
      <c r="I26" s="8">
        <f t="shared" si="16"/>
        <v>266.66666666666669</v>
      </c>
      <c r="J26" s="8">
        <f t="shared" si="17"/>
        <v>41.666666666666664</v>
      </c>
      <c r="K26" s="8">
        <f t="shared" si="18"/>
        <v>0</v>
      </c>
      <c r="L26" s="8">
        <f t="shared" si="19"/>
        <v>20</v>
      </c>
      <c r="M26" s="8">
        <f t="shared" si="20"/>
        <v>0</v>
      </c>
      <c r="N26" s="8">
        <f t="shared" si="21"/>
        <v>4557.5</v>
      </c>
    </row>
    <row r="27" spans="1:45" x14ac:dyDescent="0.3">
      <c r="A27" s="2">
        <v>6</v>
      </c>
      <c r="B27" s="12" t="s">
        <v>8</v>
      </c>
      <c r="C27" s="8">
        <f>H32</f>
        <v>3166.6666666666665</v>
      </c>
      <c r="D27" s="8">
        <f t="shared" si="11"/>
        <v>433.33333333333331</v>
      </c>
      <c r="E27" s="8">
        <f t="shared" si="12"/>
        <v>0</v>
      </c>
      <c r="F27" s="8">
        <f t="shared" si="13"/>
        <v>166.66666666666666</v>
      </c>
      <c r="G27" s="8">
        <f t="shared" si="14"/>
        <v>162.5</v>
      </c>
      <c r="H27" s="8">
        <f t="shared" si="15"/>
        <v>300</v>
      </c>
      <c r="I27" s="8">
        <f t="shared" si="16"/>
        <v>266.66666666666669</v>
      </c>
      <c r="J27" s="8">
        <f t="shared" si="17"/>
        <v>41.666666666666664</v>
      </c>
      <c r="K27" s="8">
        <f t="shared" si="18"/>
        <v>0</v>
      </c>
      <c r="L27" s="8">
        <f t="shared" si="19"/>
        <v>20</v>
      </c>
      <c r="M27" s="8">
        <f t="shared" si="20"/>
        <v>0</v>
      </c>
      <c r="N27" s="8">
        <f t="shared" si="21"/>
        <v>4557.5</v>
      </c>
    </row>
    <row r="28" spans="1:45" x14ac:dyDescent="0.3">
      <c r="C28" s="8">
        <f>SUM(C22:C27)</f>
        <v>18500</v>
      </c>
      <c r="D28" s="8">
        <f>2600</f>
        <v>2600</v>
      </c>
      <c r="E28" s="8">
        <f>0</f>
        <v>0</v>
      </c>
      <c r="F28" s="8">
        <f>1000</f>
        <v>1000</v>
      </c>
      <c r="G28" s="8">
        <f>975</f>
        <v>975</v>
      </c>
      <c r="H28" s="14">
        <f>1800</f>
        <v>1800</v>
      </c>
      <c r="I28" s="14">
        <f>1600</f>
        <v>1600</v>
      </c>
      <c r="J28" s="8">
        <f>250</f>
        <v>250</v>
      </c>
      <c r="K28" s="8">
        <f>0</f>
        <v>0</v>
      </c>
      <c r="L28" s="8">
        <f>120</f>
        <v>120</v>
      </c>
      <c r="M28" s="8">
        <f>0</f>
        <v>0</v>
      </c>
      <c r="N28" s="8">
        <f>SUM(N22:N27)</f>
        <v>26845</v>
      </c>
    </row>
    <row r="31" spans="1:45" x14ac:dyDescent="0.3">
      <c r="D31" s="1">
        <v>6000</v>
      </c>
      <c r="E31" s="1">
        <v>2</v>
      </c>
      <c r="F31" s="1">
        <f>D31/E31</f>
        <v>3000</v>
      </c>
      <c r="G31" s="1">
        <f>(500+500)/6</f>
        <v>166.66666666666666</v>
      </c>
      <c r="H31" s="11">
        <f>F31+G31</f>
        <v>3166.6666666666665</v>
      </c>
      <c r="I31" s="11">
        <f>H31*E31</f>
        <v>6333.333333333333</v>
      </c>
    </row>
    <row r="32" spans="1:45" x14ac:dyDescent="0.3">
      <c r="D32" s="1">
        <v>6000</v>
      </c>
      <c r="E32" s="1">
        <v>2</v>
      </c>
      <c r="F32" s="1">
        <f t="shared" ref="F32:F33" si="22">D32/E32</f>
        <v>3000</v>
      </c>
      <c r="G32" s="1">
        <f t="shared" ref="G32:G33" si="23">(500+500)/6</f>
        <v>166.66666666666666</v>
      </c>
      <c r="H32" s="11">
        <f t="shared" ref="H32:H33" si="24">F32+G32</f>
        <v>3166.6666666666665</v>
      </c>
      <c r="I32" s="11">
        <f t="shared" ref="I32:I33" si="25">H32*E32</f>
        <v>6333.333333333333</v>
      </c>
    </row>
    <row r="33" spans="4:9" x14ac:dyDescent="0.3">
      <c r="D33" s="1">
        <v>5500</v>
      </c>
      <c r="E33" s="1">
        <v>2</v>
      </c>
      <c r="F33" s="1">
        <f t="shared" si="22"/>
        <v>2750</v>
      </c>
      <c r="G33" s="1">
        <f t="shared" si="23"/>
        <v>166.66666666666666</v>
      </c>
      <c r="H33" s="11">
        <f t="shared" si="24"/>
        <v>2916.6666666666665</v>
      </c>
      <c r="I33" s="11">
        <f t="shared" si="25"/>
        <v>5833.333333333333</v>
      </c>
    </row>
    <row r="34" spans="4:9" x14ac:dyDescent="0.3">
      <c r="D34" s="1">
        <f>SUM(D31:D33)</f>
        <v>17500</v>
      </c>
      <c r="E34" s="1"/>
      <c r="F34" s="1"/>
      <c r="G34" s="1"/>
      <c r="H34" s="1"/>
      <c r="I34" s="11">
        <f>SUM(I31:I33)</f>
        <v>18500</v>
      </c>
    </row>
  </sheetData>
  <mergeCells count="2">
    <mergeCell ref="E1:F2"/>
    <mergeCell ref="C1:D2"/>
  </mergeCells>
  <pageMargins left="0.7" right="0.7" top="0.75" bottom="0.75" header="0.3" footer="0.3"/>
  <pageSetup orientation="portrait" horizontalDpi="1200" verticalDpi="1200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BD52"/>
  <sheetViews>
    <sheetView showGridLines="0" zoomScale="104" zoomScaleNormal="110" workbookViewId="0">
      <pane xSplit="2" ySplit="4" topLeftCell="AM5" activePane="bottomRight" state="frozen"/>
      <selection pane="topRight" activeCell="C1" sqref="C1"/>
      <selection pane="bottomLeft" activeCell="A5" sqref="A5"/>
      <selection pane="bottomRight" activeCell="AM6" sqref="AM6"/>
    </sheetView>
  </sheetViews>
  <sheetFormatPr defaultRowHeight="14.4" x14ac:dyDescent="0.3"/>
  <cols>
    <col min="1" max="1" width="7" bestFit="1" customWidth="1"/>
    <col min="2" max="2" width="20.109375" bestFit="1" customWidth="1"/>
    <col min="3" max="3" width="9.33203125" bestFit="1" customWidth="1"/>
    <col min="4" max="4" width="9.44140625" customWidth="1"/>
    <col min="5" max="5" width="9.33203125" bestFit="1" customWidth="1"/>
    <col min="6" max="6" width="11.5546875" customWidth="1"/>
    <col min="7" max="7" width="12" bestFit="1" customWidth="1"/>
    <col min="8" max="8" width="12" customWidth="1"/>
    <col min="9" max="9" width="9.6640625" customWidth="1"/>
    <col min="10" max="10" width="9.33203125" bestFit="1" customWidth="1"/>
    <col min="11" max="11" width="10.44140625" customWidth="1"/>
    <col min="12" max="13" width="10.33203125" bestFit="1" customWidth="1"/>
    <col min="14" max="14" width="11.5546875" bestFit="1" customWidth="1"/>
    <col min="15" max="15" width="10.33203125" bestFit="1" customWidth="1"/>
    <col min="16" max="16" width="24.5546875" customWidth="1"/>
    <col min="17" max="19" width="10.33203125" bestFit="1" customWidth="1"/>
    <col min="20" max="20" width="13" customWidth="1"/>
    <col min="21" max="30" width="10.33203125" bestFit="1" customWidth="1"/>
    <col min="31" max="33" width="10.33203125" hidden="1" customWidth="1"/>
    <col min="34" max="34" width="10.33203125" bestFit="1" customWidth="1"/>
    <col min="35" max="35" width="5.88671875" customWidth="1"/>
    <col min="36" max="36" width="7.109375" bestFit="1" customWidth="1"/>
    <col min="37" max="37" width="22.33203125" customWidth="1"/>
    <col min="38" max="38" width="13.109375" customWidth="1"/>
    <col min="39" max="39" width="12.33203125" customWidth="1"/>
    <col min="40" max="40" width="12.5546875" customWidth="1"/>
    <col min="41" max="41" width="12" customWidth="1"/>
    <col min="42" max="42" width="10.33203125" customWidth="1"/>
    <col min="43" max="43" width="13.6640625" customWidth="1"/>
    <col min="44" max="44" width="17.6640625" customWidth="1"/>
    <col min="45" max="45" width="9.44140625" customWidth="1"/>
    <col min="46" max="46" width="10.33203125" customWidth="1"/>
    <col min="47" max="47" width="13.6640625" style="47" customWidth="1"/>
    <col min="48" max="48" width="11.33203125" bestFit="1" customWidth="1"/>
    <col min="49" max="49" width="10.33203125" bestFit="1" customWidth="1"/>
    <col min="50" max="50" width="14.33203125" customWidth="1"/>
    <col min="51" max="51" width="10.109375" bestFit="1" customWidth="1"/>
  </cols>
  <sheetData>
    <row r="1" spans="1:56" ht="14.7" customHeight="1" x14ac:dyDescent="0.3">
      <c r="C1" s="114" t="s">
        <v>159</v>
      </c>
      <c r="D1" s="114"/>
      <c r="E1" s="115">
        <f>AH22/AH12</f>
        <v>55.321178715285143</v>
      </c>
      <c r="F1" s="115"/>
    </row>
    <row r="2" spans="1:56" ht="18.600000000000001" customHeight="1" x14ac:dyDescent="0.3">
      <c r="C2" s="114"/>
      <c r="D2" s="114"/>
      <c r="E2" s="115"/>
      <c r="F2" s="115"/>
    </row>
    <row r="3" spans="1:56" ht="4.95" customHeight="1" x14ac:dyDescent="0.3"/>
    <row r="4" spans="1:56" ht="57.6" x14ac:dyDescent="0.3">
      <c r="A4" s="53" t="s">
        <v>0</v>
      </c>
      <c r="B4" s="53" t="s">
        <v>2</v>
      </c>
      <c r="C4" s="54">
        <v>44593</v>
      </c>
      <c r="D4" s="54">
        <v>44594</v>
      </c>
      <c r="E4" s="54">
        <v>44595</v>
      </c>
      <c r="F4" s="54">
        <v>44596</v>
      </c>
      <c r="G4" s="54">
        <v>44597</v>
      </c>
      <c r="H4" s="54">
        <v>44598</v>
      </c>
      <c r="I4" s="54">
        <v>44599</v>
      </c>
      <c r="J4" s="54">
        <v>44600</v>
      </c>
      <c r="K4" s="54">
        <v>44601</v>
      </c>
      <c r="L4" s="54">
        <v>44602</v>
      </c>
      <c r="M4" s="54">
        <v>44603</v>
      </c>
      <c r="N4" s="54">
        <v>44604</v>
      </c>
      <c r="O4" s="54">
        <v>44605</v>
      </c>
      <c r="P4" s="54">
        <v>44606</v>
      </c>
      <c r="Q4" s="54">
        <v>44607</v>
      </c>
      <c r="R4" s="54">
        <v>44608</v>
      </c>
      <c r="S4" s="54">
        <v>44609</v>
      </c>
      <c r="T4" s="54">
        <v>44610</v>
      </c>
      <c r="U4" s="54">
        <v>44611</v>
      </c>
      <c r="V4" s="54">
        <v>44612</v>
      </c>
      <c r="W4" s="54">
        <v>44613</v>
      </c>
      <c r="X4" s="54">
        <v>44614</v>
      </c>
      <c r="Y4" s="54">
        <v>44615</v>
      </c>
      <c r="Z4" s="54">
        <v>44616</v>
      </c>
      <c r="AA4" s="54">
        <v>44617</v>
      </c>
      <c r="AB4" s="54">
        <v>44618</v>
      </c>
      <c r="AC4" s="54">
        <v>44619</v>
      </c>
      <c r="AD4" s="54">
        <v>44620</v>
      </c>
      <c r="AE4" s="54"/>
      <c r="AF4" s="54"/>
      <c r="AG4" s="54"/>
      <c r="AH4" s="53" t="s">
        <v>1</v>
      </c>
      <c r="AJ4" s="49" t="s">
        <v>0</v>
      </c>
      <c r="AK4" s="81" t="s">
        <v>2</v>
      </c>
      <c r="AL4" s="82" t="s">
        <v>23</v>
      </c>
      <c r="AM4" s="82" t="s">
        <v>24</v>
      </c>
      <c r="AN4" s="82" t="s">
        <v>26</v>
      </c>
      <c r="AO4" s="82" t="s">
        <v>146</v>
      </c>
      <c r="AP4" s="82" t="s">
        <v>27</v>
      </c>
      <c r="AQ4" s="82" t="s">
        <v>30</v>
      </c>
      <c r="AR4" s="82" t="s">
        <v>32</v>
      </c>
      <c r="AS4" s="82" t="s">
        <v>28</v>
      </c>
      <c r="AT4" s="82" t="s">
        <v>29</v>
      </c>
      <c r="AU4" s="82" t="s">
        <v>31</v>
      </c>
      <c r="AV4" s="94" t="s">
        <v>126</v>
      </c>
    </row>
    <row r="5" spans="1:56" x14ac:dyDescent="0.3">
      <c r="A5" s="2">
        <v>1</v>
      </c>
      <c r="B5" s="3" t="s">
        <v>5</v>
      </c>
      <c r="C5" s="7">
        <v>2.5</v>
      </c>
      <c r="D5" s="7">
        <v>1</v>
      </c>
      <c r="E5" s="7">
        <v>1.5</v>
      </c>
      <c r="F5" s="7">
        <v>1.5</v>
      </c>
      <c r="G5" s="7">
        <v>1</v>
      </c>
      <c r="H5" s="7">
        <v>1.5</v>
      </c>
      <c r="I5" s="7">
        <v>1.5</v>
      </c>
      <c r="J5" s="7">
        <v>1.5</v>
      </c>
      <c r="K5" s="7">
        <v>1.5</v>
      </c>
      <c r="L5" s="7">
        <v>1.5</v>
      </c>
      <c r="M5" s="7">
        <v>1.5</v>
      </c>
      <c r="N5" s="7">
        <v>0</v>
      </c>
      <c r="O5" s="7">
        <v>1.5</v>
      </c>
      <c r="P5" s="7">
        <v>1.5</v>
      </c>
      <c r="Q5" s="7">
        <v>1.5</v>
      </c>
      <c r="R5" s="7">
        <v>2.5</v>
      </c>
      <c r="S5" s="7">
        <v>1</v>
      </c>
      <c r="T5" s="7">
        <v>0</v>
      </c>
      <c r="U5" s="7">
        <v>0</v>
      </c>
      <c r="V5" s="7">
        <v>0</v>
      </c>
      <c r="W5" s="7">
        <v>2</v>
      </c>
      <c r="X5" s="7">
        <v>4</v>
      </c>
      <c r="Y5" s="7">
        <v>5</v>
      </c>
      <c r="Z5" s="7">
        <v>5</v>
      </c>
      <c r="AA5" s="7">
        <v>5</v>
      </c>
      <c r="AB5" s="7">
        <v>5</v>
      </c>
      <c r="AC5" s="7">
        <v>2.5</v>
      </c>
      <c r="AD5" s="7">
        <v>0</v>
      </c>
      <c r="AE5" s="7"/>
      <c r="AF5" s="7"/>
      <c r="AG5" s="7"/>
      <c r="AH5" s="56">
        <f>SUM(C5:AG5)</f>
        <v>53</v>
      </c>
      <c r="AJ5" s="2">
        <v>1</v>
      </c>
      <c r="AK5" s="83" t="s">
        <v>5</v>
      </c>
      <c r="AL5" s="8">
        <f>AH5*$E$1</f>
        <v>2932.0224719101125</v>
      </c>
      <c r="AM5" s="8">
        <f>AH15</f>
        <v>3900</v>
      </c>
      <c r="AN5" s="8">
        <f>AM5-AL5</f>
        <v>967.97752808988753</v>
      </c>
      <c r="AO5" s="8">
        <f>N25</f>
        <v>4280.7142857142853</v>
      </c>
      <c r="AP5" s="8">
        <f t="shared" ref="AP5:AP11" si="0">AO5-AN5</f>
        <v>3312.7367576243978</v>
      </c>
      <c r="AQ5" s="40">
        <v>0</v>
      </c>
      <c r="AR5" s="8">
        <f t="shared" ref="AR5:AR11" si="1">AP5-AQ5</f>
        <v>3312.7367576243978</v>
      </c>
      <c r="AS5" s="1">
        <f>500+3000-184</f>
        <v>3316</v>
      </c>
      <c r="AT5" s="95">
        <v>44639</v>
      </c>
      <c r="AU5" s="8">
        <f t="shared" ref="AU5:AU11" si="2">AS5-AR5</f>
        <v>3.2632423756022035</v>
      </c>
      <c r="AV5" s="102">
        <v>3000</v>
      </c>
      <c r="AY5" s="9"/>
    </row>
    <row r="6" spans="1:56" x14ac:dyDescent="0.3">
      <c r="A6" s="2">
        <v>2</v>
      </c>
      <c r="B6" s="3" t="s">
        <v>131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  <c r="Z6" s="7">
        <v>0</v>
      </c>
      <c r="AA6" s="7">
        <v>0</v>
      </c>
      <c r="AB6" s="7">
        <v>0</v>
      </c>
      <c r="AC6" s="7">
        <v>0</v>
      </c>
      <c r="AD6" s="7">
        <v>0</v>
      </c>
      <c r="AE6" s="7"/>
      <c r="AF6" s="7"/>
      <c r="AG6" s="7"/>
      <c r="AH6" s="56">
        <f>SUM(C6:AG6)</f>
        <v>0</v>
      </c>
      <c r="AJ6" s="2">
        <v>2</v>
      </c>
      <c r="AK6" s="83" t="s">
        <v>131</v>
      </c>
      <c r="AL6" s="8">
        <f t="shared" ref="AL6:AL11" si="3">AH6*$E$1</f>
        <v>0</v>
      </c>
      <c r="AM6" s="8">
        <f t="shared" ref="AM6:AM7" si="4">AH16</f>
        <v>0</v>
      </c>
      <c r="AN6" s="8">
        <f t="shared" ref="AN6:AN11" si="5">AM6-AL6</f>
        <v>0</v>
      </c>
      <c r="AO6" s="8">
        <f t="shared" ref="AO6:AO9" si="6">N26</f>
        <v>4280.7142857142853</v>
      </c>
      <c r="AP6" s="8">
        <f t="shared" si="0"/>
        <v>4280.7142857142853</v>
      </c>
      <c r="AQ6" s="40">
        <f>'Meal Jan''22 &amp; Rent Feb''22 '!AU6</f>
        <v>881.23651958163191</v>
      </c>
      <c r="AR6" s="8">
        <f t="shared" si="1"/>
        <v>3399.4777661326534</v>
      </c>
      <c r="AS6" s="1">
        <f>4000</f>
        <v>4000</v>
      </c>
      <c r="AT6" s="95">
        <v>44639</v>
      </c>
      <c r="AU6" s="8">
        <f t="shared" si="2"/>
        <v>600.52223386734659</v>
      </c>
      <c r="AV6" s="102">
        <v>4000</v>
      </c>
      <c r="AY6" s="9"/>
    </row>
    <row r="7" spans="1:56" x14ac:dyDescent="0.3">
      <c r="A7" s="2">
        <v>3</v>
      </c>
      <c r="B7" s="3" t="s">
        <v>6</v>
      </c>
      <c r="C7" s="7">
        <v>1</v>
      </c>
      <c r="D7" s="7">
        <v>2</v>
      </c>
      <c r="E7" s="7">
        <v>1</v>
      </c>
      <c r="F7" s="7">
        <v>3.5</v>
      </c>
      <c r="G7" s="7">
        <v>3</v>
      </c>
      <c r="H7" s="7">
        <v>3.5</v>
      </c>
      <c r="I7" s="7">
        <v>3.5</v>
      </c>
      <c r="J7" s="7">
        <v>3.5</v>
      </c>
      <c r="K7" s="7">
        <v>3.5</v>
      </c>
      <c r="L7" s="7">
        <v>2.5</v>
      </c>
      <c r="M7" s="7">
        <v>2.5</v>
      </c>
      <c r="N7" s="7">
        <v>1</v>
      </c>
      <c r="O7" s="7">
        <v>2.5</v>
      </c>
      <c r="P7" s="7">
        <v>5.5</v>
      </c>
      <c r="Q7" s="7">
        <v>3.5</v>
      </c>
      <c r="R7" s="7">
        <v>3.5</v>
      </c>
      <c r="S7" s="7">
        <v>2</v>
      </c>
      <c r="T7" s="7">
        <v>2</v>
      </c>
      <c r="U7" s="7">
        <v>2</v>
      </c>
      <c r="V7" s="7">
        <v>2</v>
      </c>
      <c r="W7" s="7">
        <v>4</v>
      </c>
      <c r="X7" s="7">
        <v>3</v>
      </c>
      <c r="Y7" s="7">
        <v>3.5</v>
      </c>
      <c r="Z7" s="7">
        <v>3.5</v>
      </c>
      <c r="AA7" s="7">
        <v>5</v>
      </c>
      <c r="AB7" s="7">
        <v>2.5</v>
      </c>
      <c r="AC7" s="7">
        <v>4.5</v>
      </c>
      <c r="AD7" s="7">
        <v>4</v>
      </c>
      <c r="AE7" s="7"/>
      <c r="AF7" s="7"/>
      <c r="AG7" s="7"/>
      <c r="AH7" s="56">
        <f t="shared" ref="AH7:AH11" si="7">SUM(C7:AG7)</f>
        <v>83.5</v>
      </c>
      <c r="AJ7" s="2">
        <v>3</v>
      </c>
      <c r="AK7" s="83" t="s">
        <v>6</v>
      </c>
      <c r="AL7" s="8">
        <f t="shared" si="3"/>
        <v>4619.3184227263091</v>
      </c>
      <c r="AM7" s="8">
        <f t="shared" si="4"/>
        <v>2292</v>
      </c>
      <c r="AN7" s="8">
        <f t="shared" si="5"/>
        <v>-2327.3184227263091</v>
      </c>
      <c r="AO7" s="8">
        <f t="shared" si="6"/>
        <v>3280.7142857142858</v>
      </c>
      <c r="AP7" s="8">
        <f t="shared" si="0"/>
        <v>5608.0327084405944</v>
      </c>
      <c r="AQ7" s="40">
        <v>0</v>
      </c>
      <c r="AR7" s="8">
        <f t="shared" si="1"/>
        <v>5608.0327084405944</v>
      </c>
      <c r="AS7">
        <f>-92+(5700)</f>
        <v>5608</v>
      </c>
      <c r="AT7" s="95">
        <v>44642</v>
      </c>
      <c r="AU7" s="8">
        <f>AS7-AR7</f>
        <v>-3.2708440594433341E-2</v>
      </c>
      <c r="AV7" s="102">
        <v>6400</v>
      </c>
      <c r="AW7" s="98">
        <v>6400</v>
      </c>
      <c r="AX7" s="96">
        <v>5700</v>
      </c>
      <c r="AY7" s="97">
        <v>881</v>
      </c>
      <c r="AZ7" s="44">
        <f>AX7+AY7</f>
        <v>6581</v>
      </c>
      <c r="BA7" s="99">
        <f>AW7-AZ7</f>
        <v>-181</v>
      </c>
      <c r="BB7" s="9" t="s">
        <v>168</v>
      </c>
      <c r="BC7" s="9"/>
      <c r="BD7" s="9"/>
    </row>
    <row r="8" spans="1:56" x14ac:dyDescent="0.3">
      <c r="A8" s="2">
        <v>4</v>
      </c>
      <c r="B8" s="3" t="s">
        <v>57</v>
      </c>
      <c r="C8" s="7">
        <v>3.5</v>
      </c>
      <c r="D8" s="7">
        <v>3</v>
      </c>
      <c r="E8" s="7">
        <v>1.5</v>
      </c>
      <c r="F8" s="7">
        <v>2.5</v>
      </c>
      <c r="G8" s="7">
        <v>2.5</v>
      </c>
      <c r="H8" s="7">
        <v>4.5</v>
      </c>
      <c r="I8" s="7">
        <v>2</v>
      </c>
      <c r="J8" s="7">
        <v>3</v>
      </c>
      <c r="K8" s="7">
        <v>3</v>
      </c>
      <c r="L8" s="7">
        <v>3.5</v>
      </c>
      <c r="M8" s="7">
        <v>3</v>
      </c>
      <c r="N8" s="7">
        <v>0</v>
      </c>
      <c r="O8" s="7">
        <v>1.5</v>
      </c>
      <c r="P8" s="7">
        <v>2.5</v>
      </c>
      <c r="Q8" s="7">
        <v>1.5</v>
      </c>
      <c r="R8" s="7">
        <v>1.52</v>
      </c>
      <c r="S8" s="7">
        <v>2</v>
      </c>
      <c r="T8" s="7">
        <v>4</v>
      </c>
      <c r="U8" s="7">
        <v>1</v>
      </c>
      <c r="V8" s="7">
        <v>1</v>
      </c>
      <c r="W8" s="7">
        <v>3.5</v>
      </c>
      <c r="X8" s="7">
        <v>1</v>
      </c>
      <c r="Y8" s="7">
        <v>1.5</v>
      </c>
      <c r="Z8" s="7">
        <v>3.5</v>
      </c>
      <c r="AA8" s="7">
        <v>4.5</v>
      </c>
      <c r="AB8" s="7">
        <v>2</v>
      </c>
      <c r="AC8" s="7">
        <v>1.5</v>
      </c>
      <c r="AD8" s="7">
        <v>1.5</v>
      </c>
      <c r="AE8" s="7"/>
      <c r="AF8" s="7"/>
      <c r="AG8" s="7"/>
      <c r="AH8" s="56">
        <f t="shared" si="7"/>
        <v>66.02000000000001</v>
      </c>
      <c r="AJ8" s="2">
        <v>4</v>
      </c>
      <c r="AK8" s="83" t="s">
        <v>57</v>
      </c>
      <c r="AL8" s="8">
        <f t="shared" si="3"/>
        <v>3652.3042187831256</v>
      </c>
      <c r="AM8" s="8">
        <f>AH18</f>
        <v>2873</v>
      </c>
      <c r="AN8" s="8">
        <f t="shared" si="5"/>
        <v>-779.30421878312563</v>
      </c>
      <c r="AO8" s="8">
        <f t="shared" si="6"/>
        <v>3280.7142857142858</v>
      </c>
      <c r="AP8" s="8">
        <f t="shared" si="0"/>
        <v>4060.0185044974114</v>
      </c>
      <c r="AQ8" s="40">
        <v>0</v>
      </c>
      <c r="AR8" s="8">
        <f t="shared" si="1"/>
        <v>4060.0185044974114</v>
      </c>
      <c r="AS8" s="1">
        <f>120+3940</f>
        <v>4060</v>
      </c>
      <c r="AT8" s="95">
        <v>44640</v>
      </c>
      <c r="AU8" s="8">
        <f t="shared" si="2"/>
        <v>-1.8504497411413467E-2</v>
      </c>
      <c r="AV8" s="102">
        <v>3940</v>
      </c>
      <c r="AY8" s="9"/>
      <c r="BA8">
        <v>3</v>
      </c>
      <c r="BB8" t="s">
        <v>164</v>
      </c>
    </row>
    <row r="9" spans="1:56" x14ac:dyDescent="0.3">
      <c r="A9" s="2">
        <v>5</v>
      </c>
      <c r="B9" s="12" t="s">
        <v>51</v>
      </c>
      <c r="C9" s="7">
        <v>1.5</v>
      </c>
      <c r="D9" s="7">
        <v>1</v>
      </c>
      <c r="E9" s="7">
        <v>0</v>
      </c>
      <c r="F9" s="7">
        <v>2.5</v>
      </c>
      <c r="G9" s="7">
        <v>5</v>
      </c>
      <c r="H9" s="7">
        <v>3</v>
      </c>
      <c r="I9" s="7">
        <v>2.5</v>
      </c>
      <c r="J9" s="7">
        <v>1</v>
      </c>
      <c r="K9" s="7">
        <v>1</v>
      </c>
      <c r="L9" s="7">
        <v>1</v>
      </c>
      <c r="M9" s="7">
        <v>2.5</v>
      </c>
      <c r="N9" s="7">
        <v>1</v>
      </c>
      <c r="O9" s="7">
        <v>1</v>
      </c>
      <c r="P9" s="7">
        <v>1</v>
      </c>
      <c r="Q9" s="7">
        <v>1</v>
      </c>
      <c r="R9" s="7">
        <v>1.5</v>
      </c>
      <c r="S9" s="7">
        <v>1</v>
      </c>
      <c r="T9" s="7"/>
      <c r="U9" s="7"/>
      <c r="V9" s="7"/>
      <c r="W9" s="7"/>
      <c r="X9" s="7">
        <v>1</v>
      </c>
      <c r="Y9" s="7">
        <v>1</v>
      </c>
      <c r="Z9" s="7"/>
      <c r="AA9" s="7">
        <v>1</v>
      </c>
      <c r="AB9" s="7">
        <v>1</v>
      </c>
      <c r="AC9" s="7">
        <v>1</v>
      </c>
      <c r="AD9" s="7">
        <v>1</v>
      </c>
      <c r="AE9" s="7"/>
      <c r="AF9" s="7"/>
      <c r="AG9" s="7"/>
      <c r="AH9" s="56">
        <f t="shared" si="7"/>
        <v>33.5</v>
      </c>
      <c r="AJ9" s="2">
        <v>5</v>
      </c>
      <c r="AK9" s="84" t="s">
        <v>51</v>
      </c>
      <c r="AL9" s="8">
        <f t="shared" si="3"/>
        <v>1853.2594869620523</v>
      </c>
      <c r="AM9" s="8">
        <f>AH19</f>
        <v>3405</v>
      </c>
      <c r="AN9" s="8">
        <f t="shared" si="5"/>
        <v>1551.7405130379477</v>
      </c>
      <c r="AO9" s="8">
        <f t="shared" si="6"/>
        <v>3280.7142857142858</v>
      </c>
      <c r="AP9" s="8">
        <f>AO9-AN9</f>
        <v>1728.9737726763381</v>
      </c>
      <c r="AQ9" s="40">
        <v>0</v>
      </c>
      <c r="AR9" s="8">
        <f t="shared" si="1"/>
        <v>1728.9737726763381</v>
      </c>
      <c r="AS9" s="1">
        <f>3000</f>
        <v>3000</v>
      </c>
      <c r="AT9" s="95"/>
      <c r="AU9" s="8">
        <f t="shared" si="2"/>
        <v>1271.0262273236619</v>
      </c>
      <c r="AV9" s="102">
        <v>0</v>
      </c>
      <c r="AX9" s="9"/>
      <c r="BA9" s="104">
        <f>ABS(BA7)+BA8</f>
        <v>184</v>
      </c>
      <c r="BB9" t="s">
        <v>167</v>
      </c>
    </row>
    <row r="10" spans="1:56" x14ac:dyDescent="0.3">
      <c r="A10" s="2">
        <v>6</v>
      </c>
      <c r="B10" s="1" t="s">
        <v>110</v>
      </c>
      <c r="C10" s="7">
        <v>2.5</v>
      </c>
      <c r="D10" s="7">
        <v>2.5</v>
      </c>
      <c r="E10" s="7">
        <v>1.5</v>
      </c>
      <c r="F10" s="7">
        <v>1.5</v>
      </c>
      <c r="G10" s="7">
        <v>2.5</v>
      </c>
      <c r="H10" s="7">
        <v>1</v>
      </c>
      <c r="I10" s="7">
        <v>1</v>
      </c>
      <c r="J10" s="7">
        <v>1.5</v>
      </c>
      <c r="K10" s="7">
        <v>1.5</v>
      </c>
      <c r="L10" s="7">
        <v>1</v>
      </c>
      <c r="M10" s="7">
        <v>2.5</v>
      </c>
      <c r="N10" s="7">
        <v>1</v>
      </c>
      <c r="O10" s="7">
        <v>2.5</v>
      </c>
      <c r="P10" s="7">
        <v>2</v>
      </c>
      <c r="Q10" s="7">
        <v>2.5</v>
      </c>
      <c r="R10" s="7">
        <v>2</v>
      </c>
      <c r="S10" s="7">
        <v>2</v>
      </c>
      <c r="T10" s="7">
        <v>2</v>
      </c>
      <c r="U10" s="7">
        <v>2</v>
      </c>
      <c r="V10" s="7">
        <v>2</v>
      </c>
      <c r="W10" s="7">
        <v>0</v>
      </c>
      <c r="X10" s="7">
        <v>1</v>
      </c>
      <c r="Y10" s="7">
        <v>1</v>
      </c>
      <c r="Z10" s="7">
        <v>1</v>
      </c>
      <c r="AA10" s="7">
        <v>1</v>
      </c>
      <c r="AB10" s="7">
        <v>1</v>
      </c>
      <c r="AC10" s="7">
        <v>1</v>
      </c>
      <c r="AD10" s="7">
        <v>1</v>
      </c>
      <c r="AE10" s="7"/>
      <c r="AF10" s="7"/>
      <c r="AG10" s="7"/>
      <c r="AH10" s="56">
        <f t="shared" si="7"/>
        <v>44</v>
      </c>
      <c r="AJ10" s="2">
        <v>6</v>
      </c>
      <c r="AK10" s="84" t="s">
        <v>104</v>
      </c>
      <c r="AL10" s="8">
        <f t="shared" si="3"/>
        <v>2434.1318634725462</v>
      </c>
      <c r="AM10" s="8">
        <f>AH20</f>
        <v>3187</v>
      </c>
      <c r="AN10" s="8">
        <f t="shared" si="5"/>
        <v>752.86813652745377</v>
      </c>
      <c r="AO10" s="8">
        <f>N30</f>
        <v>4030.7142857142858</v>
      </c>
      <c r="AP10" s="8">
        <f t="shared" si="0"/>
        <v>3277.846149186832</v>
      </c>
      <c r="AQ10" s="40">
        <v>0</v>
      </c>
      <c r="AR10" s="8">
        <f t="shared" si="1"/>
        <v>3277.846149186832</v>
      </c>
      <c r="AS10" s="1">
        <v>3300</v>
      </c>
      <c r="AT10" s="95">
        <v>44641</v>
      </c>
      <c r="AU10" s="8">
        <f>AS10-AR10</f>
        <v>22.153850813167992</v>
      </c>
      <c r="AV10" s="102">
        <v>3300</v>
      </c>
      <c r="AW10" s="9"/>
      <c r="AX10" s="9"/>
    </row>
    <row r="11" spans="1:56" x14ac:dyDescent="0.3">
      <c r="A11" s="2">
        <v>7</v>
      </c>
      <c r="B11" s="3" t="s">
        <v>118</v>
      </c>
      <c r="C11" s="7">
        <v>1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1</v>
      </c>
      <c r="L11" s="7">
        <v>1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  <c r="S11" s="7">
        <v>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7">
        <v>0</v>
      </c>
      <c r="Z11" s="7">
        <v>0</v>
      </c>
      <c r="AA11" s="7">
        <v>0</v>
      </c>
      <c r="AB11" s="7">
        <v>0</v>
      </c>
      <c r="AC11" s="7">
        <v>0</v>
      </c>
      <c r="AD11" s="7">
        <v>0</v>
      </c>
      <c r="AE11" s="7">
        <v>0</v>
      </c>
      <c r="AF11" s="7">
        <v>0</v>
      </c>
      <c r="AG11" s="7">
        <v>0</v>
      </c>
      <c r="AH11" s="56">
        <f t="shared" si="7"/>
        <v>3</v>
      </c>
      <c r="AJ11" s="2">
        <v>7</v>
      </c>
      <c r="AK11" s="83" t="s">
        <v>147</v>
      </c>
      <c r="AL11" s="8">
        <f t="shared" si="3"/>
        <v>165.96353614585541</v>
      </c>
      <c r="AM11" s="8">
        <f>AH21</f>
        <v>0</v>
      </c>
      <c r="AN11" s="8">
        <f t="shared" si="5"/>
        <v>-165.96353614585541</v>
      </c>
      <c r="AO11" s="8">
        <f>N31</f>
        <v>4030.7142857142858</v>
      </c>
      <c r="AP11" s="8">
        <f t="shared" si="0"/>
        <v>4196.6778218601412</v>
      </c>
      <c r="AQ11" s="40">
        <v>0</v>
      </c>
      <c r="AR11" s="8">
        <f t="shared" si="1"/>
        <v>4196.6778218601412</v>
      </c>
      <c r="AS11" s="1">
        <f>500+3700</f>
        <v>4200</v>
      </c>
      <c r="AT11" s="95">
        <v>44639</v>
      </c>
      <c r="AU11" s="8">
        <f t="shared" si="2"/>
        <v>3.3221781398588064</v>
      </c>
      <c r="AV11" s="102">
        <v>3700</v>
      </c>
      <c r="AX11" s="9"/>
    </row>
    <row r="12" spans="1:56" x14ac:dyDescent="0.3">
      <c r="A12" s="1"/>
      <c r="B12" s="1"/>
      <c r="C12" s="55">
        <f>SUM(C5:C11)</f>
        <v>12</v>
      </c>
      <c r="D12" s="55">
        <f t="shared" ref="D12:AD12" si="8">SUM(D5:D11)</f>
        <v>9.5</v>
      </c>
      <c r="E12" s="55">
        <f t="shared" si="8"/>
        <v>5.5</v>
      </c>
      <c r="F12" s="55">
        <f t="shared" si="8"/>
        <v>11.5</v>
      </c>
      <c r="G12" s="55">
        <f t="shared" si="8"/>
        <v>14</v>
      </c>
      <c r="H12" s="55">
        <f t="shared" si="8"/>
        <v>13.5</v>
      </c>
      <c r="I12" s="55">
        <f t="shared" si="8"/>
        <v>10.5</v>
      </c>
      <c r="J12" s="55">
        <f t="shared" si="8"/>
        <v>10.5</v>
      </c>
      <c r="K12" s="55">
        <f t="shared" si="8"/>
        <v>11.5</v>
      </c>
      <c r="L12" s="55">
        <f t="shared" si="8"/>
        <v>10.5</v>
      </c>
      <c r="M12" s="55">
        <f t="shared" si="8"/>
        <v>12</v>
      </c>
      <c r="N12" s="55">
        <f t="shared" si="8"/>
        <v>3</v>
      </c>
      <c r="O12" s="55">
        <f t="shared" si="8"/>
        <v>9</v>
      </c>
      <c r="P12" s="55">
        <f t="shared" si="8"/>
        <v>12.5</v>
      </c>
      <c r="Q12" s="55">
        <f t="shared" si="8"/>
        <v>10</v>
      </c>
      <c r="R12" s="55">
        <f t="shared" si="8"/>
        <v>11.02</v>
      </c>
      <c r="S12" s="55">
        <f t="shared" si="8"/>
        <v>8</v>
      </c>
      <c r="T12" s="55">
        <f t="shared" si="8"/>
        <v>8</v>
      </c>
      <c r="U12" s="55">
        <f t="shared" si="8"/>
        <v>5</v>
      </c>
      <c r="V12" s="55">
        <f t="shared" si="8"/>
        <v>5</v>
      </c>
      <c r="W12" s="55">
        <f t="shared" si="8"/>
        <v>9.5</v>
      </c>
      <c r="X12" s="55">
        <f t="shared" si="8"/>
        <v>10</v>
      </c>
      <c r="Y12" s="55">
        <f t="shared" si="8"/>
        <v>12</v>
      </c>
      <c r="Z12" s="55">
        <f t="shared" si="8"/>
        <v>13</v>
      </c>
      <c r="AA12" s="55">
        <f t="shared" si="8"/>
        <v>16.5</v>
      </c>
      <c r="AB12" s="55">
        <f t="shared" si="8"/>
        <v>11.5</v>
      </c>
      <c r="AC12" s="55">
        <f t="shared" si="8"/>
        <v>10.5</v>
      </c>
      <c r="AD12" s="55">
        <f t="shared" si="8"/>
        <v>7.5</v>
      </c>
      <c r="AE12" s="55"/>
      <c r="AF12" s="55"/>
      <c r="AG12" s="55"/>
      <c r="AH12" s="55">
        <f>SUM(AH5:AH11)</f>
        <v>283.02</v>
      </c>
      <c r="AJ12" s="2"/>
      <c r="AK12" s="84"/>
      <c r="AL12" s="65">
        <f t="shared" ref="AL12:AQ12" si="9">SUM(AL5:AL11)</f>
        <v>15657</v>
      </c>
      <c r="AM12" s="65">
        <f t="shared" si="9"/>
        <v>15657</v>
      </c>
      <c r="AN12" s="65">
        <f t="shared" si="9"/>
        <v>-1.1368683772161603E-12</v>
      </c>
      <c r="AO12" s="65">
        <f t="shared" si="9"/>
        <v>26465</v>
      </c>
      <c r="AP12" s="65">
        <f t="shared" si="9"/>
        <v>26465</v>
      </c>
      <c r="AQ12" s="67">
        <f t="shared" si="9"/>
        <v>881.23651958163191</v>
      </c>
      <c r="AR12" s="65">
        <f>AP12-AQ12</f>
        <v>25583.763480418369</v>
      </c>
      <c r="AS12" s="77">
        <f>SUM(AS5:AS11)</f>
        <v>27484</v>
      </c>
      <c r="AT12" s="67"/>
      <c r="AU12" s="65">
        <f>SUM(AU5:AU11)</f>
        <v>1900.2365195816317</v>
      </c>
      <c r="AV12" s="103">
        <f>SUM(AV5:AV11)</f>
        <v>24340</v>
      </c>
      <c r="AX12" s="9"/>
    </row>
    <row r="13" spans="1:56" x14ac:dyDescent="0.3">
      <c r="AL13" s="25"/>
      <c r="AM13" s="9"/>
      <c r="AN13" s="9"/>
      <c r="AP13" s="9"/>
      <c r="AQ13" s="9"/>
      <c r="AR13" s="25"/>
      <c r="AS13" s="9"/>
      <c r="AT13" s="9"/>
      <c r="AV13" s="9"/>
      <c r="AW13" s="9"/>
      <c r="AX13" s="9"/>
    </row>
    <row r="14" spans="1:56" x14ac:dyDescent="0.3">
      <c r="B14" s="64" t="s">
        <v>143</v>
      </c>
      <c r="AK14" s="44" t="s">
        <v>160</v>
      </c>
      <c r="AL14" s="9"/>
      <c r="AX14" s="25"/>
    </row>
    <row r="15" spans="1:56" x14ac:dyDescent="0.3">
      <c r="A15" s="2">
        <v>1</v>
      </c>
      <c r="B15" s="3" t="s">
        <v>5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>
        <v>2420</v>
      </c>
      <c r="P15" s="8">
        <v>340</v>
      </c>
      <c r="Q15" s="8">
        <v>270</v>
      </c>
      <c r="R15" s="8"/>
      <c r="S15" s="8"/>
      <c r="T15" s="8"/>
      <c r="U15" s="8"/>
      <c r="V15" s="8">
        <v>50</v>
      </c>
      <c r="W15" s="8"/>
      <c r="X15" s="8">
        <v>390</v>
      </c>
      <c r="Y15" s="8">
        <v>430</v>
      </c>
      <c r="Z15" s="8"/>
      <c r="AA15" s="8"/>
      <c r="AB15" s="8"/>
      <c r="AC15" s="8"/>
      <c r="AD15" s="8"/>
      <c r="AE15" s="8"/>
      <c r="AF15" s="8"/>
      <c r="AG15" s="8"/>
      <c r="AH15" s="65">
        <f>SUM(C15:AG15)</f>
        <v>3900</v>
      </c>
      <c r="AK15" s="78" t="s">
        <v>161</v>
      </c>
      <c r="AL15" s="78" t="s">
        <v>95</v>
      </c>
      <c r="AS15" s="9"/>
      <c r="AT15" s="9">
        <f>AV12-22440</f>
        <v>1900</v>
      </c>
      <c r="AV15" s="9"/>
      <c r="AX15" s="25"/>
    </row>
    <row r="16" spans="1:56" x14ac:dyDescent="0.3">
      <c r="A16" s="2">
        <v>2</v>
      </c>
      <c r="B16" s="3" t="s">
        <v>131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65">
        <f t="shared" ref="AH16:AH21" si="10">SUM(C16:AG16)</f>
        <v>0</v>
      </c>
      <c r="AK16" s="1" t="s">
        <v>158</v>
      </c>
      <c r="AL16" s="16">
        <v>0</v>
      </c>
      <c r="AQ16" s="9"/>
      <c r="AR16" s="25"/>
      <c r="AS16" s="9"/>
      <c r="AU16" s="100">
        <v>100</v>
      </c>
      <c r="AV16" s="101" t="s">
        <v>163</v>
      </c>
      <c r="AX16" s="44"/>
      <c r="AY16" s="25"/>
    </row>
    <row r="17" spans="1:53" x14ac:dyDescent="0.3">
      <c r="A17" s="2">
        <v>3</v>
      </c>
      <c r="B17" s="3" t="s">
        <v>6</v>
      </c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>
        <v>650</v>
      </c>
      <c r="S17" s="8">
        <v>640</v>
      </c>
      <c r="T17" s="8"/>
      <c r="U17" s="8">
        <v>132</v>
      </c>
      <c r="V17" s="8"/>
      <c r="W17" s="8"/>
      <c r="X17" s="8"/>
      <c r="Y17" s="8"/>
      <c r="Z17">
        <v>240</v>
      </c>
      <c r="AA17" s="8">
        <v>355</v>
      </c>
      <c r="AB17" s="8"/>
      <c r="AC17" s="8">
        <v>275</v>
      </c>
      <c r="AD17" s="8"/>
      <c r="AE17" s="8"/>
      <c r="AF17" s="8"/>
      <c r="AG17" s="8"/>
      <c r="AH17" s="65">
        <f t="shared" si="10"/>
        <v>2292</v>
      </c>
      <c r="AK17" s="1" t="s">
        <v>162</v>
      </c>
      <c r="AL17" s="16">
        <f>AU12</f>
        <v>1900.2365195816317</v>
      </c>
      <c r="AR17" s="25"/>
      <c r="AS17" s="44"/>
      <c r="AT17" s="104">
        <f>AT15-AU16</f>
        <v>1800</v>
      </c>
      <c r="AU17" s="105" t="s">
        <v>165</v>
      </c>
      <c r="AX17" s="25"/>
    </row>
    <row r="18" spans="1:53" x14ac:dyDescent="0.3">
      <c r="A18" s="2">
        <v>4</v>
      </c>
      <c r="B18" s="3" t="s">
        <v>57</v>
      </c>
      <c r="C18" s="8"/>
      <c r="D18" s="8"/>
      <c r="E18" s="8"/>
      <c r="F18" s="8"/>
      <c r="G18" s="8"/>
      <c r="H18" s="8"/>
      <c r="I18" s="8"/>
      <c r="J18" s="8">
        <v>910</v>
      </c>
      <c r="K18" s="8">
        <v>940</v>
      </c>
      <c r="L18" s="8">
        <v>200</v>
      </c>
      <c r="M18" s="8">
        <v>140</v>
      </c>
      <c r="N18" s="8">
        <v>38</v>
      </c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>
        <v>645</v>
      </c>
      <c r="AC18" s="8"/>
      <c r="AD18" s="8"/>
      <c r="AE18" s="8"/>
      <c r="AF18" s="8"/>
      <c r="AG18" s="8"/>
      <c r="AH18" s="65">
        <f t="shared" si="10"/>
        <v>2873</v>
      </c>
      <c r="AK18" s="78" t="s">
        <v>138</v>
      </c>
      <c r="AL18" s="51">
        <f>SUM(AL16:AL17)</f>
        <v>1900.2365195816317</v>
      </c>
      <c r="AQ18" s="9"/>
      <c r="AR18" s="25"/>
      <c r="AS18" s="25"/>
      <c r="AT18" s="25"/>
      <c r="BA18" s="9"/>
    </row>
    <row r="19" spans="1:53" x14ac:dyDescent="0.3">
      <c r="A19" s="2">
        <v>5</v>
      </c>
      <c r="B19" s="12" t="s">
        <v>51</v>
      </c>
      <c r="C19" s="8"/>
      <c r="D19" s="8"/>
      <c r="E19" s="8"/>
      <c r="F19" s="8">
        <v>2110</v>
      </c>
      <c r="G19" s="8">
        <v>550</v>
      </c>
      <c r="H19" s="8">
        <v>360</v>
      </c>
      <c r="I19" s="8">
        <v>385</v>
      </c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65">
        <f t="shared" si="10"/>
        <v>3405</v>
      </c>
      <c r="BA19" s="9"/>
    </row>
    <row r="20" spans="1:53" x14ac:dyDescent="0.3">
      <c r="A20" s="2">
        <v>6</v>
      </c>
      <c r="B20" s="1" t="s">
        <v>110</v>
      </c>
      <c r="C20" s="8">
        <v>2602</v>
      </c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>
        <v>585</v>
      </c>
      <c r="AE20" s="8"/>
      <c r="AF20" s="8"/>
      <c r="AG20" s="8"/>
      <c r="AH20" s="65">
        <f>SUM(C20:AG20)</f>
        <v>3187</v>
      </c>
      <c r="AK20" s="78" t="s">
        <v>92</v>
      </c>
      <c r="AL20" s="78" t="s">
        <v>95</v>
      </c>
      <c r="AV20" s="25"/>
    </row>
    <row r="21" spans="1:53" x14ac:dyDescent="0.3">
      <c r="A21" s="2">
        <v>7</v>
      </c>
      <c r="B21" s="3" t="s">
        <v>118</v>
      </c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65">
        <f t="shared" si="10"/>
        <v>0</v>
      </c>
      <c r="AK21" s="1" t="s">
        <v>166</v>
      </c>
      <c r="AL21" s="16">
        <v>100</v>
      </c>
      <c r="AS21" s="25"/>
    </row>
    <row r="22" spans="1:53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51">
        <f>SUM(AH15:AH21)</f>
        <v>15657</v>
      </c>
      <c r="AK22" s="1" t="s">
        <v>94</v>
      </c>
      <c r="AL22" s="16">
        <f>1800</f>
        <v>1800</v>
      </c>
      <c r="AM22" s="9"/>
      <c r="AN22" s="9"/>
    </row>
    <row r="23" spans="1:53" x14ac:dyDescent="0.3">
      <c r="AK23" s="78" t="s">
        <v>139</v>
      </c>
      <c r="AL23" s="51">
        <f>SUM(AL21:AL22)</f>
        <v>1900</v>
      </c>
    </row>
    <row r="24" spans="1:53" x14ac:dyDescent="0.3">
      <c r="A24" s="4"/>
      <c r="B24" s="13" t="s">
        <v>144</v>
      </c>
      <c r="C24" s="66" t="s">
        <v>11</v>
      </c>
      <c r="D24" s="66" t="s">
        <v>12</v>
      </c>
      <c r="E24" s="66" t="s">
        <v>13</v>
      </c>
      <c r="F24" s="66" t="s">
        <v>14</v>
      </c>
      <c r="G24" s="66" t="s">
        <v>15</v>
      </c>
      <c r="H24" s="66" t="s">
        <v>16</v>
      </c>
      <c r="I24" s="66" t="s">
        <v>17</v>
      </c>
      <c r="J24" s="66" t="s">
        <v>18</v>
      </c>
      <c r="K24" s="66" t="s">
        <v>19</v>
      </c>
      <c r="L24" s="66" t="s">
        <v>20</v>
      </c>
      <c r="M24" s="66" t="s">
        <v>21</v>
      </c>
      <c r="N24" s="66" t="s">
        <v>22</v>
      </c>
      <c r="P24" s="70" t="s">
        <v>149</v>
      </c>
    </row>
    <row r="25" spans="1:53" x14ac:dyDescent="0.3">
      <c r="A25" s="2">
        <v>1</v>
      </c>
      <c r="B25" s="12" t="s">
        <v>5</v>
      </c>
      <c r="C25" s="8">
        <f>H35</f>
        <v>3142.8571428571427</v>
      </c>
      <c r="D25" s="8">
        <f t="shared" ref="D25:D31" si="11">$D$32/7</f>
        <v>428.57142857142856</v>
      </c>
      <c r="E25" s="8">
        <f>$E$32/7</f>
        <v>0</v>
      </c>
      <c r="F25" s="8">
        <f t="shared" ref="F25:F31" si="12">$F$32/7</f>
        <v>71.428571428571431</v>
      </c>
      <c r="G25" s="8">
        <f t="shared" ref="G25:G31" si="13">$G$32/7</f>
        <v>139.28571428571428</v>
      </c>
      <c r="H25" s="26">
        <f t="shared" ref="H25:H31" si="14">$H$32/7</f>
        <v>97.428571428571431</v>
      </c>
      <c r="I25" s="8">
        <f t="shared" ref="I25:I31" si="15">$I$32/7</f>
        <v>290</v>
      </c>
      <c r="J25" s="8">
        <f t="shared" ref="J25:J31" si="16">$J$32/7</f>
        <v>35.714285714285715</v>
      </c>
      <c r="K25" s="26">
        <f t="shared" ref="K25:K31" si="17">$K$32/7</f>
        <v>58.285714285714285</v>
      </c>
      <c r="L25" s="40">
        <f t="shared" ref="L25:L31" si="18">$L$32/7</f>
        <v>17.142857142857142</v>
      </c>
      <c r="M25" s="8">
        <f t="shared" ref="M25:M31" si="19">$M$32/7</f>
        <v>0</v>
      </c>
      <c r="N25" s="65">
        <f t="shared" ref="N25:N29" si="20">SUM(C25:M25)</f>
        <v>4280.7142857142853</v>
      </c>
      <c r="P25" s="86" t="s">
        <v>148</v>
      </c>
      <c r="Q25" s="86" t="s">
        <v>147</v>
      </c>
      <c r="R25" s="86" t="s">
        <v>118</v>
      </c>
      <c r="AK25" s="70" t="s">
        <v>125</v>
      </c>
      <c r="AL25" s="44">
        <f>AL18-AL23</f>
        <v>0.23651958163168274</v>
      </c>
      <c r="AY25" s="47"/>
    </row>
    <row r="26" spans="1:53" x14ac:dyDescent="0.3">
      <c r="A26" s="2">
        <v>2</v>
      </c>
      <c r="B26" s="12" t="s">
        <v>131</v>
      </c>
      <c r="C26" s="8">
        <f>H35</f>
        <v>3142.8571428571427</v>
      </c>
      <c r="D26" s="8">
        <f t="shared" si="11"/>
        <v>428.57142857142856</v>
      </c>
      <c r="E26" s="8">
        <f>$E$32/7</f>
        <v>0</v>
      </c>
      <c r="F26" s="8">
        <f t="shared" si="12"/>
        <v>71.428571428571431</v>
      </c>
      <c r="G26" s="8">
        <f t="shared" si="13"/>
        <v>139.28571428571428</v>
      </c>
      <c r="H26" s="26">
        <f t="shared" si="14"/>
        <v>97.428571428571431</v>
      </c>
      <c r="I26" s="8">
        <f t="shared" si="15"/>
        <v>290</v>
      </c>
      <c r="J26" s="8">
        <f t="shared" si="16"/>
        <v>35.714285714285715</v>
      </c>
      <c r="K26" s="26">
        <f t="shared" si="17"/>
        <v>58.285714285714285</v>
      </c>
      <c r="L26" s="40">
        <f t="shared" si="18"/>
        <v>17.142857142857142</v>
      </c>
      <c r="M26" s="8">
        <f t="shared" si="19"/>
        <v>0</v>
      </c>
      <c r="N26" s="65">
        <f t="shared" si="20"/>
        <v>4280.7142857142853</v>
      </c>
      <c r="P26" s="8" t="s">
        <v>11</v>
      </c>
      <c r="Q26" s="8">
        <f>C31</f>
        <v>2892.8571428571427</v>
      </c>
      <c r="R26" s="8">
        <v>0</v>
      </c>
      <c r="AY26" s="47"/>
    </row>
    <row r="27" spans="1:53" x14ac:dyDescent="0.3">
      <c r="A27" s="2">
        <v>3</v>
      </c>
      <c r="B27" s="12" t="s">
        <v>6</v>
      </c>
      <c r="C27" s="8">
        <f>H36</f>
        <v>2142.8571428571427</v>
      </c>
      <c r="D27" s="8">
        <f t="shared" si="11"/>
        <v>428.57142857142856</v>
      </c>
      <c r="E27" s="8">
        <f>$E$32/7</f>
        <v>0</v>
      </c>
      <c r="F27" s="8">
        <f t="shared" si="12"/>
        <v>71.428571428571431</v>
      </c>
      <c r="G27" s="8">
        <f t="shared" si="13"/>
        <v>139.28571428571428</v>
      </c>
      <c r="H27" s="26">
        <f t="shared" si="14"/>
        <v>97.428571428571431</v>
      </c>
      <c r="I27" s="8">
        <f t="shared" si="15"/>
        <v>290</v>
      </c>
      <c r="J27" s="8">
        <f t="shared" si="16"/>
        <v>35.714285714285715</v>
      </c>
      <c r="K27" s="26">
        <f t="shared" si="17"/>
        <v>58.285714285714285</v>
      </c>
      <c r="L27" s="40">
        <f t="shared" si="18"/>
        <v>17.142857142857142</v>
      </c>
      <c r="M27" s="8">
        <f t="shared" si="19"/>
        <v>0</v>
      </c>
      <c r="N27" s="65">
        <f t="shared" si="20"/>
        <v>3280.7142857142858</v>
      </c>
      <c r="P27" s="8" t="s">
        <v>12</v>
      </c>
      <c r="Q27" s="8">
        <v>0</v>
      </c>
      <c r="R27" s="8">
        <f>D$31</f>
        <v>428.57142857142856</v>
      </c>
      <c r="AY27" s="47"/>
    </row>
    <row r="28" spans="1:53" x14ac:dyDescent="0.3">
      <c r="A28" s="2">
        <v>4</v>
      </c>
      <c r="B28" s="12" t="s">
        <v>57</v>
      </c>
      <c r="C28" s="8">
        <f>H36</f>
        <v>2142.8571428571427</v>
      </c>
      <c r="D28" s="8">
        <f t="shared" si="11"/>
        <v>428.57142857142856</v>
      </c>
      <c r="E28" s="8">
        <f>$E$32/7</f>
        <v>0</v>
      </c>
      <c r="F28" s="8">
        <f t="shared" si="12"/>
        <v>71.428571428571431</v>
      </c>
      <c r="G28" s="8">
        <f t="shared" si="13"/>
        <v>139.28571428571428</v>
      </c>
      <c r="H28" s="26">
        <f t="shared" si="14"/>
        <v>97.428571428571431</v>
      </c>
      <c r="I28" s="8">
        <f t="shared" si="15"/>
        <v>290</v>
      </c>
      <c r="J28" s="8">
        <f t="shared" si="16"/>
        <v>35.714285714285715</v>
      </c>
      <c r="K28" s="26">
        <f t="shared" si="17"/>
        <v>58.285714285714285</v>
      </c>
      <c r="L28" s="40">
        <f t="shared" si="18"/>
        <v>17.142857142857142</v>
      </c>
      <c r="M28" s="8">
        <f t="shared" si="19"/>
        <v>0</v>
      </c>
      <c r="N28" s="65">
        <f t="shared" si="20"/>
        <v>3280.7142857142858</v>
      </c>
      <c r="P28" s="8" t="s">
        <v>13</v>
      </c>
      <c r="Q28" s="8">
        <v>0</v>
      </c>
      <c r="R28" s="8">
        <f>E31</f>
        <v>0</v>
      </c>
      <c r="AY28" s="47"/>
    </row>
    <row r="29" spans="1:53" x14ac:dyDescent="0.3">
      <c r="A29" s="2">
        <v>5</v>
      </c>
      <c r="B29" s="12" t="s">
        <v>51</v>
      </c>
      <c r="C29" s="8">
        <f>H36</f>
        <v>2142.8571428571427</v>
      </c>
      <c r="D29" s="8">
        <f t="shared" si="11"/>
        <v>428.57142857142856</v>
      </c>
      <c r="E29" s="8">
        <f>$E$32/7</f>
        <v>0</v>
      </c>
      <c r="F29" s="8">
        <f t="shared" si="12"/>
        <v>71.428571428571431</v>
      </c>
      <c r="G29" s="8">
        <f t="shared" si="13"/>
        <v>139.28571428571428</v>
      </c>
      <c r="H29" s="26">
        <f t="shared" si="14"/>
        <v>97.428571428571431</v>
      </c>
      <c r="I29" s="8">
        <f t="shared" si="15"/>
        <v>290</v>
      </c>
      <c r="J29" s="8">
        <f t="shared" si="16"/>
        <v>35.714285714285715</v>
      </c>
      <c r="K29" s="26">
        <f t="shared" si="17"/>
        <v>58.285714285714285</v>
      </c>
      <c r="L29" s="40">
        <f t="shared" si="18"/>
        <v>17.142857142857142</v>
      </c>
      <c r="M29" s="8">
        <f t="shared" si="19"/>
        <v>0</v>
      </c>
      <c r="N29" s="65">
        <f t="shared" si="20"/>
        <v>3280.7142857142858</v>
      </c>
      <c r="P29" s="8" t="s">
        <v>14</v>
      </c>
      <c r="Q29" s="8">
        <v>0</v>
      </c>
      <c r="R29" s="8">
        <f>F31</f>
        <v>71.428571428571431</v>
      </c>
      <c r="AY29" s="48"/>
    </row>
    <row r="30" spans="1:53" x14ac:dyDescent="0.3">
      <c r="A30" s="2">
        <v>6</v>
      </c>
      <c r="B30" s="12" t="s">
        <v>104</v>
      </c>
      <c r="C30" s="8">
        <f>H37</f>
        <v>2892.8571428571427</v>
      </c>
      <c r="D30" s="8">
        <f t="shared" si="11"/>
        <v>428.57142857142856</v>
      </c>
      <c r="E30" s="8">
        <v>0</v>
      </c>
      <c r="F30" s="8">
        <f t="shared" si="12"/>
        <v>71.428571428571431</v>
      </c>
      <c r="G30" s="8">
        <f t="shared" si="13"/>
        <v>139.28571428571428</v>
      </c>
      <c r="H30" s="26">
        <f t="shared" si="14"/>
        <v>97.428571428571431</v>
      </c>
      <c r="I30" s="8">
        <f t="shared" si="15"/>
        <v>290</v>
      </c>
      <c r="J30" s="8">
        <f t="shared" si="16"/>
        <v>35.714285714285715</v>
      </c>
      <c r="K30" s="26">
        <f t="shared" si="17"/>
        <v>58.285714285714285</v>
      </c>
      <c r="L30" s="40">
        <f t="shared" si="18"/>
        <v>17.142857142857142</v>
      </c>
      <c r="M30" s="8">
        <f t="shared" si="19"/>
        <v>0</v>
      </c>
      <c r="N30" s="65">
        <f>SUM(C30:M30)</f>
        <v>4030.7142857142858</v>
      </c>
      <c r="P30" s="8" t="s">
        <v>15</v>
      </c>
      <c r="Q30" s="8">
        <v>0</v>
      </c>
      <c r="R30" s="8">
        <f>G31</f>
        <v>139.28571428571428</v>
      </c>
      <c r="AY30" s="47"/>
    </row>
    <row r="31" spans="1:53" x14ac:dyDescent="0.3">
      <c r="A31" s="2">
        <v>7</v>
      </c>
      <c r="B31" s="3" t="s">
        <v>145</v>
      </c>
      <c r="C31" s="8">
        <f>H37</f>
        <v>2892.8571428571427</v>
      </c>
      <c r="D31" s="8">
        <f t="shared" si="11"/>
        <v>428.57142857142856</v>
      </c>
      <c r="E31" s="8">
        <v>0</v>
      </c>
      <c r="F31" s="8">
        <f t="shared" si="12"/>
        <v>71.428571428571431</v>
      </c>
      <c r="G31" s="8">
        <f t="shared" si="13"/>
        <v>139.28571428571428</v>
      </c>
      <c r="H31" s="26">
        <f t="shared" si="14"/>
        <v>97.428571428571431</v>
      </c>
      <c r="I31" s="8">
        <f t="shared" si="15"/>
        <v>290</v>
      </c>
      <c r="J31" s="8">
        <f t="shared" si="16"/>
        <v>35.714285714285715</v>
      </c>
      <c r="K31" s="26">
        <f t="shared" si="17"/>
        <v>58.285714285714285</v>
      </c>
      <c r="L31" s="40">
        <f t="shared" si="18"/>
        <v>17.142857142857142</v>
      </c>
      <c r="M31" s="8">
        <f t="shared" si="19"/>
        <v>0</v>
      </c>
      <c r="N31" s="65">
        <f>SUM(C31:M31)</f>
        <v>4030.7142857142858</v>
      </c>
      <c r="P31" s="8" t="s">
        <v>16</v>
      </c>
      <c r="Q31" s="8">
        <v>0</v>
      </c>
      <c r="R31" s="8">
        <f>H31</f>
        <v>97.428571428571431</v>
      </c>
      <c r="AY31" s="47"/>
    </row>
    <row r="32" spans="1:53" x14ac:dyDescent="0.3">
      <c r="A32" s="111" t="s">
        <v>47</v>
      </c>
      <c r="B32" s="111"/>
      <c r="C32" s="65">
        <f>SUM(C25:C31)</f>
        <v>18500</v>
      </c>
      <c r="D32" s="67">
        <v>3000</v>
      </c>
      <c r="E32" s="65"/>
      <c r="F32" s="65">
        <f>500</f>
        <v>500</v>
      </c>
      <c r="G32" s="65">
        <f>975</f>
        <v>975</v>
      </c>
      <c r="H32" s="77">
        <v>682</v>
      </c>
      <c r="I32" s="65">
        <v>2030</v>
      </c>
      <c r="J32" s="65">
        <f>250</f>
        <v>250</v>
      </c>
      <c r="K32" s="77">
        <v>408</v>
      </c>
      <c r="L32" s="67">
        <f>120</f>
        <v>120</v>
      </c>
      <c r="M32" s="65"/>
      <c r="N32" s="65">
        <f>SUM(N25:N31)</f>
        <v>26465</v>
      </c>
      <c r="P32" s="8" t="s">
        <v>17</v>
      </c>
      <c r="Q32" s="8">
        <v>0</v>
      </c>
      <c r="R32" s="8">
        <f>I31</f>
        <v>290</v>
      </c>
      <c r="AY32" s="47"/>
    </row>
    <row r="33" spans="4:51" x14ac:dyDescent="0.3">
      <c r="P33" s="8" t="s">
        <v>18</v>
      </c>
      <c r="Q33" s="8">
        <v>0</v>
      </c>
      <c r="R33" s="8">
        <f>J31</f>
        <v>35.714285714285715</v>
      </c>
      <c r="AY33" s="47"/>
    </row>
    <row r="34" spans="4:51" x14ac:dyDescent="0.3">
      <c r="P34" s="8" t="s">
        <v>19</v>
      </c>
      <c r="Q34" s="8">
        <v>0</v>
      </c>
      <c r="R34" s="8">
        <f>K31</f>
        <v>58.285714285714285</v>
      </c>
    </row>
    <row r="35" spans="4:51" x14ac:dyDescent="0.3">
      <c r="D35" s="1">
        <v>6000</v>
      </c>
      <c r="E35" s="1">
        <v>2</v>
      </c>
      <c r="F35" s="1">
        <f>D35/E35</f>
        <v>3000</v>
      </c>
      <c r="G35" s="1">
        <f>(500+500)/7</f>
        <v>142.85714285714286</v>
      </c>
      <c r="H35" s="11">
        <f>F35+G35</f>
        <v>3142.8571428571427</v>
      </c>
      <c r="I35" s="11">
        <f>H35*E35</f>
        <v>6285.7142857142853</v>
      </c>
      <c r="M35" s="1" t="s">
        <v>61</v>
      </c>
      <c r="N35" s="16">
        <f>C32</f>
        <v>18500</v>
      </c>
      <c r="P35" s="8" t="s">
        <v>20</v>
      </c>
      <c r="Q35" s="8">
        <v>0</v>
      </c>
      <c r="R35" s="8">
        <f>L31</f>
        <v>17.142857142857142</v>
      </c>
      <c r="U35" s="9"/>
    </row>
    <row r="36" spans="4:51" x14ac:dyDescent="0.3">
      <c r="D36" s="1">
        <v>6000</v>
      </c>
      <c r="E36" s="1">
        <v>3</v>
      </c>
      <c r="F36" s="1">
        <f t="shared" ref="F36:F37" si="21">D36/E36</f>
        <v>2000</v>
      </c>
      <c r="G36" s="1">
        <f t="shared" ref="G36:G37" si="22">(500+500)/7</f>
        <v>142.85714285714286</v>
      </c>
      <c r="H36" s="11">
        <f t="shared" ref="H36" si="23">F36+G36</f>
        <v>2142.8571428571427</v>
      </c>
      <c r="I36" s="11">
        <f t="shared" ref="I36:I37" si="24">H36*E36</f>
        <v>6428.5714285714275</v>
      </c>
      <c r="M36" s="1" t="s">
        <v>71</v>
      </c>
      <c r="N36" s="16">
        <f>G32</f>
        <v>975</v>
      </c>
      <c r="P36" s="8" t="s">
        <v>21</v>
      </c>
      <c r="Q36" s="8">
        <v>0</v>
      </c>
      <c r="R36" s="8">
        <f>M31</f>
        <v>0</v>
      </c>
      <c r="T36" s="9"/>
    </row>
    <row r="37" spans="4:51" x14ac:dyDescent="0.3">
      <c r="D37" s="1">
        <v>5500</v>
      </c>
      <c r="E37" s="1">
        <v>2</v>
      </c>
      <c r="F37" s="11">
        <f t="shared" si="21"/>
        <v>2750</v>
      </c>
      <c r="G37" s="1">
        <f t="shared" si="22"/>
        <v>142.85714285714286</v>
      </c>
      <c r="H37" s="11">
        <f>F37+G37</f>
        <v>2892.8571428571427</v>
      </c>
      <c r="I37" s="11">
        <f t="shared" si="24"/>
        <v>5785.7142857142853</v>
      </c>
      <c r="M37" s="1" t="s">
        <v>72</v>
      </c>
      <c r="N37" s="16">
        <f>I32</f>
        <v>2030</v>
      </c>
      <c r="P37" s="67" t="s">
        <v>151</v>
      </c>
      <c r="Q37" s="65">
        <f>SUM(Q26:Q36)</f>
        <v>2892.8571428571427</v>
      </c>
      <c r="R37" s="65">
        <f>SUM(R26:R36)</f>
        <v>1137.8571428571429</v>
      </c>
      <c r="T37" s="9"/>
    </row>
    <row r="38" spans="4:51" x14ac:dyDescent="0.3">
      <c r="D38" s="1">
        <f>SUM(D35:D37)</f>
        <v>17500</v>
      </c>
      <c r="E38" s="1"/>
      <c r="F38" s="1"/>
      <c r="G38" s="1"/>
      <c r="H38" s="1"/>
      <c r="I38" s="11">
        <f>SUM(I35:I37)</f>
        <v>18500</v>
      </c>
      <c r="M38" s="1" t="s">
        <v>73</v>
      </c>
      <c r="N38" s="16">
        <f>H32</f>
        <v>682</v>
      </c>
      <c r="P38" s="85" t="s">
        <v>116</v>
      </c>
      <c r="Q38" s="85">
        <v>0</v>
      </c>
      <c r="R38" s="85">
        <v>2750</v>
      </c>
      <c r="T38" s="9"/>
      <c r="V38" s="9"/>
    </row>
    <row r="39" spans="4:51" x14ac:dyDescent="0.3">
      <c r="M39" s="1" t="s">
        <v>74</v>
      </c>
      <c r="N39" s="16">
        <f>J32</f>
        <v>250</v>
      </c>
      <c r="P39" s="85" t="s">
        <v>112</v>
      </c>
      <c r="Q39" s="85">
        <v>0</v>
      </c>
      <c r="R39" s="85">
        <v>1000</v>
      </c>
      <c r="T39" s="44"/>
      <c r="U39" s="9"/>
    </row>
    <row r="40" spans="4:51" x14ac:dyDescent="0.3">
      <c r="M40" s="78" t="s">
        <v>47</v>
      </c>
      <c r="N40" s="51">
        <f>SUM(N35:N39)</f>
        <v>22437</v>
      </c>
      <c r="P40" s="67" t="s">
        <v>150</v>
      </c>
      <c r="Q40" s="65">
        <f>SUM(Q38:Q39)</f>
        <v>0</v>
      </c>
      <c r="R40" s="65">
        <f>SUM(R38:R39)</f>
        <v>3750</v>
      </c>
    </row>
    <row r="41" spans="4:51" x14ac:dyDescent="0.3">
      <c r="N41" s="9"/>
      <c r="P41" s="87" t="s">
        <v>153</v>
      </c>
      <c r="Q41" s="87">
        <v>0</v>
      </c>
      <c r="R41" s="87">
        <f>AL11</f>
        <v>165.96353614585541</v>
      </c>
    </row>
    <row r="42" spans="4:51" x14ac:dyDescent="0.3">
      <c r="M42" s="1" t="s">
        <v>12</v>
      </c>
      <c r="N42" s="16">
        <f>D32</f>
        <v>3000</v>
      </c>
      <c r="P42" s="88" t="s">
        <v>152</v>
      </c>
      <c r="Q42" s="89">
        <f>Q40-Q37-Q41</f>
        <v>-2892.8571428571427</v>
      </c>
      <c r="R42" s="89">
        <f>R40-R37-R41</f>
        <v>2446.1793209970015</v>
      </c>
      <c r="U42" s="9"/>
    </row>
    <row r="43" spans="4:51" x14ac:dyDescent="0.3">
      <c r="M43" s="1" t="s">
        <v>13</v>
      </c>
      <c r="N43" s="16">
        <f>E32</f>
        <v>0</v>
      </c>
      <c r="P43" s="90" t="s">
        <v>152</v>
      </c>
      <c r="Q43" s="93">
        <f>ABS(Q42)</f>
        <v>2892.8571428571427</v>
      </c>
      <c r="R43" s="93">
        <f>ABS(R42)</f>
        <v>2446.1793209970015</v>
      </c>
      <c r="U43" s="25"/>
      <c r="V43" s="9"/>
      <c r="W43" s="25"/>
    </row>
    <row r="44" spans="4:51" x14ac:dyDescent="0.3">
      <c r="M44" s="1" t="s">
        <v>14</v>
      </c>
      <c r="N44" s="16">
        <f>F32</f>
        <v>500</v>
      </c>
      <c r="P44" s="1" t="s">
        <v>156</v>
      </c>
      <c r="Q44" s="92"/>
      <c r="R44" s="91">
        <f>Q37+R37+R41</f>
        <v>4196.6778218601412</v>
      </c>
      <c r="U44" s="9"/>
    </row>
    <row r="45" spans="4:51" x14ac:dyDescent="0.3">
      <c r="M45" s="1" t="s">
        <v>20</v>
      </c>
      <c r="N45" s="16">
        <f>L32</f>
        <v>120</v>
      </c>
      <c r="P45" s="9"/>
    </row>
    <row r="46" spans="4:51" x14ac:dyDescent="0.3">
      <c r="M46" s="1" t="s">
        <v>123</v>
      </c>
      <c r="N46" s="16">
        <f>K32</f>
        <v>408</v>
      </c>
      <c r="P46" t="s">
        <v>154</v>
      </c>
      <c r="R46" s="9">
        <f>R42</f>
        <v>2446.1793209970015</v>
      </c>
    </row>
    <row r="47" spans="4:51" x14ac:dyDescent="0.3">
      <c r="M47" s="1" t="s">
        <v>21</v>
      </c>
      <c r="N47" s="16">
        <f>M32</f>
        <v>0</v>
      </c>
      <c r="P47" t="s">
        <v>155</v>
      </c>
      <c r="R47" s="25">
        <f>(Q37+R37+R41)</f>
        <v>4196.6778218601412</v>
      </c>
    </row>
    <row r="48" spans="4:51" x14ac:dyDescent="0.3">
      <c r="M48" s="78" t="s">
        <v>47</v>
      </c>
      <c r="N48" s="51">
        <f>SUM(N42:N47)</f>
        <v>4028</v>
      </c>
      <c r="P48" t="s">
        <v>157</v>
      </c>
      <c r="R48" s="44">
        <f>SUM(R46:R47)</f>
        <v>6642.8571428571431</v>
      </c>
    </row>
    <row r="50" spans="13:21" ht="15" thickBot="1" x14ac:dyDescent="0.35">
      <c r="M50" s="79" t="s">
        <v>124</v>
      </c>
      <c r="N50" s="80">
        <f>N48+N40</f>
        <v>26465</v>
      </c>
      <c r="U50" s="9"/>
    </row>
    <row r="51" spans="13:21" ht="15" thickTop="1" x14ac:dyDescent="0.3"/>
    <row r="52" spans="13:21" x14ac:dyDescent="0.3">
      <c r="M52" s="78" t="s">
        <v>125</v>
      </c>
      <c r="N52" s="16">
        <f>N32-N50</f>
        <v>0</v>
      </c>
    </row>
  </sheetData>
  <mergeCells count="3">
    <mergeCell ref="C1:D2"/>
    <mergeCell ref="E1:F2"/>
    <mergeCell ref="A32:B32"/>
  </mergeCells>
  <conditionalFormatting sqref="AU5:AU11 AN5:AN11">
    <cfRule type="cellIs" dxfId="3" priority="2" operator="lessThan">
      <formula>0</formula>
    </cfRule>
  </conditionalFormatting>
  <conditionalFormatting sqref="AU5:AU12">
    <cfRule type="cellIs" dxfId="2" priority="1" operator="greaterThan">
      <formula>0</formula>
    </cfRule>
  </conditionalFormatting>
  <pageMargins left="0.7" right="0.7" top="0.75" bottom="0.75" header="0.3" footer="0.3"/>
  <pageSetup orientation="portrait" horizontalDpi="1200" verticalDpi="1200"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BD52"/>
  <sheetViews>
    <sheetView showGridLines="0" tabSelected="1" zoomScale="90" zoomScaleNormal="90" workbookViewId="0">
      <pane xSplit="2" ySplit="4" topLeftCell="Z7" activePane="bottomRight" state="frozen"/>
      <selection pane="topRight" activeCell="C1" sqref="C1"/>
      <selection pane="bottomLeft" activeCell="A5" sqref="A5"/>
      <selection pane="bottomRight" activeCell="AE13" sqref="AE13"/>
    </sheetView>
  </sheetViews>
  <sheetFormatPr defaultRowHeight="14.4" x14ac:dyDescent="0.3"/>
  <cols>
    <col min="1" max="1" width="7" bestFit="1" customWidth="1"/>
    <col min="2" max="2" width="20.109375" bestFit="1" customWidth="1"/>
    <col min="3" max="3" width="9.33203125" bestFit="1" customWidth="1"/>
    <col min="4" max="4" width="9.44140625" customWidth="1"/>
    <col min="5" max="5" width="9.33203125" bestFit="1" customWidth="1"/>
    <col min="6" max="6" width="11.5546875" customWidth="1"/>
    <col min="7" max="7" width="12" bestFit="1" customWidth="1"/>
    <col min="8" max="8" width="12" customWidth="1"/>
    <col min="9" max="9" width="9.6640625" customWidth="1"/>
    <col min="10" max="10" width="9.33203125" bestFit="1" customWidth="1"/>
    <col min="11" max="11" width="10.44140625" customWidth="1"/>
    <col min="12" max="13" width="10.33203125" bestFit="1" customWidth="1"/>
    <col min="14" max="14" width="11.5546875" bestFit="1" customWidth="1"/>
    <col min="15" max="15" width="10.33203125" bestFit="1" customWidth="1"/>
    <col min="16" max="16" width="24.5546875" customWidth="1"/>
    <col min="17" max="19" width="10.33203125" bestFit="1" customWidth="1"/>
    <col min="20" max="20" width="13" customWidth="1"/>
    <col min="21" max="30" width="10.33203125" bestFit="1" customWidth="1"/>
    <col min="31" max="33" width="10.33203125" customWidth="1"/>
    <col min="34" max="34" width="10.33203125" bestFit="1" customWidth="1"/>
    <col min="35" max="35" width="5.88671875" customWidth="1"/>
    <col min="36" max="36" width="7.109375" bestFit="1" customWidth="1"/>
    <col min="37" max="37" width="22.33203125" customWidth="1"/>
    <col min="38" max="38" width="13.109375" customWidth="1"/>
    <col min="39" max="39" width="12.33203125" customWidth="1"/>
    <col min="40" max="40" width="12.5546875" customWidth="1"/>
    <col min="41" max="41" width="12" customWidth="1"/>
    <col min="42" max="42" width="10.33203125" customWidth="1"/>
    <col min="43" max="43" width="13.6640625" customWidth="1"/>
    <col min="44" max="44" width="17.6640625" customWidth="1"/>
    <col min="45" max="45" width="9.44140625" customWidth="1"/>
    <col min="46" max="46" width="10.33203125" customWidth="1"/>
    <col min="47" max="47" width="13.6640625" style="47" customWidth="1"/>
    <col min="48" max="48" width="11.33203125" bestFit="1" customWidth="1"/>
    <col min="49" max="49" width="10.33203125" bestFit="1" customWidth="1"/>
    <col min="50" max="50" width="14.33203125" customWidth="1"/>
    <col min="51" max="51" width="10.109375" bestFit="1" customWidth="1"/>
  </cols>
  <sheetData>
    <row r="1" spans="1:56" ht="14.7" customHeight="1" x14ac:dyDescent="0.3">
      <c r="C1" s="114" t="s">
        <v>170</v>
      </c>
      <c r="D1" s="114"/>
      <c r="E1" s="115">
        <f>AH22/AH12</f>
        <v>54.984162895927604</v>
      </c>
      <c r="F1" s="115"/>
    </row>
    <row r="2" spans="1:56" ht="18.600000000000001" customHeight="1" x14ac:dyDescent="0.3">
      <c r="C2" s="114"/>
      <c r="D2" s="114"/>
      <c r="E2" s="115"/>
      <c r="F2" s="115"/>
    </row>
    <row r="3" spans="1:56" ht="4.95" customHeight="1" x14ac:dyDescent="0.3"/>
    <row r="4" spans="1:56" ht="57.6" x14ac:dyDescent="0.3">
      <c r="A4" s="53" t="s">
        <v>0</v>
      </c>
      <c r="B4" s="53" t="s">
        <v>2</v>
      </c>
      <c r="C4" s="54">
        <v>44621</v>
      </c>
      <c r="D4" s="54">
        <v>44622</v>
      </c>
      <c r="E4" s="54">
        <v>44623</v>
      </c>
      <c r="F4" s="54">
        <v>44624</v>
      </c>
      <c r="G4" s="54">
        <v>44625</v>
      </c>
      <c r="H4" s="54">
        <v>44626</v>
      </c>
      <c r="I4" s="54">
        <v>44627</v>
      </c>
      <c r="J4" s="54">
        <v>44628</v>
      </c>
      <c r="K4" s="54">
        <v>44629</v>
      </c>
      <c r="L4" s="54">
        <v>44630</v>
      </c>
      <c r="M4" s="54">
        <v>44631</v>
      </c>
      <c r="N4" s="54">
        <v>44632</v>
      </c>
      <c r="O4" s="54">
        <v>44633</v>
      </c>
      <c r="P4" s="54">
        <v>44634</v>
      </c>
      <c r="Q4" s="54">
        <v>44635</v>
      </c>
      <c r="R4" s="54">
        <v>44636</v>
      </c>
      <c r="S4" s="54">
        <v>44637</v>
      </c>
      <c r="T4" s="54">
        <v>44638</v>
      </c>
      <c r="U4" s="54">
        <v>44639</v>
      </c>
      <c r="V4" s="54">
        <v>44640</v>
      </c>
      <c r="W4" s="54">
        <v>44641</v>
      </c>
      <c r="X4" s="54">
        <v>44642</v>
      </c>
      <c r="Y4" s="54">
        <v>44643</v>
      </c>
      <c r="Z4" s="54">
        <v>44644</v>
      </c>
      <c r="AA4" s="54">
        <v>44645</v>
      </c>
      <c r="AB4" s="54">
        <v>44646</v>
      </c>
      <c r="AC4" s="54">
        <v>44647</v>
      </c>
      <c r="AD4" s="54">
        <v>44648</v>
      </c>
      <c r="AE4" s="54">
        <v>44649</v>
      </c>
      <c r="AF4" s="54">
        <v>44650</v>
      </c>
      <c r="AG4" s="54">
        <v>44651</v>
      </c>
      <c r="AH4" s="53" t="s">
        <v>1</v>
      </c>
      <c r="AJ4" s="49" t="s">
        <v>0</v>
      </c>
      <c r="AK4" s="81" t="s">
        <v>2</v>
      </c>
      <c r="AL4" s="82" t="s">
        <v>23</v>
      </c>
      <c r="AM4" s="82" t="s">
        <v>24</v>
      </c>
      <c r="AN4" s="82" t="s">
        <v>26</v>
      </c>
      <c r="AO4" s="82" t="s">
        <v>172</v>
      </c>
      <c r="AP4" s="82" t="s">
        <v>27</v>
      </c>
      <c r="AQ4" s="82" t="s">
        <v>30</v>
      </c>
      <c r="AR4" s="82" t="s">
        <v>32</v>
      </c>
      <c r="AS4" s="82" t="s">
        <v>28</v>
      </c>
      <c r="AT4" s="82" t="s">
        <v>29</v>
      </c>
      <c r="AU4" s="82" t="s">
        <v>31</v>
      </c>
      <c r="AV4" s="94" t="s">
        <v>126</v>
      </c>
    </row>
    <row r="5" spans="1:56" x14ac:dyDescent="0.3">
      <c r="A5" s="2">
        <v>1</v>
      </c>
      <c r="B5" s="3" t="s">
        <v>5</v>
      </c>
      <c r="C5" s="7">
        <v>5</v>
      </c>
      <c r="D5" s="7">
        <v>5</v>
      </c>
      <c r="E5" s="7">
        <v>3</v>
      </c>
      <c r="F5" s="7">
        <v>1.5</v>
      </c>
      <c r="G5" s="7">
        <v>3.5</v>
      </c>
      <c r="H5" s="7">
        <v>4</v>
      </c>
      <c r="I5" s="7">
        <v>4</v>
      </c>
      <c r="J5" s="7">
        <v>5</v>
      </c>
      <c r="K5" s="7">
        <v>5</v>
      </c>
      <c r="L5" s="7">
        <v>2</v>
      </c>
      <c r="M5" s="7">
        <v>2</v>
      </c>
      <c r="N5" s="7">
        <v>4</v>
      </c>
      <c r="O5" s="7">
        <v>4</v>
      </c>
      <c r="P5" s="7">
        <v>2.5</v>
      </c>
      <c r="Q5" s="7">
        <v>5</v>
      </c>
      <c r="R5" s="7">
        <v>5</v>
      </c>
      <c r="S5" s="7">
        <v>4</v>
      </c>
      <c r="T5" s="7">
        <v>2.5</v>
      </c>
      <c r="U5" s="7">
        <v>3.5</v>
      </c>
      <c r="V5" s="7">
        <v>4</v>
      </c>
      <c r="W5" s="7">
        <v>4</v>
      </c>
      <c r="X5" s="7">
        <v>4</v>
      </c>
      <c r="Y5" s="7">
        <v>2</v>
      </c>
      <c r="Z5" s="7">
        <v>5</v>
      </c>
      <c r="AA5" s="7">
        <v>5</v>
      </c>
      <c r="AB5" s="7">
        <v>5</v>
      </c>
      <c r="AC5" s="7">
        <v>3.5</v>
      </c>
      <c r="AD5" s="7">
        <v>2.5</v>
      </c>
      <c r="AE5" s="7">
        <v>5</v>
      </c>
      <c r="AF5" s="7">
        <v>4</v>
      </c>
      <c r="AG5" s="7">
        <v>4</v>
      </c>
      <c r="AH5" s="56">
        <f>SUM(C5:AG5)</f>
        <v>118.5</v>
      </c>
      <c r="AJ5" s="2">
        <v>1</v>
      </c>
      <c r="AK5" s="83" t="s">
        <v>5</v>
      </c>
      <c r="AL5" s="8">
        <f>AH5*$E$1</f>
        <v>6515.623303167421</v>
      </c>
      <c r="AM5" s="8">
        <f>AH15</f>
        <v>5585</v>
      </c>
      <c r="AN5" s="8">
        <f>AM5-AL5</f>
        <v>-930.623303167421</v>
      </c>
      <c r="AO5" s="8">
        <f>N25</f>
        <v>4280.7142857142853</v>
      </c>
      <c r="AP5" s="8">
        <f t="shared" ref="AP5:AP11" si="0">AO5-AN5</f>
        <v>5211.3375888817063</v>
      </c>
      <c r="AQ5" s="40">
        <f>'Meal Feb 22 &amp; Rent Mar 22'!AU5</f>
        <v>3.2632423756022035</v>
      </c>
      <c r="AR5" s="8">
        <f t="shared" ref="AR5:AR11" si="1">AP5-AQ5</f>
        <v>5208.0743465061041</v>
      </c>
      <c r="AS5" s="1">
        <f>500+3000-184</f>
        <v>3316</v>
      </c>
      <c r="AT5" s="95">
        <v>44639</v>
      </c>
      <c r="AU5" s="8">
        <f t="shared" ref="AU5:AU11" si="2">AS5-AR5</f>
        <v>-1892.0743465061041</v>
      </c>
      <c r="AV5" s="102">
        <v>3000</v>
      </c>
      <c r="AY5" s="9"/>
    </row>
    <row r="6" spans="1:56" x14ac:dyDescent="0.3">
      <c r="A6" s="2">
        <v>2</v>
      </c>
      <c r="B6" s="3" t="s">
        <v>131</v>
      </c>
      <c r="C6" s="7">
        <v>0</v>
      </c>
      <c r="D6" s="7">
        <v>0</v>
      </c>
      <c r="E6" s="7">
        <v>0</v>
      </c>
      <c r="F6" s="7">
        <v>1</v>
      </c>
      <c r="G6" s="7">
        <v>2</v>
      </c>
      <c r="H6" s="7">
        <v>1</v>
      </c>
      <c r="I6" s="7">
        <v>1</v>
      </c>
      <c r="J6" s="7">
        <v>1</v>
      </c>
      <c r="K6" s="7">
        <v>1</v>
      </c>
      <c r="L6" s="7">
        <v>0</v>
      </c>
      <c r="M6" s="7">
        <v>1</v>
      </c>
      <c r="N6" s="7">
        <v>1.5</v>
      </c>
      <c r="O6" s="7">
        <v>1</v>
      </c>
      <c r="P6" s="7">
        <v>1</v>
      </c>
      <c r="Q6" s="7">
        <v>1</v>
      </c>
      <c r="R6" s="7">
        <v>1</v>
      </c>
      <c r="S6" s="7">
        <v>2</v>
      </c>
      <c r="T6" s="7">
        <v>2</v>
      </c>
      <c r="U6" s="7">
        <v>2</v>
      </c>
      <c r="V6" s="7">
        <v>1</v>
      </c>
      <c r="W6" s="7">
        <v>1</v>
      </c>
      <c r="X6" s="7">
        <v>1</v>
      </c>
      <c r="Y6" s="7">
        <v>1</v>
      </c>
      <c r="Z6" s="7">
        <v>1</v>
      </c>
      <c r="AA6" s="7">
        <v>2</v>
      </c>
      <c r="AB6" s="7">
        <v>1</v>
      </c>
      <c r="AC6" s="7">
        <v>2</v>
      </c>
      <c r="AD6" s="7">
        <v>2</v>
      </c>
      <c r="AE6" s="7">
        <v>2</v>
      </c>
      <c r="AF6" s="7">
        <v>2</v>
      </c>
      <c r="AG6" s="7">
        <v>1</v>
      </c>
      <c r="AH6" s="56">
        <f>SUM(C6:AG6)</f>
        <v>36.5</v>
      </c>
      <c r="AJ6" s="2">
        <v>2</v>
      </c>
      <c r="AK6" s="83" t="s">
        <v>131</v>
      </c>
      <c r="AL6" s="8">
        <f t="shared" ref="AL6:AL11" si="3">AH6*$E$1</f>
        <v>2006.9219457013576</v>
      </c>
      <c r="AM6" s="8">
        <f t="shared" ref="AM6:AM7" si="4">AH16</f>
        <v>3406</v>
      </c>
      <c r="AN6" s="8">
        <f t="shared" ref="AN6:AN11" si="5">AM6-AL6</f>
        <v>1399.0780542986424</v>
      </c>
      <c r="AO6" s="8">
        <f t="shared" ref="AO6:AO9" si="6">N26</f>
        <v>4280.7142857142853</v>
      </c>
      <c r="AP6" s="8">
        <f t="shared" si="0"/>
        <v>2881.6362314156431</v>
      </c>
      <c r="AQ6" s="40">
        <f>'Meal Feb 22 &amp; Rent Mar 22'!AU6</f>
        <v>600.52223386734659</v>
      </c>
      <c r="AR6" s="8">
        <f t="shared" si="1"/>
        <v>2281.1139975482965</v>
      </c>
      <c r="AS6" s="1">
        <f>4000</f>
        <v>4000</v>
      </c>
      <c r="AT6" s="95">
        <v>44639</v>
      </c>
      <c r="AU6" s="8">
        <f t="shared" si="2"/>
        <v>1718.8860024517035</v>
      </c>
      <c r="AV6" s="102">
        <v>4000</v>
      </c>
      <c r="AY6" s="9"/>
    </row>
    <row r="7" spans="1:56" x14ac:dyDescent="0.3">
      <c r="A7" s="2">
        <v>3</v>
      </c>
      <c r="B7" s="3" t="s">
        <v>6</v>
      </c>
      <c r="C7" s="7">
        <v>2.5</v>
      </c>
      <c r="D7" s="7">
        <v>3.5</v>
      </c>
      <c r="E7" s="7">
        <v>7</v>
      </c>
      <c r="F7" s="7">
        <v>3.5</v>
      </c>
      <c r="G7" s="7">
        <v>2.5</v>
      </c>
      <c r="H7" s="7">
        <v>2</v>
      </c>
      <c r="I7" s="7">
        <v>2.5</v>
      </c>
      <c r="J7" s="7">
        <v>3.5</v>
      </c>
      <c r="K7" s="7">
        <v>3</v>
      </c>
      <c r="L7" s="7">
        <v>1</v>
      </c>
      <c r="M7" s="7">
        <v>2</v>
      </c>
      <c r="N7" s="7">
        <v>2.5</v>
      </c>
      <c r="O7" s="7">
        <v>2.5</v>
      </c>
      <c r="P7" s="7">
        <v>1.5</v>
      </c>
      <c r="Q7" s="7">
        <v>2.5</v>
      </c>
      <c r="R7" s="7">
        <v>4</v>
      </c>
      <c r="S7" s="7">
        <v>3.5</v>
      </c>
      <c r="T7" s="7">
        <v>5</v>
      </c>
      <c r="U7" s="7">
        <v>5</v>
      </c>
      <c r="V7" s="7">
        <v>3</v>
      </c>
      <c r="W7" s="7">
        <v>2.5</v>
      </c>
      <c r="X7" s="7">
        <v>1.5</v>
      </c>
      <c r="Y7" s="7">
        <v>2</v>
      </c>
      <c r="Z7" s="7">
        <v>2.5</v>
      </c>
      <c r="AA7" s="7">
        <v>2.5</v>
      </c>
      <c r="AB7" s="7">
        <v>2</v>
      </c>
      <c r="AC7" s="7">
        <v>2.5</v>
      </c>
      <c r="AD7" s="7">
        <v>2.5</v>
      </c>
      <c r="AE7" s="7">
        <v>2.5</v>
      </c>
      <c r="AF7" s="7">
        <v>2.5</v>
      </c>
      <c r="AG7" s="7">
        <v>4.5</v>
      </c>
      <c r="AH7" s="56">
        <f t="shared" ref="AH7:AH11" si="7">SUM(C7:AG7)</f>
        <v>90</v>
      </c>
      <c r="AJ7" s="2">
        <v>3</v>
      </c>
      <c r="AK7" s="83" t="s">
        <v>6</v>
      </c>
      <c r="AL7" s="8">
        <f t="shared" si="3"/>
        <v>4948.5746606334842</v>
      </c>
      <c r="AM7" s="8">
        <f t="shared" si="4"/>
        <v>2890</v>
      </c>
      <c r="AN7" s="8">
        <f t="shared" si="5"/>
        <v>-2058.5746606334842</v>
      </c>
      <c r="AO7" s="8">
        <f t="shared" si="6"/>
        <v>3280.7142857142858</v>
      </c>
      <c r="AP7" s="8">
        <f t="shared" si="0"/>
        <v>5339.2889463477695</v>
      </c>
      <c r="AQ7" s="40">
        <f>'Meal Feb 22 &amp; Rent Mar 22'!AU7</f>
        <v>-3.2708440594433341E-2</v>
      </c>
      <c r="AR7" s="8">
        <f t="shared" si="1"/>
        <v>5339.321654788364</v>
      </c>
      <c r="AS7">
        <f>-92+(5700)</f>
        <v>5608</v>
      </c>
      <c r="AT7" s="95">
        <v>44642</v>
      </c>
      <c r="AU7" s="8">
        <f>AS7-AR7</f>
        <v>268.67834521163604</v>
      </c>
      <c r="AV7" s="102">
        <v>6400</v>
      </c>
      <c r="AW7" s="98">
        <v>6400</v>
      </c>
      <c r="AX7" s="96">
        <v>5700</v>
      </c>
      <c r="AY7" s="97">
        <v>881</v>
      </c>
      <c r="AZ7" s="44">
        <f>AX7+AY7</f>
        <v>6581</v>
      </c>
      <c r="BA7" s="99">
        <f>AW7-AZ7</f>
        <v>-181</v>
      </c>
      <c r="BB7" s="9" t="s">
        <v>168</v>
      </c>
      <c r="BC7" s="9"/>
      <c r="BD7" s="9"/>
    </row>
    <row r="8" spans="1:56" x14ac:dyDescent="0.3">
      <c r="A8" s="2">
        <v>4</v>
      </c>
      <c r="B8" s="3" t="s">
        <v>57</v>
      </c>
      <c r="C8" s="7">
        <v>1.5</v>
      </c>
      <c r="D8" s="7">
        <v>1.5</v>
      </c>
      <c r="E8" s="7">
        <v>4</v>
      </c>
      <c r="F8" s="7">
        <v>4.5</v>
      </c>
      <c r="G8" s="7">
        <v>2</v>
      </c>
      <c r="H8" s="7">
        <v>1</v>
      </c>
      <c r="I8" s="7">
        <v>2.5</v>
      </c>
      <c r="J8" s="7">
        <v>1.5</v>
      </c>
      <c r="K8" s="7">
        <v>1.5</v>
      </c>
      <c r="L8" s="7">
        <v>1</v>
      </c>
      <c r="M8" s="7">
        <v>2</v>
      </c>
      <c r="N8" s="7">
        <v>0.5</v>
      </c>
      <c r="O8" s="7">
        <v>2.5</v>
      </c>
      <c r="P8" s="7">
        <v>1.5</v>
      </c>
      <c r="Q8" s="7">
        <v>2.5</v>
      </c>
      <c r="R8" s="7">
        <v>3.5</v>
      </c>
      <c r="S8" s="7">
        <v>5</v>
      </c>
      <c r="T8" s="7">
        <v>5</v>
      </c>
      <c r="U8" s="7">
        <v>5</v>
      </c>
      <c r="V8" s="7">
        <v>2.5</v>
      </c>
      <c r="W8" s="7">
        <v>2.5</v>
      </c>
      <c r="X8" s="7">
        <v>2.5</v>
      </c>
      <c r="Y8" s="7">
        <v>2</v>
      </c>
      <c r="Z8" s="7">
        <v>3.5</v>
      </c>
      <c r="AA8" s="7">
        <v>5</v>
      </c>
      <c r="AB8" s="7">
        <v>3.5</v>
      </c>
      <c r="AC8" s="7">
        <v>2.5</v>
      </c>
      <c r="AD8" s="7">
        <v>2</v>
      </c>
      <c r="AE8" s="7">
        <v>2.5</v>
      </c>
      <c r="AF8" s="7">
        <v>2.5</v>
      </c>
      <c r="AG8" s="7">
        <v>3.5</v>
      </c>
      <c r="AH8" s="56">
        <f t="shared" si="7"/>
        <v>83</v>
      </c>
      <c r="AJ8" s="2">
        <v>4</v>
      </c>
      <c r="AK8" s="83" t="s">
        <v>57</v>
      </c>
      <c r="AL8" s="8">
        <f t="shared" si="3"/>
        <v>4563.6855203619907</v>
      </c>
      <c r="AM8" s="8">
        <f>AH18</f>
        <v>2852</v>
      </c>
      <c r="AN8" s="8">
        <f t="shared" si="5"/>
        <v>-1711.6855203619907</v>
      </c>
      <c r="AO8" s="8">
        <f t="shared" si="6"/>
        <v>3280.7142857142858</v>
      </c>
      <c r="AP8" s="8">
        <f t="shared" si="0"/>
        <v>4992.3998060762769</v>
      </c>
      <c r="AQ8" s="40">
        <f>'Meal Feb 22 &amp; Rent Mar 22'!AU8</f>
        <v>-1.8504497411413467E-2</v>
      </c>
      <c r="AR8" s="8">
        <f t="shared" si="1"/>
        <v>4992.4183105736884</v>
      </c>
      <c r="AS8" s="1">
        <f>120+3940</f>
        <v>4060</v>
      </c>
      <c r="AT8" s="95">
        <v>44640</v>
      </c>
      <c r="AU8" s="8">
        <f t="shared" si="2"/>
        <v>-932.41831057368836</v>
      </c>
      <c r="AV8" s="102">
        <v>3940</v>
      </c>
      <c r="AY8" s="9"/>
      <c r="BA8">
        <v>3</v>
      </c>
      <c r="BB8" t="s">
        <v>164</v>
      </c>
    </row>
    <row r="9" spans="1:56" x14ac:dyDescent="0.3">
      <c r="A9" s="2">
        <v>5</v>
      </c>
      <c r="B9" s="12" t="s">
        <v>51</v>
      </c>
      <c r="C9" s="7">
        <v>0</v>
      </c>
      <c r="D9" s="7">
        <v>1</v>
      </c>
      <c r="E9" s="7">
        <v>1</v>
      </c>
      <c r="F9" s="7">
        <v>2.5</v>
      </c>
      <c r="G9" s="7">
        <v>4.5</v>
      </c>
      <c r="H9" s="7">
        <v>1</v>
      </c>
      <c r="I9" s="7">
        <v>1</v>
      </c>
      <c r="J9" s="7">
        <v>1</v>
      </c>
      <c r="K9" s="7">
        <v>1</v>
      </c>
      <c r="L9" s="7">
        <v>0</v>
      </c>
      <c r="M9" s="7">
        <v>0</v>
      </c>
      <c r="N9" s="7">
        <v>1</v>
      </c>
      <c r="O9" s="7">
        <v>1</v>
      </c>
      <c r="P9" s="7">
        <v>1</v>
      </c>
      <c r="Q9" s="7">
        <v>1.5</v>
      </c>
      <c r="R9" s="7">
        <v>1.5</v>
      </c>
      <c r="S9" s="7">
        <v>0</v>
      </c>
      <c r="T9" s="7">
        <v>0</v>
      </c>
      <c r="U9" s="7">
        <v>0</v>
      </c>
      <c r="V9" s="7">
        <v>0</v>
      </c>
      <c r="W9" s="7">
        <v>1</v>
      </c>
      <c r="X9" s="7">
        <v>1</v>
      </c>
      <c r="Y9" s="7">
        <v>1</v>
      </c>
      <c r="Z9" s="7">
        <v>0</v>
      </c>
      <c r="AA9" s="7">
        <v>6.5</v>
      </c>
      <c r="AB9" s="7">
        <v>4</v>
      </c>
      <c r="AC9" s="7">
        <v>1</v>
      </c>
      <c r="AD9" s="7">
        <v>1</v>
      </c>
      <c r="AE9" s="7">
        <v>1</v>
      </c>
      <c r="AF9" s="7">
        <v>1</v>
      </c>
      <c r="AG9" s="7">
        <v>0</v>
      </c>
      <c r="AH9" s="56">
        <f t="shared" si="7"/>
        <v>36.5</v>
      </c>
      <c r="AJ9" s="2">
        <v>5</v>
      </c>
      <c r="AK9" s="84" t="s">
        <v>51</v>
      </c>
      <c r="AL9" s="8">
        <f t="shared" si="3"/>
        <v>2006.9219457013576</v>
      </c>
      <c r="AM9" s="8">
        <f>AH19</f>
        <v>3660</v>
      </c>
      <c r="AN9" s="8">
        <f t="shared" si="5"/>
        <v>1653.0780542986424</v>
      </c>
      <c r="AO9" s="8">
        <f t="shared" si="6"/>
        <v>3280.7142857142858</v>
      </c>
      <c r="AP9" s="8">
        <f>AO9-AN9</f>
        <v>1627.6362314156434</v>
      </c>
      <c r="AQ9" s="40">
        <f>'Meal Feb 22 &amp; Rent Mar 22'!AU9</f>
        <v>1271.0262273236619</v>
      </c>
      <c r="AR9" s="8">
        <f t="shared" si="1"/>
        <v>356.61000409198141</v>
      </c>
      <c r="AS9" s="1">
        <f>3000</f>
        <v>3000</v>
      </c>
      <c r="AT9" s="95"/>
      <c r="AU9" s="8">
        <f t="shared" si="2"/>
        <v>2643.3899959080186</v>
      </c>
      <c r="AV9" s="102">
        <v>0</v>
      </c>
      <c r="AX9" s="9"/>
      <c r="BA9" s="104">
        <f>ABS(BA7)+BA8</f>
        <v>184</v>
      </c>
      <c r="BB9" t="s">
        <v>167</v>
      </c>
    </row>
    <row r="10" spans="1:56" x14ac:dyDescent="0.3">
      <c r="A10" s="2">
        <v>6</v>
      </c>
      <c r="B10" s="1" t="s">
        <v>110</v>
      </c>
      <c r="C10" s="7">
        <v>1</v>
      </c>
      <c r="D10" s="7">
        <v>1</v>
      </c>
      <c r="E10" s="7">
        <v>1</v>
      </c>
      <c r="F10" s="7">
        <v>1.5</v>
      </c>
      <c r="G10" s="7">
        <v>1.5</v>
      </c>
      <c r="H10" s="7">
        <v>1</v>
      </c>
      <c r="I10" s="7">
        <v>0</v>
      </c>
      <c r="J10" s="7">
        <v>0</v>
      </c>
      <c r="K10" s="7">
        <v>1</v>
      </c>
      <c r="L10" s="7">
        <v>0</v>
      </c>
      <c r="M10" s="7">
        <v>1</v>
      </c>
      <c r="N10" s="7">
        <v>2.5</v>
      </c>
      <c r="O10" s="7">
        <v>1</v>
      </c>
      <c r="P10" s="7">
        <v>1</v>
      </c>
      <c r="Q10" s="7">
        <v>1</v>
      </c>
      <c r="R10" s="7">
        <v>1</v>
      </c>
      <c r="S10" s="7">
        <v>1</v>
      </c>
      <c r="T10" s="7">
        <v>1.5</v>
      </c>
      <c r="U10" s="7">
        <v>1.5</v>
      </c>
      <c r="V10" s="7">
        <v>1</v>
      </c>
      <c r="W10" s="7">
        <v>2.5</v>
      </c>
      <c r="X10" s="7">
        <v>2.5</v>
      </c>
      <c r="Y10" s="7">
        <v>2</v>
      </c>
      <c r="Z10" s="7">
        <v>2.5</v>
      </c>
      <c r="AA10" s="7">
        <v>2.5</v>
      </c>
      <c r="AB10" s="7">
        <v>2.5</v>
      </c>
      <c r="AC10" s="7">
        <v>2.5</v>
      </c>
      <c r="AD10" s="7">
        <v>2.5</v>
      </c>
      <c r="AE10" s="7">
        <v>2.5</v>
      </c>
      <c r="AF10" s="7">
        <v>2.5</v>
      </c>
      <c r="AG10" s="7">
        <v>2.5</v>
      </c>
      <c r="AH10" s="56">
        <f t="shared" si="7"/>
        <v>47.5</v>
      </c>
      <c r="AJ10" s="2">
        <v>6</v>
      </c>
      <c r="AK10" s="84" t="s">
        <v>104</v>
      </c>
      <c r="AL10" s="8">
        <f t="shared" si="3"/>
        <v>2611.7477375565613</v>
      </c>
      <c r="AM10" s="8">
        <f>AH20</f>
        <v>3500</v>
      </c>
      <c r="AN10" s="8">
        <f t="shared" si="5"/>
        <v>888.25226244343867</v>
      </c>
      <c r="AO10" s="8">
        <f>N30</f>
        <v>4030.7142857142858</v>
      </c>
      <c r="AP10" s="8">
        <f t="shared" si="0"/>
        <v>3142.4620232708471</v>
      </c>
      <c r="AQ10" s="40">
        <f>'Meal Feb 22 &amp; Rent Mar 22'!AU10</f>
        <v>22.153850813167992</v>
      </c>
      <c r="AR10" s="8">
        <f t="shared" si="1"/>
        <v>3120.3081724576791</v>
      </c>
      <c r="AS10" s="1">
        <v>3300</v>
      </c>
      <c r="AT10" s="95">
        <v>44641</v>
      </c>
      <c r="AU10" s="8">
        <f>AS10-AR10</f>
        <v>179.69182754232088</v>
      </c>
      <c r="AV10" s="102">
        <v>3300</v>
      </c>
      <c r="AW10" s="9"/>
      <c r="AX10" s="9"/>
    </row>
    <row r="11" spans="1:56" x14ac:dyDescent="0.3">
      <c r="A11" s="2">
        <v>7</v>
      </c>
      <c r="B11" s="3" t="s">
        <v>147</v>
      </c>
      <c r="C11" s="7">
        <v>1</v>
      </c>
      <c r="D11" s="7">
        <v>1</v>
      </c>
      <c r="E11" s="7">
        <v>1</v>
      </c>
      <c r="F11" s="7">
        <v>2</v>
      </c>
      <c r="G11" s="7">
        <v>2.5</v>
      </c>
      <c r="H11" s="7">
        <v>1</v>
      </c>
      <c r="I11" s="7">
        <v>2.5</v>
      </c>
      <c r="J11" s="7">
        <v>2.5</v>
      </c>
      <c r="K11" s="7">
        <v>1.5</v>
      </c>
      <c r="L11" s="7">
        <v>0</v>
      </c>
      <c r="M11" s="7">
        <v>0</v>
      </c>
      <c r="N11" s="7">
        <v>2.5</v>
      </c>
      <c r="O11" s="7">
        <v>1</v>
      </c>
      <c r="P11" s="7">
        <v>1</v>
      </c>
      <c r="Q11" s="7">
        <v>1</v>
      </c>
      <c r="R11" s="7">
        <v>1</v>
      </c>
      <c r="S11" s="7">
        <v>1</v>
      </c>
      <c r="T11" s="7">
        <v>2.5</v>
      </c>
      <c r="U11" s="7">
        <v>2.5</v>
      </c>
      <c r="V11" s="7">
        <v>1</v>
      </c>
      <c r="W11" s="7">
        <v>1.5</v>
      </c>
      <c r="X11" s="7">
        <v>0</v>
      </c>
      <c r="Y11" s="7">
        <v>0</v>
      </c>
      <c r="Z11" s="7">
        <v>0</v>
      </c>
      <c r="AA11" s="7">
        <v>0</v>
      </c>
      <c r="AB11" s="7">
        <v>0</v>
      </c>
      <c r="AC11" s="7">
        <v>0</v>
      </c>
      <c r="AD11" s="7">
        <v>0</v>
      </c>
      <c r="AE11" s="7">
        <v>0</v>
      </c>
      <c r="AF11" s="7">
        <v>0</v>
      </c>
      <c r="AG11" s="7">
        <v>0</v>
      </c>
      <c r="AH11" s="56">
        <f t="shared" si="7"/>
        <v>30</v>
      </c>
      <c r="AJ11" s="2">
        <v>7</v>
      </c>
      <c r="AK11" s="83" t="s">
        <v>147</v>
      </c>
      <c r="AL11" s="8">
        <f t="shared" si="3"/>
        <v>1649.5248868778281</v>
      </c>
      <c r="AM11" s="8">
        <f>AH21</f>
        <v>2410</v>
      </c>
      <c r="AN11" s="8">
        <f t="shared" si="5"/>
        <v>760.47511312217193</v>
      </c>
      <c r="AO11" s="8">
        <f>N31</f>
        <v>4030.7142857142858</v>
      </c>
      <c r="AP11" s="8">
        <f t="shared" si="0"/>
        <v>3270.2391725921138</v>
      </c>
      <c r="AQ11" s="40">
        <f>'Meal Feb 22 &amp; Rent Mar 22'!AU11</f>
        <v>3.3221781398588064</v>
      </c>
      <c r="AR11" s="8">
        <f t="shared" si="1"/>
        <v>3266.916994452255</v>
      </c>
      <c r="AS11" s="1">
        <f>500+3700</f>
        <v>4200</v>
      </c>
      <c r="AT11" s="95">
        <v>44639</v>
      </c>
      <c r="AU11" s="8">
        <f t="shared" si="2"/>
        <v>933.08300554774496</v>
      </c>
      <c r="AV11" s="102">
        <v>3700</v>
      </c>
      <c r="AX11" s="9"/>
    </row>
    <row r="12" spans="1:56" x14ac:dyDescent="0.3">
      <c r="A12" s="1"/>
      <c r="B12" s="1"/>
      <c r="C12" s="55">
        <f>SUM(C5:C11)</f>
        <v>11</v>
      </c>
      <c r="D12" s="55">
        <f t="shared" ref="D12:AD12" si="8">SUM(D5:D11)</f>
        <v>13</v>
      </c>
      <c r="E12" s="55">
        <f t="shared" si="8"/>
        <v>17</v>
      </c>
      <c r="F12" s="55">
        <f t="shared" si="8"/>
        <v>16.5</v>
      </c>
      <c r="G12" s="55">
        <f t="shared" si="8"/>
        <v>18.5</v>
      </c>
      <c r="H12" s="55">
        <f t="shared" si="8"/>
        <v>11</v>
      </c>
      <c r="I12" s="55">
        <f t="shared" si="8"/>
        <v>13.5</v>
      </c>
      <c r="J12" s="55">
        <f t="shared" si="8"/>
        <v>14.5</v>
      </c>
      <c r="K12" s="55">
        <f t="shared" si="8"/>
        <v>14</v>
      </c>
      <c r="L12" s="55">
        <f t="shared" si="8"/>
        <v>4</v>
      </c>
      <c r="M12" s="55">
        <f t="shared" si="8"/>
        <v>8</v>
      </c>
      <c r="N12" s="55">
        <f t="shared" si="8"/>
        <v>14.5</v>
      </c>
      <c r="O12" s="55">
        <f t="shared" si="8"/>
        <v>13</v>
      </c>
      <c r="P12" s="55">
        <f t="shared" si="8"/>
        <v>9.5</v>
      </c>
      <c r="Q12" s="55">
        <f t="shared" si="8"/>
        <v>14.5</v>
      </c>
      <c r="R12" s="55">
        <f t="shared" si="8"/>
        <v>17</v>
      </c>
      <c r="S12" s="55">
        <f t="shared" si="8"/>
        <v>16.5</v>
      </c>
      <c r="T12" s="55">
        <f t="shared" si="8"/>
        <v>18.5</v>
      </c>
      <c r="U12" s="55">
        <f t="shared" si="8"/>
        <v>19.5</v>
      </c>
      <c r="V12" s="55">
        <f t="shared" si="8"/>
        <v>12.5</v>
      </c>
      <c r="W12" s="55">
        <f t="shared" si="8"/>
        <v>15</v>
      </c>
      <c r="X12" s="55">
        <f t="shared" si="8"/>
        <v>12.5</v>
      </c>
      <c r="Y12" s="55">
        <f t="shared" si="8"/>
        <v>10</v>
      </c>
      <c r="Z12" s="55">
        <f t="shared" si="8"/>
        <v>14.5</v>
      </c>
      <c r="AA12" s="55">
        <f t="shared" si="8"/>
        <v>23.5</v>
      </c>
      <c r="AB12" s="55">
        <f t="shared" si="8"/>
        <v>18</v>
      </c>
      <c r="AC12" s="55">
        <f t="shared" si="8"/>
        <v>14</v>
      </c>
      <c r="AD12" s="55">
        <f t="shared" si="8"/>
        <v>12.5</v>
      </c>
      <c r="AE12" s="55"/>
      <c r="AF12" s="55"/>
      <c r="AG12" s="55"/>
      <c r="AH12" s="55">
        <f>SUM(AH5:AH11)</f>
        <v>442</v>
      </c>
      <c r="AJ12" s="2"/>
      <c r="AK12" s="84"/>
      <c r="AL12" s="65">
        <f t="shared" ref="AL12:AQ12" si="9">SUM(AL5:AL11)</f>
        <v>24303</v>
      </c>
      <c r="AM12" s="65">
        <f t="shared" si="9"/>
        <v>24303</v>
      </c>
      <c r="AN12" s="65">
        <f t="shared" si="9"/>
        <v>0</v>
      </c>
      <c r="AO12" s="65">
        <f t="shared" si="9"/>
        <v>26465</v>
      </c>
      <c r="AP12" s="65">
        <f t="shared" si="9"/>
        <v>26465.000000000004</v>
      </c>
      <c r="AQ12" s="67">
        <f t="shared" si="9"/>
        <v>1900.2365195816317</v>
      </c>
      <c r="AR12" s="65">
        <f>AP12-AQ12</f>
        <v>24564.763480418373</v>
      </c>
      <c r="AS12" s="77">
        <f>SUM(AS5:AS11)</f>
        <v>27484</v>
      </c>
      <c r="AT12" s="67"/>
      <c r="AU12" s="65">
        <f>SUM(AU5:AU11)</f>
        <v>2919.2365195816315</v>
      </c>
      <c r="AV12" s="103">
        <f>SUM(AV5:AV11)</f>
        <v>24340</v>
      </c>
      <c r="AX12" s="9"/>
    </row>
    <row r="13" spans="1:56" x14ac:dyDescent="0.3">
      <c r="AL13" s="25"/>
      <c r="AM13" s="9"/>
      <c r="AN13" s="9"/>
      <c r="AP13" s="9"/>
      <c r="AQ13" s="9"/>
      <c r="AR13" s="25"/>
      <c r="AS13" s="9"/>
      <c r="AT13" s="9"/>
      <c r="AV13" s="9"/>
      <c r="AW13" s="9"/>
      <c r="AX13" s="9"/>
    </row>
    <row r="14" spans="1:56" x14ac:dyDescent="0.3">
      <c r="B14" s="64" t="s">
        <v>169</v>
      </c>
      <c r="AK14" s="44" t="s">
        <v>173</v>
      </c>
      <c r="AL14" s="9"/>
      <c r="AX14" s="25"/>
    </row>
    <row r="15" spans="1:56" x14ac:dyDescent="0.3">
      <c r="A15" s="2">
        <v>1</v>
      </c>
      <c r="B15" s="3" t="s">
        <v>5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>
        <v>2205</v>
      </c>
      <c r="P15" s="8"/>
      <c r="Q15" s="8">
        <v>2080</v>
      </c>
      <c r="R15" s="8"/>
      <c r="S15" s="8">
        <v>315</v>
      </c>
      <c r="T15" s="8"/>
      <c r="U15" s="8"/>
      <c r="V15" s="8"/>
      <c r="W15" s="8"/>
      <c r="X15" s="8"/>
      <c r="Y15" s="8"/>
      <c r="Z15" s="8"/>
      <c r="AA15" s="26">
        <v>40</v>
      </c>
      <c r="AB15" s="8"/>
      <c r="AC15" s="8"/>
      <c r="AD15" s="8"/>
      <c r="AE15" s="26">
        <v>685</v>
      </c>
      <c r="AF15" s="26">
        <v>260</v>
      </c>
      <c r="AG15" s="8"/>
      <c r="AH15" s="65">
        <f>SUM(C15:AG15)</f>
        <v>5585</v>
      </c>
      <c r="AK15" s="78" t="s">
        <v>161</v>
      </c>
      <c r="AL15" s="78" t="s">
        <v>95</v>
      </c>
      <c r="AS15" s="9"/>
      <c r="AT15" s="9"/>
      <c r="AV15" s="9"/>
      <c r="AX15" s="25"/>
    </row>
    <row r="16" spans="1:56" x14ac:dyDescent="0.3">
      <c r="A16" s="2">
        <v>2</v>
      </c>
      <c r="B16" s="3" t="s">
        <v>131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U16" s="8"/>
      <c r="V16" s="8"/>
      <c r="W16" s="8">
        <v>585</v>
      </c>
      <c r="X16" s="8">
        <v>1866</v>
      </c>
      <c r="Y16" s="8">
        <v>210</v>
      </c>
      <c r="Z16" s="8">
        <v>705</v>
      </c>
      <c r="AA16" s="8"/>
      <c r="AB16" s="8">
        <v>40</v>
      </c>
      <c r="AC16" s="8"/>
      <c r="AD16" s="8"/>
      <c r="AE16" s="8"/>
      <c r="AF16" s="8"/>
      <c r="AG16" s="8"/>
      <c r="AH16" s="65">
        <f t="shared" ref="AH16:AH21" si="10">SUM(C16:AG16)</f>
        <v>3406</v>
      </c>
      <c r="AK16" s="1" t="s">
        <v>158</v>
      </c>
      <c r="AL16" s="16">
        <v>0</v>
      </c>
      <c r="AQ16" s="9"/>
      <c r="AR16" s="25"/>
      <c r="AS16" s="9"/>
      <c r="AU16"/>
      <c r="AX16" s="44"/>
      <c r="AY16" s="25"/>
    </row>
    <row r="17" spans="1:53" x14ac:dyDescent="0.3">
      <c r="A17" s="2">
        <v>3</v>
      </c>
      <c r="B17" s="3" t="s">
        <v>6</v>
      </c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26">
        <v>65</v>
      </c>
      <c r="AA17" s="8">
        <v>410</v>
      </c>
      <c r="AB17" s="8"/>
      <c r="AC17" s="8">
        <v>450</v>
      </c>
      <c r="AD17" s="26">
        <f>665+40</f>
        <v>705</v>
      </c>
      <c r="AE17" s="8">
        <v>905</v>
      </c>
      <c r="AF17" s="8">
        <v>355</v>
      </c>
      <c r="AG17" s="8"/>
      <c r="AH17" s="65">
        <f t="shared" si="10"/>
        <v>2890</v>
      </c>
      <c r="AK17" s="1" t="s">
        <v>162</v>
      </c>
      <c r="AL17" s="16">
        <f>AU12</f>
        <v>2919.2365195816315</v>
      </c>
      <c r="AR17" s="25"/>
      <c r="AS17" s="44"/>
      <c r="AT17" s="104">
        <v>1900</v>
      </c>
      <c r="AU17" s="105" t="s">
        <v>165</v>
      </c>
      <c r="AX17" s="25"/>
    </row>
    <row r="18" spans="1:53" x14ac:dyDescent="0.3">
      <c r="A18" s="2">
        <v>4</v>
      </c>
      <c r="B18" s="3" t="s">
        <v>57</v>
      </c>
      <c r="C18" s="8"/>
      <c r="D18" s="8"/>
      <c r="E18" s="8"/>
      <c r="F18" s="8"/>
      <c r="G18" s="8"/>
      <c r="H18" s="8"/>
      <c r="I18" s="8"/>
      <c r="J18" s="8">
        <v>702</v>
      </c>
      <c r="K18" s="8">
        <v>910</v>
      </c>
      <c r="L18" s="8">
        <v>470</v>
      </c>
      <c r="M18" s="8">
        <v>680</v>
      </c>
      <c r="N18" s="8">
        <v>90</v>
      </c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65">
        <f t="shared" si="10"/>
        <v>2852</v>
      </c>
      <c r="AK18" s="78" t="s">
        <v>138</v>
      </c>
      <c r="AL18" s="51">
        <f>SUM(AL16:AL17)</f>
        <v>2919.2365195816315</v>
      </c>
      <c r="AQ18" s="9"/>
      <c r="AR18" s="25"/>
      <c r="AS18" s="25"/>
      <c r="AT18" s="25"/>
      <c r="BA18" s="9"/>
    </row>
    <row r="19" spans="1:53" x14ac:dyDescent="0.3">
      <c r="A19" s="2">
        <v>5</v>
      </c>
      <c r="B19" s="12" t="s">
        <v>51</v>
      </c>
      <c r="C19" s="8"/>
      <c r="D19" s="8"/>
      <c r="E19" s="8"/>
      <c r="F19" s="8">
        <v>1260</v>
      </c>
      <c r="G19" s="8">
        <v>1820</v>
      </c>
      <c r="H19" s="8">
        <v>400</v>
      </c>
      <c r="I19" s="8">
        <v>180</v>
      </c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65">
        <f t="shared" si="10"/>
        <v>3660</v>
      </c>
      <c r="BA19" s="9"/>
    </row>
    <row r="20" spans="1:53" x14ac:dyDescent="0.3">
      <c r="A20" s="2">
        <v>6</v>
      </c>
      <c r="B20" s="1" t="s">
        <v>110</v>
      </c>
      <c r="C20" s="8">
        <v>3300</v>
      </c>
      <c r="D20" s="8">
        <v>200</v>
      </c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65">
        <f>SUM(C20:AG20)</f>
        <v>3500</v>
      </c>
      <c r="AK20" s="78" t="s">
        <v>92</v>
      </c>
      <c r="AL20" s="78" t="s">
        <v>95</v>
      </c>
      <c r="AV20" s="25"/>
    </row>
    <row r="21" spans="1:53" x14ac:dyDescent="0.3">
      <c r="A21" s="2">
        <v>7</v>
      </c>
      <c r="B21" s="3" t="s">
        <v>147</v>
      </c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>
        <v>1890</v>
      </c>
      <c r="U21" s="8">
        <v>320</v>
      </c>
      <c r="V21" s="8">
        <v>200</v>
      </c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65">
        <f t="shared" si="10"/>
        <v>2410</v>
      </c>
      <c r="AK21" s="1" t="s">
        <v>166</v>
      </c>
      <c r="AL21" s="16">
        <v>100</v>
      </c>
      <c r="AS21" s="25"/>
    </row>
    <row r="22" spans="1:53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51">
        <f>SUM(AH15:AH21)</f>
        <v>24303</v>
      </c>
      <c r="AK22" s="1" t="s">
        <v>94</v>
      </c>
      <c r="AL22" s="16">
        <f>AQ12</f>
        <v>1900.2365195816317</v>
      </c>
      <c r="AM22" s="9"/>
      <c r="AN22" s="9"/>
    </row>
    <row r="23" spans="1:53" x14ac:dyDescent="0.3">
      <c r="AK23" s="78" t="s">
        <v>139</v>
      </c>
      <c r="AL23" s="51">
        <f>SUM(AL21:AL22)</f>
        <v>2000.2365195816317</v>
      </c>
    </row>
    <row r="24" spans="1:53" x14ac:dyDescent="0.3">
      <c r="A24" s="4"/>
      <c r="B24" s="13" t="s">
        <v>171</v>
      </c>
      <c r="C24" s="66" t="s">
        <v>11</v>
      </c>
      <c r="D24" s="66" t="s">
        <v>12</v>
      </c>
      <c r="E24" s="66" t="s">
        <v>13</v>
      </c>
      <c r="F24" s="66" t="s">
        <v>14</v>
      </c>
      <c r="G24" s="66" t="s">
        <v>15</v>
      </c>
      <c r="H24" s="66" t="s">
        <v>16</v>
      </c>
      <c r="I24" s="66" t="s">
        <v>17</v>
      </c>
      <c r="J24" s="66" t="s">
        <v>18</v>
      </c>
      <c r="K24" s="66" t="s">
        <v>19</v>
      </c>
      <c r="L24" s="66" t="s">
        <v>20</v>
      </c>
      <c r="M24" s="66" t="s">
        <v>21</v>
      </c>
      <c r="N24" s="66" t="s">
        <v>22</v>
      </c>
    </row>
    <row r="25" spans="1:53" x14ac:dyDescent="0.3">
      <c r="A25" s="2">
        <v>1</v>
      </c>
      <c r="B25" s="12" t="s">
        <v>5</v>
      </c>
      <c r="C25" s="8">
        <f>H35</f>
        <v>3142.8571428571427</v>
      </c>
      <c r="D25" s="8">
        <f t="shared" ref="D25:D31" si="11">$D$32/7</f>
        <v>428.57142857142856</v>
      </c>
      <c r="E25" s="8">
        <f>$E$32/7</f>
        <v>0</v>
      </c>
      <c r="F25" s="8">
        <f t="shared" ref="F25:F31" si="12">$F$32/7</f>
        <v>71.428571428571431</v>
      </c>
      <c r="G25" s="8">
        <f t="shared" ref="G25:G31" si="13">$G$32/7</f>
        <v>139.28571428571428</v>
      </c>
      <c r="H25" s="26">
        <f t="shared" ref="H25:H31" si="14">$H$32/7</f>
        <v>97.428571428571431</v>
      </c>
      <c r="I25" s="8">
        <f t="shared" ref="I25:I31" si="15">$I$32/7</f>
        <v>290</v>
      </c>
      <c r="J25" s="8">
        <f t="shared" ref="J25:J31" si="16">$J$32/7</f>
        <v>35.714285714285715</v>
      </c>
      <c r="K25" s="26">
        <f t="shared" ref="K25:K31" si="17">$K$32/7</f>
        <v>58.285714285714285</v>
      </c>
      <c r="L25" s="40">
        <f t="shared" ref="L25:L31" si="18">$L$32/7</f>
        <v>17.142857142857142</v>
      </c>
      <c r="M25" s="8">
        <f t="shared" ref="M25:M31" si="19">$M$32/7</f>
        <v>0</v>
      </c>
      <c r="N25" s="65">
        <f t="shared" ref="N25:N29" si="20">SUM(C25:M25)</f>
        <v>4280.7142857142853</v>
      </c>
      <c r="AK25" s="70" t="s">
        <v>125</v>
      </c>
      <c r="AL25" s="44">
        <f>AL18-AL23</f>
        <v>918.99999999999977</v>
      </c>
      <c r="AY25" s="47"/>
    </row>
    <row r="26" spans="1:53" x14ac:dyDescent="0.3">
      <c r="A26" s="2">
        <v>2</v>
      </c>
      <c r="B26" s="12" t="s">
        <v>131</v>
      </c>
      <c r="C26" s="8">
        <f>H35</f>
        <v>3142.8571428571427</v>
      </c>
      <c r="D26" s="8">
        <f t="shared" si="11"/>
        <v>428.57142857142856</v>
      </c>
      <c r="E26" s="8">
        <f>$E$32/7</f>
        <v>0</v>
      </c>
      <c r="F26" s="8">
        <f t="shared" si="12"/>
        <v>71.428571428571431</v>
      </c>
      <c r="G26" s="8">
        <f t="shared" si="13"/>
        <v>139.28571428571428</v>
      </c>
      <c r="H26" s="26">
        <f t="shared" si="14"/>
        <v>97.428571428571431</v>
      </c>
      <c r="I26" s="8">
        <f t="shared" si="15"/>
        <v>290</v>
      </c>
      <c r="J26" s="8">
        <f t="shared" si="16"/>
        <v>35.714285714285715</v>
      </c>
      <c r="K26" s="26">
        <f t="shared" si="17"/>
        <v>58.285714285714285</v>
      </c>
      <c r="L26" s="40">
        <f t="shared" si="18"/>
        <v>17.142857142857142</v>
      </c>
      <c r="M26" s="8">
        <f t="shared" si="19"/>
        <v>0</v>
      </c>
      <c r="N26" s="65">
        <f t="shared" si="20"/>
        <v>4280.7142857142853</v>
      </c>
      <c r="AY26" s="47"/>
    </row>
    <row r="27" spans="1:53" x14ac:dyDescent="0.3">
      <c r="A27" s="2">
        <v>3</v>
      </c>
      <c r="B27" s="12" t="s">
        <v>6</v>
      </c>
      <c r="C27" s="8">
        <f>H36</f>
        <v>2142.8571428571427</v>
      </c>
      <c r="D27" s="8">
        <f t="shared" si="11"/>
        <v>428.57142857142856</v>
      </c>
      <c r="E27" s="8">
        <f>$E$32/7</f>
        <v>0</v>
      </c>
      <c r="F27" s="8">
        <f t="shared" si="12"/>
        <v>71.428571428571431</v>
      </c>
      <c r="G27" s="8">
        <f t="shared" si="13"/>
        <v>139.28571428571428</v>
      </c>
      <c r="H27" s="26">
        <f t="shared" si="14"/>
        <v>97.428571428571431</v>
      </c>
      <c r="I27" s="8">
        <f t="shared" si="15"/>
        <v>290</v>
      </c>
      <c r="J27" s="8">
        <f t="shared" si="16"/>
        <v>35.714285714285715</v>
      </c>
      <c r="K27" s="26">
        <f t="shared" si="17"/>
        <v>58.285714285714285</v>
      </c>
      <c r="L27" s="40">
        <f t="shared" si="18"/>
        <v>17.142857142857142</v>
      </c>
      <c r="M27" s="8">
        <f t="shared" si="19"/>
        <v>0</v>
      </c>
      <c r="N27" s="65">
        <f t="shared" si="20"/>
        <v>3280.7142857142858</v>
      </c>
      <c r="AY27" s="47"/>
    </row>
    <row r="28" spans="1:53" x14ac:dyDescent="0.3">
      <c r="A28" s="2">
        <v>4</v>
      </c>
      <c r="B28" s="12" t="s">
        <v>57</v>
      </c>
      <c r="C28" s="8">
        <f>H36</f>
        <v>2142.8571428571427</v>
      </c>
      <c r="D28" s="8">
        <f t="shared" si="11"/>
        <v>428.57142857142856</v>
      </c>
      <c r="E28" s="8">
        <f>$E$32/7</f>
        <v>0</v>
      </c>
      <c r="F28" s="8">
        <f t="shared" si="12"/>
        <v>71.428571428571431</v>
      </c>
      <c r="G28" s="8">
        <f t="shared" si="13"/>
        <v>139.28571428571428</v>
      </c>
      <c r="H28" s="26">
        <f t="shared" si="14"/>
        <v>97.428571428571431</v>
      </c>
      <c r="I28" s="8">
        <f t="shared" si="15"/>
        <v>290</v>
      </c>
      <c r="J28" s="8">
        <f t="shared" si="16"/>
        <v>35.714285714285715</v>
      </c>
      <c r="K28" s="26">
        <f t="shared" si="17"/>
        <v>58.285714285714285</v>
      </c>
      <c r="L28" s="40">
        <f t="shared" si="18"/>
        <v>17.142857142857142</v>
      </c>
      <c r="M28" s="8">
        <f t="shared" si="19"/>
        <v>0</v>
      </c>
      <c r="N28" s="65">
        <f t="shared" si="20"/>
        <v>3280.7142857142858</v>
      </c>
      <c r="AY28" s="47"/>
    </row>
    <row r="29" spans="1:53" x14ac:dyDescent="0.3">
      <c r="A29" s="2">
        <v>5</v>
      </c>
      <c r="B29" s="12" t="s">
        <v>51</v>
      </c>
      <c r="C29" s="8">
        <f>H36</f>
        <v>2142.8571428571427</v>
      </c>
      <c r="D29" s="8">
        <f t="shared" si="11"/>
        <v>428.57142857142856</v>
      </c>
      <c r="E29" s="8">
        <f>$E$32/7</f>
        <v>0</v>
      </c>
      <c r="F29" s="8">
        <f t="shared" si="12"/>
        <v>71.428571428571431</v>
      </c>
      <c r="G29" s="8">
        <f t="shared" si="13"/>
        <v>139.28571428571428</v>
      </c>
      <c r="H29" s="26">
        <f t="shared" si="14"/>
        <v>97.428571428571431</v>
      </c>
      <c r="I29" s="8">
        <f t="shared" si="15"/>
        <v>290</v>
      </c>
      <c r="J29" s="8">
        <f t="shared" si="16"/>
        <v>35.714285714285715</v>
      </c>
      <c r="K29" s="26">
        <f t="shared" si="17"/>
        <v>58.285714285714285</v>
      </c>
      <c r="L29" s="40">
        <f t="shared" si="18"/>
        <v>17.142857142857142</v>
      </c>
      <c r="M29" s="8">
        <f t="shared" si="19"/>
        <v>0</v>
      </c>
      <c r="N29" s="65">
        <f t="shared" si="20"/>
        <v>3280.7142857142858</v>
      </c>
      <c r="AY29" s="48"/>
    </row>
    <row r="30" spans="1:53" x14ac:dyDescent="0.3">
      <c r="A30" s="2">
        <v>6</v>
      </c>
      <c r="B30" s="12" t="s">
        <v>104</v>
      </c>
      <c r="C30" s="8">
        <f>H37</f>
        <v>2892.8571428571427</v>
      </c>
      <c r="D30" s="8">
        <f t="shared" si="11"/>
        <v>428.57142857142856</v>
      </c>
      <c r="E30" s="8">
        <v>0</v>
      </c>
      <c r="F30" s="8">
        <f t="shared" si="12"/>
        <v>71.428571428571431</v>
      </c>
      <c r="G30" s="8">
        <f t="shared" si="13"/>
        <v>139.28571428571428</v>
      </c>
      <c r="H30" s="26">
        <f t="shared" si="14"/>
        <v>97.428571428571431</v>
      </c>
      <c r="I30" s="8">
        <f t="shared" si="15"/>
        <v>290</v>
      </c>
      <c r="J30" s="8">
        <f t="shared" si="16"/>
        <v>35.714285714285715</v>
      </c>
      <c r="K30" s="26">
        <f t="shared" si="17"/>
        <v>58.285714285714285</v>
      </c>
      <c r="L30" s="40">
        <f t="shared" si="18"/>
        <v>17.142857142857142</v>
      </c>
      <c r="M30" s="8">
        <f t="shared" si="19"/>
        <v>0</v>
      </c>
      <c r="N30" s="65">
        <f>SUM(C30:M30)</f>
        <v>4030.7142857142858</v>
      </c>
      <c r="AY30" s="47"/>
    </row>
    <row r="31" spans="1:53" x14ac:dyDescent="0.3">
      <c r="A31" s="2">
        <v>7</v>
      </c>
      <c r="B31" s="3" t="s">
        <v>145</v>
      </c>
      <c r="C31" s="8">
        <f>H37</f>
        <v>2892.8571428571427</v>
      </c>
      <c r="D31" s="8">
        <f t="shared" si="11"/>
        <v>428.57142857142856</v>
      </c>
      <c r="E31" s="8">
        <v>0</v>
      </c>
      <c r="F31" s="8">
        <f t="shared" si="12"/>
        <v>71.428571428571431</v>
      </c>
      <c r="G31" s="8">
        <f t="shared" si="13"/>
        <v>139.28571428571428</v>
      </c>
      <c r="H31" s="26">
        <f t="shared" si="14"/>
        <v>97.428571428571431</v>
      </c>
      <c r="I31" s="8">
        <f t="shared" si="15"/>
        <v>290</v>
      </c>
      <c r="J31" s="8">
        <f t="shared" si="16"/>
        <v>35.714285714285715</v>
      </c>
      <c r="K31" s="26">
        <f t="shared" si="17"/>
        <v>58.285714285714285</v>
      </c>
      <c r="L31" s="40">
        <f t="shared" si="18"/>
        <v>17.142857142857142</v>
      </c>
      <c r="M31" s="8">
        <f t="shared" si="19"/>
        <v>0</v>
      </c>
      <c r="N31" s="65">
        <f>SUM(C31:M31)</f>
        <v>4030.7142857142858</v>
      </c>
      <c r="AY31" s="47"/>
    </row>
    <row r="32" spans="1:53" x14ac:dyDescent="0.3">
      <c r="A32" s="111" t="s">
        <v>47</v>
      </c>
      <c r="B32" s="111"/>
      <c r="C32" s="65">
        <f>SUM(C25:C31)</f>
        <v>18500</v>
      </c>
      <c r="D32" s="67">
        <v>3000</v>
      </c>
      <c r="E32" s="65"/>
      <c r="F32" s="65">
        <f>500</f>
        <v>500</v>
      </c>
      <c r="G32" s="65">
        <f>975</f>
        <v>975</v>
      </c>
      <c r="H32" s="77">
        <v>682</v>
      </c>
      <c r="I32" s="65">
        <v>2030</v>
      </c>
      <c r="J32" s="65">
        <f>250</f>
        <v>250</v>
      </c>
      <c r="K32" s="77">
        <v>408</v>
      </c>
      <c r="L32" s="67">
        <f>120</f>
        <v>120</v>
      </c>
      <c r="M32" s="65"/>
      <c r="N32" s="65">
        <f>SUM(N25:N31)</f>
        <v>26465</v>
      </c>
      <c r="AY32" s="47"/>
    </row>
    <row r="33" spans="4:51" x14ac:dyDescent="0.3">
      <c r="AY33" s="47"/>
    </row>
    <row r="35" spans="4:51" x14ac:dyDescent="0.3">
      <c r="D35" s="1">
        <v>6000</v>
      </c>
      <c r="E35" s="1">
        <v>2</v>
      </c>
      <c r="F35" s="1">
        <f>D35/E35</f>
        <v>3000</v>
      </c>
      <c r="G35" s="1">
        <f>(500+500)/7</f>
        <v>142.85714285714286</v>
      </c>
      <c r="H35" s="11">
        <f>F35+G35</f>
        <v>3142.8571428571427</v>
      </c>
      <c r="I35" s="11">
        <f>H35*E35</f>
        <v>6285.7142857142853</v>
      </c>
      <c r="M35" s="1" t="s">
        <v>61</v>
      </c>
      <c r="N35" s="16">
        <f>C32</f>
        <v>18500</v>
      </c>
      <c r="U35" s="9"/>
    </row>
    <row r="36" spans="4:51" x14ac:dyDescent="0.3">
      <c r="D36" s="1">
        <v>6000</v>
      </c>
      <c r="E36" s="1">
        <v>3</v>
      </c>
      <c r="F36" s="1">
        <f t="shared" ref="F36:F37" si="21">D36/E36</f>
        <v>2000</v>
      </c>
      <c r="G36" s="1">
        <f t="shared" ref="G36:G37" si="22">(500+500)/7</f>
        <v>142.85714285714286</v>
      </c>
      <c r="H36" s="11">
        <f t="shared" ref="H36" si="23">F36+G36</f>
        <v>2142.8571428571427</v>
      </c>
      <c r="I36" s="11">
        <f t="shared" ref="I36:I37" si="24">H36*E36</f>
        <v>6428.5714285714275</v>
      </c>
      <c r="M36" s="1" t="s">
        <v>71</v>
      </c>
      <c r="N36" s="16">
        <f>G32</f>
        <v>975</v>
      </c>
      <c r="T36" s="9"/>
    </row>
    <row r="37" spans="4:51" x14ac:dyDescent="0.3">
      <c r="D37" s="1">
        <v>5500</v>
      </c>
      <c r="E37" s="1">
        <v>2</v>
      </c>
      <c r="F37" s="11">
        <f t="shared" si="21"/>
        <v>2750</v>
      </c>
      <c r="G37" s="1">
        <f t="shared" si="22"/>
        <v>142.85714285714286</v>
      </c>
      <c r="H37" s="11">
        <f>F37+G37</f>
        <v>2892.8571428571427</v>
      </c>
      <c r="I37" s="11">
        <f t="shared" si="24"/>
        <v>5785.7142857142853</v>
      </c>
      <c r="M37" s="1" t="s">
        <v>72</v>
      </c>
      <c r="N37" s="16">
        <f>I32</f>
        <v>2030</v>
      </c>
      <c r="T37" s="9"/>
    </row>
    <row r="38" spans="4:51" x14ac:dyDescent="0.3">
      <c r="D38" s="1">
        <f>SUM(D35:D37)</f>
        <v>17500</v>
      </c>
      <c r="E38" s="1"/>
      <c r="F38" s="1"/>
      <c r="G38" s="1"/>
      <c r="H38" s="1"/>
      <c r="I38" s="11">
        <f>SUM(I35:I37)</f>
        <v>18500</v>
      </c>
      <c r="M38" s="1" t="s">
        <v>73</v>
      </c>
      <c r="N38" s="16">
        <f>H32</f>
        <v>682</v>
      </c>
      <c r="T38" s="9"/>
      <c r="V38" s="9"/>
    </row>
    <row r="39" spans="4:51" x14ac:dyDescent="0.3">
      <c r="M39" s="1" t="s">
        <v>74</v>
      </c>
      <c r="N39" s="16">
        <f>J32</f>
        <v>250</v>
      </c>
      <c r="T39" s="44"/>
      <c r="U39" s="9"/>
    </row>
    <row r="40" spans="4:51" x14ac:dyDescent="0.3">
      <c r="M40" s="78" t="s">
        <v>47</v>
      </c>
      <c r="N40" s="51">
        <f>SUM(N35:N39)</f>
        <v>22437</v>
      </c>
    </row>
    <row r="41" spans="4:51" x14ac:dyDescent="0.3">
      <c r="N41" s="9"/>
    </row>
    <row r="42" spans="4:51" x14ac:dyDescent="0.3">
      <c r="M42" s="1" t="s">
        <v>12</v>
      </c>
      <c r="N42" s="16">
        <f>D32</f>
        <v>3000</v>
      </c>
      <c r="U42" s="9"/>
    </row>
    <row r="43" spans="4:51" x14ac:dyDescent="0.3">
      <c r="M43" s="1" t="s">
        <v>13</v>
      </c>
      <c r="N43" s="16">
        <f>E32</f>
        <v>0</v>
      </c>
      <c r="U43" s="25"/>
      <c r="V43" s="9"/>
      <c r="W43" s="25"/>
    </row>
    <row r="44" spans="4:51" x14ac:dyDescent="0.3">
      <c r="M44" s="1" t="s">
        <v>14</v>
      </c>
      <c r="N44" s="16">
        <f>F32</f>
        <v>500</v>
      </c>
      <c r="U44" s="9"/>
    </row>
    <row r="45" spans="4:51" x14ac:dyDescent="0.3">
      <c r="M45" s="1" t="s">
        <v>20</v>
      </c>
      <c r="N45" s="16">
        <f>L32</f>
        <v>120</v>
      </c>
    </row>
    <row r="46" spans="4:51" x14ac:dyDescent="0.3">
      <c r="M46" s="1" t="s">
        <v>123</v>
      </c>
      <c r="N46" s="16">
        <f>K32</f>
        <v>408</v>
      </c>
    </row>
    <row r="47" spans="4:51" x14ac:dyDescent="0.3">
      <c r="M47" s="1" t="s">
        <v>21</v>
      </c>
      <c r="N47" s="16">
        <f>M32</f>
        <v>0</v>
      </c>
    </row>
    <row r="48" spans="4:51" x14ac:dyDescent="0.3">
      <c r="M48" s="78" t="s">
        <v>47</v>
      </c>
      <c r="N48" s="51">
        <f>SUM(N42:N47)</f>
        <v>4028</v>
      </c>
    </row>
    <row r="50" spans="13:21" ht="15" thickBot="1" x14ac:dyDescent="0.35">
      <c r="M50" s="79" t="s">
        <v>124</v>
      </c>
      <c r="N50" s="80">
        <f>N48+N40</f>
        <v>26465</v>
      </c>
      <c r="U50" s="9"/>
    </row>
    <row r="51" spans="13:21" ht="15" thickTop="1" x14ac:dyDescent="0.3"/>
    <row r="52" spans="13:21" x14ac:dyDescent="0.3">
      <c r="M52" s="78" t="s">
        <v>125</v>
      </c>
      <c r="N52" s="16">
        <f>N32-N50</f>
        <v>0</v>
      </c>
    </row>
  </sheetData>
  <mergeCells count="3">
    <mergeCell ref="C1:D2"/>
    <mergeCell ref="E1:F2"/>
    <mergeCell ref="A32:B32"/>
  </mergeCells>
  <conditionalFormatting sqref="AU5:AU11 AN5:AN11">
    <cfRule type="cellIs" dxfId="1" priority="2" operator="lessThan">
      <formula>0</formula>
    </cfRule>
  </conditionalFormatting>
  <conditionalFormatting sqref="AU5:AU12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1200" verticalDpi="1200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K9"/>
  <sheetViews>
    <sheetView workbookViewId="0">
      <selection activeCell="F2" sqref="F2:F4"/>
    </sheetView>
  </sheetViews>
  <sheetFormatPr defaultRowHeight="14.4" x14ac:dyDescent="0.3"/>
  <cols>
    <col min="1" max="1" width="9.6640625" bestFit="1" customWidth="1"/>
    <col min="2" max="4" width="9.6640625" customWidth="1"/>
    <col min="5" max="5" width="12.44140625" bestFit="1" customWidth="1"/>
    <col min="6" max="6" width="9.6640625" bestFit="1" customWidth="1"/>
    <col min="8" max="8" width="9.109375" bestFit="1" customWidth="1"/>
  </cols>
  <sheetData>
    <row r="1" spans="1:11" x14ac:dyDescent="0.3">
      <c r="B1" t="s">
        <v>116</v>
      </c>
      <c r="C1" t="s">
        <v>112</v>
      </c>
      <c r="D1" t="s">
        <v>47</v>
      </c>
      <c r="E1" t="s">
        <v>117</v>
      </c>
      <c r="F1" t="s">
        <v>63</v>
      </c>
    </row>
    <row r="2" spans="1:11" x14ac:dyDescent="0.3">
      <c r="A2" t="s">
        <v>115</v>
      </c>
      <c r="B2" s="59">
        <v>2583</v>
      </c>
      <c r="C2" s="59">
        <v>1000</v>
      </c>
      <c r="D2" s="59">
        <f>SUM(B2:C2)</f>
        <v>3583</v>
      </c>
      <c r="E2" s="59">
        <v>-2156.3963758122854</v>
      </c>
      <c r="F2" s="47">
        <f>D2+E2</f>
        <v>1426.6036241877146</v>
      </c>
    </row>
    <row r="3" spans="1:11" x14ac:dyDescent="0.3">
      <c r="A3" t="s">
        <v>98</v>
      </c>
      <c r="B3" s="59">
        <v>3000</v>
      </c>
      <c r="C3" s="59">
        <v>1000</v>
      </c>
      <c r="D3" s="59">
        <f>SUM(B3:C3)</f>
        <v>4000</v>
      </c>
      <c r="E3" s="59">
        <v>-3008.6115509372958</v>
      </c>
      <c r="F3" s="47">
        <f>D3+E3</f>
        <v>991.38844906270424</v>
      </c>
      <c r="H3">
        <v>5280</v>
      </c>
    </row>
    <row r="4" spans="1:11" x14ac:dyDescent="0.3">
      <c r="A4" t="s">
        <v>49</v>
      </c>
      <c r="B4" s="59"/>
      <c r="C4" s="59">
        <v>1000</v>
      </c>
      <c r="D4" s="59">
        <f>SUM(B4:C4)</f>
        <v>1000</v>
      </c>
      <c r="E4" s="59">
        <v>0</v>
      </c>
      <c r="F4" s="47">
        <f>D4+E4</f>
        <v>1000</v>
      </c>
    </row>
    <row r="5" spans="1:11" x14ac:dyDescent="0.3">
      <c r="B5" s="60">
        <f>SUM(B2:B4)</f>
        <v>5583</v>
      </c>
      <c r="C5" s="60">
        <f t="shared" ref="C5:F5" si="0">SUM(C2:C4)</f>
        <v>3000</v>
      </c>
      <c r="D5" s="60">
        <f t="shared" si="0"/>
        <v>8583</v>
      </c>
      <c r="E5" s="60">
        <f t="shared" si="0"/>
        <v>-5165.0079267495812</v>
      </c>
      <c r="F5" s="48">
        <f t="shared" si="0"/>
        <v>3417.9920732504188</v>
      </c>
      <c r="G5">
        <v>1957</v>
      </c>
      <c r="H5" s="47">
        <f>F5+G5</f>
        <v>5374.9920732504188</v>
      </c>
      <c r="J5">
        <v>5280</v>
      </c>
      <c r="K5" s="9">
        <f>F5-J5</f>
        <v>-1862.0079267495812</v>
      </c>
    </row>
    <row r="6" spans="1:11" x14ac:dyDescent="0.3">
      <c r="K6">
        <v>1957</v>
      </c>
    </row>
    <row r="7" spans="1:11" x14ac:dyDescent="0.3">
      <c r="A7" t="s">
        <v>110</v>
      </c>
      <c r="B7">
        <v>2750</v>
      </c>
      <c r="C7">
        <v>1000</v>
      </c>
      <c r="F7">
        <f>SUM(B7:E7)</f>
        <v>3750</v>
      </c>
      <c r="H7" s="9">
        <f>H3-H5</f>
        <v>-94.992073250418798</v>
      </c>
      <c r="K7" s="9">
        <f>SUM(K5:K6)</f>
        <v>94.992073250418798</v>
      </c>
    </row>
    <row r="8" spans="1:11" x14ac:dyDescent="0.3">
      <c r="A8" t="s">
        <v>118</v>
      </c>
      <c r="B8">
        <v>2750</v>
      </c>
      <c r="C8">
        <v>1000</v>
      </c>
      <c r="F8">
        <f>SUM(B8:E8)</f>
        <v>3750</v>
      </c>
    </row>
    <row r="9" spans="1:11" x14ac:dyDescent="0.3">
      <c r="F9">
        <f>SUM(F7:F8)</f>
        <v>7500</v>
      </c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K11"/>
  <sheetViews>
    <sheetView workbookViewId="0">
      <selection activeCell="F11" sqref="F11"/>
    </sheetView>
  </sheetViews>
  <sheetFormatPr defaultRowHeight="14.4" x14ac:dyDescent="0.3"/>
  <cols>
    <col min="1" max="1" width="9.6640625" bestFit="1" customWidth="1"/>
    <col min="2" max="4" width="9.6640625" customWidth="1"/>
    <col min="5" max="5" width="12.44140625" bestFit="1" customWidth="1"/>
    <col min="6" max="6" width="9.6640625" bestFit="1" customWidth="1"/>
    <col min="8" max="8" width="9.109375" bestFit="1" customWidth="1"/>
  </cols>
  <sheetData>
    <row r="1" spans="1:11" x14ac:dyDescent="0.3">
      <c r="B1" t="s">
        <v>116</v>
      </c>
      <c r="C1" t="s">
        <v>112</v>
      </c>
      <c r="D1" t="s">
        <v>47</v>
      </c>
      <c r="E1" t="s">
        <v>117</v>
      </c>
      <c r="F1" t="s">
        <v>63</v>
      </c>
    </row>
    <row r="2" spans="1:11" x14ac:dyDescent="0.3">
      <c r="A2" t="s">
        <v>115</v>
      </c>
      <c r="B2" s="59">
        <v>2583</v>
      </c>
      <c r="C2" s="59">
        <v>1000</v>
      </c>
      <c r="D2" s="59">
        <f>SUM(B2:C2)</f>
        <v>3583</v>
      </c>
      <c r="E2" s="59">
        <v>-2156.3963758122854</v>
      </c>
      <c r="F2" s="47">
        <f>D2+E2</f>
        <v>1426.6036241877146</v>
      </c>
    </row>
    <row r="3" spans="1:11" x14ac:dyDescent="0.3">
      <c r="A3" t="s">
        <v>98</v>
      </c>
      <c r="B3" s="59">
        <v>3000</v>
      </c>
      <c r="C3" s="59">
        <v>1000</v>
      </c>
      <c r="D3" s="59">
        <f>SUM(B3:C3)</f>
        <v>4000</v>
      </c>
      <c r="E3" s="59">
        <v>-3008.6115509372958</v>
      </c>
      <c r="F3" s="47">
        <f>D3+E3</f>
        <v>991.38844906270424</v>
      </c>
      <c r="H3">
        <v>5280</v>
      </c>
    </row>
    <row r="4" spans="1:11" x14ac:dyDescent="0.3">
      <c r="A4" t="s">
        <v>49</v>
      </c>
      <c r="B4" s="59">
        <v>313</v>
      </c>
      <c r="C4" s="59">
        <v>1000</v>
      </c>
      <c r="D4" s="59">
        <f>SUM(B4:C4)</f>
        <v>1313</v>
      </c>
      <c r="E4" s="59">
        <v>0</v>
      </c>
      <c r="F4" s="47">
        <f>D4+E4</f>
        <v>1313</v>
      </c>
    </row>
    <row r="5" spans="1:11" x14ac:dyDescent="0.3">
      <c r="B5" s="60">
        <f>SUM(B2:B4)</f>
        <v>5896</v>
      </c>
      <c r="C5" s="60">
        <f t="shared" ref="C5:F5" si="0">SUM(C2:C4)</f>
        <v>3000</v>
      </c>
      <c r="D5" s="60">
        <f t="shared" si="0"/>
        <v>8896</v>
      </c>
      <c r="E5" s="60">
        <f t="shared" si="0"/>
        <v>-5165.0079267495812</v>
      </c>
      <c r="F5" s="48">
        <f t="shared" si="0"/>
        <v>3730.9920732504188</v>
      </c>
      <c r="G5">
        <v>1957</v>
      </c>
      <c r="H5" s="47">
        <f>F5+G5</f>
        <v>5687.9920732504188</v>
      </c>
      <c r="J5">
        <v>5280</v>
      </c>
      <c r="K5" s="9">
        <f>F5-J5</f>
        <v>-1549.0079267495812</v>
      </c>
    </row>
    <row r="6" spans="1:11" x14ac:dyDescent="0.3">
      <c r="K6">
        <v>1957</v>
      </c>
    </row>
    <row r="7" spans="1:11" x14ac:dyDescent="0.3">
      <c r="A7" t="s">
        <v>110</v>
      </c>
      <c r="B7">
        <v>2750</v>
      </c>
      <c r="C7">
        <v>1000</v>
      </c>
      <c r="F7">
        <f>SUM(B7:E7)</f>
        <v>3750</v>
      </c>
      <c r="H7" s="9">
        <f>H3-H5</f>
        <v>-407.9920732504188</v>
      </c>
      <c r="K7" s="9">
        <f>SUM(K5:K6)</f>
        <v>407.9920732504188</v>
      </c>
    </row>
    <row r="8" spans="1:11" x14ac:dyDescent="0.3">
      <c r="A8" t="s">
        <v>118</v>
      </c>
      <c r="B8">
        <v>2750</v>
      </c>
      <c r="C8">
        <v>1000</v>
      </c>
      <c r="F8">
        <f>SUM(B8:E8)</f>
        <v>3750</v>
      </c>
    </row>
    <row r="9" spans="1:11" x14ac:dyDescent="0.3">
      <c r="F9">
        <f>SUM(F7:F8)</f>
        <v>7500</v>
      </c>
    </row>
    <row r="11" spans="1:11" x14ac:dyDescent="0.3">
      <c r="F11" s="25">
        <f>F2-B4</f>
        <v>1113.6036241877146</v>
      </c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BB46"/>
  <sheetViews>
    <sheetView zoomScaleNormal="100" workbookViewId="0">
      <pane xSplit="2" ySplit="4" topLeftCell="C26" activePane="bottomRight" state="frozen"/>
      <selection pane="topRight" activeCell="C1" sqref="C1"/>
      <selection pane="bottomLeft" activeCell="A5" sqref="A5"/>
      <selection pane="bottomRight" activeCell="H31" sqref="H31"/>
    </sheetView>
  </sheetViews>
  <sheetFormatPr defaultRowHeight="14.4" x14ac:dyDescent="0.3"/>
  <cols>
    <col min="1" max="1" width="7" bestFit="1" customWidth="1"/>
    <col min="2" max="2" width="23.6640625" bestFit="1" customWidth="1"/>
    <col min="3" max="5" width="9.33203125" bestFit="1" customWidth="1"/>
    <col min="6" max="6" width="11.5546875" customWidth="1"/>
    <col min="7" max="7" width="12" bestFit="1" customWidth="1"/>
    <col min="8" max="8" width="13.33203125" customWidth="1"/>
    <col min="9" max="9" width="9.6640625" customWidth="1"/>
    <col min="10" max="10" width="9.33203125" bestFit="1" customWidth="1"/>
    <col min="11" max="11" width="14.5546875" customWidth="1"/>
    <col min="12" max="13" width="10.33203125" bestFit="1" customWidth="1"/>
    <col min="14" max="14" width="11.5546875" bestFit="1" customWidth="1"/>
    <col min="15" max="34" width="10.33203125" bestFit="1" customWidth="1"/>
    <col min="36" max="36" width="23" bestFit="1" customWidth="1"/>
    <col min="37" max="37" width="19.33203125" bestFit="1" customWidth="1"/>
    <col min="38" max="38" width="25.6640625" bestFit="1" customWidth="1"/>
    <col min="39" max="39" width="20.6640625" bestFit="1" customWidth="1"/>
    <col min="40" max="40" width="24" bestFit="1" customWidth="1"/>
    <col min="41" max="41" width="33" bestFit="1" customWidth="1"/>
    <col min="42" max="42" width="57.33203125" bestFit="1" customWidth="1"/>
    <col min="43" max="43" width="12.33203125" bestFit="1" customWidth="1"/>
    <col min="44" max="44" width="13.44140625" bestFit="1" customWidth="1"/>
    <col min="45" max="45" width="25.5546875" bestFit="1" customWidth="1"/>
    <col min="46" max="46" width="11.33203125" bestFit="1" customWidth="1"/>
    <col min="47" max="47" width="10.33203125" bestFit="1" customWidth="1"/>
    <col min="48" max="48" width="30.33203125" bestFit="1" customWidth="1"/>
  </cols>
  <sheetData>
    <row r="1" spans="1:54" x14ac:dyDescent="0.3">
      <c r="C1" s="107" t="s">
        <v>84</v>
      </c>
      <c r="D1" s="107"/>
      <c r="E1" s="106">
        <f>AH22/AH12</f>
        <v>48.715404699738905</v>
      </c>
      <c r="F1" s="106"/>
    </row>
    <row r="2" spans="1:54" ht="25.5" customHeight="1" x14ac:dyDescent="0.3">
      <c r="C2" s="107"/>
      <c r="D2" s="107"/>
      <c r="E2" s="106"/>
      <c r="F2" s="106"/>
    </row>
    <row r="4" spans="1:54" x14ac:dyDescent="0.3">
      <c r="A4" s="4" t="s">
        <v>0</v>
      </c>
      <c r="B4" s="4" t="s">
        <v>2</v>
      </c>
      <c r="C4" s="5">
        <v>44348</v>
      </c>
      <c r="D4" s="5">
        <v>44349</v>
      </c>
      <c r="E4" s="5">
        <v>44350</v>
      </c>
      <c r="F4" s="5">
        <v>44351</v>
      </c>
      <c r="G4" s="5">
        <v>44352</v>
      </c>
      <c r="H4" s="5">
        <v>44353</v>
      </c>
      <c r="I4" s="5">
        <v>44354</v>
      </c>
      <c r="J4" s="5">
        <v>44355</v>
      </c>
      <c r="K4" s="5">
        <v>44356</v>
      </c>
      <c r="L4" s="5">
        <v>44357</v>
      </c>
      <c r="M4" s="5">
        <v>44358</v>
      </c>
      <c r="N4" s="5">
        <v>44359</v>
      </c>
      <c r="O4" s="5">
        <v>44360</v>
      </c>
      <c r="P4" s="5">
        <v>44361</v>
      </c>
      <c r="Q4" s="5">
        <v>44362</v>
      </c>
      <c r="R4" s="5">
        <v>44363</v>
      </c>
      <c r="S4" s="5">
        <v>44364</v>
      </c>
      <c r="T4" s="5">
        <v>44365</v>
      </c>
      <c r="U4" s="5">
        <v>44366</v>
      </c>
      <c r="V4" s="5">
        <v>44367</v>
      </c>
      <c r="W4" s="5">
        <v>44368</v>
      </c>
      <c r="X4" s="5">
        <v>44369</v>
      </c>
      <c r="Y4" s="5">
        <v>44370</v>
      </c>
      <c r="Z4" s="5">
        <v>44371</v>
      </c>
      <c r="AA4" s="5">
        <v>44372</v>
      </c>
      <c r="AB4" s="5">
        <v>44373</v>
      </c>
      <c r="AC4" s="5">
        <v>44374</v>
      </c>
      <c r="AD4" s="5">
        <v>44375</v>
      </c>
      <c r="AE4" s="5">
        <v>44376</v>
      </c>
      <c r="AF4" s="5">
        <v>44377</v>
      </c>
      <c r="AG4" s="5"/>
      <c r="AH4" s="4" t="s">
        <v>1</v>
      </c>
      <c r="AJ4" s="4" t="s">
        <v>23</v>
      </c>
      <c r="AK4" s="4" t="s">
        <v>24</v>
      </c>
      <c r="AL4" s="4" t="s">
        <v>26</v>
      </c>
      <c r="AM4" s="4" t="s">
        <v>85</v>
      </c>
      <c r="AN4" s="4" t="s">
        <v>27</v>
      </c>
      <c r="AO4" s="4" t="s">
        <v>30</v>
      </c>
      <c r="AP4" s="4" t="s">
        <v>32</v>
      </c>
      <c r="AQ4" s="4" t="s">
        <v>28</v>
      </c>
      <c r="AR4" s="4" t="s">
        <v>29</v>
      </c>
      <c r="AS4" s="4" t="s">
        <v>31</v>
      </c>
      <c r="AV4" s="43"/>
      <c r="AZ4" s="1" t="s">
        <v>96</v>
      </c>
      <c r="BA4" s="1"/>
      <c r="BB4" s="1"/>
    </row>
    <row r="5" spans="1:54" x14ac:dyDescent="0.3">
      <c r="A5" s="2">
        <v>1</v>
      </c>
      <c r="B5" s="3" t="s">
        <v>4</v>
      </c>
      <c r="C5" s="7">
        <v>1</v>
      </c>
      <c r="D5" s="7">
        <v>2.5</v>
      </c>
      <c r="E5" s="7">
        <v>2.5</v>
      </c>
      <c r="F5" s="7">
        <v>2.5</v>
      </c>
      <c r="G5" s="7">
        <v>2</v>
      </c>
      <c r="H5" s="7">
        <v>2.5</v>
      </c>
      <c r="I5" s="7">
        <v>1</v>
      </c>
      <c r="J5" s="7">
        <v>2</v>
      </c>
      <c r="K5" s="7">
        <v>2.5</v>
      </c>
      <c r="L5" s="7">
        <v>2.5</v>
      </c>
      <c r="M5" s="7">
        <v>2</v>
      </c>
      <c r="N5" s="7">
        <v>1</v>
      </c>
      <c r="O5" s="7">
        <v>1</v>
      </c>
      <c r="P5" s="7">
        <v>1</v>
      </c>
      <c r="Q5" s="7">
        <v>0</v>
      </c>
      <c r="R5" s="7">
        <v>0</v>
      </c>
      <c r="S5" s="7">
        <v>0</v>
      </c>
      <c r="T5" s="7">
        <v>0</v>
      </c>
      <c r="U5" s="7">
        <v>1</v>
      </c>
      <c r="V5" s="7">
        <v>2</v>
      </c>
      <c r="W5" s="7">
        <v>2</v>
      </c>
      <c r="X5" s="7">
        <v>2</v>
      </c>
      <c r="Y5" s="7">
        <v>2</v>
      </c>
      <c r="Z5" s="7">
        <v>1</v>
      </c>
      <c r="AA5" s="7">
        <v>0</v>
      </c>
      <c r="AB5" s="7">
        <v>1</v>
      </c>
      <c r="AC5" s="7">
        <v>2</v>
      </c>
      <c r="AD5" s="7">
        <v>2</v>
      </c>
      <c r="AE5" s="7">
        <v>2</v>
      </c>
      <c r="AF5" s="7">
        <v>2</v>
      </c>
      <c r="AG5" s="7">
        <v>0</v>
      </c>
      <c r="AH5" s="7">
        <f>SUM(C5:AG5)</f>
        <v>45</v>
      </c>
      <c r="AJ5" s="15">
        <f>AH5*$E$1</f>
        <v>2192.1932114882507</v>
      </c>
      <c r="AK5" s="16">
        <f>AH15</f>
        <v>3190</v>
      </c>
      <c r="AL5" s="15">
        <f t="shared" ref="AL5:AL11" si="0">AK5-AJ5</f>
        <v>997.80678851174935</v>
      </c>
      <c r="AM5" s="16">
        <f>N24</f>
        <v>4627.7142857142853</v>
      </c>
      <c r="AN5" s="15">
        <f>AM5-AL5</f>
        <v>3629.907497202536</v>
      </c>
      <c r="AO5" s="15">
        <f>'Meal May''21 &amp; Rent June 2021'!AS5</f>
        <v>650.00104329158194</v>
      </c>
      <c r="AP5" s="15">
        <f>AN5-AO5</f>
        <v>2979.906453910954</v>
      </c>
      <c r="AQ5" s="6">
        <f>3500+500</f>
        <v>4000</v>
      </c>
      <c r="AR5" s="17">
        <v>44387</v>
      </c>
      <c r="AS5" s="15">
        <f>AQ5-AP5</f>
        <v>1020.093546089046</v>
      </c>
      <c r="AW5" s="9"/>
      <c r="AZ5" s="1" t="s">
        <v>97</v>
      </c>
      <c r="BA5" s="1">
        <v>4000</v>
      </c>
      <c r="BB5" s="1"/>
    </row>
    <row r="6" spans="1:54" x14ac:dyDescent="0.3">
      <c r="A6" s="2">
        <v>2</v>
      </c>
      <c r="B6" s="3" t="s">
        <v>5</v>
      </c>
      <c r="C6" s="7">
        <v>4</v>
      </c>
      <c r="D6" s="7">
        <v>2</v>
      </c>
      <c r="E6" s="7">
        <v>2.5</v>
      </c>
      <c r="F6" s="7">
        <v>0.5</v>
      </c>
      <c r="G6" s="7">
        <v>0</v>
      </c>
      <c r="H6" s="7">
        <v>0</v>
      </c>
      <c r="I6" s="7">
        <v>0</v>
      </c>
      <c r="J6" s="7">
        <v>0</v>
      </c>
      <c r="K6" s="7">
        <v>1</v>
      </c>
      <c r="L6" s="7">
        <v>1.5</v>
      </c>
      <c r="M6" s="7">
        <v>1.5</v>
      </c>
      <c r="N6" s="7">
        <v>2</v>
      </c>
      <c r="O6" s="7">
        <v>2</v>
      </c>
      <c r="P6" s="7">
        <v>2</v>
      </c>
      <c r="Q6" s="7">
        <v>2.5</v>
      </c>
      <c r="R6" s="7">
        <v>2.5</v>
      </c>
      <c r="S6" s="7">
        <v>2.5</v>
      </c>
      <c r="T6" s="7">
        <v>6.5</v>
      </c>
      <c r="U6" s="7">
        <v>2.5</v>
      </c>
      <c r="V6" s="7">
        <v>2.5</v>
      </c>
      <c r="W6" s="7">
        <v>0</v>
      </c>
      <c r="X6" s="7">
        <v>1.5</v>
      </c>
      <c r="Y6" s="7">
        <v>2.5</v>
      </c>
      <c r="Z6" s="7">
        <v>2.5</v>
      </c>
      <c r="AA6" s="7">
        <v>2.5</v>
      </c>
      <c r="AB6" s="7">
        <v>2.5</v>
      </c>
      <c r="AC6" s="7">
        <v>2.5</v>
      </c>
      <c r="AD6" s="7">
        <v>2.5</v>
      </c>
      <c r="AE6" s="7">
        <v>2.5</v>
      </c>
      <c r="AF6" s="7">
        <v>2.5</v>
      </c>
      <c r="AG6" s="7">
        <v>0</v>
      </c>
      <c r="AH6" s="7">
        <f>SUM(C6:AG6)</f>
        <v>59.5</v>
      </c>
      <c r="AJ6" s="15">
        <f>AH6*$E$1</f>
        <v>2898.5665796344647</v>
      </c>
      <c r="AK6" s="16">
        <f>AH16</f>
        <v>3555</v>
      </c>
      <c r="AL6" s="15">
        <f t="shared" si="0"/>
        <v>656.43342036553531</v>
      </c>
      <c r="AM6" s="16">
        <f>N25</f>
        <v>4627.7142857142853</v>
      </c>
      <c r="AN6" s="15">
        <f>AM6-AL6</f>
        <v>3971.28086534875</v>
      </c>
      <c r="AO6" s="15">
        <f>'Meal May''21 &amp; Rent June 2021'!AS6</f>
        <v>-352.04604074976851</v>
      </c>
      <c r="AP6" s="15">
        <f t="shared" ref="AP6:AP11" si="1">AN6-AO6</f>
        <v>4323.3269060985185</v>
      </c>
      <c r="AQ6" s="6">
        <v>4500</v>
      </c>
      <c r="AR6" s="17">
        <v>44389</v>
      </c>
      <c r="AS6" s="15">
        <f t="shared" ref="AS6:AS10" si="2">AQ6-AP6</f>
        <v>176.67309390148148</v>
      </c>
      <c r="AW6" s="9"/>
      <c r="AZ6" s="1" t="s">
        <v>36</v>
      </c>
      <c r="BA6" s="1">
        <f>BA5/6</f>
        <v>666.66666666666663</v>
      </c>
      <c r="BB6" s="1">
        <f>BA6*5</f>
        <v>3333.333333333333</v>
      </c>
    </row>
    <row r="7" spans="1:54" x14ac:dyDescent="0.3">
      <c r="A7" s="2">
        <v>3</v>
      </c>
      <c r="B7" s="3" t="s">
        <v>6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1</v>
      </c>
      <c r="M7" s="7">
        <v>2.5</v>
      </c>
      <c r="N7" s="7">
        <v>2</v>
      </c>
      <c r="O7" s="7">
        <v>2</v>
      </c>
      <c r="P7" s="7">
        <v>2</v>
      </c>
      <c r="Q7" s="7">
        <v>2.5</v>
      </c>
      <c r="R7" s="7">
        <v>2.5</v>
      </c>
      <c r="S7" s="7">
        <v>2.5</v>
      </c>
      <c r="T7" s="7">
        <v>2.5</v>
      </c>
      <c r="U7" s="7">
        <v>2.5</v>
      </c>
      <c r="V7" s="7">
        <v>2.5</v>
      </c>
      <c r="W7" s="7">
        <v>2.5</v>
      </c>
      <c r="X7" s="7">
        <v>2.5</v>
      </c>
      <c r="Y7" s="7">
        <v>2.5</v>
      </c>
      <c r="Z7" s="7">
        <v>2.5</v>
      </c>
      <c r="AA7" s="7">
        <v>2.5</v>
      </c>
      <c r="AB7" s="7">
        <v>2.5</v>
      </c>
      <c r="AC7" s="7">
        <v>2.5</v>
      </c>
      <c r="AD7" s="7">
        <v>2.5</v>
      </c>
      <c r="AE7" s="7">
        <v>2.5</v>
      </c>
      <c r="AF7" s="7">
        <v>2.5</v>
      </c>
      <c r="AG7" s="7">
        <v>0</v>
      </c>
      <c r="AH7" s="7">
        <f t="shared" ref="AH7:AH10" si="3">SUM(C7:AG7)</f>
        <v>49.5</v>
      </c>
      <c r="AJ7" s="15">
        <f>AH7*$E$1</f>
        <v>2411.4125326370759</v>
      </c>
      <c r="AK7" s="16">
        <f>AH17</f>
        <v>35</v>
      </c>
      <c r="AL7" s="15">
        <f t="shared" si="0"/>
        <v>-2376.4125326370759</v>
      </c>
      <c r="AM7" s="16">
        <f t="shared" ref="AM7:AM8" si="4">N26</f>
        <v>3461.0476190476197</v>
      </c>
      <c r="AN7" s="15">
        <f t="shared" ref="AN7:AN11" si="5">AM7-AL7</f>
        <v>5837.460151684696</v>
      </c>
      <c r="AO7" s="15">
        <f>'Meal May''21 &amp; Rent June 2021'!AS7</f>
        <v>-8173.2175804101907</v>
      </c>
      <c r="AP7" s="15">
        <f t="shared" si="1"/>
        <v>14010.677732094886</v>
      </c>
      <c r="AQ7" s="6"/>
      <c r="AR7" s="17"/>
      <c r="AS7" s="15">
        <f t="shared" si="2"/>
        <v>-14010.677732094886</v>
      </c>
      <c r="AW7" s="9"/>
      <c r="AZ7" s="1" t="s">
        <v>37</v>
      </c>
      <c r="BA7" s="1"/>
      <c r="BB7" s="1"/>
    </row>
    <row r="8" spans="1:54" x14ac:dyDescent="0.3">
      <c r="A8" s="2">
        <v>4</v>
      </c>
      <c r="B8" s="3" t="s">
        <v>57</v>
      </c>
      <c r="C8" s="7">
        <v>2</v>
      </c>
      <c r="D8" s="7">
        <v>2.5</v>
      </c>
      <c r="E8" s="7">
        <v>1.5</v>
      </c>
      <c r="F8" s="7">
        <v>1.5</v>
      </c>
      <c r="G8" s="7">
        <v>1.5</v>
      </c>
      <c r="H8" s="7">
        <v>0.5</v>
      </c>
      <c r="I8" s="7">
        <v>1.5</v>
      </c>
      <c r="J8" s="7">
        <v>1.5</v>
      </c>
      <c r="K8" s="7">
        <v>1</v>
      </c>
      <c r="L8" s="7">
        <v>1.5</v>
      </c>
      <c r="M8" s="7">
        <v>1.5</v>
      </c>
      <c r="N8" s="7">
        <v>1</v>
      </c>
      <c r="O8" s="7">
        <v>2</v>
      </c>
      <c r="P8" s="7">
        <v>1</v>
      </c>
      <c r="Q8" s="7">
        <v>1.5</v>
      </c>
      <c r="R8" s="7">
        <v>2.5</v>
      </c>
      <c r="S8" s="7">
        <v>1.5</v>
      </c>
      <c r="T8" s="7">
        <v>2.5</v>
      </c>
      <c r="U8" s="7">
        <v>2.5</v>
      </c>
      <c r="V8" s="7">
        <v>2.5</v>
      </c>
      <c r="W8" s="7">
        <v>2.5</v>
      </c>
      <c r="X8" s="7">
        <v>2.5</v>
      </c>
      <c r="Y8" s="7">
        <v>2.5</v>
      </c>
      <c r="Z8" s="7">
        <v>2.5</v>
      </c>
      <c r="AA8" s="7">
        <v>2.5</v>
      </c>
      <c r="AB8" s="7">
        <v>2.5</v>
      </c>
      <c r="AC8" s="7">
        <v>2.5</v>
      </c>
      <c r="AD8" s="7">
        <v>2.5</v>
      </c>
      <c r="AE8" s="7">
        <v>2.5</v>
      </c>
      <c r="AF8" s="7">
        <v>2.5</v>
      </c>
      <c r="AG8" s="7">
        <v>0</v>
      </c>
      <c r="AH8" s="7">
        <f t="shared" si="3"/>
        <v>58.5</v>
      </c>
      <c r="AJ8" s="15">
        <f>AH8*$E$1</f>
        <v>2849.8511749347258</v>
      </c>
      <c r="AK8" s="16">
        <f>AH18</f>
        <v>2102</v>
      </c>
      <c r="AL8" s="15">
        <f t="shared" si="0"/>
        <v>-747.8511749347258</v>
      </c>
      <c r="AM8" s="16">
        <f t="shared" si="4"/>
        <v>3461.0476190476197</v>
      </c>
      <c r="AN8" s="15">
        <f t="shared" si="5"/>
        <v>4208.8987939823455</v>
      </c>
      <c r="AO8" s="15">
        <f>'Meal May''21 &amp; Rent June 2021'!AS8</f>
        <v>-2376.8422568619608</v>
      </c>
      <c r="AP8" s="15">
        <f t="shared" si="1"/>
        <v>6585.7410508443063</v>
      </c>
      <c r="AQ8" s="6">
        <v>4600</v>
      </c>
      <c r="AR8" s="17">
        <v>44389</v>
      </c>
      <c r="AS8" s="15">
        <f>AQ8-AP8</f>
        <v>-1985.7410508443063</v>
      </c>
      <c r="AT8" s="25"/>
      <c r="AU8" s="25"/>
      <c r="AW8" s="9"/>
      <c r="AZ8" s="1" t="s">
        <v>98</v>
      </c>
      <c r="BA8" s="1">
        <f>$BA$6</f>
        <v>666.66666666666663</v>
      </c>
      <c r="BB8" s="1"/>
    </row>
    <row r="9" spans="1:54" x14ac:dyDescent="0.3">
      <c r="A9" s="2">
        <v>5</v>
      </c>
      <c r="B9" s="12" t="s">
        <v>51</v>
      </c>
      <c r="C9" s="7">
        <v>1</v>
      </c>
      <c r="D9" s="7">
        <v>1.5</v>
      </c>
      <c r="E9" s="7">
        <v>1</v>
      </c>
      <c r="F9" s="7">
        <v>2.5</v>
      </c>
      <c r="G9" s="7">
        <v>2.5</v>
      </c>
      <c r="H9" s="7">
        <v>2.5</v>
      </c>
      <c r="I9" s="7">
        <v>3</v>
      </c>
      <c r="J9" s="7">
        <v>1.5</v>
      </c>
      <c r="K9" s="7">
        <v>1</v>
      </c>
      <c r="L9" s="7">
        <v>0.5</v>
      </c>
      <c r="M9" s="7">
        <v>0</v>
      </c>
      <c r="N9" s="7">
        <v>1</v>
      </c>
      <c r="O9" s="7">
        <v>1</v>
      </c>
      <c r="P9" s="7">
        <v>1</v>
      </c>
      <c r="Q9" s="7">
        <v>1</v>
      </c>
      <c r="R9" s="7">
        <v>1</v>
      </c>
      <c r="S9" s="7">
        <v>1</v>
      </c>
      <c r="T9" s="7">
        <v>11.5</v>
      </c>
      <c r="U9" s="7">
        <v>3.5</v>
      </c>
      <c r="V9" s="7">
        <v>1.5</v>
      </c>
      <c r="W9" s="7">
        <v>1</v>
      </c>
      <c r="X9" s="7">
        <v>1</v>
      </c>
      <c r="Y9" s="7">
        <v>1.5</v>
      </c>
      <c r="Z9" s="7">
        <v>1.5</v>
      </c>
      <c r="AA9" s="7">
        <v>2.5</v>
      </c>
      <c r="AB9" s="7">
        <v>2.5</v>
      </c>
      <c r="AC9" s="7">
        <v>1</v>
      </c>
      <c r="AD9" s="7">
        <v>1</v>
      </c>
      <c r="AE9" s="7">
        <v>1</v>
      </c>
      <c r="AF9" s="7">
        <v>1</v>
      </c>
      <c r="AG9" s="7">
        <v>0</v>
      </c>
      <c r="AH9" s="7">
        <f t="shared" si="3"/>
        <v>53.5</v>
      </c>
      <c r="AJ9" s="15">
        <f>$AH$9*$E$1</f>
        <v>2606.2741514360314</v>
      </c>
      <c r="AK9" s="16">
        <f>AH19</f>
        <v>3045</v>
      </c>
      <c r="AL9" s="15">
        <f t="shared" si="0"/>
        <v>438.72584856396861</v>
      </c>
      <c r="AM9" s="16">
        <f>N28</f>
        <v>3461.0476190476197</v>
      </c>
      <c r="AN9" s="15">
        <f t="shared" si="5"/>
        <v>3022.3217704836511</v>
      </c>
      <c r="AO9" s="15">
        <f>'Meal May''21 &amp; Rent June 2021'!AS9</f>
        <v>0.67475283263229358</v>
      </c>
      <c r="AP9" s="15">
        <f t="shared" si="1"/>
        <v>3021.6470176510188</v>
      </c>
      <c r="AQ9" s="6">
        <v>3000</v>
      </c>
      <c r="AR9" s="17">
        <v>44378</v>
      </c>
      <c r="AS9" s="15">
        <f>AQ9-AP9</f>
        <v>-21.647017651018814</v>
      </c>
      <c r="AU9" s="25"/>
      <c r="AZ9" s="1" t="s">
        <v>49</v>
      </c>
      <c r="BA9" s="1">
        <f t="shared" ref="BA9:BA12" si="6">$BA$6</f>
        <v>666.66666666666663</v>
      </c>
      <c r="BB9" s="1"/>
    </row>
    <row r="10" spans="1:54" x14ac:dyDescent="0.3">
      <c r="A10" s="2">
        <v>6</v>
      </c>
      <c r="B10" s="3" t="s">
        <v>7</v>
      </c>
      <c r="C10" s="7">
        <v>1</v>
      </c>
      <c r="D10" s="7">
        <v>1.5</v>
      </c>
      <c r="E10" s="7">
        <v>1.5</v>
      </c>
      <c r="F10" s="7">
        <v>2.5</v>
      </c>
      <c r="G10" s="7">
        <v>1.5</v>
      </c>
      <c r="H10" s="7">
        <v>1.5</v>
      </c>
      <c r="I10" s="7">
        <v>1.5</v>
      </c>
      <c r="J10" s="7">
        <v>1.5</v>
      </c>
      <c r="K10" s="7">
        <v>1.5</v>
      </c>
      <c r="L10" s="7">
        <v>1.5</v>
      </c>
      <c r="M10" s="7">
        <v>0</v>
      </c>
      <c r="N10" s="7">
        <v>1</v>
      </c>
      <c r="O10" s="7">
        <v>1</v>
      </c>
      <c r="P10" s="7">
        <v>1</v>
      </c>
      <c r="Q10" s="7">
        <v>1.5</v>
      </c>
      <c r="R10" s="7">
        <v>1.5</v>
      </c>
      <c r="S10" s="7">
        <v>1.5</v>
      </c>
      <c r="T10" s="7">
        <v>2.5</v>
      </c>
      <c r="U10" s="7">
        <v>2.5</v>
      </c>
      <c r="V10" s="7">
        <v>1.5</v>
      </c>
      <c r="W10" s="7">
        <v>1.5</v>
      </c>
      <c r="X10" s="7">
        <v>1.5</v>
      </c>
      <c r="Y10" s="7">
        <v>1.5</v>
      </c>
      <c r="Z10" s="7">
        <v>1.5</v>
      </c>
      <c r="AA10" s="7">
        <v>2.5</v>
      </c>
      <c r="AB10" s="7">
        <v>1.5</v>
      </c>
      <c r="AC10" s="7">
        <v>2.5</v>
      </c>
      <c r="AD10" s="7">
        <v>2.5</v>
      </c>
      <c r="AE10" s="7">
        <v>2.5</v>
      </c>
      <c r="AF10" s="7">
        <v>2.5</v>
      </c>
      <c r="AG10" s="7">
        <v>0</v>
      </c>
      <c r="AH10" s="7">
        <f t="shared" si="3"/>
        <v>49.5</v>
      </c>
      <c r="AJ10" s="15">
        <f>AH10*$E$1</f>
        <v>2411.4125326370759</v>
      </c>
      <c r="AK10" s="16">
        <f t="shared" ref="AK10" si="7">AH20</f>
        <v>3128</v>
      </c>
      <c r="AL10" s="15">
        <f t="shared" si="0"/>
        <v>716.58746736292414</v>
      </c>
      <c r="AM10" s="16">
        <f>N29</f>
        <v>4627.7142857142853</v>
      </c>
      <c r="AN10" s="15">
        <f t="shared" si="5"/>
        <v>3911.1268183513612</v>
      </c>
      <c r="AO10" s="15">
        <f>'Meal May''21 &amp; Rent June 2021'!AS10</f>
        <v>-6.4989789916580776E-4</v>
      </c>
      <c r="AP10" s="15">
        <f t="shared" si="1"/>
        <v>3911.1274682492603</v>
      </c>
      <c r="AQ10" s="6"/>
      <c r="AR10" s="17"/>
      <c r="AS10" s="15">
        <f t="shared" si="2"/>
        <v>-3911.1274682492603</v>
      </c>
      <c r="AZ10" s="1" t="s">
        <v>38</v>
      </c>
      <c r="BA10" s="1">
        <f t="shared" si="6"/>
        <v>666.66666666666663</v>
      </c>
      <c r="BB10" s="1"/>
    </row>
    <row r="11" spans="1:54" x14ac:dyDescent="0.3">
      <c r="A11" s="2">
        <v>7</v>
      </c>
      <c r="B11" s="3" t="s">
        <v>8</v>
      </c>
      <c r="C11" s="7">
        <v>1</v>
      </c>
      <c r="D11" s="7">
        <v>1.5</v>
      </c>
      <c r="E11" s="7">
        <v>1</v>
      </c>
      <c r="F11" s="7">
        <v>2.5</v>
      </c>
      <c r="G11" s="7">
        <v>2.5</v>
      </c>
      <c r="H11" s="7">
        <v>2</v>
      </c>
      <c r="I11" s="7">
        <v>2</v>
      </c>
      <c r="J11" s="7">
        <v>2.5</v>
      </c>
      <c r="K11" s="7">
        <v>2.5</v>
      </c>
      <c r="L11" s="7">
        <v>2</v>
      </c>
      <c r="M11" s="7">
        <v>2.5</v>
      </c>
      <c r="N11" s="7">
        <v>2</v>
      </c>
      <c r="O11" s="7">
        <v>1</v>
      </c>
      <c r="P11" s="7">
        <v>2</v>
      </c>
      <c r="Q11" s="7">
        <v>2.5</v>
      </c>
      <c r="R11" s="7">
        <v>1</v>
      </c>
      <c r="S11" s="7">
        <v>1.5</v>
      </c>
      <c r="T11" s="7">
        <v>9.5</v>
      </c>
      <c r="U11" s="7">
        <v>2.5</v>
      </c>
      <c r="V11" s="7">
        <v>1</v>
      </c>
      <c r="W11" s="7">
        <v>2</v>
      </c>
      <c r="X11" s="7">
        <v>2.5</v>
      </c>
      <c r="Y11" s="7">
        <v>2</v>
      </c>
      <c r="Z11" s="7">
        <v>2</v>
      </c>
      <c r="AA11" s="7">
        <v>2.5</v>
      </c>
      <c r="AB11" s="7">
        <v>2.5</v>
      </c>
      <c r="AC11" s="7">
        <v>2.5</v>
      </c>
      <c r="AD11" s="7">
        <v>2.5</v>
      </c>
      <c r="AE11" s="7">
        <v>2.5</v>
      </c>
      <c r="AF11" s="7">
        <v>1.5</v>
      </c>
      <c r="AG11" s="7">
        <v>0</v>
      </c>
      <c r="AH11" s="7">
        <f>SUM(C11:AG11)</f>
        <v>67.5</v>
      </c>
      <c r="AJ11" s="15">
        <f>AH11*$E$1</f>
        <v>3288.2898172323762</v>
      </c>
      <c r="AK11" s="16">
        <f>AH21</f>
        <v>3603</v>
      </c>
      <c r="AL11" s="15">
        <f t="shared" si="0"/>
        <v>314.71018276762379</v>
      </c>
      <c r="AM11" s="16">
        <f>N30</f>
        <v>4627.7142857142853</v>
      </c>
      <c r="AN11" s="15">
        <f t="shared" si="5"/>
        <v>4313.0041029466611</v>
      </c>
      <c r="AO11" s="15">
        <f>'Meal May''21 &amp; Rent June 2021'!AS11</f>
        <v>-104.17155086508092</v>
      </c>
      <c r="AP11" s="15">
        <f t="shared" si="1"/>
        <v>4417.1756538117424</v>
      </c>
      <c r="AQ11" s="6">
        <f>120</f>
        <v>120</v>
      </c>
      <c r="AR11" s="17"/>
      <c r="AS11" s="15">
        <f>AQ11-AP11</f>
        <v>-4297.1756538117424</v>
      </c>
      <c r="AZ11" s="1" t="s">
        <v>99</v>
      </c>
      <c r="BA11" s="1">
        <f t="shared" si="6"/>
        <v>666.66666666666663</v>
      </c>
      <c r="BB11" s="1"/>
    </row>
    <row r="12" spans="1:54" x14ac:dyDescent="0.3">
      <c r="A12" s="1"/>
      <c r="B12" s="1"/>
      <c r="C12" s="7">
        <f>SUM(C5:C11)</f>
        <v>10</v>
      </c>
      <c r="D12" s="7">
        <f t="shared" ref="D12:AG12" si="8">SUM(D5:D11)</f>
        <v>11.5</v>
      </c>
      <c r="E12" s="7">
        <f t="shared" si="8"/>
        <v>10</v>
      </c>
      <c r="F12" s="7">
        <f t="shared" si="8"/>
        <v>12</v>
      </c>
      <c r="G12" s="7">
        <f t="shared" si="8"/>
        <v>10</v>
      </c>
      <c r="H12" s="7">
        <f t="shared" si="8"/>
        <v>9</v>
      </c>
      <c r="I12" s="7">
        <f t="shared" si="8"/>
        <v>9</v>
      </c>
      <c r="J12" s="7">
        <f t="shared" si="8"/>
        <v>9</v>
      </c>
      <c r="K12" s="7">
        <f t="shared" si="8"/>
        <v>9.5</v>
      </c>
      <c r="L12" s="7">
        <f t="shared" si="8"/>
        <v>10.5</v>
      </c>
      <c r="M12" s="7">
        <f t="shared" si="8"/>
        <v>10</v>
      </c>
      <c r="N12" s="7">
        <f t="shared" si="8"/>
        <v>10</v>
      </c>
      <c r="O12" s="7">
        <f t="shared" si="8"/>
        <v>10</v>
      </c>
      <c r="P12" s="7">
        <f t="shared" si="8"/>
        <v>10</v>
      </c>
      <c r="Q12" s="7">
        <f t="shared" si="8"/>
        <v>11.5</v>
      </c>
      <c r="R12" s="7">
        <f t="shared" si="8"/>
        <v>11</v>
      </c>
      <c r="S12" s="7">
        <f t="shared" si="8"/>
        <v>10.5</v>
      </c>
      <c r="T12" s="7">
        <f t="shared" si="8"/>
        <v>35</v>
      </c>
      <c r="U12" s="7">
        <f t="shared" si="8"/>
        <v>17</v>
      </c>
      <c r="V12" s="7">
        <f t="shared" si="8"/>
        <v>13.5</v>
      </c>
      <c r="W12" s="7">
        <f t="shared" si="8"/>
        <v>11.5</v>
      </c>
      <c r="X12" s="7">
        <f t="shared" si="8"/>
        <v>13.5</v>
      </c>
      <c r="Y12" s="7">
        <f t="shared" si="8"/>
        <v>14.5</v>
      </c>
      <c r="Z12" s="7">
        <f t="shared" si="8"/>
        <v>13.5</v>
      </c>
      <c r="AA12" s="7">
        <f t="shared" si="8"/>
        <v>15</v>
      </c>
      <c r="AB12" s="7">
        <f t="shared" si="8"/>
        <v>15</v>
      </c>
      <c r="AC12" s="7">
        <f t="shared" si="8"/>
        <v>15.5</v>
      </c>
      <c r="AD12" s="7">
        <f t="shared" si="8"/>
        <v>15.5</v>
      </c>
      <c r="AE12" s="7">
        <f t="shared" si="8"/>
        <v>15.5</v>
      </c>
      <c r="AF12" s="7">
        <f t="shared" si="8"/>
        <v>14.5</v>
      </c>
      <c r="AG12" s="7">
        <f t="shared" si="8"/>
        <v>0</v>
      </c>
      <c r="AH12" s="7">
        <f>SUM(AH5:AH11)</f>
        <v>383</v>
      </c>
      <c r="AJ12" s="15">
        <f>SUM(AJ5:AJ11)</f>
        <v>18658</v>
      </c>
      <c r="AK12" s="16">
        <f t="shared" ref="AK12" si="9">SUM(AK5:AK11)</f>
        <v>18658</v>
      </c>
      <c r="AL12" s="16">
        <f>SUM(AL5:AL11)</f>
        <v>-4.5474735088646412E-13</v>
      </c>
      <c r="AM12" s="16">
        <f>SUM(AM5:AM11)</f>
        <v>28894.000000000004</v>
      </c>
      <c r="AN12" s="16">
        <f>SUM(AN5:AN11)</f>
        <v>28894</v>
      </c>
      <c r="AO12" s="16">
        <f>SUM(AO5:AO11)</f>
        <v>-10355.602282660686</v>
      </c>
      <c r="AP12" s="15">
        <f>AN12-AO12+$AU$4</f>
        <v>39249.602282660686</v>
      </c>
      <c r="AQ12" s="16">
        <f>SUM(AQ5:AQ11)</f>
        <v>16220</v>
      </c>
      <c r="AR12" s="16"/>
      <c r="AS12" s="16">
        <f>SUM(AS5:AS11)</f>
        <v>-23029.602282660686</v>
      </c>
      <c r="AT12" s="9"/>
      <c r="AU12" s="9"/>
      <c r="AZ12" s="1" t="s">
        <v>40</v>
      </c>
      <c r="BA12" s="1">
        <f t="shared" si="6"/>
        <v>666.66666666666663</v>
      </c>
      <c r="BB12" s="1"/>
    </row>
    <row r="13" spans="1:54" x14ac:dyDescent="0.3">
      <c r="A13" s="36"/>
      <c r="B13" s="36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37"/>
      <c r="AF13" s="37"/>
      <c r="AG13" s="37"/>
      <c r="AH13" s="37"/>
      <c r="AJ13" s="38"/>
      <c r="AK13" s="39"/>
      <c r="AL13" s="39"/>
      <c r="AM13" s="39"/>
      <c r="AN13" s="39"/>
      <c r="AO13" s="39"/>
      <c r="AP13" s="38"/>
      <c r="AQ13" s="39"/>
      <c r="AR13" s="39"/>
      <c r="AS13" s="39"/>
      <c r="AT13" s="9"/>
      <c r="AU13" s="9"/>
      <c r="AV13" s="44" t="s">
        <v>88</v>
      </c>
      <c r="AW13" s="9"/>
      <c r="AZ13" s="1"/>
      <c r="BA13" s="1">
        <f>SUM(BA8:BA12)</f>
        <v>3333.333333333333</v>
      </c>
      <c r="BB13" s="1"/>
    </row>
    <row r="14" spans="1:54" x14ac:dyDescent="0.3">
      <c r="B14" s="10" t="s">
        <v>86</v>
      </c>
      <c r="AT14" s="9"/>
      <c r="AV14" s="1" t="s">
        <v>89</v>
      </c>
      <c r="AW14" s="1" t="s">
        <v>95</v>
      </c>
    </row>
    <row r="15" spans="1:54" x14ac:dyDescent="0.3">
      <c r="A15" s="2">
        <v>1</v>
      </c>
      <c r="B15" s="3" t="s">
        <v>4</v>
      </c>
      <c r="C15" s="8">
        <v>3190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 s="8">
        <v>0</v>
      </c>
      <c r="V15" s="8">
        <v>0</v>
      </c>
      <c r="W15" s="8">
        <v>0</v>
      </c>
      <c r="X15" s="8">
        <v>0</v>
      </c>
      <c r="Y15" s="8">
        <v>0</v>
      </c>
      <c r="Z15" s="8">
        <v>0</v>
      </c>
      <c r="AA15" s="8">
        <v>0</v>
      </c>
      <c r="AB15" s="8">
        <v>0</v>
      </c>
      <c r="AC15" s="8">
        <v>0</v>
      </c>
      <c r="AD15" s="8">
        <v>0</v>
      </c>
      <c r="AE15" s="8">
        <v>0</v>
      </c>
      <c r="AF15" s="8">
        <v>0</v>
      </c>
      <c r="AG15" s="8">
        <v>0</v>
      </c>
      <c r="AH15" s="8">
        <f>SUM(C15:AG15)</f>
        <v>3190</v>
      </c>
      <c r="AP15" s="25"/>
      <c r="AR15" s="1"/>
      <c r="AS15" s="8"/>
      <c r="AV15" s="1" t="s">
        <v>90</v>
      </c>
      <c r="AW15" s="16">
        <f>O38</f>
        <v>23774</v>
      </c>
    </row>
    <row r="16" spans="1:54" x14ac:dyDescent="0.3">
      <c r="A16" s="2">
        <v>2</v>
      </c>
      <c r="B16" s="3" t="s">
        <v>5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>
        <v>180</v>
      </c>
      <c r="S16" s="8">
        <v>1935</v>
      </c>
      <c r="T16" s="8">
        <v>410</v>
      </c>
      <c r="U16" s="8">
        <v>1030</v>
      </c>
      <c r="V16" s="8">
        <v>0</v>
      </c>
      <c r="W16" s="8">
        <v>0</v>
      </c>
      <c r="X16" s="8">
        <v>0</v>
      </c>
      <c r="Y16" s="8">
        <v>0</v>
      </c>
      <c r="Z16" s="8">
        <v>0</v>
      </c>
      <c r="AA16" s="8">
        <v>0</v>
      </c>
      <c r="AB16" s="8">
        <v>0</v>
      </c>
      <c r="AC16" s="8">
        <v>0</v>
      </c>
      <c r="AD16" s="8">
        <v>0</v>
      </c>
      <c r="AE16" s="8">
        <v>0</v>
      </c>
      <c r="AF16" s="8">
        <v>0</v>
      </c>
      <c r="AG16" s="8">
        <v>0</v>
      </c>
      <c r="AH16" s="8">
        <f t="shared" ref="AH16:AH21" si="10">SUM(C16:AG16)</f>
        <v>3555</v>
      </c>
      <c r="AR16" s="1"/>
      <c r="AS16" s="8"/>
      <c r="AT16" s="25"/>
      <c r="AV16" s="1" t="s">
        <v>91</v>
      </c>
      <c r="AW16" s="16">
        <f>-AO12</f>
        <v>10355.602282660686</v>
      </c>
    </row>
    <row r="17" spans="1:49" x14ac:dyDescent="0.3">
      <c r="A17" s="2">
        <v>3</v>
      </c>
      <c r="B17" s="3" t="s">
        <v>6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35</v>
      </c>
      <c r="P17" s="8">
        <v>0</v>
      </c>
      <c r="Q17" s="8">
        <v>0</v>
      </c>
      <c r="R17" s="8">
        <v>0</v>
      </c>
      <c r="S17" s="8">
        <v>0</v>
      </c>
      <c r="T17" s="8">
        <v>0</v>
      </c>
      <c r="U17" s="8">
        <v>0</v>
      </c>
      <c r="V17" s="8">
        <v>0</v>
      </c>
      <c r="W17" s="8">
        <v>0</v>
      </c>
      <c r="X17" s="8">
        <v>0</v>
      </c>
      <c r="Y17" s="8">
        <v>0</v>
      </c>
      <c r="Z17" s="8">
        <v>0</v>
      </c>
      <c r="AA17" s="8">
        <v>0</v>
      </c>
      <c r="AB17" s="8">
        <v>0</v>
      </c>
      <c r="AC17" s="8">
        <v>0</v>
      </c>
      <c r="AD17" s="8">
        <v>0</v>
      </c>
      <c r="AE17" s="8">
        <v>0</v>
      </c>
      <c r="AF17" s="8">
        <v>0</v>
      </c>
      <c r="AG17" s="8">
        <v>0</v>
      </c>
      <c r="AH17" s="8">
        <f t="shared" si="10"/>
        <v>35</v>
      </c>
      <c r="AP17" s="25"/>
      <c r="AR17" s="15"/>
      <c r="AS17" s="8"/>
      <c r="AT17" s="25"/>
      <c r="AV17" s="1"/>
      <c r="AW17" s="16">
        <f>SUM(AW15:AW16)</f>
        <v>34129.602282660686</v>
      </c>
    </row>
    <row r="18" spans="1:49" x14ac:dyDescent="0.3">
      <c r="A18" s="2">
        <v>4</v>
      </c>
      <c r="B18" s="3" t="s">
        <v>57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682</v>
      </c>
      <c r="N18" s="8">
        <v>1170</v>
      </c>
      <c r="O18" s="8">
        <v>0</v>
      </c>
      <c r="P18" s="8">
        <v>110</v>
      </c>
      <c r="Q18" s="8">
        <v>140</v>
      </c>
      <c r="R18" s="8">
        <v>0</v>
      </c>
      <c r="S18" s="8">
        <v>0</v>
      </c>
      <c r="T18" s="8">
        <v>0</v>
      </c>
      <c r="U18" s="8">
        <v>0</v>
      </c>
      <c r="V18" s="8">
        <v>0</v>
      </c>
      <c r="W18" s="8">
        <v>0</v>
      </c>
      <c r="X18" s="8">
        <v>0</v>
      </c>
      <c r="Y18" s="8">
        <v>0</v>
      </c>
      <c r="Z18" s="8">
        <v>0</v>
      </c>
      <c r="AA18" s="8">
        <v>0</v>
      </c>
      <c r="AB18" s="8">
        <v>0</v>
      </c>
      <c r="AC18" s="8">
        <v>0</v>
      </c>
      <c r="AD18" s="8">
        <v>0</v>
      </c>
      <c r="AE18" s="8">
        <v>0</v>
      </c>
      <c r="AF18" s="8">
        <v>0</v>
      </c>
      <c r="AG18" s="8">
        <v>0</v>
      </c>
      <c r="AH18" s="8">
        <f t="shared" si="10"/>
        <v>2102</v>
      </c>
      <c r="AP18" s="25"/>
    </row>
    <row r="19" spans="1:49" x14ac:dyDescent="0.3">
      <c r="A19" s="2">
        <v>5</v>
      </c>
      <c r="B19" s="12" t="s">
        <v>51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0</v>
      </c>
      <c r="R19" s="8">
        <v>0</v>
      </c>
      <c r="S19" s="8">
        <v>0</v>
      </c>
      <c r="T19" s="8">
        <v>0</v>
      </c>
      <c r="U19" s="8">
        <v>0</v>
      </c>
      <c r="V19" s="8">
        <v>1950</v>
      </c>
      <c r="W19" s="8">
        <v>930</v>
      </c>
      <c r="X19" s="8">
        <v>0</v>
      </c>
      <c r="Y19" s="8">
        <v>165</v>
      </c>
      <c r="Z19" s="8">
        <v>0</v>
      </c>
      <c r="AA19" s="8">
        <v>0</v>
      </c>
      <c r="AB19" s="8">
        <v>0</v>
      </c>
      <c r="AC19" s="8">
        <v>0</v>
      </c>
      <c r="AD19" s="8">
        <v>0</v>
      </c>
      <c r="AE19" s="8">
        <v>0</v>
      </c>
      <c r="AF19" s="8">
        <v>0</v>
      </c>
      <c r="AG19" s="8">
        <v>0</v>
      </c>
      <c r="AH19" s="8">
        <f t="shared" si="10"/>
        <v>3045</v>
      </c>
      <c r="AV19" s="1" t="s">
        <v>92</v>
      </c>
      <c r="AW19" s="1"/>
    </row>
    <row r="20" spans="1:49" x14ac:dyDescent="0.3">
      <c r="A20" s="2">
        <v>6</v>
      </c>
      <c r="B20" s="3" t="s">
        <v>7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  <c r="S20" s="8">
        <v>0</v>
      </c>
      <c r="T20" s="8">
        <v>0</v>
      </c>
      <c r="U20" s="8">
        <v>0</v>
      </c>
      <c r="V20" s="8">
        <v>0</v>
      </c>
      <c r="W20" s="8">
        <v>0</v>
      </c>
      <c r="X20" s="8">
        <v>0</v>
      </c>
      <c r="Y20" s="8">
        <v>0</v>
      </c>
      <c r="Z20" s="8">
        <v>0</v>
      </c>
      <c r="AA20" s="8">
        <v>1860</v>
      </c>
      <c r="AB20" s="8">
        <v>1268</v>
      </c>
      <c r="AC20" s="8">
        <v>0</v>
      </c>
      <c r="AD20" s="8">
        <v>0</v>
      </c>
      <c r="AE20" s="8">
        <v>0</v>
      </c>
      <c r="AF20" s="8">
        <v>0</v>
      </c>
      <c r="AG20" s="8">
        <v>0</v>
      </c>
      <c r="AH20" s="8">
        <f t="shared" si="10"/>
        <v>3128</v>
      </c>
      <c r="AT20" s="25"/>
      <c r="AV20" s="1" t="s">
        <v>93</v>
      </c>
      <c r="AW20" s="16">
        <f>-AS12</f>
        <v>23029.602282660686</v>
      </c>
    </row>
    <row r="21" spans="1:49" x14ac:dyDescent="0.3">
      <c r="A21" s="2">
        <v>7</v>
      </c>
      <c r="B21" s="3" t="s">
        <v>8</v>
      </c>
      <c r="C21" s="8">
        <v>0</v>
      </c>
      <c r="D21" s="8">
        <v>0</v>
      </c>
      <c r="E21" s="8">
        <v>0</v>
      </c>
      <c r="F21" s="8">
        <v>0</v>
      </c>
      <c r="G21" s="8">
        <v>1410</v>
      </c>
      <c r="H21" s="8">
        <v>300</v>
      </c>
      <c r="I21" s="8">
        <v>0</v>
      </c>
      <c r="J21" s="8">
        <v>1740</v>
      </c>
      <c r="K21" s="8">
        <v>153</v>
      </c>
      <c r="L21" s="8">
        <v>0</v>
      </c>
      <c r="M21" s="8"/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8">
        <v>0</v>
      </c>
      <c r="T21" s="8">
        <v>0</v>
      </c>
      <c r="U21" s="8">
        <v>0</v>
      </c>
      <c r="V21" s="8">
        <v>0</v>
      </c>
      <c r="W21" s="8">
        <v>0</v>
      </c>
      <c r="X21" s="8">
        <v>0</v>
      </c>
      <c r="Y21" s="8">
        <v>0</v>
      </c>
      <c r="Z21" s="8">
        <v>0</v>
      </c>
      <c r="AA21" s="8">
        <v>0</v>
      </c>
      <c r="AB21" s="8">
        <v>0</v>
      </c>
      <c r="AC21" s="8">
        <v>0</v>
      </c>
      <c r="AD21" s="8">
        <v>0</v>
      </c>
      <c r="AE21" s="8">
        <v>0</v>
      </c>
      <c r="AF21" s="8">
        <v>0</v>
      </c>
      <c r="AG21" s="8">
        <v>0</v>
      </c>
      <c r="AH21" s="8">
        <f t="shared" si="10"/>
        <v>3603</v>
      </c>
      <c r="AV21" s="1" t="s">
        <v>94</v>
      </c>
      <c r="AW21" s="1">
        <v>2000</v>
      </c>
    </row>
    <row r="22" spans="1:49" x14ac:dyDescent="0.3">
      <c r="AH22" s="9">
        <f>SUM(AH15:AH21)</f>
        <v>18658</v>
      </c>
      <c r="AV22" s="1"/>
      <c r="AW22" s="16">
        <f>SUM(AW20:AW21)</f>
        <v>25029.602282660686</v>
      </c>
    </row>
    <row r="23" spans="1:49" x14ac:dyDescent="0.3">
      <c r="A23" s="4"/>
      <c r="B23" s="13" t="s">
        <v>87</v>
      </c>
      <c r="C23" s="4" t="s">
        <v>11</v>
      </c>
      <c r="D23" s="4" t="s">
        <v>12</v>
      </c>
      <c r="E23" s="4" t="s">
        <v>13</v>
      </c>
      <c r="F23" s="4" t="s">
        <v>14</v>
      </c>
      <c r="G23" s="4" t="s">
        <v>15</v>
      </c>
      <c r="H23" s="4" t="s">
        <v>16</v>
      </c>
      <c r="I23" s="4" t="s">
        <v>17</v>
      </c>
      <c r="J23" s="4" t="s">
        <v>18</v>
      </c>
      <c r="K23" s="4" t="s">
        <v>19</v>
      </c>
      <c r="L23" s="4" t="s">
        <v>20</v>
      </c>
      <c r="M23" s="4" t="s">
        <v>21</v>
      </c>
      <c r="N23" s="4" t="s">
        <v>22</v>
      </c>
    </row>
    <row r="24" spans="1:49" x14ac:dyDescent="0.3">
      <c r="A24" s="2">
        <v>1</v>
      </c>
      <c r="B24" s="12" t="s">
        <v>4</v>
      </c>
      <c r="C24" s="8">
        <f>H34</f>
        <v>3142.8571428571427</v>
      </c>
      <c r="D24" s="8">
        <f>$D$31/7</f>
        <v>642.85714285714289</v>
      </c>
      <c r="E24" s="8">
        <f>$E$31/7</f>
        <v>0</v>
      </c>
      <c r="F24" s="8">
        <f>$F$31/7</f>
        <v>71.428571428571431</v>
      </c>
      <c r="G24" s="8">
        <f>$G$31/7</f>
        <v>139.28571428571428</v>
      </c>
      <c r="H24" s="8">
        <f>$H$31/7</f>
        <v>334.14285714285717</v>
      </c>
      <c r="I24" s="8">
        <f>$I$31/7</f>
        <v>244.28571428571428</v>
      </c>
      <c r="J24" s="8">
        <f>$J$31/7</f>
        <v>35.714285714285715</v>
      </c>
      <c r="K24" s="8">
        <f>$K$31/6</f>
        <v>0</v>
      </c>
      <c r="L24" s="8">
        <f>$L$31/7</f>
        <v>17.142857142857142</v>
      </c>
      <c r="M24" s="8">
        <f>$M$31/7</f>
        <v>0</v>
      </c>
      <c r="N24" s="8">
        <f t="shared" ref="N24:N30" si="11">SUM(C24:M24)</f>
        <v>4627.7142857142853</v>
      </c>
    </row>
    <row r="25" spans="1:49" x14ac:dyDescent="0.3">
      <c r="A25" s="2">
        <v>2</v>
      </c>
      <c r="B25" s="12" t="s">
        <v>5</v>
      </c>
      <c r="C25" s="8">
        <f>H35</f>
        <v>3142.8571428571427</v>
      </c>
      <c r="D25" s="8">
        <f t="shared" ref="D25:D30" si="12">$D$31/7</f>
        <v>642.85714285714289</v>
      </c>
      <c r="E25" s="8">
        <f>$E$31/7</f>
        <v>0</v>
      </c>
      <c r="F25" s="8">
        <f t="shared" ref="F25:F30" si="13">$F$31/7</f>
        <v>71.428571428571431</v>
      </c>
      <c r="G25" s="8">
        <f t="shared" ref="G25:G30" si="14">$G$31/7</f>
        <v>139.28571428571428</v>
      </c>
      <c r="H25" s="8">
        <f t="shared" ref="H25:H30" si="15">$H$31/7</f>
        <v>334.14285714285717</v>
      </c>
      <c r="I25" s="8">
        <f t="shared" ref="I25:I30" si="16">$I$31/7</f>
        <v>244.28571428571428</v>
      </c>
      <c r="J25" s="8">
        <f t="shared" ref="J25:J29" si="17">$J$31/7</f>
        <v>35.714285714285715</v>
      </c>
      <c r="K25" s="8">
        <f t="shared" ref="K25:K30" si="18">$K$31/6</f>
        <v>0</v>
      </c>
      <c r="L25" s="8">
        <f t="shared" ref="L25:L30" si="19">$L$31/7</f>
        <v>17.142857142857142</v>
      </c>
      <c r="M25" s="8">
        <f t="shared" ref="M25:M30" si="20">$M$31/7</f>
        <v>0</v>
      </c>
      <c r="N25" s="8">
        <f t="shared" si="11"/>
        <v>4627.7142857142853</v>
      </c>
    </row>
    <row r="26" spans="1:49" x14ac:dyDescent="0.3">
      <c r="A26" s="2">
        <v>3</v>
      </c>
      <c r="B26" s="12" t="s">
        <v>6</v>
      </c>
      <c r="C26" s="8">
        <f>H36</f>
        <v>1976.1904761904761</v>
      </c>
      <c r="D26" s="8">
        <f t="shared" si="12"/>
        <v>642.85714285714289</v>
      </c>
      <c r="E26" s="8">
        <f>$E$31/7</f>
        <v>0</v>
      </c>
      <c r="F26" s="8">
        <f t="shared" si="13"/>
        <v>71.428571428571431</v>
      </c>
      <c r="G26" s="8">
        <f t="shared" si="14"/>
        <v>139.28571428571428</v>
      </c>
      <c r="H26" s="8">
        <f t="shared" si="15"/>
        <v>334.14285714285717</v>
      </c>
      <c r="I26" s="8">
        <f t="shared" si="16"/>
        <v>244.28571428571428</v>
      </c>
      <c r="J26" s="8">
        <f t="shared" si="17"/>
        <v>35.714285714285715</v>
      </c>
      <c r="K26" s="8">
        <f t="shared" si="18"/>
        <v>0</v>
      </c>
      <c r="L26" s="8">
        <f t="shared" si="19"/>
        <v>17.142857142857142</v>
      </c>
      <c r="M26" s="8">
        <f t="shared" si="20"/>
        <v>0</v>
      </c>
      <c r="N26" s="8">
        <f t="shared" si="11"/>
        <v>3461.0476190476197</v>
      </c>
    </row>
    <row r="27" spans="1:49" x14ac:dyDescent="0.3">
      <c r="A27" s="2">
        <v>4</v>
      </c>
      <c r="B27" s="12" t="s">
        <v>57</v>
      </c>
      <c r="C27" s="8">
        <f>H36</f>
        <v>1976.1904761904761</v>
      </c>
      <c r="D27" s="8">
        <f t="shared" si="12"/>
        <v>642.85714285714289</v>
      </c>
      <c r="E27" s="8">
        <f>$E$31/7</f>
        <v>0</v>
      </c>
      <c r="F27" s="8">
        <f t="shared" si="13"/>
        <v>71.428571428571431</v>
      </c>
      <c r="G27" s="8">
        <f t="shared" si="14"/>
        <v>139.28571428571428</v>
      </c>
      <c r="H27" s="8">
        <f t="shared" si="15"/>
        <v>334.14285714285717</v>
      </c>
      <c r="I27" s="8">
        <f t="shared" si="16"/>
        <v>244.28571428571428</v>
      </c>
      <c r="J27" s="8">
        <f t="shared" si="17"/>
        <v>35.714285714285715</v>
      </c>
      <c r="K27" s="8"/>
      <c r="L27" s="8">
        <f t="shared" si="19"/>
        <v>17.142857142857142</v>
      </c>
      <c r="M27" s="8">
        <f t="shared" si="20"/>
        <v>0</v>
      </c>
      <c r="N27" s="8">
        <f t="shared" si="11"/>
        <v>3461.0476190476197</v>
      </c>
    </row>
    <row r="28" spans="1:49" x14ac:dyDescent="0.3">
      <c r="A28" s="2">
        <v>5</v>
      </c>
      <c r="B28" s="12" t="s">
        <v>51</v>
      </c>
      <c r="C28" s="8">
        <f>H36</f>
        <v>1976.1904761904761</v>
      </c>
      <c r="D28" s="8">
        <f t="shared" si="12"/>
        <v>642.85714285714289</v>
      </c>
      <c r="E28" s="8">
        <f t="shared" ref="E28:E30" si="21">$E$31/7</f>
        <v>0</v>
      </c>
      <c r="F28" s="8">
        <f t="shared" si="13"/>
        <v>71.428571428571431</v>
      </c>
      <c r="G28" s="8">
        <f t="shared" si="14"/>
        <v>139.28571428571428</v>
      </c>
      <c r="H28" s="8">
        <f t="shared" si="15"/>
        <v>334.14285714285717</v>
      </c>
      <c r="I28" s="8">
        <f t="shared" si="16"/>
        <v>244.28571428571428</v>
      </c>
      <c r="J28" s="8">
        <f t="shared" si="17"/>
        <v>35.714285714285715</v>
      </c>
      <c r="K28" s="8">
        <f t="shared" si="18"/>
        <v>0</v>
      </c>
      <c r="L28" s="8">
        <f t="shared" si="19"/>
        <v>17.142857142857142</v>
      </c>
      <c r="M28" s="8">
        <f t="shared" si="20"/>
        <v>0</v>
      </c>
      <c r="N28" s="8">
        <f t="shared" si="11"/>
        <v>3461.0476190476197</v>
      </c>
    </row>
    <row r="29" spans="1:49" x14ac:dyDescent="0.3">
      <c r="A29" s="2">
        <v>6</v>
      </c>
      <c r="B29" s="12" t="s">
        <v>7</v>
      </c>
      <c r="C29" s="8">
        <f>H35</f>
        <v>3142.8571428571427</v>
      </c>
      <c r="D29" s="8">
        <f t="shared" si="12"/>
        <v>642.85714285714289</v>
      </c>
      <c r="E29" s="8">
        <f t="shared" si="21"/>
        <v>0</v>
      </c>
      <c r="F29" s="8">
        <f t="shared" si="13"/>
        <v>71.428571428571431</v>
      </c>
      <c r="G29" s="8">
        <f t="shared" si="14"/>
        <v>139.28571428571428</v>
      </c>
      <c r="H29" s="8">
        <f t="shared" si="15"/>
        <v>334.14285714285717</v>
      </c>
      <c r="I29" s="8">
        <f t="shared" si="16"/>
        <v>244.28571428571428</v>
      </c>
      <c r="J29" s="8">
        <f t="shared" si="17"/>
        <v>35.714285714285715</v>
      </c>
      <c r="K29" s="8">
        <f t="shared" si="18"/>
        <v>0</v>
      </c>
      <c r="L29" s="8">
        <f t="shared" si="19"/>
        <v>17.142857142857142</v>
      </c>
      <c r="M29" s="8">
        <f t="shared" si="20"/>
        <v>0</v>
      </c>
      <c r="N29" s="8">
        <f t="shared" si="11"/>
        <v>4627.7142857142853</v>
      </c>
    </row>
    <row r="30" spans="1:49" x14ac:dyDescent="0.3">
      <c r="A30" s="2">
        <v>7</v>
      </c>
      <c r="B30" s="12" t="s">
        <v>8</v>
      </c>
      <c r="C30" s="8">
        <f>H35</f>
        <v>3142.8571428571427</v>
      </c>
      <c r="D30" s="8">
        <f t="shared" si="12"/>
        <v>642.85714285714289</v>
      </c>
      <c r="E30" s="8">
        <f t="shared" si="21"/>
        <v>0</v>
      </c>
      <c r="F30" s="8">
        <f t="shared" si="13"/>
        <v>71.428571428571431</v>
      </c>
      <c r="G30" s="8">
        <f t="shared" si="14"/>
        <v>139.28571428571428</v>
      </c>
      <c r="H30" s="8">
        <f t="shared" si="15"/>
        <v>334.14285714285717</v>
      </c>
      <c r="I30" s="8">
        <f t="shared" si="16"/>
        <v>244.28571428571428</v>
      </c>
      <c r="J30" s="8">
        <f>$J$31/7</f>
        <v>35.714285714285715</v>
      </c>
      <c r="K30" s="8">
        <f t="shared" si="18"/>
        <v>0</v>
      </c>
      <c r="L30" s="8">
        <f t="shared" si="19"/>
        <v>17.142857142857142</v>
      </c>
      <c r="M30" s="8">
        <f t="shared" si="20"/>
        <v>0</v>
      </c>
      <c r="N30" s="8">
        <f t="shared" si="11"/>
        <v>4627.7142857142853</v>
      </c>
    </row>
    <row r="31" spans="1:49" x14ac:dyDescent="0.3">
      <c r="C31" s="8">
        <f>SUM(C24:C30)</f>
        <v>18500</v>
      </c>
      <c r="D31" s="40">
        <f>3000+1500</f>
        <v>4500</v>
      </c>
      <c r="E31" s="8"/>
      <c r="F31" s="8">
        <f>500</f>
        <v>500</v>
      </c>
      <c r="G31" s="8">
        <f>975</f>
        <v>975</v>
      </c>
      <c r="H31" s="14">
        <v>2339</v>
      </c>
      <c r="I31" s="14">
        <v>1710</v>
      </c>
      <c r="J31" s="8">
        <f>250</f>
        <v>250</v>
      </c>
      <c r="K31" s="8">
        <f>0</f>
        <v>0</v>
      </c>
      <c r="L31" s="8">
        <f>120</f>
        <v>120</v>
      </c>
      <c r="M31" s="8"/>
      <c r="N31" s="8">
        <f>SUM(N24:N30)</f>
        <v>28894.000000000004</v>
      </c>
      <c r="O31" s="9">
        <f>O38+O46</f>
        <v>28894</v>
      </c>
      <c r="P31" s="9">
        <f>N31-O31</f>
        <v>0</v>
      </c>
    </row>
    <row r="33" spans="4:16" x14ac:dyDescent="0.3">
      <c r="N33" t="s">
        <v>61</v>
      </c>
      <c r="O33" s="9">
        <f>C31</f>
        <v>18500</v>
      </c>
    </row>
    <row r="34" spans="4:16" x14ac:dyDescent="0.3">
      <c r="D34" s="1">
        <v>6000</v>
      </c>
      <c r="E34" s="1">
        <v>2</v>
      </c>
      <c r="F34" s="1">
        <f>D34/E34</f>
        <v>3000</v>
      </c>
      <c r="G34" s="1">
        <f>(500+500)/7</f>
        <v>142.85714285714286</v>
      </c>
      <c r="H34" s="11">
        <f>F34+G34</f>
        <v>3142.8571428571427</v>
      </c>
      <c r="I34" s="11">
        <f>H34*E34</f>
        <v>6285.7142857142853</v>
      </c>
      <c r="N34" t="s">
        <v>71</v>
      </c>
      <c r="O34" s="9">
        <f>G31</f>
        <v>975</v>
      </c>
    </row>
    <row r="35" spans="4:16" x14ac:dyDescent="0.3">
      <c r="D35" s="1">
        <v>6000</v>
      </c>
      <c r="E35" s="1">
        <v>2</v>
      </c>
      <c r="F35" s="1">
        <f t="shared" ref="F35:F36" si="22">D35/E35</f>
        <v>3000</v>
      </c>
      <c r="G35" s="1">
        <f t="shared" ref="G35:G36" si="23">(500+500)/7</f>
        <v>142.85714285714286</v>
      </c>
      <c r="H35" s="11">
        <f t="shared" ref="H35" si="24">F35+G35</f>
        <v>3142.8571428571427</v>
      </c>
      <c r="I35" s="11">
        <f t="shared" ref="I35:I36" si="25">H35*E35</f>
        <v>6285.7142857142853</v>
      </c>
      <c r="N35" t="s">
        <v>72</v>
      </c>
      <c r="O35" s="9">
        <f>I31</f>
        <v>1710</v>
      </c>
    </row>
    <row r="36" spans="4:16" x14ac:dyDescent="0.3">
      <c r="D36" s="1">
        <v>5500</v>
      </c>
      <c r="E36" s="1">
        <v>3</v>
      </c>
      <c r="F36" s="11">
        <f t="shared" si="22"/>
        <v>1833.3333333333333</v>
      </c>
      <c r="G36" s="1">
        <f t="shared" si="23"/>
        <v>142.85714285714286</v>
      </c>
      <c r="H36" s="11">
        <f>F36+G36</f>
        <v>1976.1904761904761</v>
      </c>
      <c r="I36" s="11">
        <f t="shared" si="25"/>
        <v>5928.5714285714284</v>
      </c>
      <c r="N36" t="s">
        <v>73</v>
      </c>
      <c r="O36" s="9">
        <f>H31</f>
        <v>2339</v>
      </c>
    </row>
    <row r="37" spans="4:16" x14ac:dyDescent="0.3">
      <c r="D37" s="1">
        <f>SUM(D34:D36)</f>
        <v>17500</v>
      </c>
      <c r="E37" s="1"/>
      <c r="F37" s="1"/>
      <c r="G37" s="1"/>
      <c r="H37" s="1"/>
      <c r="I37" s="11">
        <f>SUM(I34:I36)</f>
        <v>18500</v>
      </c>
      <c r="N37" t="s">
        <v>74</v>
      </c>
      <c r="O37" s="9">
        <f>J31</f>
        <v>250</v>
      </c>
    </row>
    <row r="38" spans="4:16" x14ac:dyDescent="0.3">
      <c r="O38" s="9">
        <f>SUM(O33:O37)</f>
        <v>23774</v>
      </c>
    </row>
    <row r="40" spans="4:16" x14ac:dyDescent="0.3">
      <c r="P40" s="9">
        <f>O38+O46</f>
        <v>28894</v>
      </c>
    </row>
    <row r="41" spans="4:16" x14ac:dyDescent="0.3">
      <c r="N41" t="s">
        <v>12</v>
      </c>
      <c r="O41" s="9">
        <f>D31</f>
        <v>4500</v>
      </c>
    </row>
    <row r="42" spans="4:16" x14ac:dyDescent="0.3">
      <c r="N42" t="s">
        <v>13</v>
      </c>
      <c r="O42" s="9">
        <f>E31</f>
        <v>0</v>
      </c>
    </row>
    <row r="43" spans="4:16" x14ac:dyDescent="0.3">
      <c r="N43" t="s">
        <v>14</v>
      </c>
      <c r="O43" s="9">
        <f>F31</f>
        <v>500</v>
      </c>
    </row>
    <row r="44" spans="4:16" x14ac:dyDescent="0.3">
      <c r="N44" t="s">
        <v>20</v>
      </c>
      <c r="O44" s="9">
        <f>L31</f>
        <v>120</v>
      </c>
    </row>
    <row r="45" spans="4:16" x14ac:dyDescent="0.3">
      <c r="N45" t="s">
        <v>21</v>
      </c>
      <c r="O45" s="9">
        <f>M31</f>
        <v>0</v>
      </c>
    </row>
    <row r="46" spans="4:16" x14ac:dyDescent="0.3">
      <c r="O46" s="9">
        <f>SUM(O41:O45)</f>
        <v>5120</v>
      </c>
    </row>
  </sheetData>
  <mergeCells count="2">
    <mergeCell ref="C1:D2"/>
    <mergeCell ref="E1:F2"/>
  </mergeCells>
  <pageMargins left="0.7" right="0.7" top="0.75" bottom="0.75" header="0.3" footer="0.3"/>
  <pageSetup orientation="portrait" horizontalDpi="1200" verticalDpi="12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U37"/>
  <sheetViews>
    <sheetView zoomScaleNormal="100" workbookViewId="0">
      <pane xSplit="2" ySplit="4" topLeftCell="C18" activePane="bottomRight" state="frozen"/>
      <selection pane="topRight" activeCell="C1" sqref="C1"/>
      <selection pane="bottomLeft" activeCell="A5" sqref="A5"/>
      <selection pane="bottomRight" activeCell="A35" sqref="A35"/>
    </sheetView>
  </sheetViews>
  <sheetFormatPr defaultRowHeight="14.4" x14ac:dyDescent="0.3"/>
  <cols>
    <col min="1" max="1" width="7" bestFit="1" customWidth="1"/>
    <col min="2" max="2" width="23.6640625" bestFit="1" customWidth="1"/>
    <col min="3" max="3" width="10.5546875" bestFit="1" customWidth="1"/>
    <col min="4" max="4" width="9.5546875" bestFit="1" customWidth="1"/>
    <col min="5" max="5" width="9" bestFit="1" customWidth="1"/>
    <col min="6" max="6" width="11.5546875" bestFit="1" customWidth="1"/>
    <col min="7" max="7" width="9" bestFit="1" customWidth="1"/>
    <col min="8" max="8" width="13.33203125" bestFit="1" customWidth="1"/>
    <col min="9" max="9" width="9.6640625" bestFit="1" customWidth="1"/>
    <col min="10" max="10" width="9" bestFit="1" customWidth="1"/>
    <col min="11" max="11" width="14.5546875" bestFit="1" customWidth="1"/>
    <col min="12" max="14" width="10" bestFit="1" customWidth="1"/>
    <col min="15" max="32" width="9.6640625" bestFit="1" customWidth="1"/>
    <col min="33" max="33" width="9.6640625" customWidth="1"/>
    <col min="34" max="34" width="10.33203125" bestFit="1" customWidth="1"/>
    <col min="36" max="36" width="23" bestFit="1" customWidth="1"/>
    <col min="37" max="37" width="19.33203125" bestFit="1" customWidth="1"/>
    <col min="38" max="38" width="25.6640625" bestFit="1" customWidth="1"/>
    <col min="39" max="39" width="20.6640625" bestFit="1" customWidth="1"/>
    <col min="40" max="40" width="24" bestFit="1" customWidth="1"/>
    <col min="41" max="41" width="33" bestFit="1" customWidth="1"/>
    <col min="42" max="42" width="33" customWidth="1"/>
    <col min="43" max="43" width="12.33203125" bestFit="1" customWidth="1"/>
    <col min="44" max="44" width="13.44140625" bestFit="1" customWidth="1"/>
    <col min="45" max="45" width="25.5546875" bestFit="1" customWidth="1"/>
    <col min="46" max="46" width="11.33203125" bestFit="1" customWidth="1"/>
    <col min="47" max="47" width="10.33203125" bestFit="1" customWidth="1"/>
  </cols>
  <sheetData>
    <row r="1" spans="1:47" x14ac:dyDescent="0.3">
      <c r="C1" s="107" t="s">
        <v>50</v>
      </c>
      <c r="D1" s="107"/>
      <c r="E1" s="106">
        <f>AH22/AH12</f>
        <v>46.982658959537574</v>
      </c>
      <c r="F1" s="106"/>
    </row>
    <row r="2" spans="1:47" ht="25.5" customHeight="1" x14ac:dyDescent="0.3">
      <c r="C2" s="107"/>
      <c r="D2" s="107"/>
      <c r="E2" s="106"/>
      <c r="F2" s="106"/>
    </row>
    <row r="4" spans="1:47" x14ac:dyDescent="0.3">
      <c r="A4" s="4" t="s">
        <v>0</v>
      </c>
      <c r="B4" s="4" t="s">
        <v>2</v>
      </c>
      <c r="C4" s="5">
        <v>44166</v>
      </c>
      <c r="D4" s="5">
        <v>44167</v>
      </c>
      <c r="E4" s="5">
        <v>44168</v>
      </c>
      <c r="F4" s="5">
        <v>44169</v>
      </c>
      <c r="G4" s="5">
        <v>44170</v>
      </c>
      <c r="H4" s="5">
        <v>44171</v>
      </c>
      <c r="I4" s="5">
        <v>44172</v>
      </c>
      <c r="J4" s="5">
        <v>44173</v>
      </c>
      <c r="K4" s="5">
        <v>44174</v>
      </c>
      <c r="L4" s="5">
        <v>44175</v>
      </c>
      <c r="M4" s="5">
        <v>44176</v>
      </c>
      <c r="N4" s="5">
        <v>44177</v>
      </c>
      <c r="O4" s="5">
        <v>44178</v>
      </c>
      <c r="P4" s="5">
        <v>44179</v>
      </c>
      <c r="Q4" s="5">
        <v>44180</v>
      </c>
      <c r="R4" s="5">
        <v>44181</v>
      </c>
      <c r="S4" s="5">
        <v>44182</v>
      </c>
      <c r="T4" s="5">
        <v>44183</v>
      </c>
      <c r="U4" s="5">
        <v>44184</v>
      </c>
      <c r="V4" s="5">
        <v>44185</v>
      </c>
      <c r="W4" s="5">
        <v>44186</v>
      </c>
      <c r="X4" s="5">
        <v>44187</v>
      </c>
      <c r="Y4" s="5">
        <v>44188</v>
      </c>
      <c r="Z4" s="5">
        <v>44189</v>
      </c>
      <c r="AA4" s="5">
        <v>44190</v>
      </c>
      <c r="AB4" s="5">
        <v>44191</v>
      </c>
      <c r="AC4" s="5">
        <v>44192</v>
      </c>
      <c r="AD4" s="5">
        <v>44193</v>
      </c>
      <c r="AE4" s="5">
        <v>44194</v>
      </c>
      <c r="AF4" s="5">
        <v>44195</v>
      </c>
      <c r="AG4" s="5">
        <v>44196</v>
      </c>
      <c r="AH4" s="4" t="s">
        <v>1</v>
      </c>
      <c r="AJ4" s="4" t="s">
        <v>23</v>
      </c>
      <c r="AK4" s="4" t="s">
        <v>24</v>
      </c>
      <c r="AL4" s="4" t="s">
        <v>26</v>
      </c>
      <c r="AM4" s="4" t="s">
        <v>52</v>
      </c>
      <c r="AN4" s="4" t="s">
        <v>27</v>
      </c>
      <c r="AO4" s="4" t="s">
        <v>30</v>
      </c>
      <c r="AP4" s="4" t="s">
        <v>32</v>
      </c>
      <c r="AQ4" s="4" t="s">
        <v>28</v>
      </c>
      <c r="AR4" s="4" t="s">
        <v>29</v>
      </c>
      <c r="AS4" s="4" t="s">
        <v>31</v>
      </c>
    </row>
    <row r="5" spans="1:47" x14ac:dyDescent="0.3">
      <c r="A5" s="2">
        <v>1</v>
      </c>
      <c r="B5" s="3" t="s">
        <v>4</v>
      </c>
      <c r="C5" s="7">
        <v>2</v>
      </c>
      <c r="D5" s="7">
        <v>1</v>
      </c>
      <c r="E5" s="7">
        <v>2</v>
      </c>
      <c r="F5" s="7">
        <v>2.5</v>
      </c>
      <c r="G5" s="7">
        <v>1</v>
      </c>
      <c r="H5" s="7">
        <v>2</v>
      </c>
      <c r="I5" s="7">
        <v>0</v>
      </c>
      <c r="J5" s="7">
        <v>1</v>
      </c>
      <c r="K5" s="7">
        <v>2.5</v>
      </c>
      <c r="L5" s="7">
        <v>1.5</v>
      </c>
      <c r="M5" s="7">
        <v>2</v>
      </c>
      <c r="N5" s="7">
        <v>2.5</v>
      </c>
      <c r="O5" s="7">
        <v>1</v>
      </c>
      <c r="P5" s="7">
        <v>1</v>
      </c>
      <c r="Q5" s="7">
        <v>1.5</v>
      </c>
      <c r="R5" s="7">
        <v>2</v>
      </c>
      <c r="S5" s="7">
        <v>0.5</v>
      </c>
      <c r="T5" s="7">
        <v>2</v>
      </c>
      <c r="U5" s="7">
        <v>2.5</v>
      </c>
      <c r="V5" s="7">
        <v>2.5</v>
      </c>
      <c r="W5" s="7">
        <v>1</v>
      </c>
      <c r="X5" s="7">
        <v>1</v>
      </c>
      <c r="Y5" s="7">
        <v>1</v>
      </c>
      <c r="Z5" s="7">
        <v>0</v>
      </c>
      <c r="AA5" s="7">
        <v>0</v>
      </c>
      <c r="AB5" s="7">
        <v>1</v>
      </c>
      <c r="AC5" s="7">
        <v>1</v>
      </c>
      <c r="AD5" s="7">
        <v>1</v>
      </c>
      <c r="AE5" s="7">
        <v>1</v>
      </c>
      <c r="AF5" s="7">
        <v>1</v>
      </c>
      <c r="AG5" s="7">
        <v>1</v>
      </c>
      <c r="AH5" s="7">
        <f>SUM(C5:AG5)</f>
        <v>42</v>
      </c>
      <c r="AJ5" s="15">
        <f>AH5*$E$1</f>
        <v>1973.2716763005781</v>
      </c>
      <c r="AK5" s="16">
        <f>AH15</f>
        <v>3360</v>
      </c>
      <c r="AL5" s="15">
        <f>AK5-AJ5</f>
        <v>1386.7283236994219</v>
      </c>
      <c r="AM5" s="16">
        <f>N24</f>
        <v>4412.5</v>
      </c>
      <c r="AN5" s="15">
        <f>AM5-AL5</f>
        <v>3025.7716763005783</v>
      </c>
      <c r="AO5" s="15">
        <f>'Meal Nov''20 &amp; Rent December''20'!AR5</f>
        <v>3062.1615953735122</v>
      </c>
      <c r="AP5" s="15">
        <f>AN5-AO5</f>
        <v>-36.389919072933935</v>
      </c>
      <c r="AQ5" s="6">
        <f>2500+500</f>
        <v>3000</v>
      </c>
      <c r="AR5" s="17">
        <v>44207</v>
      </c>
      <c r="AS5" s="15">
        <f>AQ5-AP5</f>
        <v>3036.3899190729339</v>
      </c>
    </row>
    <row r="6" spans="1:47" x14ac:dyDescent="0.3">
      <c r="A6" s="2">
        <v>2</v>
      </c>
      <c r="B6" s="3" t="s">
        <v>5</v>
      </c>
      <c r="C6" s="7">
        <v>2.5</v>
      </c>
      <c r="D6" s="7">
        <v>1</v>
      </c>
      <c r="E6" s="7">
        <v>2.5</v>
      </c>
      <c r="F6" s="7">
        <v>2.5</v>
      </c>
      <c r="G6" s="7">
        <v>2</v>
      </c>
      <c r="H6" s="7">
        <v>2.5</v>
      </c>
      <c r="I6" s="7">
        <v>2</v>
      </c>
      <c r="J6" s="7">
        <v>2.5</v>
      </c>
      <c r="K6" s="7">
        <v>2.5</v>
      </c>
      <c r="L6" s="7">
        <v>1.5</v>
      </c>
      <c r="M6" s="7">
        <v>0</v>
      </c>
      <c r="N6" s="7">
        <v>0</v>
      </c>
      <c r="O6" s="7">
        <v>1</v>
      </c>
      <c r="P6" s="7">
        <v>2.5</v>
      </c>
      <c r="Q6" s="7">
        <v>3.5</v>
      </c>
      <c r="R6" s="7">
        <v>2.5</v>
      </c>
      <c r="S6" s="7">
        <v>2.5</v>
      </c>
      <c r="T6" s="7">
        <v>1.5</v>
      </c>
      <c r="U6" s="7">
        <v>2.5</v>
      </c>
      <c r="V6" s="7">
        <v>1.5</v>
      </c>
      <c r="W6" s="7">
        <v>1</v>
      </c>
      <c r="X6" s="7">
        <v>2</v>
      </c>
      <c r="Y6" s="7">
        <v>2.5</v>
      </c>
      <c r="Z6" s="7">
        <v>3</v>
      </c>
      <c r="AA6" s="7">
        <v>0</v>
      </c>
      <c r="AB6" s="7">
        <v>1.5</v>
      </c>
      <c r="AC6" s="7">
        <v>2.5</v>
      </c>
      <c r="AD6" s="7">
        <v>2.5</v>
      </c>
      <c r="AE6" s="7">
        <v>2.5</v>
      </c>
      <c r="AF6" s="7">
        <v>1.5</v>
      </c>
      <c r="AG6" s="7">
        <v>2.5</v>
      </c>
      <c r="AH6" s="7">
        <f t="shared" ref="AH6:AH13" si="0">SUM(C6:AG6)</f>
        <v>60.5</v>
      </c>
      <c r="AJ6" s="15">
        <f t="shared" ref="AJ6:AJ11" si="1">AH6*$E$1</f>
        <v>2842.4508670520231</v>
      </c>
      <c r="AK6" s="16">
        <f>AH16</f>
        <v>2780</v>
      </c>
      <c r="AL6" s="15">
        <f>AK6-AJ6</f>
        <v>-62.450867052023114</v>
      </c>
      <c r="AM6" s="16">
        <f t="shared" ref="AM6:AM7" si="2">N25</f>
        <v>4412.5</v>
      </c>
      <c r="AN6" s="15">
        <f t="shared" ref="AN6:AN11" si="3">AM6-AL6</f>
        <v>4474.9508670520227</v>
      </c>
      <c r="AO6" s="15">
        <f>'Meal Nov''20 &amp; Rent December''20'!AR6</f>
        <v>1223.1032021404812</v>
      </c>
      <c r="AP6" s="15">
        <f t="shared" ref="AP6:AP11" si="4">AN6-AO6</f>
        <v>3251.8476649115414</v>
      </c>
      <c r="AQ6" s="6">
        <f>3000</f>
        <v>3000</v>
      </c>
      <c r="AR6" s="17">
        <v>44209</v>
      </c>
      <c r="AS6" s="15">
        <f t="shared" ref="AS6:AS11" si="5">AQ6-AP6</f>
        <v>-251.84766491154141</v>
      </c>
    </row>
    <row r="7" spans="1:47" x14ac:dyDescent="0.3">
      <c r="A7" s="2">
        <v>3</v>
      </c>
      <c r="B7" s="3" t="s">
        <v>6</v>
      </c>
      <c r="C7" s="7">
        <v>1.5</v>
      </c>
      <c r="D7" s="7">
        <v>1</v>
      </c>
      <c r="E7" s="7">
        <v>1.5</v>
      </c>
      <c r="F7" s="7">
        <v>2.5</v>
      </c>
      <c r="G7" s="7">
        <v>1.5</v>
      </c>
      <c r="H7" s="7">
        <v>1.5</v>
      </c>
      <c r="I7" s="7">
        <v>1</v>
      </c>
      <c r="J7" s="7">
        <v>1.5</v>
      </c>
      <c r="K7" s="7">
        <v>1.5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1</v>
      </c>
      <c r="R7" s="7">
        <v>2.5</v>
      </c>
      <c r="S7" s="7">
        <v>1.5</v>
      </c>
      <c r="T7" s="7">
        <v>2.5</v>
      </c>
      <c r="U7" s="7">
        <v>1.5</v>
      </c>
      <c r="V7" s="7">
        <v>1.5</v>
      </c>
      <c r="W7" s="7">
        <v>1</v>
      </c>
      <c r="X7" s="7">
        <v>1</v>
      </c>
      <c r="Y7" s="7">
        <v>1.5</v>
      </c>
      <c r="Z7" s="7">
        <v>1.5</v>
      </c>
      <c r="AA7" s="7">
        <v>2.5</v>
      </c>
      <c r="AB7" s="7">
        <v>1.5</v>
      </c>
      <c r="AC7" s="7">
        <v>1.5</v>
      </c>
      <c r="AD7" s="7">
        <v>1.5</v>
      </c>
      <c r="AE7" s="7">
        <v>1.5</v>
      </c>
      <c r="AF7" s="7">
        <v>1.5</v>
      </c>
      <c r="AG7" s="7">
        <v>1.5</v>
      </c>
      <c r="AH7" s="7">
        <f t="shared" si="0"/>
        <v>40.5</v>
      </c>
      <c r="AJ7" s="15">
        <f t="shared" si="1"/>
        <v>1902.7976878612717</v>
      </c>
      <c r="AK7" s="16">
        <f>AH17</f>
        <v>2410</v>
      </c>
      <c r="AL7" s="15">
        <f t="shared" ref="AL7:AL11" si="6">AK7-AJ7</f>
        <v>507.2023121387283</v>
      </c>
      <c r="AM7" s="16">
        <f t="shared" si="2"/>
        <v>4162.5</v>
      </c>
      <c r="AN7" s="15">
        <f t="shared" si="3"/>
        <v>3655.2976878612717</v>
      </c>
      <c r="AO7" s="15">
        <f>'Meal Nov''20 &amp; Rent December''20'!AR7</f>
        <v>-4285.4533042005278</v>
      </c>
      <c r="AP7" s="15">
        <f t="shared" si="4"/>
        <v>7940.7509920617995</v>
      </c>
      <c r="AQ7" s="6"/>
      <c r="AR7" s="17"/>
      <c r="AS7" s="15">
        <f t="shared" si="5"/>
        <v>-7940.7509920617995</v>
      </c>
    </row>
    <row r="8" spans="1:47" x14ac:dyDescent="0.3">
      <c r="A8" s="2">
        <v>4</v>
      </c>
      <c r="B8" s="3" t="s">
        <v>3</v>
      </c>
      <c r="C8" s="7">
        <v>1.5</v>
      </c>
      <c r="D8" s="7">
        <v>1</v>
      </c>
      <c r="E8" s="7">
        <v>0.5</v>
      </c>
      <c r="F8" s="7">
        <v>0</v>
      </c>
      <c r="G8" s="7">
        <v>1</v>
      </c>
      <c r="H8" s="7">
        <v>1.5</v>
      </c>
      <c r="I8" s="7">
        <v>1.5</v>
      </c>
      <c r="J8" s="7">
        <v>0.5</v>
      </c>
      <c r="K8" s="7">
        <v>1</v>
      </c>
      <c r="L8" s="7">
        <v>1.5</v>
      </c>
      <c r="M8" s="7">
        <v>2.5</v>
      </c>
      <c r="N8" s="7">
        <v>0.5</v>
      </c>
      <c r="O8" s="7">
        <v>1</v>
      </c>
      <c r="P8" s="7">
        <v>1.5</v>
      </c>
      <c r="Q8" s="7">
        <v>1</v>
      </c>
      <c r="R8" s="7">
        <v>0</v>
      </c>
      <c r="S8" s="7">
        <v>0</v>
      </c>
      <c r="T8" s="7">
        <v>1</v>
      </c>
      <c r="U8" s="7">
        <v>2.5</v>
      </c>
      <c r="V8" s="7">
        <v>4</v>
      </c>
      <c r="W8" s="7">
        <v>2</v>
      </c>
      <c r="X8" s="7">
        <v>2</v>
      </c>
      <c r="Y8" s="7">
        <v>6</v>
      </c>
      <c r="Z8" s="7">
        <v>3</v>
      </c>
      <c r="AA8" s="7">
        <v>3.5</v>
      </c>
      <c r="AB8" s="7">
        <v>2.5</v>
      </c>
      <c r="AC8" s="7">
        <v>4</v>
      </c>
      <c r="AD8" s="7">
        <v>4</v>
      </c>
      <c r="AE8" s="7">
        <v>4</v>
      </c>
      <c r="AF8" s="7">
        <v>3</v>
      </c>
      <c r="AG8" s="7">
        <v>0</v>
      </c>
      <c r="AH8" s="7">
        <f t="shared" si="0"/>
        <v>58</v>
      </c>
      <c r="AJ8" s="15">
        <f>AH8*$E$1</f>
        <v>2724.9942196531792</v>
      </c>
      <c r="AK8" s="16">
        <f>AH18</f>
        <v>1940</v>
      </c>
      <c r="AL8" s="15">
        <f t="shared" si="6"/>
        <v>-784.99421965317924</v>
      </c>
      <c r="AM8" s="16">
        <f>N27</f>
        <v>1245.8333333333335</v>
      </c>
      <c r="AN8" s="15">
        <f t="shared" si="3"/>
        <v>2030.8275529865127</v>
      </c>
      <c r="AO8" s="15">
        <f>'Meal Nov''20 &amp; Rent December''20'!AR8</f>
        <v>-918.06730377403392</v>
      </c>
      <c r="AP8" s="15">
        <f t="shared" si="4"/>
        <v>2948.8948567605466</v>
      </c>
      <c r="AQ8" s="6">
        <v>800</v>
      </c>
      <c r="AR8" s="1"/>
      <c r="AS8" s="15">
        <f>AQ8-AP8+1300</f>
        <v>-848.89485676054665</v>
      </c>
      <c r="AU8" s="25"/>
    </row>
    <row r="9" spans="1:47" x14ac:dyDescent="0.3">
      <c r="A9" s="2">
        <v>5</v>
      </c>
      <c r="B9" s="12" t="s">
        <v>51</v>
      </c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>
        <f t="shared" si="0"/>
        <v>0</v>
      </c>
      <c r="AJ9" s="15">
        <f>$AH$9*$E$1</f>
        <v>0</v>
      </c>
      <c r="AK9" s="16">
        <f>AH19</f>
        <v>0</v>
      </c>
      <c r="AL9" s="15">
        <f>AK9-AJ9</f>
        <v>0</v>
      </c>
      <c r="AM9" s="16">
        <f>N28</f>
        <v>2916.6666666666665</v>
      </c>
      <c r="AN9" s="15">
        <f t="shared" si="3"/>
        <v>2916.6666666666665</v>
      </c>
      <c r="AO9" s="15"/>
      <c r="AP9" s="15">
        <f t="shared" si="4"/>
        <v>2916.6666666666665</v>
      </c>
      <c r="AQ9" s="6">
        <f>250+2667</f>
        <v>2917</v>
      </c>
      <c r="AR9" s="17">
        <v>44201</v>
      </c>
      <c r="AS9" s="15">
        <f>AQ9-AP9</f>
        <v>0.33333333333348492</v>
      </c>
      <c r="AU9" s="25"/>
    </row>
    <row r="10" spans="1:47" x14ac:dyDescent="0.3">
      <c r="A10" s="2">
        <v>6</v>
      </c>
      <c r="B10" s="3" t="s">
        <v>7</v>
      </c>
      <c r="C10" s="7">
        <v>1.5</v>
      </c>
      <c r="D10" s="7">
        <v>1</v>
      </c>
      <c r="E10" s="7">
        <v>1.5</v>
      </c>
      <c r="F10" s="7">
        <v>2.5</v>
      </c>
      <c r="G10" s="7">
        <v>2.5</v>
      </c>
      <c r="H10" s="7">
        <v>1.5</v>
      </c>
      <c r="I10" s="7">
        <v>1</v>
      </c>
      <c r="J10" s="7">
        <v>0.5</v>
      </c>
      <c r="K10" s="7">
        <v>0</v>
      </c>
      <c r="L10" s="7">
        <v>0</v>
      </c>
      <c r="M10" s="7">
        <v>0</v>
      </c>
      <c r="N10" s="7">
        <v>1</v>
      </c>
      <c r="O10" s="7">
        <v>1.5</v>
      </c>
      <c r="P10" s="7">
        <v>1.5</v>
      </c>
      <c r="Q10" s="7">
        <v>1.5</v>
      </c>
      <c r="R10" s="7">
        <v>2.5</v>
      </c>
      <c r="S10" s="7">
        <v>1.5</v>
      </c>
      <c r="T10" s="7">
        <v>2.5</v>
      </c>
      <c r="U10" s="7">
        <v>2.5</v>
      </c>
      <c r="V10" s="7">
        <v>1.5</v>
      </c>
      <c r="W10" s="7">
        <v>1</v>
      </c>
      <c r="X10" s="7">
        <v>2</v>
      </c>
      <c r="Y10" s="7">
        <v>5</v>
      </c>
      <c r="Z10" s="7">
        <v>4.5</v>
      </c>
      <c r="AA10" s="7">
        <v>5</v>
      </c>
      <c r="AB10" s="7">
        <v>5</v>
      </c>
      <c r="AC10" s="7">
        <v>4</v>
      </c>
      <c r="AD10" s="7">
        <v>4</v>
      </c>
      <c r="AE10" s="7">
        <v>4</v>
      </c>
      <c r="AF10" s="7">
        <v>5</v>
      </c>
      <c r="AG10" s="7">
        <v>5</v>
      </c>
      <c r="AH10" s="7">
        <f t="shared" si="0"/>
        <v>72.5</v>
      </c>
      <c r="AJ10" s="15">
        <f t="shared" si="1"/>
        <v>3406.2427745664741</v>
      </c>
      <c r="AK10" s="16">
        <f t="shared" ref="AK10:AK11" si="7">AH20</f>
        <v>2207</v>
      </c>
      <c r="AL10" s="15">
        <f t="shared" si="6"/>
        <v>-1199.2427745664741</v>
      </c>
      <c r="AM10" s="16">
        <f>N29</f>
        <v>4412.5</v>
      </c>
      <c r="AN10" s="15">
        <f t="shared" si="3"/>
        <v>5611.7427745664736</v>
      </c>
      <c r="AO10" s="15">
        <f>'Meal Nov''20 &amp; Rent December''20'!AR9</f>
        <v>-852.75028909932735</v>
      </c>
      <c r="AP10" s="15">
        <f t="shared" si="4"/>
        <v>6464.4930636658009</v>
      </c>
      <c r="AQ10" s="6"/>
      <c r="AR10" s="17"/>
      <c r="AS10" s="15">
        <f t="shared" si="5"/>
        <v>-6464.4930636658009</v>
      </c>
    </row>
    <row r="11" spans="1:47" x14ac:dyDescent="0.3">
      <c r="A11" s="2">
        <v>7</v>
      </c>
      <c r="B11" s="3" t="s">
        <v>8</v>
      </c>
      <c r="C11" s="7">
        <v>2.5</v>
      </c>
      <c r="D11" s="7">
        <v>1</v>
      </c>
      <c r="E11" s="7">
        <v>0</v>
      </c>
      <c r="F11" s="7">
        <v>0</v>
      </c>
      <c r="G11" s="7">
        <v>3.5</v>
      </c>
      <c r="H11" s="7">
        <v>3.5</v>
      </c>
      <c r="I11" s="7">
        <v>3</v>
      </c>
      <c r="J11" s="7">
        <v>4</v>
      </c>
      <c r="K11" s="7">
        <v>4</v>
      </c>
      <c r="L11" s="7">
        <v>4</v>
      </c>
      <c r="M11" s="7">
        <v>5</v>
      </c>
      <c r="N11" s="7">
        <v>5</v>
      </c>
      <c r="O11" s="7">
        <v>4</v>
      </c>
      <c r="P11" s="7">
        <v>4</v>
      </c>
      <c r="Q11" s="7">
        <v>4</v>
      </c>
      <c r="R11" s="7">
        <v>5</v>
      </c>
      <c r="S11" s="7">
        <v>3</v>
      </c>
      <c r="T11" s="7">
        <v>0</v>
      </c>
      <c r="U11" s="7">
        <v>1</v>
      </c>
      <c r="V11" s="7">
        <v>1.5</v>
      </c>
      <c r="W11" s="7">
        <v>1</v>
      </c>
      <c r="X11" s="7">
        <v>1</v>
      </c>
      <c r="Y11" s="7">
        <v>1.5</v>
      </c>
      <c r="Z11" s="7">
        <v>1.5</v>
      </c>
      <c r="AA11" s="7">
        <v>0</v>
      </c>
      <c r="AB11" s="7">
        <v>2</v>
      </c>
      <c r="AC11" s="7">
        <v>1.5</v>
      </c>
      <c r="AD11" s="7">
        <v>1.5</v>
      </c>
      <c r="AE11" s="7">
        <v>1.5</v>
      </c>
      <c r="AF11" s="7">
        <v>1.5</v>
      </c>
      <c r="AG11" s="7">
        <v>1.5</v>
      </c>
      <c r="AH11" s="7">
        <f t="shared" si="0"/>
        <v>72.5</v>
      </c>
      <c r="AJ11" s="15">
        <f t="shared" si="1"/>
        <v>3406.2427745664741</v>
      </c>
      <c r="AK11" s="16">
        <f t="shared" si="7"/>
        <v>3559</v>
      </c>
      <c r="AL11" s="15">
        <f t="shared" si="6"/>
        <v>152.75722543352595</v>
      </c>
      <c r="AM11" s="16">
        <f>N30</f>
        <v>4412.5</v>
      </c>
      <c r="AN11" s="15">
        <f t="shared" si="3"/>
        <v>4259.7427745664736</v>
      </c>
      <c r="AO11" s="15">
        <f>'Meal Nov''20 &amp; Rent December''20'!AR10</f>
        <v>-134.701039861352</v>
      </c>
      <c r="AP11" s="15">
        <f t="shared" si="4"/>
        <v>4394.4438144278256</v>
      </c>
      <c r="AQ11" s="6"/>
      <c r="AR11" s="1"/>
      <c r="AS11" s="15">
        <f t="shared" si="5"/>
        <v>-4394.4438144278256</v>
      </c>
    </row>
    <row r="12" spans="1:47" x14ac:dyDescent="0.3">
      <c r="A12" s="1"/>
      <c r="B12" s="1"/>
      <c r="C12" s="7">
        <f>SUM(C5:C11)</f>
        <v>11.5</v>
      </c>
      <c r="D12" s="7">
        <f t="shared" ref="D12:AF12" si="8">SUM(D5:D11)</f>
        <v>6</v>
      </c>
      <c r="E12" s="7">
        <f t="shared" si="8"/>
        <v>8</v>
      </c>
      <c r="F12" s="7">
        <f t="shared" si="8"/>
        <v>10</v>
      </c>
      <c r="G12" s="7">
        <f t="shared" si="8"/>
        <v>11.5</v>
      </c>
      <c r="H12" s="7">
        <f t="shared" si="8"/>
        <v>12.5</v>
      </c>
      <c r="I12" s="7">
        <f t="shared" si="8"/>
        <v>8.5</v>
      </c>
      <c r="J12" s="7">
        <f t="shared" si="8"/>
        <v>10</v>
      </c>
      <c r="K12" s="7">
        <f t="shared" si="8"/>
        <v>11.5</v>
      </c>
      <c r="L12" s="7">
        <f t="shared" si="8"/>
        <v>8.5</v>
      </c>
      <c r="M12" s="7">
        <f t="shared" si="8"/>
        <v>9.5</v>
      </c>
      <c r="N12" s="7">
        <f t="shared" si="8"/>
        <v>9</v>
      </c>
      <c r="O12" s="7">
        <f t="shared" si="8"/>
        <v>8.5</v>
      </c>
      <c r="P12" s="7">
        <f t="shared" si="8"/>
        <v>10.5</v>
      </c>
      <c r="Q12" s="7">
        <f t="shared" si="8"/>
        <v>12.5</v>
      </c>
      <c r="R12" s="7">
        <f t="shared" si="8"/>
        <v>14.5</v>
      </c>
      <c r="S12" s="7">
        <f t="shared" si="8"/>
        <v>9</v>
      </c>
      <c r="T12" s="7">
        <f t="shared" si="8"/>
        <v>9.5</v>
      </c>
      <c r="U12" s="7">
        <f t="shared" si="8"/>
        <v>12.5</v>
      </c>
      <c r="V12" s="7">
        <f t="shared" si="8"/>
        <v>12.5</v>
      </c>
      <c r="W12" s="7">
        <f t="shared" si="8"/>
        <v>7</v>
      </c>
      <c r="X12" s="7">
        <f t="shared" si="8"/>
        <v>9</v>
      </c>
      <c r="Y12" s="7">
        <f t="shared" si="8"/>
        <v>17.5</v>
      </c>
      <c r="Z12" s="7">
        <f t="shared" si="8"/>
        <v>13.5</v>
      </c>
      <c r="AA12" s="7">
        <f t="shared" si="8"/>
        <v>11</v>
      </c>
      <c r="AB12" s="7">
        <f t="shared" si="8"/>
        <v>13.5</v>
      </c>
      <c r="AC12" s="7">
        <f t="shared" si="8"/>
        <v>14.5</v>
      </c>
      <c r="AD12" s="7">
        <f t="shared" si="8"/>
        <v>14.5</v>
      </c>
      <c r="AE12" s="7">
        <f t="shared" si="8"/>
        <v>14.5</v>
      </c>
      <c r="AF12" s="7">
        <f t="shared" si="8"/>
        <v>13.5</v>
      </c>
      <c r="AG12" s="7"/>
      <c r="AH12" s="7">
        <f>SUM(AH5:AH11)</f>
        <v>346</v>
      </c>
      <c r="AJ12" s="15">
        <f t="shared" ref="AJ12:AQ12" si="9">SUM(AJ5:AJ11)</f>
        <v>16256</v>
      </c>
      <c r="AK12" s="16">
        <f t="shared" si="9"/>
        <v>16256</v>
      </c>
      <c r="AL12" s="16">
        <f t="shared" si="9"/>
        <v>-2.2737367544323206E-13</v>
      </c>
      <c r="AM12" s="16">
        <f t="shared" si="9"/>
        <v>25975</v>
      </c>
      <c r="AN12" s="16">
        <f t="shared" si="9"/>
        <v>25975</v>
      </c>
      <c r="AO12" s="16">
        <f t="shared" si="9"/>
        <v>-1905.7071394212476</v>
      </c>
      <c r="AP12" s="16">
        <f t="shared" si="9"/>
        <v>27880.707139421247</v>
      </c>
      <c r="AQ12" s="16">
        <f t="shared" si="9"/>
        <v>9717</v>
      </c>
      <c r="AR12" s="16"/>
      <c r="AS12" s="16">
        <f>SUM(AS5:AS11)</f>
        <v>-16863.707139421247</v>
      </c>
    </row>
    <row r="13" spans="1:47" x14ac:dyDescent="0.3">
      <c r="B13" s="27" t="s">
        <v>53</v>
      </c>
      <c r="Y13" s="28">
        <v>2.5</v>
      </c>
      <c r="Z13" s="28">
        <v>2.5</v>
      </c>
      <c r="AA13" s="28">
        <v>2.5</v>
      </c>
      <c r="AB13" s="28">
        <v>2.5</v>
      </c>
      <c r="AC13" s="28">
        <v>2.5</v>
      </c>
      <c r="AD13" s="28">
        <v>2.5</v>
      </c>
      <c r="AE13" s="28">
        <v>2.5</v>
      </c>
      <c r="AF13" s="28">
        <v>2.5</v>
      </c>
      <c r="AG13" s="28">
        <v>2.5</v>
      </c>
      <c r="AH13" s="7">
        <f t="shared" si="0"/>
        <v>22.5</v>
      </c>
      <c r="AJ13" s="25">
        <f>-E1*AH13</f>
        <v>-1057.1098265895955</v>
      </c>
    </row>
    <row r="14" spans="1:47" x14ac:dyDescent="0.3">
      <c r="B14" s="10" t="s">
        <v>10</v>
      </c>
      <c r="AM14" s="25"/>
    </row>
    <row r="15" spans="1:47" x14ac:dyDescent="0.3">
      <c r="A15" s="2">
        <v>1</v>
      </c>
      <c r="B15" s="3" t="s">
        <v>4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2390</v>
      </c>
      <c r="U15" s="8">
        <v>700</v>
      </c>
      <c r="V15" s="8">
        <v>270</v>
      </c>
      <c r="W15" s="8">
        <v>0</v>
      </c>
      <c r="X15" s="8">
        <v>0</v>
      </c>
      <c r="Y15" s="8">
        <v>0</v>
      </c>
      <c r="Z15" s="8">
        <v>0</v>
      </c>
      <c r="AA15" s="8">
        <v>0</v>
      </c>
      <c r="AB15" s="8">
        <v>0</v>
      </c>
      <c r="AC15" s="8">
        <v>0</v>
      </c>
      <c r="AD15" s="8">
        <v>0</v>
      </c>
      <c r="AE15" s="8">
        <v>0</v>
      </c>
      <c r="AF15" s="8">
        <v>0</v>
      </c>
      <c r="AG15" s="8">
        <v>0</v>
      </c>
      <c r="AH15" s="8">
        <f>SUM(C15:AG15)</f>
        <v>3360</v>
      </c>
      <c r="AL15" s="25">
        <f>AL8-918</f>
        <v>-1702.9942196531792</v>
      </c>
      <c r="AP15" s="25"/>
    </row>
    <row r="16" spans="1:47" x14ac:dyDescent="0.3">
      <c r="A16" s="2">
        <v>2</v>
      </c>
      <c r="B16" s="3" t="s">
        <v>5</v>
      </c>
      <c r="C16" s="8">
        <v>1160</v>
      </c>
      <c r="D16" s="8">
        <v>910</v>
      </c>
      <c r="E16" s="8">
        <v>190</v>
      </c>
      <c r="F16" s="8">
        <v>0</v>
      </c>
      <c r="G16" s="8">
        <v>170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  <c r="U16" s="8">
        <v>0</v>
      </c>
      <c r="V16" s="8">
        <v>0</v>
      </c>
      <c r="W16" s="8">
        <v>0</v>
      </c>
      <c r="X16" s="8">
        <v>0</v>
      </c>
      <c r="Y16" s="8">
        <v>0</v>
      </c>
      <c r="Z16" s="8">
        <v>0</v>
      </c>
      <c r="AA16" s="8">
        <v>350</v>
      </c>
      <c r="AB16" s="8">
        <v>0</v>
      </c>
      <c r="AC16" s="8">
        <v>0</v>
      </c>
      <c r="AD16" s="8">
        <v>0</v>
      </c>
      <c r="AE16" s="8">
        <v>0</v>
      </c>
      <c r="AF16" s="8">
        <v>0</v>
      </c>
      <c r="AG16" s="8">
        <v>0</v>
      </c>
      <c r="AH16" s="8">
        <f t="shared" ref="AH16:AH21" si="10">SUM(C16:AG16)</f>
        <v>2780</v>
      </c>
      <c r="AL16" s="25">
        <f>AL15+54</f>
        <v>-1648.9942196531792</v>
      </c>
      <c r="AS16" s="25"/>
      <c r="AT16" s="25"/>
    </row>
    <row r="17" spans="1:46" x14ac:dyDescent="0.3">
      <c r="A17" s="2">
        <v>3</v>
      </c>
      <c r="B17" s="3" t="s">
        <v>6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</v>
      </c>
      <c r="U17" s="8">
        <v>0</v>
      </c>
      <c r="V17" s="8">
        <v>0</v>
      </c>
      <c r="W17" s="8">
        <v>95</v>
      </c>
      <c r="X17" s="8">
        <v>0</v>
      </c>
      <c r="Y17" s="8">
        <v>0</v>
      </c>
      <c r="Z17" s="8">
        <v>0</v>
      </c>
      <c r="AA17" s="8">
        <v>0</v>
      </c>
      <c r="AB17" s="8">
        <v>0</v>
      </c>
      <c r="AC17" s="8">
        <v>1135</v>
      </c>
      <c r="AD17" s="8">
        <v>160</v>
      </c>
      <c r="AE17" s="8">
        <v>1020</v>
      </c>
      <c r="AF17" s="8">
        <v>0</v>
      </c>
      <c r="AG17" s="8">
        <v>0</v>
      </c>
      <c r="AH17" s="8">
        <f t="shared" si="10"/>
        <v>2410</v>
      </c>
      <c r="AP17" s="25"/>
      <c r="AS17" s="25"/>
      <c r="AT17" s="25"/>
    </row>
    <row r="18" spans="1:46" x14ac:dyDescent="0.3">
      <c r="A18" s="2">
        <v>4</v>
      </c>
      <c r="B18" s="3" t="s">
        <v>3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>
        <v>0</v>
      </c>
      <c r="R18" s="8">
        <v>1645</v>
      </c>
      <c r="S18" s="8">
        <v>100</v>
      </c>
      <c r="T18" s="8">
        <v>0</v>
      </c>
      <c r="U18" s="8">
        <v>0</v>
      </c>
      <c r="V18" s="8">
        <v>0</v>
      </c>
      <c r="W18" s="8">
        <v>0</v>
      </c>
      <c r="X18" s="8">
        <v>95</v>
      </c>
      <c r="Y18" s="8">
        <v>0</v>
      </c>
      <c r="Z18" s="8">
        <v>0</v>
      </c>
      <c r="AA18" s="8">
        <v>100</v>
      </c>
      <c r="AB18" s="8">
        <v>0</v>
      </c>
      <c r="AC18" s="8">
        <v>0</v>
      </c>
      <c r="AD18" s="8">
        <v>0</v>
      </c>
      <c r="AE18" s="8">
        <v>0</v>
      </c>
      <c r="AF18" s="8">
        <v>0</v>
      </c>
      <c r="AG18" s="8">
        <v>0</v>
      </c>
      <c r="AH18" s="8">
        <f t="shared" si="10"/>
        <v>1940</v>
      </c>
    </row>
    <row r="19" spans="1:46" x14ac:dyDescent="0.3">
      <c r="A19" s="2">
        <v>5</v>
      </c>
      <c r="B19" s="12" t="s">
        <v>51</v>
      </c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>
        <f t="shared" si="10"/>
        <v>0</v>
      </c>
    </row>
    <row r="20" spans="1:46" x14ac:dyDescent="0.3">
      <c r="A20" s="2">
        <v>6</v>
      </c>
      <c r="B20" s="3" t="s">
        <v>7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  <c r="S20" s="8">
        <v>0</v>
      </c>
      <c r="T20" s="8">
        <v>0</v>
      </c>
      <c r="U20" s="8">
        <v>0</v>
      </c>
      <c r="V20" s="8">
        <v>0</v>
      </c>
      <c r="W20" s="8">
        <v>0</v>
      </c>
      <c r="X20" s="8">
        <v>0</v>
      </c>
      <c r="Y20" s="8">
        <v>590</v>
      </c>
      <c r="Z20" s="8">
        <v>977</v>
      </c>
      <c r="AA20" s="8">
        <v>0</v>
      </c>
      <c r="AB20" s="8">
        <v>640</v>
      </c>
      <c r="AC20" s="8">
        <v>0</v>
      </c>
      <c r="AD20" s="8">
        <v>0</v>
      </c>
      <c r="AE20" s="8">
        <v>0</v>
      </c>
      <c r="AF20" s="8">
        <v>0</v>
      </c>
      <c r="AG20" s="8">
        <v>0</v>
      </c>
      <c r="AH20" s="8">
        <f t="shared" si="10"/>
        <v>2207</v>
      </c>
      <c r="AT20" s="25"/>
    </row>
    <row r="21" spans="1:46" x14ac:dyDescent="0.3">
      <c r="A21" s="2">
        <v>7</v>
      </c>
      <c r="B21" s="3" t="s">
        <v>8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1620</v>
      </c>
      <c r="J21" s="8">
        <v>134</v>
      </c>
      <c r="K21" s="8">
        <v>60</v>
      </c>
      <c r="L21" s="8">
        <v>180</v>
      </c>
      <c r="M21" s="8">
        <v>230</v>
      </c>
      <c r="N21" s="8">
        <v>115</v>
      </c>
      <c r="O21" s="8">
        <v>780</v>
      </c>
      <c r="P21" s="8">
        <f>70</f>
        <v>70</v>
      </c>
      <c r="Q21" s="8">
        <v>370</v>
      </c>
      <c r="R21" s="8">
        <v>0</v>
      </c>
      <c r="S21" s="8">
        <v>0</v>
      </c>
      <c r="T21" s="8">
        <v>0</v>
      </c>
      <c r="U21" s="8">
        <v>0</v>
      </c>
      <c r="V21" s="8">
        <v>0</v>
      </c>
      <c r="W21" s="8">
        <v>0</v>
      </c>
      <c r="X21" s="8">
        <v>0</v>
      </c>
      <c r="Y21" s="8">
        <v>0</v>
      </c>
      <c r="Z21" s="8">
        <v>0</v>
      </c>
      <c r="AA21" s="8">
        <v>0</v>
      </c>
      <c r="AB21" s="8">
        <v>0</v>
      </c>
      <c r="AC21" s="8">
        <v>0</v>
      </c>
      <c r="AD21" s="8">
        <v>0</v>
      </c>
      <c r="AE21" s="8">
        <v>0</v>
      </c>
      <c r="AF21" s="8">
        <v>0</v>
      </c>
      <c r="AG21" s="8">
        <v>0</v>
      </c>
      <c r="AH21" s="8">
        <f t="shared" si="10"/>
        <v>3559</v>
      </c>
    </row>
    <row r="22" spans="1:46" x14ac:dyDescent="0.3">
      <c r="AH22" s="9">
        <f>SUM(AH15:AH21)</f>
        <v>16256</v>
      </c>
    </row>
    <row r="23" spans="1:46" x14ac:dyDescent="0.3">
      <c r="A23" s="4"/>
      <c r="B23" s="13" t="s">
        <v>9</v>
      </c>
      <c r="C23" s="4" t="s">
        <v>11</v>
      </c>
      <c r="D23" s="4" t="s">
        <v>12</v>
      </c>
      <c r="E23" s="4" t="s">
        <v>13</v>
      </c>
      <c r="F23" s="4" t="s">
        <v>14</v>
      </c>
      <c r="G23" s="4" t="s">
        <v>15</v>
      </c>
      <c r="H23" s="4" t="s">
        <v>16</v>
      </c>
      <c r="I23" s="4" t="s">
        <v>17</v>
      </c>
      <c r="J23" s="4" t="s">
        <v>18</v>
      </c>
      <c r="K23" s="4" t="s">
        <v>19</v>
      </c>
      <c r="L23" s="4" t="s">
        <v>20</v>
      </c>
      <c r="M23" s="4" t="s">
        <v>21</v>
      </c>
      <c r="N23" s="4" t="s">
        <v>22</v>
      </c>
    </row>
    <row r="24" spans="1:46" x14ac:dyDescent="0.3">
      <c r="A24" s="2">
        <v>1</v>
      </c>
      <c r="B24" s="12" t="s">
        <v>4</v>
      </c>
      <c r="C24" s="8">
        <f>H34</f>
        <v>3166.6666666666665</v>
      </c>
      <c r="D24" s="8">
        <f>$D$31/6</f>
        <v>433.33333333333331</v>
      </c>
      <c r="E24" s="8">
        <f>$E$31/6</f>
        <v>0</v>
      </c>
      <c r="F24" s="8">
        <f>$F$31/6</f>
        <v>166.66666666666666</v>
      </c>
      <c r="G24" s="8">
        <f>$G$31/6</f>
        <v>162.5</v>
      </c>
      <c r="H24" s="8">
        <f>$H$31/6</f>
        <v>112.5</v>
      </c>
      <c r="I24" s="8">
        <f>$I$31/6</f>
        <v>309.16666666666669</v>
      </c>
      <c r="J24" s="8">
        <f>$J$31/6</f>
        <v>41.666666666666664</v>
      </c>
      <c r="K24" s="8">
        <f>$K$31/6</f>
        <v>0</v>
      </c>
      <c r="L24" s="8">
        <f>$L$31/6</f>
        <v>20</v>
      </c>
      <c r="M24" s="8">
        <f>$M$31/6</f>
        <v>0</v>
      </c>
      <c r="N24" s="8">
        <f>SUM(C24:M24)</f>
        <v>4412.5</v>
      </c>
    </row>
    <row r="25" spans="1:46" x14ac:dyDescent="0.3">
      <c r="A25" s="2">
        <v>2</v>
      </c>
      <c r="B25" s="12" t="s">
        <v>5</v>
      </c>
      <c r="C25" s="8">
        <f>H35</f>
        <v>3166.6666666666665</v>
      </c>
      <c r="D25" s="8">
        <f t="shared" ref="D25:D30" si="11">$D$31/6</f>
        <v>433.33333333333331</v>
      </c>
      <c r="E25" s="8">
        <f t="shared" ref="E25:E30" si="12">$E$31/6</f>
        <v>0</v>
      </c>
      <c r="F25" s="8">
        <f t="shared" ref="F25:F30" si="13">$F$31/6</f>
        <v>166.66666666666666</v>
      </c>
      <c r="G25" s="8">
        <f t="shared" ref="G25:G30" si="14">$G$31/6</f>
        <v>162.5</v>
      </c>
      <c r="H25" s="8">
        <f t="shared" ref="H25:H30" si="15">$H$31/6</f>
        <v>112.5</v>
      </c>
      <c r="I25" s="8">
        <f t="shared" ref="I25:I30" si="16">$I$31/6</f>
        <v>309.16666666666669</v>
      </c>
      <c r="J25" s="8">
        <f t="shared" ref="J25:J30" si="17">$J$31/6</f>
        <v>41.666666666666664</v>
      </c>
      <c r="K25" s="8">
        <f t="shared" ref="K25:K30" si="18">$K$31/6</f>
        <v>0</v>
      </c>
      <c r="L25" s="8">
        <f t="shared" ref="L25:L30" si="19">$L$31/6</f>
        <v>20</v>
      </c>
      <c r="M25" s="8">
        <f t="shared" ref="M25:M30" si="20">$M$31/6</f>
        <v>0</v>
      </c>
      <c r="N25" s="8">
        <f t="shared" ref="N25:N30" si="21">SUM(C25:M25)</f>
        <v>4412.5</v>
      </c>
    </row>
    <row r="26" spans="1:46" x14ac:dyDescent="0.3">
      <c r="A26" s="2">
        <v>3</v>
      </c>
      <c r="B26" s="12" t="s">
        <v>6</v>
      </c>
      <c r="C26" s="8">
        <f>H36</f>
        <v>2916.6666666666665</v>
      </c>
      <c r="D26" s="8">
        <f t="shared" si="11"/>
        <v>433.33333333333331</v>
      </c>
      <c r="E26" s="8">
        <f t="shared" si="12"/>
        <v>0</v>
      </c>
      <c r="F26" s="8">
        <f t="shared" si="13"/>
        <v>166.66666666666666</v>
      </c>
      <c r="G26" s="8">
        <f t="shared" si="14"/>
        <v>162.5</v>
      </c>
      <c r="H26" s="8">
        <f t="shared" si="15"/>
        <v>112.5</v>
      </c>
      <c r="I26" s="8">
        <f t="shared" si="16"/>
        <v>309.16666666666669</v>
      </c>
      <c r="J26" s="8">
        <f t="shared" si="17"/>
        <v>41.666666666666664</v>
      </c>
      <c r="K26" s="8">
        <f t="shared" si="18"/>
        <v>0</v>
      </c>
      <c r="L26" s="8">
        <f t="shared" si="19"/>
        <v>20</v>
      </c>
      <c r="M26" s="8">
        <f t="shared" si="20"/>
        <v>0</v>
      </c>
      <c r="N26" s="8">
        <f t="shared" si="21"/>
        <v>4162.5</v>
      </c>
    </row>
    <row r="27" spans="1:46" x14ac:dyDescent="0.3">
      <c r="A27" s="2">
        <v>4</v>
      </c>
      <c r="B27" s="12" t="s">
        <v>3</v>
      </c>
      <c r="C27" s="8">
        <v>0</v>
      </c>
      <c r="D27" s="8">
        <f t="shared" si="11"/>
        <v>433.33333333333331</v>
      </c>
      <c r="E27" s="8">
        <f t="shared" si="12"/>
        <v>0</v>
      </c>
      <c r="F27" s="8">
        <f t="shared" si="13"/>
        <v>166.66666666666666</v>
      </c>
      <c r="G27" s="8">
        <f t="shared" si="14"/>
        <v>162.5</v>
      </c>
      <c r="H27" s="8">
        <f t="shared" si="15"/>
        <v>112.5</v>
      </c>
      <c r="I27" s="8">
        <f t="shared" si="16"/>
        <v>309.16666666666669</v>
      </c>
      <c r="J27" s="8">
        <f t="shared" si="17"/>
        <v>41.666666666666664</v>
      </c>
      <c r="K27" s="8">
        <f t="shared" si="18"/>
        <v>0</v>
      </c>
      <c r="L27" s="8">
        <f t="shared" si="19"/>
        <v>20</v>
      </c>
      <c r="M27" s="8">
        <f t="shared" si="20"/>
        <v>0</v>
      </c>
      <c r="N27" s="8">
        <f t="shared" si="21"/>
        <v>1245.8333333333335</v>
      </c>
    </row>
    <row r="28" spans="1:46" x14ac:dyDescent="0.3">
      <c r="A28" s="2">
        <v>5</v>
      </c>
      <c r="B28" s="12" t="s">
        <v>51</v>
      </c>
      <c r="C28" s="8">
        <f>H36</f>
        <v>2916.6666666666665</v>
      </c>
      <c r="D28" s="8"/>
      <c r="E28" s="8"/>
      <c r="F28" s="8"/>
      <c r="G28" s="8"/>
      <c r="H28" s="8"/>
      <c r="I28" s="8"/>
      <c r="J28" s="8"/>
      <c r="K28" s="8"/>
      <c r="L28" s="8"/>
      <c r="M28" s="8"/>
      <c r="N28" s="8">
        <f t="shared" si="21"/>
        <v>2916.6666666666665</v>
      </c>
    </row>
    <row r="29" spans="1:46" x14ac:dyDescent="0.3">
      <c r="A29" s="2">
        <v>6</v>
      </c>
      <c r="B29" s="12" t="s">
        <v>7</v>
      </c>
      <c r="C29" s="8">
        <f>H35</f>
        <v>3166.6666666666665</v>
      </c>
      <c r="D29" s="8">
        <f t="shared" si="11"/>
        <v>433.33333333333331</v>
      </c>
      <c r="E29" s="8">
        <f t="shared" si="12"/>
        <v>0</v>
      </c>
      <c r="F29" s="8">
        <f t="shared" si="13"/>
        <v>166.66666666666666</v>
      </c>
      <c r="G29" s="8">
        <f t="shared" si="14"/>
        <v>162.5</v>
      </c>
      <c r="H29" s="8">
        <f t="shared" si="15"/>
        <v>112.5</v>
      </c>
      <c r="I29" s="8">
        <f t="shared" si="16"/>
        <v>309.16666666666669</v>
      </c>
      <c r="J29" s="8">
        <f t="shared" si="17"/>
        <v>41.666666666666664</v>
      </c>
      <c r="K29" s="8">
        <f t="shared" si="18"/>
        <v>0</v>
      </c>
      <c r="L29" s="8">
        <f t="shared" si="19"/>
        <v>20</v>
      </c>
      <c r="M29" s="8">
        <f t="shared" si="20"/>
        <v>0</v>
      </c>
      <c r="N29" s="8">
        <f t="shared" si="21"/>
        <v>4412.5</v>
      </c>
    </row>
    <row r="30" spans="1:46" x14ac:dyDescent="0.3">
      <c r="A30" s="2">
        <v>7</v>
      </c>
      <c r="B30" s="12" t="s">
        <v>8</v>
      </c>
      <c r="C30" s="8">
        <f>H35</f>
        <v>3166.6666666666665</v>
      </c>
      <c r="D30" s="8">
        <f t="shared" si="11"/>
        <v>433.33333333333331</v>
      </c>
      <c r="E30" s="8">
        <f t="shared" si="12"/>
        <v>0</v>
      </c>
      <c r="F30" s="8">
        <f t="shared" si="13"/>
        <v>166.66666666666666</v>
      </c>
      <c r="G30" s="8">
        <f t="shared" si="14"/>
        <v>162.5</v>
      </c>
      <c r="H30" s="8">
        <f t="shared" si="15"/>
        <v>112.5</v>
      </c>
      <c r="I30" s="8">
        <f t="shared" si="16"/>
        <v>309.16666666666669</v>
      </c>
      <c r="J30" s="8">
        <f t="shared" si="17"/>
        <v>41.666666666666664</v>
      </c>
      <c r="K30" s="8">
        <f t="shared" si="18"/>
        <v>0</v>
      </c>
      <c r="L30" s="8">
        <f t="shared" si="19"/>
        <v>20</v>
      </c>
      <c r="M30" s="8">
        <f t="shared" si="20"/>
        <v>0</v>
      </c>
      <c r="N30" s="8">
        <f t="shared" si="21"/>
        <v>4412.5</v>
      </c>
    </row>
    <row r="31" spans="1:46" x14ac:dyDescent="0.3">
      <c r="C31" s="8">
        <f>SUM(C24:C30)</f>
        <v>18500</v>
      </c>
      <c r="D31" s="8">
        <f>2600</f>
        <v>2600</v>
      </c>
      <c r="E31" s="8">
        <f>0</f>
        <v>0</v>
      </c>
      <c r="F31" s="8">
        <f>1000</f>
        <v>1000</v>
      </c>
      <c r="G31" s="8">
        <f>975</f>
        <v>975</v>
      </c>
      <c r="H31" s="14">
        <v>675</v>
      </c>
      <c r="I31" s="14">
        <v>1855</v>
      </c>
      <c r="J31" s="8">
        <f>250</f>
        <v>250</v>
      </c>
      <c r="K31" s="8">
        <f>0</f>
        <v>0</v>
      </c>
      <c r="L31" s="8">
        <f>120</f>
        <v>120</v>
      </c>
      <c r="M31" s="8">
        <f>0</f>
        <v>0</v>
      </c>
      <c r="N31" s="8">
        <f>SUM(N24:N30)</f>
        <v>25975</v>
      </c>
    </row>
    <row r="34" spans="4:9" x14ac:dyDescent="0.3">
      <c r="D34" s="1">
        <v>6000</v>
      </c>
      <c r="E34" s="1">
        <v>2</v>
      </c>
      <c r="F34" s="1">
        <f>D34/E34</f>
        <v>3000</v>
      </c>
      <c r="G34" s="1">
        <f>(500+500)/6</f>
        <v>166.66666666666666</v>
      </c>
      <c r="H34" s="11">
        <f>F34+G34</f>
        <v>3166.6666666666665</v>
      </c>
      <c r="I34" s="11">
        <f>H34*E34</f>
        <v>6333.333333333333</v>
      </c>
    </row>
    <row r="35" spans="4:9" x14ac:dyDescent="0.3">
      <c r="D35" s="1">
        <v>6000</v>
      </c>
      <c r="E35" s="1">
        <v>2</v>
      </c>
      <c r="F35" s="1">
        <f t="shared" ref="F35:F36" si="22">D35/E35</f>
        <v>3000</v>
      </c>
      <c r="G35" s="1">
        <f t="shared" ref="G35:G36" si="23">(500+500)/6</f>
        <v>166.66666666666666</v>
      </c>
      <c r="H35" s="11">
        <f t="shared" ref="H35:H36" si="24">F35+G35</f>
        <v>3166.6666666666665</v>
      </c>
      <c r="I35" s="11">
        <f t="shared" ref="I35:I36" si="25">H35*E35</f>
        <v>6333.333333333333</v>
      </c>
    </row>
    <row r="36" spans="4:9" x14ac:dyDescent="0.3">
      <c r="D36" s="1">
        <v>5500</v>
      </c>
      <c r="E36" s="1">
        <v>2</v>
      </c>
      <c r="F36" s="1">
        <f t="shared" si="22"/>
        <v>2750</v>
      </c>
      <c r="G36" s="1">
        <f t="shared" si="23"/>
        <v>166.66666666666666</v>
      </c>
      <c r="H36" s="11">
        <f t="shared" si="24"/>
        <v>2916.6666666666665</v>
      </c>
      <c r="I36" s="11">
        <f t="shared" si="25"/>
        <v>5833.333333333333</v>
      </c>
    </row>
    <row r="37" spans="4:9" x14ac:dyDescent="0.3">
      <c r="D37" s="1">
        <f>SUM(D34:D36)</f>
        <v>17500</v>
      </c>
      <c r="E37" s="1"/>
      <c r="F37" s="1"/>
      <c r="G37" s="1"/>
      <c r="H37" s="1"/>
      <c r="I37" s="11">
        <f>SUM(I34:I36)</f>
        <v>18500</v>
      </c>
    </row>
  </sheetData>
  <mergeCells count="2">
    <mergeCell ref="C1:D2"/>
    <mergeCell ref="E1:F2"/>
  </mergeCells>
  <pageMargins left="0.7" right="0.7" top="0.75" bottom="0.75" header="0.3" footer="0.3"/>
  <pageSetup orientation="portrait" horizontalDpi="1200" verticalDpi="12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U37"/>
  <sheetViews>
    <sheetView zoomScaleNormal="100" workbookViewId="0">
      <pane xSplit="2" ySplit="4" topLeftCell="AO5" activePane="bottomRight" state="frozen"/>
      <selection pane="topRight" activeCell="C1" sqref="C1"/>
      <selection pane="bottomLeft" activeCell="A5" sqref="A5"/>
      <selection pane="bottomRight" activeCell="AS8" sqref="AS8"/>
    </sheetView>
  </sheetViews>
  <sheetFormatPr defaultRowHeight="14.4" x14ac:dyDescent="0.3"/>
  <cols>
    <col min="1" max="1" width="7" bestFit="1" customWidth="1"/>
    <col min="2" max="2" width="23.6640625" bestFit="1" customWidth="1"/>
    <col min="3" max="3" width="10.5546875" bestFit="1" customWidth="1"/>
    <col min="4" max="4" width="9.5546875" bestFit="1" customWidth="1"/>
    <col min="5" max="5" width="9" bestFit="1" customWidth="1"/>
    <col min="6" max="6" width="11.5546875" bestFit="1" customWidth="1"/>
    <col min="7" max="7" width="9" bestFit="1" customWidth="1"/>
    <col min="8" max="8" width="13.33203125" bestFit="1" customWidth="1"/>
    <col min="9" max="9" width="9.6640625" bestFit="1" customWidth="1"/>
    <col min="10" max="10" width="9" bestFit="1" customWidth="1"/>
    <col min="11" max="11" width="14.5546875" bestFit="1" customWidth="1"/>
    <col min="12" max="14" width="10" bestFit="1" customWidth="1"/>
    <col min="15" max="32" width="9.6640625" bestFit="1" customWidth="1"/>
    <col min="33" max="33" width="9.6640625" customWidth="1"/>
    <col min="34" max="34" width="10.33203125" bestFit="1" customWidth="1"/>
    <col min="36" max="36" width="23" bestFit="1" customWidth="1"/>
    <col min="37" max="37" width="19.33203125" bestFit="1" customWidth="1"/>
    <col min="38" max="38" width="25.6640625" bestFit="1" customWidth="1"/>
    <col min="39" max="39" width="20.6640625" bestFit="1" customWidth="1"/>
    <col min="40" max="40" width="24" bestFit="1" customWidth="1"/>
    <col min="41" max="41" width="33" bestFit="1" customWidth="1"/>
    <col min="42" max="42" width="33" customWidth="1"/>
    <col min="43" max="43" width="12.33203125" bestFit="1" customWidth="1"/>
    <col min="44" max="44" width="13.44140625" bestFit="1" customWidth="1"/>
    <col min="45" max="45" width="25.5546875" bestFit="1" customWidth="1"/>
    <col min="46" max="46" width="11.33203125" bestFit="1" customWidth="1"/>
    <col min="47" max="47" width="10.33203125" bestFit="1" customWidth="1"/>
  </cols>
  <sheetData>
    <row r="1" spans="1:47" x14ac:dyDescent="0.3">
      <c r="C1" s="107" t="s">
        <v>50</v>
      </c>
      <c r="D1" s="107"/>
      <c r="E1" s="106">
        <f>AH22/AH12</f>
        <v>45.245901639344261</v>
      </c>
      <c r="F1" s="106"/>
    </row>
    <row r="2" spans="1:47" ht="25.5" customHeight="1" x14ac:dyDescent="0.3">
      <c r="C2" s="107"/>
      <c r="D2" s="107"/>
      <c r="E2" s="106"/>
      <c r="F2" s="106"/>
    </row>
    <row r="4" spans="1:47" x14ac:dyDescent="0.3">
      <c r="A4" s="4" t="s">
        <v>0</v>
      </c>
      <c r="B4" s="4" t="s">
        <v>2</v>
      </c>
      <c r="C4" s="5">
        <v>44197</v>
      </c>
      <c r="D4" s="5">
        <v>44198</v>
      </c>
      <c r="E4" s="5">
        <v>44199</v>
      </c>
      <c r="F4" s="5">
        <v>44200</v>
      </c>
      <c r="G4" s="5">
        <v>44201</v>
      </c>
      <c r="H4" s="5">
        <v>44202</v>
      </c>
      <c r="I4" s="5">
        <v>44203</v>
      </c>
      <c r="J4" s="5">
        <v>44204</v>
      </c>
      <c r="K4" s="5">
        <v>44205</v>
      </c>
      <c r="L4" s="5">
        <v>44206</v>
      </c>
      <c r="M4" s="5">
        <v>44207</v>
      </c>
      <c r="N4" s="5">
        <v>44208</v>
      </c>
      <c r="O4" s="5">
        <v>44209</v>
      </c>
      <c r="P4" s="5">
        <v>44210</v>
      </c>
      <c r="Q4" s="5">
        <v>44211</v>
      </c>
      <c r="R4" s="5">
        <v>44212</v>
      </c>
      <c r="S4" s="5">
        <v>44213</v>
      </c>
      <c r="T4" s="5">
        <v>44214</v>
      </c>
      <c r="U4" s="5">
        <v>44215</v>
      </c>
      <c r="V4" s="5">
        <v>44216</v>
      </c>
      <c r="W4" s="5">
        <v>44217</v>
      </c>
      <c r="X4" s="5">
        <v>44218</v>
      </c>
      <c r="Y4" s="5">
        <v>44219</v>
      </c>
      <c r="Z4" s="5">
        <v>44220</v>
      </c>
      <c r="AA4" s="5">
        <v>44221</v>
      </c>
      <c r="AB4" s="5">
        <v>44222</v>
      </c>
      <c r="AC4" s="5">
        <v>44223</v>
      </c>
      <c r="AD4" s="5">
        <v>44224</v>
      </c>
      <c r="AE4" s="5">
        <v>44225</v>
      </c>
      <c r="AF4" s="5">
        <v>44226</v>
      </c>
      <c r="AG4" s="5">
        <v>44227</v>
      </c>
      <c r="AH4" s="4" t="s">
        <v>1</v>
      </c>
      <c r="AJ4" s="4" t="s">
        <v>23</v>
      </c>
      <c r="AK4" s="4" t="s">
        <v>24</v>
      </c>
      <c r="AL4" s="4" t="s">
        <v>26</v>
      </c>
      <c r="AM4" s="4" t="s">
        <v>52</v>
      </c>
      <c r="AN4" s="4" t="s">
        <v>27</v>
      </c>
      <c r="AO4" s="4" t="s">
        <v>30</v>
      </c>
      <c r="AP4" s="4" t="s">
        <v>32</v>
      </c>
      <c r="AQ4" s="4" t="s">
        <v>28</v>
      </c>
      <c r="AR4" s="4" t="s">
        <v>29</v>
      </c>
      <c r="AS4" s="4" t="s">
        <v>31</v>
      </c>
      <c r="AU4">
        <f>700/6</f>
        <v>116.66666666666667</v>
      </c>
    </row>
    <row r="5" spans="1:47" x14ac:dyDescent="0.3">
      <c r="A5" s="2">
        <v>1</v>
      </c>
      <c r="B5" s="3" t="s">
        <v>4</v>
      </c>
      <c r="C5" s="7">
        <v>1.5</v>
      </c>
      <c r="D5" s="7">
        <v>1.5</v>
      </c>
      <c r="E5" s="7">
        <v>1</v>
      </c>
      <c r="F5" s="7">
        <v>1</v>
      </c>
      <c r="G5" s="7">
        <v>1</v>
      </c>
      <c r="H5" s="7">
        <v>0.5</v>
      </c>
      <c r="I5" s="7">
        <v>1.5</v>
      </c>
      <c r="J5" s="7">
        <v>0</v>
      </c>
      <c r="K5" s="7">
        <v>0</v>
      </c>
      <c r="L5" s="7">
        <v>2</v>
      </c>
      <c r="M5" s="7">
        <v>1</v>
      </c>
      <c r="N5" s="7">
        <v>1</v>
      </c>
      <c r="O5" s="7">
        <v>1</v>
      </c>
      <c r="P5" s="7">
        <v>0</v>
      </c>
      <c r="Q5" s="7">
        <v>0</v>
      </c>
      <c r="R5" s="7">
        <v>1</v>
      </c>
      <c r="S5" s="7">
        <v>1</v>
      </c>
      <c r="T5" s="7">
        <v>0</v>
      </c>
      <c r="U5" s="7">
        <v>1</v>
      </c>
      <c r="V5" s="7">
        <v>1</v>
      </c>
      <c r="W5" s="7">
        <v>1</v>
      </c>
      <c r="X5" s="7">
        <v>0</v>
      </c>
      <c r="Y5" s="7">
        <v>1</v>
      </c>
      <c r="Z5" s="7">
        <v>1</v>
      </c>
      <c r="AA5" s="7">
        <v>1</v>
      </c>
      <c r="AB5" s="7">
        <v>1</v>
      </c>
      <c r="AC5" s="7">
        <v>1</v>
      </c>
      <c r="AD5" s="7">
        <v>1</v>
      </c>
      <c r="AE5" s="7">
        <v>2.5</v>
      </c>
      <c r="AF5" s="7">
        <v>0</v>
      </c>
      <c r="AG5" s="7"/>
      <c r="AH5" s="7">
        <f>SUM(C5:AG5)</f>
        <v>26.5</v>
      </c>
      <c r="AJ5" s="15">
        <f>AH5*$E$1</f>
        <v>1199.016393442623</v>
      </c>
      <c r="AK5" s="16">
        <f>AH15</f>
        <v>3015</v>
      </c>
      <c r="AL5" s="15">
        <f>AK5-AJ5</f>
        <v>1815.983606557377</v>
      </c>
      <c r="AM5" s="16">
        <f>N24</f>
        <v>4373.666666666667</v>
      </c>
      <c r="AN5" s="15">
        <f>AM5-AL5</f>
        <v>2557.6830601092897</v>
      </c>
      <c r="AO5" s="15">
        <f>'Meal Dec''20 &amp; Rent January''21'!AS5</f>
        <v>3036.3899190729339</v>
      </c>
      <c r="AP5" s="15">
        <f>AN5-AO5+$AU$4</f>
        <v>-362.04019229697752</v>
      </c>
      <c r="AQ5" s="6">
        <v>1500</v>
      </c>
      <c r="AR5" s="17">
        <v>44245</v>
      </c>
      <c r="AS5" s="15">
        <f>AQ5-AP5</f>
        <v>1862.0401922969775</v>
      </c>
    </row>
    <row r="6" spans="1:47" x14ac:dyDescent="0.3">
      <c r="A6" s="2">
        <v>2</v>
      </c>
      <c r="B6" s="3" t="s">
        <v>5</v>
      </c>
      <c r="C6" s="7">
        <v>3.5</v>
      </c>
      <c r="D6" s="7">
        <v>2.5</v>
      </c>
      <c r="E6" s="7">
        <v>2.5</v>
      </c>
      <c r="F6" s="7">
        <v>2.5</v>
      </c>
      <c r="G6" s="7">
        <v>1.5</v>
      </c>
      <c r="H6" s="7">
        <v>2.5</v>
      </c>
      <c r="I6" s="7">
        <v>1.5</v>
      </c>
      <c r="J6" s="7">
        <v>2.5</v>
      </c>
      <c r="K6" s="7">
        <v>0</v>
      </c>
      <c r="L6" s="7">
        <v>2.5</v>
      </c>
      <c r="M6" s="7">
        <v>1.5</v>
      </c>
      <c r="N6" s="7">
        <v>3</v>
      </c>
      <c r="O6" s="7">
        <v>2.5</v>
      </c>
      <c r="P6" s="7">
        <v>3.5</v>
      </c>
      <c r="Q6" s="7">
        <v>1.5</v>
      </c>
      <c r="R6" s="7">
        <v>1.5</v>
      </c>
      <c r="S6" s="7">
        <v>3</v>
      </c>
      <c r="T6" s="7">
        <v>1.5</v>
      </c>
      <c r="U6" s="7">
        <v>3.5</v>
      </c>
      <c r="V6" s="7">
        <v>3.5</v>
      </c>
      <c r="W6" s="7">
        <v>1</v>
      </c>
      <c r="X6" s="7">
        <v>1</v>
      </c>
      <c r="Y6" s="7">
        <v>1</v>
      </c>
      <c r="Z6" s="7">
        <v>0</v>
      </c>
      <c r="AA6" s="7">
        <v>0</v>
      </c>
      <c r="AB6" s="7">
        <v>0</v>
      </c>
      <c r="AC6" s="7">
        <v>1</v>
      </c>
      <c r="AD6" s="7">
        <v>1.5</v>
      </c>
      <c r="AE6" s="7">
        <v>1.5</v>
      </c>
      <c r="AF6" s="7">
        <v>1.5</v>
      </c>
      <c r="AG6" s="7"/>
      <c r="AH6" s="7">
        <f t="shared" ref="AH6:AH13" si="0">SUM(C6:AG6)</f>
        <v>55</v>
      </c>
      <c r="AJ6" s="15">
        <f t="shared" ref="AJ6:AJ11" si="1">AH6*$E$1</f>
        <v>2488.5245901639341</v>
      </c>
      <c r="AK6" s="16">
        <f>AH16</f>
        <v>3390</v>
      </c>
      <c r="AL6" s="15">
        <f>AK6-AJ6</f>
        <v>901.47540983606586</v>
      </c>
      <c r="AM6" s="16">
        <f t="shared" ref="AM6:AM8" si="2">N25</f>
        <v>4373.666666666667</v>
      </c>
      <c r="AN6" s="15">
        <f t="shared" ref="AN6:AN13" si="3">AM6-AL6</f>
        <v>3472.1912568306011</v>
      </c>
      <c r="AO6" s="15">
        <f>'Meal Dec''20 &amp; Rent January''21'!AS6</f>
        <v>-251.84766491154141</v>
      </c>
      <c r="AP6" s="15">
        <f t="shared" ref="AP6:AP11" si="4">AN6-AO6+$AU$4</f>
        <v>3840.705588408809</v>
      </c>
      <c r="AQ6" s="6">
        <v>4000</v>
      </c>
      <c r="AR6" s="17">
        <v>44245</v>
      </c>
      <c r="AS6" s="15">
        <f t="shared" ref="AS6:AS10" si="5">AQ6-AP6</f>
        <v>159.29441159119096</v>
      </c>
    </row>
    <row r="7" spans="1:47" x14ac:dyDescent="0.3">
      <c r="A7" s="2">
        <v>3</v>
      </c>
      <c r="B7" s="3" t="s">
        <v>6</v>
      </c>
      <c r="C7" s="7">
        <v>2.5</v>
      </c>
      <c r="D7" s="7">
        <v>1.5</v>
      </c>
      <c r="E7" s="7">
        <v>1.5</v>
      </c>
      <c r="F7" s="7">
        <v>1.5</v>
      </c>
      <c r="G7" s="7">
        <v>1.5</v>
      </c>
      <c r="H7" s="7">
        <v>1.5</v>
      </c>
      <c r="I7" s="7">
        <v>1.5</v>
      </c>
      <c r="J7" s="7">
        <v>1.5</v>
      </c>
      <c r="K7" s="7">
        <v>1</v>
      </c>
      <c r="L7" s="7">
        <v>1.5</v>
      </c>
      <c r="M7" s="7">
        <v>1.5</v>
      </c>
      <c r="N7" s="7">
        <v>1.5</v>
      </c>
      <c r="O7" s="7">
        <v>1.5</v>
      </c>
      <c r="P7" s="7">
        <v>0.5</v>
      </c>
      <c r="Q7" s="7">
        <v>2.5</v>
      </c>
      <c r="R7" s="7">
        <v>1.5</v>
      </c>
      <c r="S7" s="7">
        <v>1.5</v>
      </c>
      <c r="T7" s="7">
        <v>1.5</v>
      </c>
      <c r="U7" s="7">
        <v>1.5</v>
      </c>
      <c r="V7" s="7">
        <v>1</v>
      </c>
      <c r="W7" s="7">
        <v>1</v>
      </c>
      <c r="X7" s="7">
        <v>2</v>
      </c>
      <c r="Y7" s="7">
        <v>1</v>
      </c>
      <c r="Z7" s="7">
        <v>1.5</v>
      </c>
      <c r="AA7" s="7">
        <v>1.5</v>
      </c>
      <c r="AB7" s="7">
        <v>1.5</v>
      </c>
      <c r="AC7" s="7">
        <v>1</v>
      </c>
      <c r="AD7" s="7">
        <v>1.5</v>
      </c>
      <c r="AE7" s="7">
        <v>2.5</v>
      </c>
      <c r="AF7" s="7">
        <v>1.5</v>
      </c>
      <c r="AG7" s="7"/>
      <c r="AH7" s="7">
        <f t="shared" si="0"/>
        <v>45</v>
      </c>
      <c r="AJ7" s="15">
        <f t="shared" si="1"/>
        <v>2036.0655737704917</v>
      </c>
      <c r="AK7" s="16">
        <f>AH17</f>
        <v>2030</v>
      </c>
      <c r="AL7" s="15">
        <f t="shared" ref="AL7:AL13" si="6">AK7-AJ7</f>
        <v>-6.0655737704917101</v>
      </c>
      <c r="AM7" s="16">
        <f t="shared" si="2"/>
        <v>4123.6666666666661</v>
      </c>
      <c r="AN7" s="15">
        <f t="shared" si="3"/>
        <v>4129.732240437158</v>
      </c>
      <c r="AO7" s="15">
        <f>'Meal Dec''20 &amp; Rent January''21'!AS7</f>
        <v>-7940.7509920617995</v>
      </c>
      <c r="AP7" s="15">
        <f t="shared" si="4"/>
        <v>12187.149899165624</v>
      </c>
      <c r="AQ7" s="6">
        <f>8000</f>
        <v>8000</v>
      </c>
      <c r="AR7" s="17">
        <v>44239</v>
      </c>
      <c r="AS7" s="15">
        <f t="shared" si="5"/>
        <v>-4187.1498991656244</v>
      </c>
    </row>
    <row r="8" spans="1:47" x14ac:dyDescent="0.3">
      <c r="A8" s="2">
        <v>4</v>
      </c>
      <c r="B8" s="3" t="s">
        <v>3</v>
      </c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>
        <f t="shared" si="0"/>
        <v>0</v>
      </c>
      <c r="AJ8" s="15">
        <f>AH8*$E$1</f>
        <v>0</v>
      </c>
      <c r="AK8" s="16">
        <f>AH18</f>
        <v>0</v>
      </c>
      <c r="AL8" s="15">
        <f t="shared" si="6"/>
        <v>0</v>
      </c>
      <c r="AM8" s="16">
        <f t="shared" si="2"/>
        <v>0</v>
      </c>
      <c r="AN8" s="15">
        <f t="shared" si="3"/>
        <v>0</v>
      </c>
      <c r="AO8" s="15">
        <v>0</v>
      </c>
      <c r="AP8" s="15"/>
      <c r="AQ8" s="6"/>
      <c r="AR8" s="1"/>
      <c r="AS8" s="15">
        <f>AQ8-AP8</f>
        <v>0</v>
      </c>
      <c r="AU8" s="25"/>
    </row>
    <row r="9" spans="1:47" x14ac:dyDescent="0.3">
      <c r="A9" s="2">
        <v>5</v>
      </c>
      <c r="B9" s="12" t="s">
        <v>51</v>
      </c>
      <c r="C9" s="7">
        <v>1.5</v>
      </c>
      <c r="D9" s="7">
        <v>2.5</v>
      </c>
      <c r="E9" s="7">
        <v>3</v>
      </c>
      <c r="F9" s="7">
        <v>3</v>
      </c>
      <c r="G9" s="7">
        <v>3</v>
      </c>
      <c r="H9" s="7">
        <v>3</v>
      </c>
      <c r="I9" s="7">
        <v>1.5</v>
      </c>
      <c r="J9" s="7">
        <v>2.5</v>
      </c>
      <c r="K9" s="7">
        <v>3</v>
      </c>
      <c r="L9" s="7">
        <v>1.5</v>
      </c>
      <c r="M9" s="7">
        <v>1.5</v>
      </c>
      <c r="N9" s="7">
        <v>1.5</v>
      </c>
      <c r="O9" s="7">
        <v>1.5</v>
      </c>
      <c r="P9" s="7">
        <v>1.5</v>
      </c>
      <c r="Q9" s="7">
        <v>1.5</v>
      </c>
      <c r="R9" s="7">
        <v>1.5</v>
      </c>
      <c r="S9" s="7">
        <v>1.5</v>
      </c>
      <c r="T9" s="7">
        <v>1.5</v>
      </c>
      <c r="U9" s="7">
        <v>1.5</v>
      </c>
      <c r="V9" s="7">
        <v>1.5</v>
      </c>
      <c r="W9" s="7">
        <v>1</v>
      </c>
      <c r="X9" s="7">
        <v>0</v>
      </c>
      <c r="Y9" s="7">
        <v>2</v>
      </c>
      <c r="Z9" s="7">
        <v>1.5</v>
      </c>
      <c r="AA9" s="7">
        <v>1.5</v>
      </c>
      <c r="AB9" s="7">
        <v>1.5</v>
      </c>
      <c r="AC9" s="7">
        <v>1.5</v>
      </c>
      <c r="AD9" s="7">
        <v>1.5</v>
      </c>
      <c r="AE9" s="7">
        <v>2</v>
      </c>
      <c r="AF9" s="7">
        <v>2.5</v>
      </c>
      <c r="AG9" s="7"/>
      <c r="AH9" s="7">
        <f t="shared" si="0"/>
        <v>54.5</v>
      </c>
      <c r="AJ9" s="15">
        <f>$AH$9*$E$1</f>
        <v>2465.9016393442621</v>
      </c>
      <c r="AK9" s="16">
        <f>AH19</f>
        <v>2675</v>
      </c>
      <c r="AL9" s="15">
        <f>AK9-AJ9</f>
        <v>209.09836065573791</v>
      </c>
      <c r="AM9" s="16">
        <f>N28</f>
        <v>4123.6666666666661</v>
      </c>
      <c r="AN9" s="15">
        <f t="shared" si="3"/>
        <v>3914.5683060109282</v>
      </c>
      <c r="AO9" s="15">
        <f>'Meal Dec''20 &amp; Rent January''21'!AS9</f>
        <v>0.33333333333348492</v>
      </c>
      <c r="AP9" s="15">
        <f t="shared" si="4"/>
        <v>4030.9016393442612</v>
      </c>
      <c r="AQ9" s="6">
        <v>4000</v>
      </c>
      <c r="AR9" s="17">
        <v>44245</v>
      </c>
      <c r="AS9" s="15">
        <f>AQ9-AP9-1000</f>
        <v>-1030.9016393442612</v>
      </c>
      <c r="AU9" s="25"/>
    </row>
    <row r="10" spans="1:47" x14ac:dyDescent="0.3">
      <c r="A10" s="2">
        <v>6</v>
      </c>
      <c r="B10" s="3" t="s">
        <v>7</v>
      </c>
      <c r="C10" s="7">
        <v>7.5</v>
      </c>
      <c r="D10" s="7">
        <v>5</v>
      </c>
      <c r="E10" s="7">
        <v>4</v>
      </c>
      <c r="F10" s="7">
        <v>4</v>
      </c>
      <c r="G10" s="7">
        <v>4</v>
      </c>
      <c r="H10" s="7">
        <v>4</v>
      </c>
      <c r="I10" s="7">
        <v>3</v>
      </c>
      <c r="J10" s="7">
        <v>3.5</v>
      </c>
      <c r="K10" s="7">
        <v>2</v>
      </c>
      <c r="L10" s="7">
        <v>3.5</v>
      </c>
      <c r="M10" s="7">
        <v>4</v>
      </c>
      <c r="N10" s="7">
        <v>4</v>
      </c>
      <c r="O10" s="7">
        <v>4</v>
      </c>
      <c r="P10" s="7">
        <v>4</v>
      </c>
      <c r="Q10" s="7">
        <v>5</v>
      </c>
      <c r="R10" s="7">
        <v>5</v>
      </c>
      <c r="S10" s="7">
        <v>4</v>
      </c>
      <c r="T10" s="7">
        <v>4</v>
      </c>
      <c r="U10" s="7">
        <v>4</v>
      </c>
      <c r="V10" s="7">
        <v>4</v>
      </c>
      <c r="W10" s="7">
        <v>3</v>
      </c>
      <c r="X10" s="7">
        <v>4</v>
      </c>
      <c r="Y10" s="7">
        <v>4</v>
      </c>
      <c r="Z10" s="7">
        <v>4</v>
      </c>
      <c r="AA10" s="7">
        <v>4</v>
      </c>
      <c r="AB10" s="7">
        <v>4</v>
      </c>
      <c r="AC10" s="7">
        <v>4</v>
      </c>
      <c r="AD10" s="7">
        <v>5</v>
      </c>
      <c r="AE10" s="7">
        <v>5.5</v>
      </c>
      <c r="AF10" s="7">
        <v>5</v>
      </c>
      <c r="AG10" s="7"/>
      <c r="AH10" s="7">
        <f t="shared" si="0"/>
        <v>125</v>
      </c>
      <c r="AJ10" s="15">
        <f t="shared" si="1"/>
        <v>5655.7377049180323</v>
      </c>
      <c r="AK10" s="16">
        <f t="shared" ref="AK10:AK11" si="7">AH20</f>
        <v>2780</v>
      </c>
      <c r="AL10" s="15">
        <f t="shared" si="6"/>
        <v>-2875.7377049180323</v>
      </c>
      <c r="AM10" s="16">
        <f>N29</f>
        <v>4773.6666666666679</v>
      </c>
      <c r="AN10" s="15">
        <f t="shared" si="3"/>
        <v>7649.4043715847001</v>
      </c>
      <c r="AO10" s="15">
        <f>'Meal Dec''20 &amp; Rent January''21'!AS10</f>
        <v>-6464.4930636658009</v>
      </c>
      <c r="AP10" s="15">
        <f t="shared" si="4"/>
        <v>14230.564101917167</v>
      </c>
      <c r="AQ10" s="6">
        <v>10000</v>
      </c>
      <c r="AR10" s="17">
        <v>44255</v>
      </c>
      <c r="AS10" s="15">
        <f t="shared" si="5"/>
        <v>-4230.5641019171671</v>
      </c>
    </row>
    <row r="11" spans="1:47" x14ac:dyDescent="0.3">
      <c r="A11" s="2">
        <v>7</v>
      </c>
      <c r="B11" s="3" t="s">
        <v>8</v>
      </c>
      <c r="C11" s="7">
        <v>0</v>
      </c>
      <c r="D11" s="7">
        <v>0</v>
      </c>
      <c r="E11" s="7">
        <v>0</v>
      </c>
      <c r="F11" s="7">
        <v>0</v>
      </c>
      <c r="G11" s="7">
        <v>0</v>
      </c>
      <c r="H11" s="7">
        <v>1.5</v>
      </c>
      <c r="I11" s="7">
        <v>1.5</v>
      </c>
      <c r="J11" s="7">
        <v>3</v>
      </c>
      <c r="K11" s="7">
        <v>3</v>
      </c>
      <c r="L11" s="7">
        <v>2.5</v>
      </c>
      <c r="M11" s="7">
        <v>2.5</v>
      </c>
      <c r="N11" s="7">
        <v>1.5</v>
      </c>
      <c r="O11" s="7">
        <v>2.5</v>
      </c>
      <c r="P11" s="7">
        <v>2.5</v>
      </c>
      <c r="Q11" s="7">
        <v>2.5</v>
      </c>
      <c r="R11" s="7">
        <v>2</v>
      </c>
      <c r="S11" s="7">
        <v>2.5</v>
      </c>
      <c r="T11" s="7">
        <v>2.5</v>
      </c>
      <c r="U11" s="7">
        <v>2.5</v>
      </c>
      <c r="V11" s="7">
        <v>1.5</v>
      </c>
      <c r="W11" s="7">
        <v>1</v>
      </c>
      <c r="X11" s="7">
        <v>5</v>
      </c>
      <c r="Y11" s="7">
        <v>3</v>
      </c>
      <c r="Z11" s="7">
        <v>3</v>
      </c>
      <c r="AA11" s="7">
        <v>2.5</v>
      </c>
      <c r="AB11" s="7">
        <v>2.5</v>
      </c>
      <c r="AC11" s="7">
        <v>2</v>
      </c>
      <c r="AD11" s="7">
        <v>2.5</v>
      </c>
      <c r="AE11" s="7">
        <v>2</v>
      </c>
      <c r="AF11" s="7">
        <v>2.5</v>
      </c>
      <c r="AG11" s="7"/>
      <c r="AH11" s="7">
        <f t="shared" si="0"/>
        <v>60</v>
      </c>
      <c r="AJ11" s="15">
        <f t="shared" si="1"/>
        <v>2714.7540983606555</v>
      </c>
      <c r="AK11" s="16">
        <f t="shared" si="7"/>
        <v>2670</v>
      </c>
      <c r="AL11" s="15">
        <f t="shared" si="6"/>
        <v>-44.754098360655462</v>
      </c>
      <c r="AM11" s="16">
        <f>N30</f>
        <v>4373.666666666667</v>
      </c>
      <c r="AN11" s="15">
        <f t="shared" si="3"/>
        <v>4418.420765027322</v>
      </c>
      <c r="AO11" s="15">
        <f>'Meal Dec''20 &amp; Rent January''21'!AS11</f>
        <v>-4394.4438144278256</v>
      </c>
      <c r="AP11" s="15">
        <f t="shared" si="4"/>
        <v>8929.5312461218145</v>
      </c>
      <c r="AQ11" s="6">
        <f>700+9030</f>
        <v>9730</v>
      </c>
      <c r="AR11" s="17">
        <v>44255</v>
      </c>
      <c r="AS11" s="15">
        <f>AQ11-AP11-800</f>
        <v>0.46875387818545278</v>
      </c>
    </row>
    <row r="12" spans="1:47" x14ac:dyDescent="0.3">
      <c r="A12" s="1"/>
      <c r="B12" s="1"/>
      <c r="C12" s="7">
        <f>SUM(C5:C11)</f>
        <v>16.5</v>
      </c>
      <c r="D12" s="7">
        <f t="shared" ref="D12:AF12" si="8">SUM(D5:D11)</f>
        <v>13</v>
      </c>
      <c r="E12" s="7">
        <f t="shared" si="8"/>
        <v>12</v>
      </c>
      <c r="F12" s="7">
        <f t="shared" si="8"/>
        <v>12</v>
      </c>
      <c r="G12" s="7">
        <f t="shared" si="8"/>
        <v>11</v>
      </c>
      <c r="H12" s="7">
        <f t="shared" si="8"/>
        <v>13</v>
      </c>
      <c r="I12" s="7">
        <f t="shared" si="8"/>
        <v>10.5</v>
      </c>
      <c r="J12" s="7">
        <f t="shared" si="8"/>
        <v>13</v>
      </c>
      <c r="K12" s="7">
        <f t="shared" si="8"/>
        <v>9</v>
      </c>
      <c r="L12" s="7">
        <f t="shared" si="8"/>
        <v>13.5</v>
      </c>
      <c r="M12" s="7">
        <f t="shared" si="8"/>
        <v>12</v>
      </c>
      <c r="N12" s="7">
        <f t="shared" si="8"/>
        <v>12.5</v>
      </c>
      <c r="O12" s="7">
        <f t="shared" si="8"/>
        <v>13</v>
      </c>
      <c r="P12" s="7">
        <f t="shared" si="8"/>
        <v>12</v>
      </c>
      <c r="Q12" s="7">
        <f t="shared" si="8"/>
        <v>13</v>
      </c>
      <c r="R12" s="7">
        <f t="shared" si="8"/>
        <v>12.5</v>
      </c>
      <c r="S12" s="7">
        <f t="shared" si="8"/>
        <v>13.5</v>
      </c>
      <c r="T12" s="7">
        <f t="shared" si="8"/>
        <v>11</v>
      </c>
      <c r="U12" s="7">
        <f t="shared" si="8"/>
        <v>14</v>
      </c>
      <c r="V12" s="7">
        <f t="shared" si="8"/>
        <v>12.5</v>
      </c>
      <c r="W12" s="7">
        <f t="shared" si="8"/>
        <v>8</v>
      </c>
      <c r="X12" s="7">
        <f t="shared" si="8"/>
        <v>12</v>
      </c>
      <c r="Y12" s="7">
        <f t="shared" si="8"/>
        <v>12</v>
      </c>
      <c r="Z12" s="7">
        <f t="shared" si="8"/>
        <v>11</v>
      </c>
      <c r="AA12" s="7">
        <f t="shared" si="8"/>
        <v>10.5</v>
      </c>
      <c r="AB12" s="7">
        <f t="shared" si="8"/>
        <v>10.5</v>
      </c>
      <c r="AC12" s="7">
        <f t="shared" si="8"/>
        <v>10.5</v>
      </c>
      <c r="AD12" s="7">
        <f t="shared" si="8"/>
        <v>13</v>
      </c>
      <c r="AE12" s="7">
        <f t="shared" si="8"/>
        <v>16</v>
      </c>
      <c r="AF12" s="7">
        <f t="shared" si="8"/>
        <v>13</v>
      </c>
      <c r="AG12" s="7"/>
      <c r="AH12" s="7">
        <f>SUM(AH5:AH11)</f>
        <v>366</v>
      </c>
      <c r="AJ12" s="15">
        <f t="shared" ref="AJ12:AO12" si="9">SUM(AJ5:AJ11)</f>
        <v>16560</v>
      </c>
      <c r="AK12" s="16">
        <f t="shared" si="9"/>
        <v>16560</v>
      </c>
      <c r="AL12" s="16">
        <f t="shared" si="9"/>
        <v>9.0949470177292824E-13</v>
      </c>
      <c r="AM12" s="16">
        <f t="shared" si="9"/>
        <v>26142</v>
      </c>
      <c r="AN12" s="16">
        <f t="shared" si="9"/>
        <v>26142</v>
      </c>
      <c r="AO12" s="16">
        <f t="shared" si="9"/>
        <v>-16014.8122826607</v>
      </c>
      <c r="AP12" s="15">
        <f>AN12-AO12+$AU$4</f>
        <v>42273.478949327364</v>
      </c>
      <c r="AQ12" s="16"/>
      <c r="AR12" s="16"/>
      <c r="AS12" s="16">
        <f>SUM(AS5:AS11)</f>
        <v>-7426.8122826606996</v>
      </c>
    </row>
    <row r="13" spans="1:47" s="29" customFormat="1" x14ac:dyDescent="0.3">
      <c r="B13" s="30" t="s">
        <v>53</v>
      </c>
      <c r="C13" s="31">
        <v>2.5</v>
      </c>
      <c r="D13" s="31">
        <v>2.5</v>
      </c>
      <c r="E13" s="31">
        <v>2.5</v>
      </c>
      <c r="F13" s="31">
        <v>2.5</v>
      </c>
      <c r="G13" s="31">
        <v>2.5</v>
      </c>
      <c r="H13" s="31">
        <v>2.5</v>
      </c>
      <c r="I13" s="31">
        <v>2</v>
      </c>
      <c r="J13" s="31">
        <v>2.5</v>
      </c>
      <c r="K13" s="31">
        <v>2</v>
      </c>
      <c r="L13" s="31">
        <v>2.5</v>
      </c>
      <c r="M13" s="31">
        <v>2.5</v>
      </c>
      <c r="N13" s="31">
        <v>2.5</v>
      </c>
      <c r="O13" s="31">
        <v>2.5</v>
      </c>
      <c r="P13" s="31">
        <v>2.5</v>
      </c>
      <c r="Q13" s="31">
        <v>2.5</v>
      </c>
      <c r="R13" s="31">
        <v>2.5</v>
      </c>
      <c r="S13" s="31">
        <v>2.5</v>
      </c>
      <c r="T13" s="31">
        <v>2.5</v>
      </c>
      <c r="U13" s="31">
        <v>2.5</v>
      </c>
      <c r="V13" s="31">
        <v>2.5</v>
      </c>
      <c r="W13" s="31">
        <v>2</v>
      </c>
      <c r="X13" s="31">
        <v>2.5</v>
      </c>
      <c r="Y13" s="31">
        <v>2.5</v>
      </c>
      <c r="Z13" s="31">
        <v>2.5</v>
      </c>
      <c r="AA13" s="31">
        <v>2.5</v>
      </c>
      <c r="AB13" s="31">
        <v>2.5</v>
      </c>
      <c r="AC13" s="31">
        <v>2.5</v>
      </c>
      <c r="AD13" s="31">
        <v>2.5</v>
      </c>
      <c r="AE13" s="31">
        <v>2.5</v>
      </c>
      <c r="AF13" s="31">
        <v>2.5</v>
      </c>
      <c r="AG13" s="31"/>
      <c r="AH13" s="32">
        <f t="shared" si="0"/>
        <v>73.5</v>
      </c>
      <c r="AJ13" s="33">
        <f>E1*AH13</f>
        <v>3325.5737704918033</v>
      </c>
      <c r="AL13" s="34">
        <f t="shared" si="6"/>
        <v>-3325.5737704918033</v>
      </c>
      <c r="AN13" s="34">
        <f t="shared" si="3"/>
        <v>3325.5737704918033</v>
      </c>
      <c r="AO13" s="33">
        <f>'Meal Dec''20 &amp; Rent January''21'!AJ13</f>
        <v>-1057.1098265895955</v>
      </c>
      <c r="AP13" s="34">
        <f t="shared" ref="AP13" si="10">AN13-AO13</f>
        <v>4382.6835970813991</v>
      </c>
      <c r="AQ13" s="35">
        <f>W20+P20</f>
        <v>2150</v>
      </c>
      <c r="AS13" s="34">
        <f>AQ13-AP13-400</f>
        <v>-2632.6835970813991</v>
      </c>
    </row>
    <row r="14" spans="1:47" x14ac:dyDescent="0.3">
      <c r="B14" s="10" t="s">
        <v>10</v>
      </c>
    </row>
    <row r="15" spans="1:47" x14ac:dyDescent="0.3">
      <c r="A15" s="2">
        <v>1</v>
      </c>
      <c r="B15" s="3" t="s">
        <v>4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 s="8">
        <v>0</v>
      </c>
      <c r="V15" s="8">
        <v>0</v>
      </c>
      <c r="W15" s="8">
        <v>0</v>
      </c>
      <c r="X15" s="8">
        <v>0</v>
      </c>
      <c r="Y15" s="8">
        <v>0</v>
      </c>
      <c r="Z15" s="8">
        <v>110</v>
      </c>
      <c r="AA15" s="8">
        <v>2555</v>
      </c>
      <c r="AB15" s="8">
        <v>0</v>
      </c>
      <c r="AC15" s="8">
        <v>0</v>
      </c>
      <c r="AD15" s="8">
        <v>0</v>
      </c>
      <c r="AE15" s="8">
        <v>350</v>
      </c>
      <c r="AF15" s="8">
        <v>0</v>
      </c>
      <c r="AG15" s="8">
        <v>0</v>
      </c>
      <c r="AH15" s="8">
        <f>SUM(C15:AG15)</f>
        <v>3015</v>
      </c>
      <c r="AP15" s="25"/>
      <c r="AR15" s="1" t="s">
        <v>54</v>
      </c>
      <c r="AS15" s="8">
        <f>20330+21522</f>
        <v>41852</v>
      </c>
    </row>
    <row r="16" spans="1:47" x14ac:dyDescent="0.3">
      <c r="A16" s="2">
        <v>2</v>
      </c>
      <c r="B16" s="3" t="s">
        <v>5</v>
      </c>
      <c r="C16" s="8">
        <v>2905</v>
      </c>
      <c r="D16" s="8">
        <v>0</v>
      </c>
      <c r="E16" s="8">
        <v>155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80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170</v>
      </c>
      <c r="U16" s="8">
        <v>0</v>
      </c>
      <c r="V16" s="8">
        <v>0</v>
      </c>
      <c r="W16" s="8">
        <v>0</v>
      </c>
      <c r="X16" s="8">
        <v>0</v>
      </c>
      <c r="Y16" s="8">
        <v>0</v>
      </c>
      <c r="Z16" s="8">
        <v>0</v>
      </c>
      <c r="AA16" s="8">
        <v>0</v>
      </c>
      <c r="AB16" s="8">
        <v>0</v>
      </c>
      <c r="AC16" s="8">
        <v>0</v>
      </c>
      <c r="AD16" s="8">
        <v>80</v>
      </c>
      <c r="AE16" s="8">
        <v>0</v>
      </c>
      <c r="AF16" s="8">
        <v>0</v>
      </c>
      <c r="AG16" s="8">
        <v>0</v>
      </c>
      <c r="AH16" s="8">
        <f t="shared" ref="AH16:AH21" si="11">SUM(C16:AG16)</f>
        <v>3390</v>
      </c>
      <c r="AR16" s="1" t="s">
        <v>55</v>
      </c>
      <c r="AS16" s="8">
        <f>32500</f>
        <v>32500</v>
      </c>
      <c r="AT16" s="25"/>
    </row>
    <row r="17" spans="1:46" x14ac:dyDescent="0.3">
      <c r="A17" s="2">
        <v>3</v>
      </c>
      <c r="B17" s="3" t="s">
        <v>6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1970</v>
      </c>
      <c r="P17" s="8">
        <v>0</v>
      </c>
      <c r="Q17" s="8">
        <v>0</v>
      </c>
      <c r="R17" s="8">
        <v>60</v>
      </c>
      <c r="S17" s="8">
        <v>0</v>
      </c>
      <c r="T17" s="8">
        <v>0</v>
      </c>
      <c r="U17" s="8">
        <v>0</v>
      </c>
      <c r="V17" s="8">
        <v>0</v>
      </c>
      <c r="W17" s="8">
        <v>0</v>
      </c>
      <c r="X17" s="8">
        <v>0</v>
      </c>
      <c r="Y17" s="8">
        <v>0</v>
      </c>
      <c r="Z17" s="8">
        <v>0</v>
      </c>
      <c r="AA17" s="8">
        <v>0</v>
      </c>
      <c r="AB17" s="8">
        <v>0</v>
      </c>
      <c r="AC17" s="8">
        <v>0</v>
      </c>
      <c r="AD17" s="8">
        <v>0</v>
      </c>
      <c r="AE17" s="8">
        <v>0</v>
      </c>
      <c r="AF17" s="8">
        <v>0</v>
      </c>
      <c r="AG17" s="8">
        <v>0</v>
      </c>
      <c r="AH17" s="8">
        <f t="shared" si="11"/>
        <v>2030</v>
      </c>
      <c r="AP17" s="25"/>
      <c r="AR17" s="1" t="s">
        <v>56</v>
      </c>
      <c r="AS17" s="8">
        <f>AS15-AS16</f>
        <v>9352</v>
      </c>
      <c r="AT17" s="25"/>
    </row>
    <row r="18" spans="1:46" x14ac:dyDescent="0.3">
      <c r="A18" s="2">
        <v>4</v>
      </c>
      <c r="B18" s="3" t="s">
        <v>3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  <c r="T18" s="8">
        <v>0</v>
      </c>
      <c r="U18" s="8">
        <v>0</v>
      </c>
      <c r="V18" s="8">
        <v>0</v>
      </c>
      <c r="W18" s="8">
        <v>0</v>
      </c>
      <c r="X18" s="8">
        <v>0</v>
      </c>
      <c r="Y18" s="8">
        <v>0</v>
      </c>
      <c r="Z18" s="8">
        <v>0</v>
      </c>
      <c r="AA18" s="8">
        <v>0</v>
      </c>
      <c r="AB18" s="8">
        <v>0</v>
      </c>
      <c r="AC18" s="8">
        <v>0</v>
      </c>
      <c r="AD18" s="8">
        <v>0</v>
      </c>
      <c r="AE18" s="8">
        <v>0</v>
      </c>
      <c r="AF18" s="8">
        <v>0</v>
      </c>
      <c r="AG18" s="8">
        <v>0</v>
      </c>
      <c r="AH18" s="8">
        <f t="shared" si="11"/>
        <v>0</v>
      </c>
    </row>
    <row r="19" spans="1:46" x14ac:dyDescent="0.3">
      <c r="A19" s="2">
        <v>5</v>
      </c>
      <c r="B19" s="12" t="s">
        <v>51</v>
      </c>
      <c r="C19" s="8">
        <v>0</v>
      </c>
      <c r="D19" s="8">
        <v>0</v>
      </c>
      <c r="E19" s="8">
        <v>0</v>
      </c>
      <c r="F19" s="8">
        <v>250</v>
      </c>
      <c r="G19" s="8">
        <v>0</v>
      </c>
      <c r="H19" s="8">
        <v>0</v>
      </c>
      <c r="I19" s="8">
        <v>1795</v>
      </c>
      <c r="J19" s="8">
        <f>55+70</f>
        <v>125</v>
      </c>
      <c r="K19" s="8">
        <v>235</v>
      </c>
      <c r="L19" s="8">
        <v>270</v>
      </c>
      <c r="M19" s="8">
        <v>0</v>
      </c>
      <c r="N19" s="8">
        <v>0</v>
      </c>
      <c r="O19" s="8">
        <v>0</v>
      </c>
      <c r="P19" s="8">
        <v>0</v>
      </c>
      <c r="Q19" s="8">
        <v>0</v>
      </c>
      <c r="R19" s="8">
        <v>0</v>
      </c>
      <c r="S19" s="8">
        <v>0</v>
      </c>
      <c r="T19" s="8">
        <v>0</v>
      </c>
      <c r="U19" s="8">
        <v>0</v>
      </c>
      <c r="V19" s="8">
        <v>0</v>
      </c>
      <c r="W19" s="8">
        <v>0</v>
      </c>
      <c r="X19" s="8">
        <v>0</v>
      </c>
      <c r="Y19" s="8">
        <v>0</v>
      </c>
      <c r="Z19" s="8">
        <v>0</v>
      </c>
      <c r="AA19" s="8">
        <v>0</v>
      </c>
      <c r="AB19" s="8">
        <v>0</v>
      </c>
      <c r="AC19" s="8">
        <v>0</v>
      </c>
      <c r="AD19" s="8">
        <v>0</v>
      </c>
      <c r="AE19" s="8">
        <v>0</v>
      </c>
      <c r="AF19" s="8">
        <v>0</v>
      </c>
      <c r="AG19" s="8">
        <v>0</v>
      </c>
      <c r="AH19" s="8">
        <f t="shared" si="11"/>
        <v>2675</v>
      </c>
    </row>
    <row r="20" spans="1:46" x14ac:dyDescent="0.3">
      <c r="A20" s="2">
        <v>6</v>
      </c>
      <c r="B20" s="3" t="s">
        <v>7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1100</v>
      </c>
      <c r="Q20" s="8">
        <v>0</v>
      </c>
      <c r="R20" s="8">
        <v>0</v>
      </c>
      <c r="S20" s="8">
        <v>0</v>
      </c>
      <c r="T20" s="8">
        <v>0</v>
      </c>
      <c r="U20" s="8">
        <v>0</v>
      </c>
      <c r="V20" s="8">
        <v>0</v>
      </c>
      <c r="W20" s="8">
        <v>1050</v>
      </c>
      <c r="X20" s="8">
        <v>0</v>
      </c>
      <c r="Y20" s="8">
        <v>0</v>
      </c>
      <c r="Z20" s="8">
        <v>0</v>
      </c>
      <c r="AA20" s="8">
        <v>0</v>
      </c>
      <c r="AB20" s="8">
        <v>0</v>
      </c>
      <c r="AC20" s="8">
        <v>0</v>
      </c>
      <c r="AD20" s="8">
        <v>0</v>
      </c>
      <c r="AE20" s="8">
        <v>0</v>
      </c>
      <c r="AF20" s="8">
        <v>630</v>
      </c>
      <c r="AG20" s="8">
        <v>0</v>
      </c>
      <c r="AH20" s="8">
        <f t="shared" si="11"/>
        <v>2780</v>
      </c>
      <c r="AT20" s="25"/>
    </row>
    <row r="21" spans="1:46" x14ac:dyDescent="0.3">
      <c r="A21" s="2">
        <v>7</v>
      </c>
      <c r="B21" s="3" t="s">
        <v>8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100</v>
      </c>
      <c r="N21" s="8">
        <v>0</v>
      </c>
      <c r="O21" s="8">
        <v>0</v>
      </c>
      <c r="P21" s="8">
        <v>0</v>
      </c>
      <c r="Q21" s="8">
        <v>0</v>
      </c>
      <c r="R21" s="8">
        <v>340</v>
      </c>
      <c r="S21" s="8">
        <v>720</v>
      </c>
      <c r="T21" s="8">
        <v>0</v>
      </c>
      <c r="U21" s="8">
        <f>420+90</f>
        <v>510</v>
      </c>
      <c r="V21" s="8">
        <v>725</v>
      </c>
      <c r="W21" s="8">
        <v>0</v>
      </c>
      <c r="X21" s="8">
        <v>0</v>
      </c>
      <c r="Y21" s="8">
        <v>0</v>
      </c>
      <c r="Z21" s="8">
        <v>0</v>
      </c>
      <c r="AA21" s="8">
        <v>0</v>
      </c>
      <c r="AB21" s="8">
        <v>0</v>
      </c>
      <c r="AC21" s="8">
        <v>0</v>
      </c>
      <c r="AD21" s="8">
        <v>0</v>
      </c>
      <c r="AE21" s="8">
        <v>0</v>
      </c>
      <c r="AF21" s="8">
        <v>0</v>
      </c>
      <c r="AG21" s="8">
        <v>275</v>
      </c>
      <c r="AH21" s="8">
        <f t="shared" si="11"/>
        <v>2670</v>
      </c>
    </row>
    <row r="22" spans="1:46" x14ac:dyDescent="0.3">
      <c r="AH22" s="9">
        <f>SUM(AH15:AH21)</f>
        <v>16560</v>
      </c>
    </row>
    <row r="23" spans="1:46" x14ac:dyDescent="0.3">
      <c r="A23" s="4"/>
      <c r="B23" s="13" t="s">
        <v>9</v>
      </c>
      <c r="C23" s="4" t="s">
        <v>11</v>
      </c>
      <c r="D23" s="4" t="s">
        <v>12</v>
      </c>
      <c r="E23" s="4" t="s">
        <v>13</v>
      </c>
      <c r="F23" s="4" t="s">
        <v>14</v>
      </c>
      <c r="G23" s="4" t="s">
        <v>15</v>
      </c>
      <c r="H23" s="4" t="s">
        <v>16</v>
      </c>
      <c r="I23" s="4" t="s">
        <v>17</v>
      </c>
      <c r="J23" s="4" t="s">
        <v>18</v>
      </c>
      <c r="K23" s="4" t="s">
        <v>19</v>
      </c>
      <c r="L23" s="4" t="s">
        <v>20</v>
      </c>
      <c r="M23" s="4" t="s">
        <v>21</v>
      </c>
      <c r="N23" s="4" t="s">
        <v>22</v>
      </c>
    </row>
    <row r="24" spans="1:46" x14ac:dyDescent="0.3">
      <c r="A24" s="2">
        <v>1</v>
      </c>
      <c r="B24" s="12" t="s">
        <v>4</v>
      </c>
      <c r="C24" s="8">
        <f>H34</f>
        <v>3166.6666666666665</v>
      </c>
      <c r="D24" s="8">
        <f>$D$31/6</f>
        <v>433.33333333333331</v>
      </c>
      <c r="E24" s="8">
        <f>$E$31/6</f>
        <v>0</v>
      </c>
      <c r="F24" s="8">
        <f>$F$31/6</f>
        <v>166.66666666666666</v>
      </c>
      <c r="G24" s="8">
        <f>$G$31/6</f>
        <v>162.5</v>
      </c>
      <c r="H24" s="8">
        <f>$H$31/6</f>
        <v>91.166666666666671</v>
      </c>
      <c r="I24" s="8">
        <f>$I$31/6</f>
        <v>291.66666666666669</v>
      </c>
      <c r="J24" s="8">
        <f>$J$31/6</f>
        <v>41.666666666666664</v>
      </c>
      <c r="K24" s="8">
        <f>$K$31/6</f>
        <v>0</v>
      </c>
      <c r="L24" s="8">
        <f>$L$31/6</f>
        <v>20</v>
      </c>
      <c r="M24" s="8">
        <f>$M$31/6</f>
        <v>0</v>
      </c>
      <c r="N24" s="8">
        <f>SUM(C24:M24)</f>
        <v>4373.666666666667</v>
      </c>
    </row>
    <row r="25" spans="1:46" x14ac:dyDescent="0.3">
      <c r="A25" s="2">
        <v>2</v>
      </c>
      <c r="B25" s="12" t="s">
        <v>5</v>
      </c>
      <c r="C25" s="8">
        <f>H35</f>
        <v>3166.6666666666665</v>
      </c>
      <c r="D25" s="8">
        <f t="shared" ref="D25:D30" si="12">$D$31/6</f>
        <v>433.33333333333331</v>
      </c>
      <c r="E25" s="8">
        <f t="shared" ref="E25:E30" si="13">$E$31/6</f>
        <v>0</v>
      </c>
      <c r="F25" s="8">
        <f t="shared" ref="F25:F30" si="14">$F$31/6</f>
        <v>166.66666666666666</v>
      </c>
      <c r="G25" s="8">
        <f t="shared" ref="G25:G30" si="15">$G$31/6</f>
        <v>162.5</v>
      </c>
      <c r="H25" s="8">
        <f t="shared" ref="H25:H30" si="16">$H$31/6</f>
        <v>91.166666666666671</v>
      </c>
      <c r="I25" s="8">
        <f t="shared" ref="I25:I30" si="17">$I$31/6</f>
        <v>291.66666666666669</v>
      </c>
      <c r="J25" s="8">
        <f t="shared" ref="J25:J30" si="18">$J$31/6</f>
        <v>41.666666666666664</v>
      </c>
      <c r="K25" s="8">
        <f t="shared" ref="K25:K30" si="19">$K$31/6</f>
        <v>0</v>
      </c>
      <c r="L25" s="8">
        <f t="shared" ref="L25:L30" si="20">$L$31/6</f>
        <v>20</v>
      </c>
      <c r="M25" s="8">
        <f t="shared" ref="M25:M30" si="21">$M$31/6</f>
        <v>0</v>
      </c>
      <c r="N25" s="8">
        <f t="shared" ref="N25:N30" si="22">SUM(C25:M25)</f>
        <v>4373.666666666667</v>
      </c>
    </row>
    <row r="26" spans="1:46" x14ac:dyDescent="0.3">
      <c r="A26" s="2">
        <v>3</v>
      </c>
      <c r="B26" s="12" t="s">
        <v>6</v>
      </c>
      <c r="C26" s="8">
        <f>H36</f>
        <v>2916.6666666666665</v>
      </c>
      <c r="D26" s="8">
        <f t="shared" si="12"/>
        <v>433.33333333333331</v>
      </c>
      <c r="E26" s="8">
        <f t="shared" si="13"/>
        <v>0</v>
      </c>
      <c r="F26" s="8">
        <f t="shared" si="14"/>
        <v>166.66666666666666</v>
      </c>
      <c r="G26" s="8">
        <f t="shared" si="15"/>
        <v>162.5</v>
      </c>
      <c r="H26" s="8">
        <f t="shared" si="16"/>
        <v>91.166666666666671</v>
      </c>
      <c r="I26" s="8">
        <f t="shared" si="17"/>
        <v>291.66666666666669</v>
      </c>
      <c r="J26" s="8">
        <f t="shared" si="18"/>
        <v>41.666666666666664</v>
      </c>
      <c r="K26" s="8">
        <f t="shared" si="19"/>
        <v>0</v>
      </c>
      <c r="L26" s="8">
        <f t="shared" si="20"/>
        <v>20</v>
      </c>
      <c r="M26" s="8">
        <f t="shared" si="21"/>
        <v>0</v>
      </c>
      <c r="N26" s="8">
        <f t="shared" si="22"/>
        <v>4123.6666666666661</v>
      </c>
    </row>
    <row r="27" spans="1:46" x14ac:dyDescent="0.3">
      <c r="A27" s="2">
        <v>4</v>
      </c>
      <c r="B27" s="12" t="s">
        <v>3</v>
      </c>
      <c r="C27" s="8">
        <v>0</v>
      </c>
      <c r="D27" s="8"/>
      <c r="E27" s="8">
        <f t="shared" si="13"/>
        <v>0</v>
      </c>
      <c r="F27" s="8"/>
      <c r="G27" s="8"/>
      <c r="H27" s="8"/>
      <c r="I27" s="8"/>
      <c r="J27" s="8"/>
      <c r="K27" s="8"/>
      <c r="L27" s="8"/>
      <c r="M27" s="8"/>
      <c r="N27" s="8">
        <f t="shared" si="22"/>
        <v>0</v>
      </c>
    </row>
    <row r="28" spans="1:46" x14ac:dyDescent="0.3">
      <c r="A28" s="2">
        <v>5</v>
      </c>
      <c r="B28" s="12" t="s">
        <v>51</v>
      </c>
      <c r="C28" s="8">
        <f>H36</f>
        <v>2916.6666666666665</v>
      </c>
      <c r="D28" s="8">
        <f t="shared" si="12"/>
        <v>433.33333333333331</v>
      </c>
      <c r="E28" s="8">
        <f t="shared" si="13"/>
        <v>0</v>
      </c>
      <c r="F28" s="8">
        <f t="shared" si="14"/>
        <v>166.66666666666666</v>
      </c>
      <c r="G28" s="8">
        <f t="shared" si="15"/>
        <v>162.5</v>
      </c>
      <c r="H28" s="8">
        <f t="shared" si="16"/>
        <v>91.166666666666671</v>
      </c>
      <c r="I28" s="8">
        <f t="shared" si="17"/>
        <v>291.66666666666669</v>
      </c>
      <c r="J28" s="8">
        <f t="shared" si="18"/>
        <v>41.666666666666664</v>
      </c>
      <c r="K28" s="8">
        <f t="shared" si="19"/>
        <v>0</v>
      </c>
      <c r="L28" s="8">
        <f t="shared" si="20"/>
        <v>20</v>
      </c>
      <c r="M28" s="8">
        <f t="shared" si="21"/>
        <v>0</v>
      </c>
      <c r="N28" s="8">
        <f t="shared" si="22"/>
        <v>4123.6666666666661</v>
      </c>
    </row>
    <row r="29" spans="1:46" x14ac:dyDescent="0.3">
      <c r="A29" s="2">
        <v>6</v>
      </c>
      <c r="B29" s="12" t="s">
        <v>7</v>
      </c>
      <c r="C29" s="8">
        <f>H35</f>
        <v>3166.6666666666665</v>
      </c>
      <c r="D29" s="8">
        <f>($D$31/6)+400</f>
        <v>833.33333333333326</v>
      </c>
      <c r="E29" s="8">
        <f t="shared" si="13"/>
        <v>0</v>
      </c>
      <c r="F29" s="8">
        <f t="shared" si="14"/>
        <v>166.66666666666666</v>
      </c>
      <c r="G29" s="8">
        <f t="shared" si="15"/>
        <v>162.5</v>
      </c>
      <c r="H29" s="8">
        <f t="shared" si="16"/>
        <v>91.166666666666671</v>
      </c>
      <c r="I29" s="8">
        <f t="shared" si="17"/>
        <v>291.66666666666669</v>
      </c>
      <c r="J29" s="8">
        <f t="shared" si="18"/>
        <v>41.666666666666664</v>
      </c>
      <c r="K29" s="8">
        <f t="shared" si="19"/>
        <v>0</v>
      </c>
      <c r="L29" s="8">
        <f t="shared" si="20"/>
        <v>20</v>
      </c>
      <c r="M29" s="8">
        <f t="shared" si="21"/>
        <v>0</v>
      </c>
      <c r="N29" s="8">
        <f t="shared" si="22"/>
        <v>4773.6666666666679</v>
      </c>
    </row>
    <row r="30" spans="1:46" x14ac:dyDescent="0.3">
      <c r="A30" s="2">
        <v>7</v>
      </c>
      <c r="B30" s="12" t="s">
        <v>8</v>
      </c>
      <c r="C30" s="8">
        <f>H35</f>
        <v>3166.6666666666665</v>
      </c>
      <c r="D30" s="8">
        <f t="shared" si="12"/>
        <v>433.33333333333331</v>
      </c>
      <c r="E30" s="8">
        <f t="shared" si="13"/>
        <v>0</v>
      </c>
      <c r="F30" s="8">
        <f t="shared" si="14"/>
        <v>166.66666666666666</v>
      </c>
      <c r="G30" s="8">
        <f t="shared" si="15"/>
        <v>162.5</v>
      </c>
      <c r="H30" s="8">
        <f t="shared" si="16"/>
        <v>91.166666666666671</v>
      </c>
      <c r="I30" s="8">
        <f t="shared" si="17"/>
        <v>291.66666666666669</v>
      </c>
      <c r="J30" s="8">
        <f t="shared" si="18"/>
        <v>41.666666666666664</v>
      </c>
      <c r="K30" s="8">
        <f t="shared" si="19"/>
        <v>0</v>
      </c>
      <c r="L30" s="8">
        <f t="shared" si="20"/>
        <v>20</v>
      </c>
      <c r="M30" s="8">
        <f t="shared" si="21"/>
        <v>0</v>
      </c>
      <c r="N30" s="8">
        <f t="shared" si="22"/>
        <v>4373.666666666667</v>
      </c>
    </row>
    <row r="31" spans="1:46" x14ac:dyDescent="0.3">
      <c r="C31" s="8">
        <f>SUM(C24:C30)</f>
        <v>18500</v>
      </c>
      <c r="D31" s="26">
        <f>2600</f>
        <v>2600</v>
      </c>
      <c r="E31" s="8">
        <f>0</f>
        <v>0</v>
      </c>
      <c r="F31" s="8">
        <f>1000</f>
        <v>1000</v>
      </c>
      <c r="G31" s="8">
        <f>975</f>
        <v>975</v>
      </c>
      <c r="H31" s="14">
        <v>547</v>
      </c>
      <c r="I31" s="14">
        <v>1750</v>
      </c>
      <c r="J31" s="8">
        <f>250</f>
        <v>250</v>
      </c>
      <c r="K31" s="8">
        <f>0</f>
        <v>0</v>
      </c>
      <c r="L31" s="8">
        <f>120</f>
        <v>120</v>
      </c>
      <c r="M31" s="8">
        <f>0</f>
        <v>0</v>
      </c>
      <c r="N31" s="8">
        <f>SUM(N24:N30)</f>
        <v>26142</v>
      </c>
    </row>
    <row r="34" spans="4:9" x14ac:dyDescent="0.3">
      <c r="D34" s="1">
        <v>6000</v>
      </c>
      <c r="E34" s="1">
        <v>2</v>
      </c>
      <c r="F34" s="1">
        <f>D34/E34</f>
        <v>3000</v>
      </c>
      <c r="G34" s="1">
        <f>(500+500)/6</f>
        <v>166.66666666666666</v>
      </c>
      <c r="H34" s="11">
        <f>F34+G34</f>
        <v>3166.6666666666665</v>
      </c>
      <c r="I34" s="11">
        <f>H34*E34</f>
        <v>6333.333333333333</v>
      </c>
    </row>
    <row r="35" spans="4:9" x14ac:dyDescent="0.3">
      <c r="D35" s="1">
        <v>6000</v>
      </c>
      <c r="E35" s="1">
        <v>2</v>
      </c>
      <c r="F35" s="1">
        <f t="shared" ref="F35:F36" si="23">D35/E35</f>
        <v>3000</v>
      </c>
      <c r="G35" s="1">
        <f t="shared" ref="G35:G36" si="24">(500+500)/6</f>
        <v>166.66666666666666</v>
      </c>
      <c r="H35" s="11">
        <f t="shared" ref="H35:H36" si="25">F35+G35</f>
        <v>3166.6666666666665</v>
      </c>
      <c r="I35" s="11">
        <f t="shared" ref="I35:I36" si="26">H35*E35</f>
        <v>6333.333333333333</v>
      </c>
    </row>
    <row r="36" spans="4:9" x14ac:dyDescent="0.3">
      <c r="D36" s="1">
        <v>5500</v>
      </c>
      <c r="E36" s="1">
        <v>2</v>
      </c>
      <c r="F36" s="1">
        <f t="shared" si="23"/>
        <v>2750</v>
      </c>
      <c r="G36" s="1">
        <f t="shared" si="24"/>
        <v>166.66666666666666</v>
      </c>
      <c r="H36" s="11">
        <f t="shared" si="25"/>
        <v>2916.6666666666665</v>
      </c>
      <c r="I36" s="11">
        <f t="shared" si="26"/>
        <v>5833.333333333333</v>
      </c>
    </row>
    <row r="37" spans="4:9" x14ac:dyDescent="0.3">
      <c r="D37" s="1">
        <f>SUM(D34:D36)</f>
        <v>17500</v>
      </c>
      <c r="E37" s="1"/>
      <c r="F37" s="1"/>
      <c r="G37" s="1"/>
      <c r="H37" s="1"/>
      <c r="I37" s="11">
        <f>SUM(I34:I36)</f>
        <v>18500</v>
      </c>
    </row>
  </sheetData>
  <mergeCells count="2">
    <mergeCell ref="C1:D2"/>
    <mergeCell ref="E1:F2"/>
  </mergeCells>
  <pageMargins left="0.7" right="0.7" top="0.75" bottom="0.75" header="0.3" footer="0.3"/>
  <pageSetup orientation="portrait" horizontalDpi="1200" verticalDpi="12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U37"/>
  <sheetViews>
    <sheetView zoomScaleNormal="100" workbookViewId="0">
      <pane xSplit="2" ySplit="4" topLeftCell="AO5" activePane="bottomRight" state="frozen"/>
      <selection pane="topRight" activeCell="C1" sqref="C1"/>
      <selection pane="bottomLeft" activeCell="A5" sqref="A5"/>
      <selection pane="bottomRight" activeCell="AS11" sqref="AS11"/>
    </sheetView>
  </sheetViews>
  <sheetFormatPr defaultRowHeight="14.4" x14ac:dyDescent="0.3"/>
  <cols>
    <col min="1" max="1" width="7" bestFit="1" customWidth="1"/>
    <col min="2" max="2" width="23.6640625" bestFit="1" customWidth="1"/>
    <col min="3" max="3" width="10.5546875" bestFit="1" customWidth="1"/>
    <col min="4" max="4" width="9.5546875" bestFit="1" customWidth="1"/>
    <col min="5" max="5" width="9" bestFit="1" customWidth="1"/>
    <col min="6" max="6" width="11.5546875" bestFit="1" customWidth="1"/>
    <col min="7" max="7" width="9" bestFit="1" customWidth="1"/>
    <col min="8" max="8" width="13.33203125" bestFit="1" customWidth="1"/>
    <col min="9" max="9" width="9.6640625" bestFit="1" customWidth="1"/>
    <col min="10" max="10" width="9" bestFit="1" customWidth="1"/>
    <col min="11" max="11" width="14.5546875" bestFit="1" customWidth="1"/>
    <col min="12" max="14" width="10" bestFit="1" customWidth="1"/>
    <col min="15" max="32" width="9.6640625" bestFit="1" customWidth="1"/>
    <col min="33" max="33" width="9.6640625" customWidth="1"/>
    <col min="34" max="34" width="10.33203125" bestFit="1" customWidth="1"/>
    <col min="36" max="36" width="23" bestFit="1" customWidth="1"/>
    <col min="37" max="37" width="19.33203125" bestFit="1" customWidth="1"/>
    <col min="38" max="38" width="25.6640625" bestFit="1" customWidth="1"/>
    <col min="39" max="39" width="20.6640625" bestFit="1" customWidth="1"/>
    <col min="40" max="40" width="24" bestFit="1" customWidth="1"/>
    <col min="41" max="41" width="33" bestFit="1" customWidth="1"/>
    <col min="42" max="42" width="33" customWidth="1"/>
    <col min="43" max="43" width="12.33203125" bestFit="1" customWidth="1"/>
    <col min="44" max="44" width="13.44140625" bestFit="1" customWidth="1"/>
    <col min="45" max="45" width="25.5546875" bestFit="1" customWidth="1"/>
    <col min="46" max="46" width="11.33203125" bestFit="1" customWidth="1"/>
    <col min="47" max="47" width="10.33203125" bestFit="1" customWidth="1"/>
  </cols>
  <sheetData>
    <row r="1" spans="1:47" x14ac:dyDescent="0.3">
      <c r="C1" s="107" t="s">
        <v>58</v>
      </c>
      <c r="D1" s="107"/>
      <c r="E1" s="106">
        <f>AH22/AH12</f>
        <v>42.700156985871274</v>
      </c>
      <c r="F1" s="106"/>
    </row>
    <row r="2" spans="1:47" ht="25.5" customHeight="1" x14ac:dyDescent="0.3">
      <c r="C2" s="107"/>
      <c r="D2" s="107"/>
      <c r="E2" s="106"/>
      <c r="F2" s="106"/>
    </row>
    <row r="4" spans="1:47" x14ac:dyDescent="0.3">
      <c r="A4" s="4" t="s">
        <v>0</v>
      </c>
      <c r="B4" s="4" t="s">
        <v>2</v>
      </c>
      <c r="C4" s="5">
        <v>44228</v>
      </c>
      <c r="D4" s="5">
        <v>44229</v>
      </c>
      <c r="E4" s="5">
        <v>44230</v>
      </c>
      <c r="F4" s="5">
        <v>44231</v>
      </c>
      <c r="G4" s="5">
        <v>44232</v>
      </c>
      <c r="H4" s="5">
        <v>44233</v>
      </c>
      <c r="I4" s="5">
        <v>44234</v>
      </c>
      <c r="J4" s="5">
        <v>44235</v>
      </c>
      <c r="K4" s="5">
        <v>44236</v>
      </c>
      <c r="L4" s="5">
        <v>44237</v>
      </c>
      <c r="M4" s="5">
        <v>44238</v>
      </c>
      <c r="N4" s="5">
        <v>44239</v>
      </c>
      <c r="O4" s="5">
        <v>44240</v>
      </c>
      <c r="P4" s="5">
        <v>44241</v>
      </c>
      <c r="Q4" s="5">
        <v>44242</v>
      </c>
      <c r="R4" s="5">
        <v>44243</v>
      </c>
      <c r="S4" s="5">
        <v>44244</v>
      </c>
      <c r="T4" s="5">
        <v>44245</v>
      </c>
      <c r="U4" s="5">
        <v>44246</v>
      </c>
      <c r="V4" s="5">
        <v>44247</v>
      </c>
      <c r="W4" s="5">
        <v>44248</v>
      </c>
      <c r="X4" s="5">
        <v>44249</v>
      </c>
      <c r="Y4" s="5">
        <v>44250</v>
      </c>
      <c r="Z4" s="5">
        <v>44251</v>
      </c>
      <c r="AA4" s="5">
        <v>44252</v>
      </c>
      <c r="AB4" s="5">
        <v>44253</v>
      </c>
      <c r="AC4" s="5">
        <v>44254</v>
      </c>
      <c r="AD4" s="5">
        <v>44255</v>
      </c>
      <c r="AE4" s="5"/>
      <c r="AF4" s="5"/>
      <c r="AG4" s="5"/>
      <c r="AH4" s="4" t="s">
        <v>1</v>
      </c>
      <c r="AJ4" s="4" t="s">
        <v>23</v>
      </c>
      <c r="AK4" s="4" t="s">
        <v>24</v>
      </c>
      <c r="AL4" s="4" t="s">
        <v>26</v>
      </c>
      <c r="AM4" s="4" t="s">
        <v>68</v>
      </c>
      <c r="AN4" s="4" t="s">
        <v>27</v>
      </c>
      <c r="AO4" s="4" t="s">
        <v>30</v>
      </c>
      <c r="AP4" s="4" t="s">
        <v>32</v>
      </c>
      <c r="AQ4" s="4" t="s">
        <v>28</v>
      </c>
      <c r="AR4" s="4" t="s">
        <v>29</v>
      </c>
      <c r="AS4" s="4" t="s">
        <v>31</v>
      </c>
    </row>
    <row r="5" spans="1:47" x14ac:dyDescent="0.3">
      <c r="A5" s="2">
        <v>1</v>
      </c>
      <c r="B5" s="3" t="s">
        <v>4</v>
      </c>
      <c r="C5" s="7">
        <v>1.5</v>
      </c>
      <c r="D5" s="7">
        <v>1.5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1.5</v>
      </c>
      <c r="P5" s="7">
        <v>1.5</v>
      </c>
      <c r="Q5" s="7">
        <v>1.5</v>
      </c>
      <c r="R5" s="7">
        <v>1</v>
      </c>
      <c r="S5" s="7">
        <v>1</v>
      </c>
      <c r="T5" s="7">
        <v>1.5</v>
      </c>
      <c r="U5" s="7">
        <v>2.5</v>
      </c>
      <c r="V5" s="7">
        <v>1.5</v>
      </c>
      <c r="W5" s="7">
        <v>1.5</v>
      </c>
      <c r="X5" s="7">
        <v>1</v>
      </c>
      <c r="Y5" s="7">
        <v>1</v>
      </c>
      <c r="Z5" s="7">
        <v>1</v>
      </c>
      <c r="AA5" s="7">
        <v>1.5</v>
      </c>
      <c r="AB5" s="7">
        <v>2</v>
      </c>
      <c r="AC5" s="7">
        <v>1.5</v>
      </c>
      <c r="AD5" s="7">
        <v>1</v>
      </c>
      <c r="AE5" s="7">
        <v>0</v>
      </c>
      <c r="AF5" s="7">
        <v>0</v>
      </c>
      <c r="AG5" s="7">
        <v>0</v>
      </c>
      <c r="AH5" s="7">
        <f t="shared" ref="AH5:AH11" si="0">SUM(C5:AG5)</f>
        <v>25.5</v>
      </c>
      <c r="AJ5" s="15">
        <f>AH5*$E$1</f>
        <v>1088.8540031397174</v>
      </c>
      <c r="AK5" s="16">
        <f>AH15</f>
        <v>3180</v>
      </c>
      <c r="AL5" s="15">
        <f>AK5-AJ5</f>
        <v>2091.1459968602826</v>
      </c>
      <c r="AM5" s="16">
        <f>N24</f>
        <v>4276.4285714285706</v>
      </c>
      <c r="AN5" s="15">
        <f>AM5-AL5</f>
        <v>2185.2825745682881</v>
      </c>
      <c r="AO5" s="15">
        <f>'Meal Jan''21 &amp; Rent February'!AS5</f>
        <v>1862.0401922969775</v>
      </c>
      <c r="AP5" s="15">
        <f>AN5-AO5</f>
        <v>323.24238227131059</v>
      </c>
      <c r="AQ5" s="6">
        <f>3500</f>
        <v>3500</v>
      </c>
      <c r="AR5" s="17">
        <v>44265</v>
      </c>
      <c r="AS5" s="15">
        <f>AQ5-AP5</f>
        <v>3176.7576177286892</v>
      </c>
    </row>
    <row r="6" spans="1:47" x14ac:dyDescent="0.3">
      <c r="A6" s="2">
        <v>2</v>
      </c>
      <c r="B6" s="3" t="s">
        <v>5</v>
      </c>
      <c r="C6" s="7">
        <v>1.5</v>
      </c>
      <c r="D6" s="7">
        <v>1.5</v>
      </c>
      <c r="E6" s="7">
        <v>1.5</v>
      </c>
      <c r="F6" s="7">
        <v>1.5</v>
      </c>
      <c r="G6" s="7">
        <v>1</v>
      </c>
      <c r="H6" s="7">
        <v>0</v>
      </c>
      <c r="I6" s="7">
        <v>1</v>
      </c>
      <c r="J6" s="7">
        <v>0</v>
      </c>
      <c r="K6" s="7">
        <v>1.5</v>
      </c>
      <c r="L6" s="7">
        <v>1.5</v>
      </c>
      <c r="M6" s="7">
        <v>1.5</v>
      </c>
      <c r="N6" s="7">
        <v>1.5</v>
      </c>
      <c r="O6" s="7">
        <v>1</v>
      </c>
      <c r="P6" s="7">
        <v>0.5</v>
      </c>
      <c r="Q6" s="7">
        <v>1.5</v>
      </c>
      <c r="R6" s="7">
        <v>1</v>
      </c>
      <c r="S6" s="7">
        <v>1</v>
      </c>
      <c r="T6" s="7">
        <v>1.5</v>
      </c>
      <c r="U6" s="7">
        <v>1.5</v>
      </c>
      <c r="V6" s="7">
        <v>1.5</v>
      </c>
      <c r="W6" s="7">
        <v>1.5</v>
      </c>
      <c r="X6" s="7">
        <v>1</v>
      </c>
      <c r="Y6" s="7">
        <v>0</v>
      </c>
      <c r="Z6" s="7">
        <v>0</v>
      </c>
      <c r="AA6" s="7">
        <v>1.5</v>
      </c>
      <c r="AB6" s="7">
        <v>1.5</v>
      </c>
      <c r="AC6" s="7">
        <v>1.5</v>
      </c>
      <c r="AD6" s="7">
        <v>1.5</v>
      </c>
      <c r="AE6" s="7">
        <v>0</v>
      </c>
      <c r="AF6" s="7">
        <v>0</v>
      </c>
      <c r="AG6" s="7">
        <v>0</v>
      </c>
      <c r="AH6" s="7">
        <f t="shared" si="0"/>
        <v>32</v>
      </c>
      <c r="AJ6" s="15">
        <f t="shared" ref="AJ6:AJ11" si="1">AH6*$E$1</f>
        <v>1366.4050235478808</v>
      </c>
      <c r="AK6" s="16">
        <f>AH16</f>
        <v>2250</v>
      </c>
      <c r="AL6" s="15">
        <f>AK6-AJ6</f>
        <v>883.59497645211923</v>
      </c>
      <c r="AM6" s="16">
        <f t="shared" ref="AM6:AM8" si="2">N25</f>
        <v>4276.4285714285706</v>
      </c>
      <c r="AN6" s="15">
        <f t="shared" ref="AN6:AN11" si="3">AM6-AL6</f>
        <v>3392.8335949764514</v>
      </c>
      <c r="AO6" s="15">
        <f>'Meal Jan''21 &amp; Rent February'!AS6</f>
        <v>159.29441159119096</v>
      </c>
      <c r="AP6" s="15">
        <f t="shared" ref="AP6:AP11" si="4">AN6-AO6</f>
        <v>3233.5391833852605</v>
      </c>
      <c r="AQ6" s="6">
        <v>3233</v>
      </c>
      <c r="AR6" s="17">
        <v>44286</v>
      </c>
      <c r="AS6" s="15">
        <f t="shared" ref="AS6:AS10" si="5">AQ6-AP6</f>
        <v>-0.53918338526045773</v>
      </c>
    </row>
    <row r="7" spans="1:47" x14ac:dyDescent="0.3">
      <c r="A7" s="2">
        <v>3</v>
      </c>
      <c r="B7" s="3" t="s">
        <v>6</v>
      </c>
      <c r="C7" s="7">
        <v>1.5</v>
      </c>
      <c r="D7" s="7">
        <v>1.5</v>
      </c>
      <c r="E7" s="7">
        <v>1.5</v>
      </c>
      <c r="F7" s="7">
        <v>1.5</v>
      </c>
      <c r="G7" s="7">
        <v>2.5</v>
      </c>
      <c r="H7" s="7">
        <v>1.5</v>
      </c>
      <c r="I7" s="7">
        <v>1.5</v>
      </c>
      <c r="J7" s="7">
        <v>1.5</v>
      </c>
      <c r="K7" s="7">
        <v>1.5</v>
      </c>
      <c r="L7" s="7">
        <v>1.5</v>
      </c>
      <c r="M7" s="7">
        <v>1.5</v>
      </c>
      <c r="N7" s="7">
        <v>2.5</v>
      </c>
      <c r="O7" s="7">
        <v>1.5</v>
      </c>
      <c r="P7" s="7">
        <v>1.5</v>
      </c>
      <c r="Q7" s="7">
        <v>1.5</v>
      </c>
      <c r="R7" s="7">
        <v>1</v>
      </c>
      <c r="S7" s="7">
        <v>1</v>
      </c>
      <c r="T7" s="7">
        <v>1.5</v>
      </c>
      <c r="U7" s="7">
        <v>2.5</v>
      </c>
      <c r="V7" s="7">
        <v>1.5</v>
      </c>
      <c r="W7" s="7">
        <v>2.5</v>
      </c>
      <c r="X7" s="7">
        <v>1.5</v>
      </c>
      <c r="Y7" s="7">
        <v>1.5</v>
      </c>
      <c r="Z7" s="7">
        <v>1.5</v>
      </c>
      <c r="AA7" s="7">
        <v>1.5</v>
      </c>
      <c r="AB7" s="7">
        <v>2.5</v>
      </c>
      <c r="AC7" s="7">
        <v>1.5</v>
      </c>
      <c r="AD7" s="7">
        <v>1.5</v>
      </c>
      <c r="AE7" s="7">
        <v>0</v>
      </c>
      <c r="AF7" s="7">
        <v>0</v>
      </c>
      <c r="AG7" s="7">
        <v>0</v>
      </c>
      <c r="AH7" s="7">
        <f t="shared" si="0"/>
        <v>46</v>
      </c>
      <c r="AJ7" s="15">
        <f t="shared" si="1"/>
        <v>1964.2072213500787</v>
      </c>
      <c r="AK7" s="16">
        <f>AH17</f>
        <v>980</v>
      </c>
      <c r="AL7" s="15">
        <f t="shared" ref="AL7:AL11" si="6">AK7-AJ7</f>
        <v>-984.20722135007873</v>
      </c>
      <c r="AM7" s="16">
        <f t="shared" si="2"/>
        <v>3109.7619047619046</v>
      </c>
      <c r="AN7" s="15">
        <f t="shared" si="3"/>
        <v>4093.9691261119833</v>
      </c>
      <c r="AO7" s="15">
        <f>'Meal Jan''21 &amp; Rent February'!AS7</f>
        <v>-4187.1498991656244</v>
      </c>
      <c r="AP7" s="15">
        <f t="shared" si="4"/>
        <v>8281.1190252776069</v>
      </c>
      <c r="AQ7" s="6">
        <v>3000</v>
      </c>
      <c r="AR7" s="17">
        <v>44287</v>
      </c>
      <c r="AS7" s="15">
        <f t="shared" si="5"/>
        <v>-5281.1190252776069</v>
      </c>
    </row>
    <row r="8" spans="1:47" x14ac:dyDescent="0.3">
      <c r="A8" s="2">
        <v>4</v>
      </c>
      <c r="B8" s="3" t="s">
        <v>57</v>
      </c>
      <c r="C8" s="7">
        <v>2.5</v>
      </c>
      <c r="D8" s="7">
        <v>2.5</v>
      </c>
      <c r="E8" s="7">
        <v>2.5</v>
      </c>
      <c r="F8" s="7">
        <v>2.5</v>
      </c>
      <c r="G8" s="7">
        <v>2.5</v>
      </c>
      <c r="H8" s="7">
        <v>2</v>
      </c>
      <c r="I8" s="7">
        <v>1.5</v>
      </c>
      <c r="J8" s="7">
        <v>1.5</v>
      </c>
      <c r="K8" s="7">
        <v>2.5</v>
      </c>
      <c r="L8" s="7">
        <v>2.5</v>
      </c>
      <c r="M8" s="7">
        <v>2.5</v>
      </c>
      <c r="N8" s="7">
        <v>2.5</v>
      </c>
      <c r="O8" s="7">
        <v>2.5</v>
      </c>
      <c r="P8" s="7">
        <v>2.5</v>
      </c>
      <c r="Q8" s="7">
        <v>2.5</v>
      </c>
      <c r="R8" s="7">
        <v>2.5</v>
      </c>
      <c r="S8" s="7">
        <v>2.5</v>
      </c>
      <c r="T8" s="7">
        <v>2.5</v>
      </c>
      <c r="U8" s="7">
        <v>2.5</v>
      </c>
      <c r="V8" s="7">
        <v>2.5</v>
      </c>
      <c r="W8" s="7">
        <v>2.5</v>
      </c>
      <c r="X8" s="7">
        <v>2.5</v>
      </c>
      <c r="Y8" s="7">
        <v>2.5</v>
      </c>
      <c r="Z8" s="7">
        <v>2.5</v>
      </c>
      <c r="AA8" s="7">
        <v>2.5</v>
      </c>
      <c r="AB8" s="7">
        <v>2.5</v>
      </c>
      <c r="AC8" s="7">
        <v>2.5</v>
      </c>
      <c r="AD8" s="7">
        <v>2.5</v>
      </c>
      <c r="AE8" s="7">
        <v>0</v>
      </c>
      <c r="AF8" s="7">
        <v>0</v>
      </c>
      <c r="AG8" s="7">
        <v>0</v>
      </c>
      <c r="AH8" s="7">
        <f t="shared" si="0"/>
        <v>67.5</v>
      </c>
      <c r="AJ8" s="15">
        <f>AH8*$E$1</f>
        <v>2882.2605965463108</v>
      </c>
      <c r="AK8" s="16">
        <f>AH18</f>
        <v>2095</v>
      </c>
      <c r="AL8" s="15">
        <f t="shared" si="6"/>
        <v>-787.26059654631081</v>
      </c>
      <c r="AM8" s="16">
        <f t="shared" si="2"/>
        <v>3109.7619047619046</v>
      </c>
      <c r="AN8" s="15">
        <f t="shared" si="3"/>
        <v>3897.0225013082154</v>
      </c>
      <c r="AO8" s="15">
        <f>'Meal Jan''21 &amp; Rent February'!AS13</f>
        <v>-2632.6835970813991</v>
      </c>
      <c r="AP8" s="15">
        <f t="shared" si="4"/>
        <v>6529.7060983896145</v>
      </c>
      <c r="AQ8" s="6">
        <f>2500</f>
        <v>2500</v>
      </c>
      <c r="AR8" s="17">
        <v>44269</v>
      </c>
      <c r="AS8" s="15">
        <f>AQ8-AP8</f>
        <v>-4029.7060983896145</v>
      </c>
      <c r="AT8" s="25"/>
      <c r="AU8" s="25"/>
    </row>
    <row r="9" spans="1:47" x14ac:dyDescent="0.3">
      <c r="A9" s="2">
        <v>5</v>
      </c>
      <c r="B9" s="12" t="s">
        <v>51</v>
      </c>
      <c r="C9" s="7">
        <v>1.5</v>
      </c>
      <c r="D9" s="7">
        <v>2.5</v>
      </c>
      <c r="E9" s="7">
        <v>1.5</v>
      </c>
      <c r="F9" s="7">
        <v>1</v>
      </c>
      <c r="G9" s="7">
        <v>1.5</v>
      </c>
      <c r="H9" s="7">
        <v>0</v>
      </c>
      <c r="I9" s="7">
        <v>0</v>
      </c>
      <c r="J9" s="7">
        <v>0</v>
      </c>
      <c r="K9" s="7">
        <v>1</v>
      </c>
      <c r="L9" s="7">
        <v>1.5</v>
      </c>
      <c r="M9" s="7">
        <v>1.5</v>
      </c>
      <c r="N9" s="7">
        <v>2.5</v>
      </c>
      <c r="O9" s="7">
        <v>2.5</v>
      </c>
      <c r="P9" s="7">
        <v>2.5</v>
      </c>
      <c r="Q9" s="7">
        <v>2</v>
      </c>
      <c r="R9" s="7">
        <v>1.5</v>
      </c>
      <c r="S9" s="7">
        <v>1</v>
      </c>
      <c r="T9" s="7">
        <v>1.5</v>
      </c>
      <c r="U9" s="7">
        <v>2.5</v>
      </c>
      <c r="V9" s="7">
        <v>1.5</v>
      </c>
      <c r="W9" s="7">
        <v>2.5</v>
      </c>
      <c r="X9" s="7">
        <v>1.5</v>
      </c>
      <c r="Y9" s="7">
        <v>2.5</v>
      </c>
      <c r="Z9" s="7">
        <v>2.5</v>
      </c>
      <c r="AA9" s="7">
        <v>1</v>
      </c>
      <c r="AB9" s="7">
        <v>2.5</v>
      </c>
      <c r="AC9" s="7">
        <v>2.5</v>
      </c>
      <c r="AD9" s="7">
        <v>1.5</v>
      </c>
      <c r="AE9" s="7">
        <v>0</v>
      </c>
      <c r="AF9" s="7">
        <v>0</v>
      </c>
      <c r="AG9" s="7">
        <v>0</v>
      </c>
      <c r="AH9" s="7">
        <f t="shared" si="0"/>
        <v>46</v>
      </c>
      <c r="AJ9" s="15">
        <f>$AH$9*$E$1</f>
        <v>1964.2072213500787</v>
      </c>
      <c r="AK9" s="16">
        <f>AH19</f>
        <v>3285</v>
      </c>
      <c r="AL9" s="15">
        <f>AK9-AJ9</f>
        <v>1320.7927786499213</v>
      </c>
      <c r="AM9" s="16">
        <f>N28</f>
        <v>3109.7619047619046</v>
      </c>
      <c r="AN9" s="15">
        <f t="shared" si="3"/>
        <v>1788.9691261119833</v>
      </c>
      <c r="AO9" s="15">
        <f>'Meal Jan''21 &amp; Rent February'!AS9</f>
        <v>-1030.9016393442612</v>
      </c>
      <c r="AP9" s="15">
        <f t="shared" si="4"/>
        <v>2819.8707654562445</v>
      </c>
      <c r="AQ9" s="6">
        <f>2500+320</f>
        <v>2820</v>
      </c>
      <c r="AR9" s="17">
        <v>44267</v>
      </c>
      <c r="AS9" s="15">
        <f>AQ9-AP9</f>
        <v>0.12923454375550136</v>
      </c>
      <c r="AU9" s="25"/>
    </row>
    <row r="10" spans="1:47" x14ac:dyDescent="0.3">
      <c r="A10" s="2">
        <v>6</v>
      </c>
      <c r="B10" s="3" t="s">
        <v>7</v>
      </c>
      <c r="C10" s="7">
        <f>C13-C8</f>
        <v>1.5</v>
      </c>
      <c r="D10" s="7">
        <f t="shared" ref="D10:AD10" si="7">D13-D8</f>
        <v>1.5</v>
      </c>
      <c r="E10" s="7">
        <f t="shared" si="7"/>
        <v>1.5</v>
      </c>
      <c r="F10" s="7">
        <f t="shared" si="7"/>
        <v>1.5</v>
      </c>
      <c r="G10" s="7">
        <f t="shared" si="7"/>
        <v>2.5</v>
      </c>
      <c r="H10" s="7">
        <f t="shared" si="7"/>
        <v>0</v>
      </c>
      <c r="I10" s="7">
        <f t="shared" si="7"/>
        <v>1.5</v>
      </c>
      <c r="J10" s="7">
        <f t="shared" si="7"/>
        <v>1.5</v>
      </c>
      <c r="K10" s="7">
        <f t="shared" si="7"/>
        <v>1.5</v>
      </c>
      <c r="L10" s="7">
        <f t="shared" si="7"/>
        <v>1.5</v>
      </c>
      <c r="M10" s="7">
        <f t="shared" si="7"/>
        <v>1.5</v>
      </c>
      <c r="N10" s="7">
        <f t="shared" si="7"/>
        <v>2.5</v>
      </c>
      <c r="O10" s="7">
        <f t="shared" si="7"/>
        <v>2.5</v>
      </c>
      <c r="P10" s="7">
        <f t="shared" si="7"/>
        <v>0.5</v>
      </c>
      <c r="Q10" s="7">
        <f t="shared" si="7"/>
        <v>1.5</v>
      </c>
      <c r="R10" s="7">
        <f t="shared" si="7"/>
        <v>0.5</v>
      </c>
      <c r="S10" s="7">
        <f t="shared" si="7"/>
        <v>0.5</v>
      </c>
      <c r="T10" s="7">
        <f t="shared" si="7"/>
        <v>1.5</v>
      </c>
      <c r="U10" s="7">
        <f t="shared" si="7"/>
        <v>0.5</v>
      </c>
      <c r="V10" s="7">
        <f t="shared" si="7"/>
        <v>2.5</v>
      </c>
      <c r="W10" s="7">
        <f t="shared" si="7"/>
        <v>2.5</v>
      </c>
      <c r="X10" s="7">
        <f t="shared" si="7"/>
        <v>1.5</v>
      </c>
      <c r="Y10" s="7">
        <f t="shared" si="7"/>
        <v>1.5</v>
      </c>
      <c r="Z10" s="7">
        <f t="shared" si="7"/>
        <v>1.5</v>
      </c>
      <c r="AA10" s="7">
        <f t="shared" si="7"/>
        <v>0.5</v>
      </c>
      <c r="AB10" s="7">
        <f t="shared" si="7"/>
        <v>1</v>
      </c>
      <c r="AC10" s="7">
        <f t="shared" si="7"/>
        <v>2.5</v>
      </c>
      <c r="AD10" s="7">
        <f t="shared" si="7"/>
        <v>1.5</v>
      </c>
      <c r="AE10" s="7">
        <v>0</v>
      </c>
      <c r="AF10" s="7">
        <v>0</v>
      </c>
      <c r="AG10" s="7">
        <v>0</v>
      </c>
      <c r="AH10" s="7">
        <f t="shared" si="0"/>
        <v>41</v>
      </c>
      <c r="AJ10" s="15">
        <f t="shared" si="1"/>
        <v>1750.7064364207222</v>
      </c>
      <c r="AK10" s="16">
        <f t="shared" ref="AK10:AK11" si="8">AH20</f>
        <v>70</v>
      </c>
      <c r="AL10" s="15">
        <f t="shared" si="6"/>
        <v>-1680.7064364207222</v>
      </c>
      <c r="AM10" s="16">
        <f>N29</f>
        <v>4276.4285714285706</v>
      </c>
      <c r="AN10" s="15">
        <f t="shared" si="3"/>
        <v>5957.1350078492924</v>
      </c>
      <c r="AO10" s="15">
        <f>'Meal Jan''21 &amp; Rent February'!AS10</f>
        <v>-4230.5641019171671</v>
      </c>
      <c r="AP10" s="15">
        <f t="shared" si="4"/>
        <v>10187.69910976646</v>
      </c>
      <c r="AQ10" s="6">
        <f>-'Meal Jan''21 &amp; Rent February'!AS13</f>
        <v>2632.6835970813991</v>
      </c>
      <c r="AR10" s="17"/>
      <c r="AS10" s="15">
        <f t="shared" si="5"/>
        <v>-7555.0155126850605</v>
      </c>
    </row>
    <row r="11" spans="1:47" x14ac:dyDescent="0.3">
      <c r="A11" s="2">
        <v>7</v>
      </c>
      <c r="B11" s="3" t="s">
        <v>8</v>
      </c>
      <c r="C11" s="7">
        <v>2.5</v>
      </c>
      <c r="D11" s="7">
        <v>1.5</v>
      </c>
      <c r="E11" s="7">
        <v>2.5</v>
      </c>
      <c r="F11" s="7">
        <v>2.5</v>
      </c>
      <c r="G11" s="7">
        <v>2.5</v>
      </c>
      <c r="H11" s="7">
        <v>2.5</v>
      </c>
      <c r="I11" s="7">
        <v>0</v>
      </c>
      <c r="J11" s="7">
        <v>2</v>
      </c>
      <c r="K11" s="7">
        <v>1.5</v>
      </c>
      <c r="L11" s="7">
        <v>2.5</v>
      </c>
      <c r="M11" s="7">
        <v>2.5</v>
      </c>
      <c r="N11" s="7">
        <v>1.5</v>
      </c>
      <c r="O11" s="7">
        <v>2.5</v>
      </c>
      <c r="P11" s="7">
        <v>1.5</v>
      </c>
      <c r="Q11" s="7">
        <v>2.5</v>
      </c>
      <c r="R11" s="7">
        <v>2</v>
      </c>
      <c r="S11" s="7">
        <v>2</v>
      </c>
      <c r="T11" s="7">
        <v>2.5</v>
      </c>
      <c r="U11" s="7">
        <v>2.5</v>
      </c>
      <c r="V11" s="7">
        <v>2.5</v>
      </c>
      <c r="W11" s="7">
        <v>2.5</v>
      </c>
      <c r="X11" s="7">
        <v>2.5</v>
      </c>
      <c r="Y11" s="7">
        <v>2.5</v>
      </c>
      <c r="Z11" s="7">
        <v>1.5</v>
      </c>
      <c r="AA11" s="7">
        <v>2.5</v>
      </c>
      <c r="AB11" s="7">
        <v>2.5</v>
      </c>
      <c r="AC11" s="7">
        <v>2</v>
      </c>
      <c r="AD11" s="7">
        <v>2.5</v>
      </c>
      <c r="AE11" s="7">
        <v>0</v>
      </c>
      <c r="AF11" s="7">
        <v>0</v>
      </c>
      <c r="AG11" s="7">
        <v>0</v>
      </c>
      <c r="AH11" s="7">
        <f t="shared" si="0"/>
        <v>60.5</v>
      </c>
      <c r="AJ11" s="15">
        <f t="shared" si="1"/>
        <v>2583.3594976452123</v>
      </c>
      <c r="AK11" s="16">
        <f t="shared" si="8"/>
        <v>1740</v>
      </c>
      <c r="AL11" s="15">
        <f t="shared" si="6"/>
        <v>-843.35949764521229</v>
      </c>
      <c r="AM11" s="16">
        <f>N30</f>
        <v>4276.4285714285706</v>
      </c>
      <c r="AN11" s="15">
        <f t="shared" si="3"/>
        <v>5119.7880690737829</v>
      </c>
      <c r="AO11" s="15">
        <f>'Meal Jan''21 &amp; Rent February'!AS11</f>
        <v>0.46875387818545278</v>
      </c>
      <c r="AP11" s="15">
        <f t="shared" si="4"/>
        <v>5119.3193151955975</v>
      </c>
      <c r="AQ11" s="6">
        <f>500+2500+120+115+120</f>
        <v>3355</v>
      </c>
      <c r="AR11" s="17">
        <v>44271</v>
      </c>
      <c r="AS11" s="15">
        <f>AQ11-AP11</f>
        <v>-1764.3193151955975</v>
      </c>
    </row>
    <row r="12" spans="1:47" x14ac:dyDescent="0.3">
      <c r="A12" s="1"/>
      <c r="B12" s="1"/>
      <c r="C12" s="7">
        <f>SUM(C5:C11)</f>
        <v>12.5</v>
      </c>
      <c r="D12" s="7">
        <f t="shared" ref="D12:AF12" si="9">SUM(D5:D11)</f>
        <v>12.5</v>
      </c>
      <c r="E12" s="7">
        <f t="shared" si="9"/>
        <v>11</v>
      </c>
      <c r="F12" s="7">
        <f t="shared" si="9"/>
        <v>10.5</v>
      </c>
      <c r="G12" s="7">
        <f t="shared" si="9"/>
        <v>12.5</v>
      </c>
      <c r="H12" s="7">
        <f t="shared" si="9"/>
        <v>6</v>
      </c>
      <c r="I12" s="7">
        <f t="shared" si="9"/>
        <v>5.5</v>
      </c>
      <c r="J12" s="7">
        <f t="shared" si="9"/>
        <v>6.5</v>
      </c>
      <c r="K12" s="7">
        <f t="shared" si="9"/>
        <v>9.5</v>
      </c>
      <c r="L12" s="7">
        <f t="shared" si="9"/>
        <v>11</v>
      </c>
      <c r="M12" s="7">
        <f t="shared" si="9"/>
        <v>11</v>
      </c>
      <c r="N12" s="7">
        <f t="shared" si="9"/>
        <v>13</v>
      </c>
      <c r="O12" s="7">
        <f t="shared" si="9"/>
        <v>14</v>
      </c>
      <c r="P12" s="7">
        <f t="shared" si="9"/>
        <v>10.5</v>
      </c>
      <c r="Q12" s="7">
        <f t="shared" si="9"/>
        <v>13</v>
      </c>
      <c r="R12" s="7">
        <f t="shared" si="9"/>
        <v>9.5</v>
      </c>
      <c r="S12" s="7">
        <f t="shared" si="9"/>
        <v>9</v>
      </c>
      <c r="T12" s="7">
        <f t="shared" si="9"/>
        <v>12.5</v>
      </c>
      <c r="U12" s="7">
        <f t="shared" si="9"/>
        <v>14.5</v>
      </c>
      <c r="V12" s="7">
        <f t="shared" si="9"/>
        <v>13.5</v>
      </c>
      <c r="W12" s="7">
        <f t="shared" si="9"/>
        <v>15.5</v>
      </c>
      <c r="X12" s="7">
        <f t="shared" si="9"/>
        <v>11.5</v>
      </c>
      <c r="Y12" s="7">
        <f t="shared" si="9"/>
        <v>11.5</v>
      </c>
      <c r="Z12" s="7">
        <f t="shared" si="9"/>
        <v>10.5</v>
      </c>
      <c r="AA12" s="7">
        <f t="shared" si="9"/>
        <v>11</v>
      </c>
      <c r="AB12" s="7">
        <f t="shared" si="9"/>
        <v>14.5</v>
      </c>
      <c r="AC12" s="7">
        <f t="shared" si="9"/>
        <v>14</v>
      </c>
      <c r="AD12" s="7">
        <f t="shared" si="9"/>
        <v>12</v>
      </c>
      <c r="AE12" s="7">
        <f t="shared" si="9"/>
        <v>0</v>
      </c>
      <c r="AF12" s="7">
        <f t="shared" si="9"/>
        <v>0</v>
      </c>
      <c r="AG12" s="7"/>
      <c r="AH12" s="7">
        <f>SUM(AH5:AH11)</f>
        <v>318.5</v>
      </c>
      <c r="AJ12" s="15">
        <f t="shared" ref="AJ12:AO12" si="10">SUM(AJ5:AJ11)</f>
        <v>13600</v>
      </c>
      <c r="AK12" s="16">
        <f t="shared" si="10"/>
        <v>13600</v>
      </c>
      <c r="AL12" s="16">
        <f t="shared" si="10"/>
        <v>-9.0949470177292824E-13</v>
      </c>
      <c r="AM12" s="16">
        <f>SUM(AM5:AM11)</f>
        <v>26435</v>
      </c>
      <c r="AN12" s="16">
        <f t="shared" si="10"/>
        <v>26434.999999999996</v>
      </c>
      <c r="AO12" s="16">
        <f t="shared" si="10"/>
        <v>-10059.495879742099</v>
      </c>
      <c r="AP12" s="15">
        <f>AN12-AO12+$AU$4</f>
        <v>36494.495879742099</v>
      </c>
      <c r="AQ12" s="16"/>
      <c r="AR12" s="16"/>
      <c r="AS12" s="16">
        <f>SUM(AS5:AS11)</f>
        <v>-15453.812282660696</v>
      </c>
    </row>
    <row r="13" spans="1:47" x14ac:dyDescent="0.3">
      <c r="A13" s="36"/>
      <c r="B13" s="36"/>
      <c r="C13" s="7">
        <v>4</v>
      </c>
      <c r="D13" s="7">
        <v>4</v>
      </c>
      <c r="E13" s="7">
        <v>4</v>
      </c>
      <c r="F13" s="7">
        <v>4</v>
      </c>
      <c r="G13" s="7">
        <v>5</v>
      </c>
      <c r="H13" s="7">
        <v>2</v>
      </c>
      <c r="I13" s="7">
        <v>3</v>
      </c>
      <c r="J13" s="7">
        <v>3</v>
      </c>
      <c r="K13" s="7">
        <v>4</v>
      </c>
      <c r="L13" s="7">
        <v>4</v>
      </c>
      <c r="M13" s="7">
        <v>4</v>
      </c>
      <c r="N13" s="7">
        <v>5</v>
      </c>
      <c r="O13" s="7">
        <v>5</v>
      </c>
      <c r="P13" s="7">
        <v>3</v>
      </c>
      <c r="Q13" s="7">
        <v>4</v>
      </c>
      <c r="R13" s="7">
        <v>3</v>
      </c>
      <c r="S13" s="7">
        <v>3</v>
      </c>
      <c r="T13" s="7">
        <v>4</v>
      </c>
      <c r="U13" s="7">
        <v>3</v>
      </c>
      <c r="V13" s="7">
        <v>5</v>
      </c>
      <c r="W13" s="7">
        <v>5</v>
      </c>
      <c r="X13" s="7">
        <v>4</v>
      </c>
      <c r="Y13" s="7">
        <v>4</v>
      </c>
      <c r="Z13" s="7">
        <v>4</v>
      </c>
      <c r="AA13" s="7">
        <v>3</v>
      </c>
      <c r="AB13" s="7">
        <v>3.5</v>
      </c>
      <c r="AC13" s="7">
        <v>5</v>
      </c>
      <c r="AD13" s="7">
        <v>4</v>
      </c>
      <c r="AE13" s="37"/>
      <c r="AF13" s="37"/>
      <c r="AG13" s="37"/>
      <c r="AH13" s="37"/>
      <c r="AJ13" s="38"/>
      <c r="AK13" s="39"/>
      <c r="AL13" s="39"/>
      <c r="AM13" s="39"/>
      <c r="AN13" s="39"/>
      <c r="AO13" s="39"/>
      <c r="AP13" s="38"/>
      <c r="AQ13" s="39"/>
      <c r="AR13" s="39"/>
      <c r="AS13" s="39"/>
    </row>
    <row r="14" spans="1:47" x14ac:dyDescent="0.3">
      <c r="B14" s="10" t="s">
        <v>59</v>
      </c>
    </row>
    <row r="15" spans="1:47" x14ac:dyDescent="0.3">
      <c r="A15" s="2">
        <v>1</v>
      </c>
      <c r="B15" s="3" t="s">
        <v>4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2885</v>
      </c>
      <c r="U15" s="8">
        <v>295</v>
      </c>
      <c r="V15" s="8">
        <v>0</v>
      </c>
      <c r="W15" s="8">
        <v>0</v>
      </c>
      <c r="X15" s="8">
        <v>0</v>
      </c>
      <c r="Y15" s="8">
        <v>0</v>
      </c>
      <c r="Z15" s="8">
        <v>0</v>
      </c>
      <c r="AA15" s="8">
        <v>0</v>
      </c>
      <c r="AB15" s="8">
        <v>0</v>
      </c>
      <c r="AC15" s="8">
        <v>0</v>
      </c>
      <c r="AD15" s="8">
        <v>0</v>
      </c>
      <c r="AE15" s="8">
        <v>0</v>
      </c>
      <c r="AF15" s="8">
        <v>0</v>
      </c>
      <c r="AG15" s="8">
        <v>0</v>
      </c>
      <c r="AH15" s="8">
        <f>SUM(C15:AG15)</f>
        <v>3180</v>
      </c>
      <c r="AP15" s="25"/>
      <c r="AR15" s="1"/>
      <c r="AS15" s="8"/>
    </row>
    <row r="16" spans="1:47" x14ac:dyDescent="0.3">
      <c r="A16" s="2">
        <v>2</v>
      </c>
      <c r="B16" s="3" t="s">
        <v>5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  <c r="U16" s="8">
        <v>0</v>
      </c>
      <c r="V16" s="8">
        <v>0</v>
      </c>
      <c r="W16" s="8">
        <v>0</v>
      </c>
      <c r="X16" s="8">
        <v>0</v>
      </c>
      <c r="Y16" s="8">
        <v>0</v>
      </c>
      <c r="Z16" s="8">
        <v>0</v>
      </c>
      <c r="AA16" s="8">
        <v>2250</v>
      </c>
      <c r="AB16" s="8">
        <v>0</v>
      </c>
      <c r="AC16" s="8">
        <v>0</v>
      </c>
      <c r="AD16" s="8">
        <v>0</v>
      </c>
      <c r="AE16" s="8">
        <v>0</v>
      </c>
      <c r="AF16" s="8">
        <v>0</v>
      </c>
      <c r="AG16" s="8">
        <v>0</v>
      </c>
      <c r="AH16" s="8">
        <f t="shared" ref="AH16:AH21" si="11">SUM(C16:AG16)</f>
        <v>2250</v>
      </c>
      <c r="AR16" s="1"/>
      <c r="AS16" s="8"/>
      <c r="AT16" s="25"/>
    </row>
    <row r="17" spans="1:46" x14ac:dyDescent="0.3">
      <c r="A17" s="2">
        <v>3</v>
      </c>
      <c r="B17" s="3" t="s">
        <v>6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</v>
      </c>
      <c r="U17" s="8">
        <v>0</v>
      </c>
      <c r="V17" s="8">
        <v>0</v>
      </c>
      <c r="W17" s="8">
        <v>0</v>
      </c>
      <c r="X17" s="8">
        <v>980</v>
      </c>
      <c r="Y17" s="8">
        <v>0</v>
      </c>
      <c r="Z17" s="8">
        <v>0</v>
      </c>
      <c r="AA17" s="8">
        <v>0</v>
      </c>
      <c r="AB17" s="8">
        <v>0</v>
      </c>
      <c r="AC17" s="8">
        <v>0</v>
      </c>
      <c r="AD17" s="8">
        <v>0</v>
      </c>
      <c r="AE17" s="8">
        <v>0</v>
      </c>
      <c r="AF17" s="8">
        <v>0</v>
      </c>
      <c r="AG17" s="8">
        <v>0</v>
      </c>
      <c r="AH17" s="8">
        <f t="shared" si="11"/>
        <v>980</v>
      </c>
      <c r="AP17" s="25"/>
      <c r="AR17" s="1"/>
      <c r="AS17" s="8"/>
      <c r="AT17" s="25"/>
    </row>
    <row r="18" spans="1:46" x14ac:dyDescent="0.3">
      <c r="A18" s="2">
        <v>4</v>
      </c>
      <c r="B18" s="3" t="s">
        <v>57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980</v>
      </c>
      <c r="J18" s="8">
        <v>375</v>
      </c>
      <c r="K18" s="8">
        <v>0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  <c r="T18" s="8">
        <v>0</v>
      </c>
      <c r="U18" s="8">
        <v>0</v>
      </c>
      <c r="V18" s="8">
        <v>740</v>
      </c>
      <c r="W18" s="8">
        <v>0</v>
      </c>
      <c r="X18" s="8">
        <v>0</v>
      </c>
      <c r="Y18" s="8">
        <v>0</v>
      </c>
      <c r="Z18" s="8">
        <v>0</v>
      </c>
      <c r="AA18" s="8">
        <v>0</v>
      </c>
      <c r="AB18" s="8">
        <v>0</v>
      </c>
      <c r="AC18" s="8">
        <v>0</v>
      </c>
      <c r="AD18" s="8">
        <v>0</v>
      </c>
      <c r="AE18" s="8">
        <v>0</v>
      </c>
      <c r="AF18" s="8">
        <v>0</v>
      </c>
      <c r="AG18" s="8">
        <v>0</v>
      </c>
      <c r="AH18" s="8">
        <f t="shared" si="11"/>
        <v>2095</v>
      </c>
    </row>
    <row r="19" spans="1:46" x14ac:dyDescent="0.3">
      <c r="A19" s="2">
        <v>5</v>
      </c>
      <c r="B19" s="12" t="s">
        <v>51</v>
      </c>
      <c r="C19" s="8">
        <v>1325</v>
      </c>
      <c r="D19" s="8">
        <v>0</v>
      </c>
      <c r="E19" s="8">
        <v>0</v>
      </c>
      <c r="F19" s="8">
        <v>950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125</v>
      </c>
      <c r="N19" s="8">
        <v>0</v>
      </c>
      <c r="O19" s="8">
        <v>0</v>
      </c>
      <c r="P19" s="8">
        <v>0</v>
      </c>
      <c r="Q19" s="8">
        <v>735</v>
      </c>
      <c r="R19" s="8">
        <v>150</v>
      </c>
      <c r="S19" s="8">
        <v>0</v>
      </c>
      <c r="T19" s="8">
        <v>0</v>
      </c>
      <c r="U19" s="8">
        <v>0</v>
      </c>
      <c r="V19" s="8">
        <v>0</v>
      </c>
      <c r="W19" s="8">
        <v>0</v>
      </c>
      <c r="X19" s="8">
        <v>0</v>
      </c>
      <c r="Y19" s="8">
        <v>0</v>
      </c>
      <c r="Z19" s="8">
        <v>0</v>
      </c>
      <c r="AA19" s="8">
        <v>0</v>
      </c>
      <c r="AB19" s="8">
        <v>0</v>
      </c>
      <c r="AC19" s="8">
        <v>0</v>
      </c>
      <c r="AD19" s="8">
        <v>0</v>
      </c>
      <c r="AE19" s="8">
        <v>0</v>
      </c>
      <c r="AF19" s="8">
        <v>0</v>
      </c>
      <c r="AG19" s="8">
        <v>0</v>
      </c>
      <c r="AH19" s="8">
        <f t="shared" si="11"/>
        <v>3285</v>
      </c>
    </row>
    <row r="20" spans="1:46" x14ac:dyDescent="0.3">
      <c r="A20" s="2">
        <v>6</v>
      </c>
      <c r="B20" s="3" t="s">
        <v>7</v>
      </c>
      <c r="C20" s="8">
        <v>0</v>
      </c>
      <c r="D20" s="8">
        <v>0</v>
      </c>
      <c r="E20" s="8">
        <v>70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  <c r="S20" s="8">
        <v>0</v>
      </c>
      <c r="T20" s="8">
        <v>0</v>
      </c>
      <c r="U20" s="8">
        <v>0</v>
      </c>
      <c r="V20" s="8">
        <v>0</v>
      </c>
      <c r="W20" s="8">
        <v>0</v>
      </c>
      <c r="X20" s="8">
        <v>0</v>
      </c>
      <c r="Y20" s="8">
        <v>0</v>
      </c>
      <c r="Z20" s="8">
        <v>0</v>
      </c>
      <c r="AA20" s="8">
        <v>0</v>
      </c>
      <c r="AB20" s="8">
        <v>0</v>
      </c>
      <c r="AC20" s="8">
        <v>0</v>
      </c>
      <c r="AD20" s="8">
        <v>0</v>
      </c>
      <c r="AE20" s="8">
        <v>0</v>
      </c>
      <c r="AF20" s="8">
        <v>0</v>
      </c>
      <c r="AG20" s="8">
        <v>0</v>
      </c>
      <c r="AH20" s="8">
        <f t="shared" si="11"/>
        <v>70</v>
      </c>
      <c r="AT20" s="25"/>
    </row>
    <row r="21" spans="1:46" x14ac:dyDescent="0.3">
      <c r="A21" s="2">
        <v>7</v>
      </c>
      <c r="B21" s="3" t="s">
        <v>8</v>
      </c>
      <c r="C21" s="8">
        <v>0</v>
      </c>
      <c r="D21" s="8">
        <v>0</v>
      </c>
      <c r="E21" s="8">
        <v>0</v>
      </c>
      <c r="F21" s="8">
        <v>0</v>
      </c>
      <c r="G21" s="8">
        <v>585</v>
      </c>
      <c r="H21" s="8">
        <v>0</v>
      </c>
      <c r="I21" s="8">
        <v>0</v>
      </c>
      <c r="J21" s="8">
        <v>0</v>
      </c>
      <c r="K21" s="8">
        <v>0</v>
      </c>
      <c r="L21" s="8">
        <v>210</v>
      </c>
      <c r="M21" s="8">
        <v>0</v>
      </c>
      <c r="N21" s="8">
        <v>230</v>
      </c>
      <c r="O21" s="8">
        <v>580</v>
      </c>
      <c r="P21" s="8">
        <v>0</v>
      </c>
      <c r="Q21" s="8">
        <v>0</v>
      </c>
      <c r="R21" s="8">
        <v>0</v>
      </c>
      <c r="S21" s="8">
        <v>135</v>
      </c>
      <c r="T21" s="8">
        <v>0</v>
      </c>
      <c r="U21" s="8">
        <v>0</v>
      </c>
      <c r="V21" s="8">
        <v>0</v>
      </c>
      <c r="W21" s="8">
        <v>0</v>
      </c>
      <c r="X21" s="8">
        <v>0</v>
      </c>
      <c r="Y21" s="8">
        <v>0</v>
      </c>
      <c r="Z21" s="8">
        <v>0</v>
      </c>
      <c r="AA21" s="8">
        <v>0</v>
      </c>
      <c r="AB21" s="8">
        <v>0</v>
      </c>
      <c r="AC21" s="8">
        <v>0</v>
      </c>
      <c r="AD21" s="8">
        <v>0</v>
      </c>
      <c r="AE21" s="8">
        <v>0</v>
      </c>
      <c r="AF21" s="8">
        <v>0</v>
      </c>
      <c r="AG21" s="8">
        <v>0</v>
      </c>
      <c r="AH21" s="8">
        <f t="shared" si="11"/>
        <v>1740</v>
      </c>
    </row>
    <row r="22" spans="1:46" x14ac:dyDescent="0.3">
      <c r="AH22" s="9">
        <f>SUM(AH15:AH21)</f>
        <v>13600</v>
      </c>
    </row>
    <row r="23" spans="1:46" x14ac:dyDescent="0.3">
      <c r="A23" s="4"/>
      <c r="B23" s="13" t="s">
        <v>60</v>
      </c>
      <c r="C23" s="4" t="s">
        <v>11</v>
      </c>
      <c r="D23" s="4" t="s">
        <v>12</v>
      </c>
      <c r="E23" s="4" t="s">
        <v>13</v>
      </c>
      <c r="F23" s="4" t="s">
        <v>14</v>
      </c>
      <c r="G23" s="4" t="s">
        <v>15</v>
      </c>
      <c r="H23" s="4" t="s">
        <v>16</v>
      </c>
      <c r="I23" s="4" t="s">
        <v>17</v>
      </c>
      <c r="J23" s="4" t="s">
        <v>18</v>
      </c>
      <c r="K23" s="4" t="s">
        <v>19</v>
      </c>
      <c r="L23" s="4" t="s">
        <v>20</v>
      </c>
      <c r="M23" s="4" t="s">
        <v>21</v>
      </c>
      <c r="N23" s="4" t="s">
        <v>22</v>
      </c>
    </row>
    <row r="24" spans="1:46" x14ac:dyDescent="0.3">
      <c r="A24" s="2">
        <v>1</v>
      </c>
      <c r="B24" s="12" t="s">
        <v>4</v>
      </c>
      <c r="C24" s="8">
        <f>H34</f>
        <v>3142.8571428571427</v>
      </c>
      <c r="D24" s="8">
        <f>$D$31/7</f>
        <v>428.57142857142856</v>
      </c>
      <c r="E24" s="8">
        <f>$E$31/6</f>
        <v>0</v>
      </c>
      <c r="F24" s="8">
        <f>$F$31/7</f>
        <v>71.428571428571431</v>
      </c>
      <c r="G24" s="8">
        <f>$G$31/7</f>
        <v>139.28571428571428</v>
      </c>
      <c r="H24" s="8">
        <f>$H$31/7</f>
        <v>132.85714285714286</v>
      </c>
      <c r="I24" s="8">
        <f>$I$31/7</f>
        <v>275</v>
      </c>
      <c r="J24" s="8">
        <f>$J$31/7</f>
        <v>35.714285714285715</v>
      </c>
      <c r="K24" s="8">
        <f>$K$31/6</f>
        <v>0</v>
      </c>
      <c r="L24" s="8">
        <f>$L$31/7</f>
        <v>17.142857142857142</v>
      </c>
      <c r="M24" s="8">
        <f>$M$31/7</f>
        <v>33.571428571428569</v>
      </c>
      <c r="N24" s="8">
        <f>SUM(C24:M24)</f>
        <v>4276.4285714285706</v>
      </c>
    </row>
    <row r="25" spans="1:46" x14ac:dyDescent="0.3">
      <c r="A25" s="2">
        <v>2</v>
      </c>
      <c r="B25" s="12" t="s">
        <v>5</v>
      </c>
      <c r="C25" s="8">
        <f>H35</f>
        <v>3142.8571428571427</v>
      </c>
      <c r="D25" s="8">
        <f t="shared" ref="D25:D30" si="12">$D$31/7</f>
        <v>428.57142857142856</v>
      </c>
      <c r="E25" s="8">
        <f t="shared" ref="E25:E30" si="13">$E$31/6</f>
        <v>0</v>
      </c>
      <c r="F25" s="8">
        <f t="shared" ref="F25:F30" si="14">$F$31/7</f>
        <v>71.428571428571431</v>
      </c>
      <c r="G25" s="8">
        <f t="shared" ref="G25:G30" si="15">$G$31/7</f>
        <v>139.28571428571428</v>
      </c>
      <c r="H25" s="8">
        <f t="shared" ref="H25:H30" si="16">$H$31/7</f>
        <v>132.85714285714286</v>
      </c>
      <c r="I25" s="8">
        <f t="shared" ref="I25:I30" si="17">$I$31/7</f>
        <v>275</v>
      </c>
      <c r="J25" s="8">
        <f t="shared" ref="J25:J30" si="18">$J$31/7</f>
        <v>35.714285714285715</v>
      </c>
      <c r="K25" s="8">
        <f t="shared" ref="K25:K30" si="19">$K$31/6</f>
        <v>0</v>
      </c>
      <c r="L25" s="8">
        <f t="shared" ref="L25:L30" si="20">$L$31/7</f>
        <v>17.142857142857142</v>
      </c>
      <c r="M25" s="8">
        <f t="shared" ref="M25:M30" si="21">$M$31/7</f>
        <v>33.571428571428569</v>
      </c>
      <c r="N25" s="8">
        <f t="shared" ref="N25:N30" si="22">SUM(C25:M25)</f>
        <v>4276.4285714285706</v>
      </c>
    </row>
    <row r="26" spans="1:46" x14ac:dyDescent="0.3">
      <c r="A26" s="2">
        <v>3</v>
      </c>
      <c r="B26" s="12" t="s">
        <v>6</v>
      </c>
      <c r="C26" s="8">
        <f>H36</f>
        <v>1976.1904761904761</v>
      </c>
      <c r="D26" s="8">
        <f t="shared" si="12"/>
        <v>428.57142857142856</v>
      </c>
      <c r="E26" s="8">
        <f t="shared" si="13"/>
        <v>0</v>
      </c>
      <c r="F26" s="8">
        <f t="shared" si="14"/>
        <v>71.428571428571431</v>
      </c>
      <c r="G26" s="8">
        <f t="shared" si="15"/>
        <v>139.28571428571428</v>
      </c>
      <c r="H26" s="8">
        <f t="shared" si="16"/>
        <v>132.85714285714286</v>
      </c>
      <c r="I26" s="8">
        <f t="shared" si="17"/>
        <v>275</v>
      </c>
      <c r="J26" s="8">
        <f t="shared" si="18"/>
        <v>35.714285714285715</v>
      </c>
      <c r="K26" s="8">
        <f t="shared" si="19"/>
        <v>0</v>
      </c>
      <c r="L26" s="8">
        <f t="shared" si="20"/>
        <v>17.142857142857142</v>
      </c>
      <c r="M26" s="8">
        <f t="shared" si="21"/>
        <v>33.571428571428569</v>
      </c>
      <c r="N26" s="8">
        <f t="shared" si="22"/>
        <v>3109.7619047619046</v>
      </c>
    </row>
    <row r="27" spans="1:46" x14ac:dyDescent="0.3">
      <c r="A27" s="2">
        <v>4</v>
      </c>
      <c r="B27" s="12" t="s">
        <v>57</v>
      </c>
      <c r="C27" s="8">
        <f>H36</f>
        <v>1976.1904761904761</v>
      </c>
      <c r="D27" s="8">
        <f t="shared" si="12"/>
        <v>428.57142857142856</v>
      </c>
      <c r="E27" s="8">
        <f t="shared" si="13"/>
        <v>0</v>
      </c>
      <c r="F27" s="8">
        <f t="shared" si="14"/>
        <v>71.428571428571431</v>
      </c>
      <c r="G27" s="8">
        <f t="shared" si="15"/>
        <v>139.28571428571428</v>
      </c>
      <c r="H27" s="8">
        <f t="shared" si="16"/>
        <v>132.85714285714286</v>
      </c>
      <c r="I27" s="8">
        <f t="shared" si="17"/>
        <v>275</v>
      </c>
      <c r="J27" s="8">
        <f t="shared" si="18"/>
        <v>35.714285714285715</v>
      </c>
      <c r="K27" s="8"/>
      <c r="L27" s="8">
        <f t="shared" si="20"/>
        <v>17.142857142857142</v>
      </c>
      <c r="M27" s="8">
        <f t="shared" si="21"/>
        <v>33.571428571428569</v>
      </c>
      <c r="N27" s="8">
        <f t="shared" si="22"/>
        <v>3109.7619047619046</v>
      </c>
    </row>
    <row r="28" spans="1:46" x14ac:dyDescent="0.3">
      <c r="A28" s="2">
        <v>5</v>
      </c>
      <c r="B28" s="12" t="s">
        <v>51</v>
      </c>
      <c r="C28" s="8">
        <f>H36</f>
        <v>1976.1904761904761</v>
      </c>
      <c r="D28" s="8">
        <f t="shared" si="12"/>
        <v>428.57142857142856</v>
      </c>
      <c r="E28" s="8">
        <f t="shared" si="13"/>
        <v>0</v>
      </c>
      <c r="F28" s="8">
        <f t="shared" si="14"/>
        <v>71.428571428571431</v>
      </c>
      <c r="G28" s="8">
        <f t="shared" si="15"/>
        <v>139.28571428571428</v>
      </c>
      <c r="H28" s="8">
        <f t="shared" si="16"/>
        <v>132.85714285714286</v>
      </c>
      <c r="I28" s="8">
        <f t="shared" si="17"/>
        <v>275</v>
      </c>
      <c r="J28" s="8">
        <f t="shared" si="18"/>
        <v>35.714285714285715</v>
      </c>
      <c r="K28" s="8">
        <f t="shared" si="19"/>
        <v>0</v>
      </c>
      <c r="L28" s="8">
        <f t="shared" si="20"/>
        <v>17.142857142857142</v>
      </c>
      <c r="M28" s="8">
        <f t="shared" si="21"/>
        <v>33.571428571428569</v>
      </c>
      <c r="N28" s="8">
        <f t="shared" si="22"/>
        <v>3109.7619047619046</v>
      </c>
    </row>
    <row r="29" spans="1:46" x14ac:dyDescent="0.3">
      <c r="A29" s="2">
        <v>6</v>
      </c>
      <c r="B29" s="12" t="s">
        <v>7</v>
      </c>
      <c r="C29" s="8">
        <f>H35</f>
        <v>3142.8571428571427</v>
      </c>
      <c r="D29" s="8">
        <f t="shared" si="12"/>
        <v>428.57142857142856</v>
      </c>
      <c r="E29" s="8">
        <f t="shared" si="13"/>
        <v>0</v>
      </c>
      <c r="F29" s="8">
        <f t="shared" si="14"/>
        <v>71.428571428571431</v>
      </c>
      <c r="G29" s="8">
        <f t="shared" si="15"/>
        <v>139.28571428571428</v>
      </c>
      <c r="H29" s="8">
        <f t="shared" si="16"/>
        <v>132.85714285714286</v>
      </c>
      <c r="I29" s="8">
        <f t="shared" si="17"/>
        <v>275</v>
      </c>
      <c r="J29" s="8">
        <f t="shared" si="18"/>
        <v>35.714285714285715</v>
      </c>
      <c r="K29" s="8">
        <f t="shared" si="19"/>
        <v>0</v>
      </c>
      <c r="L29" s="8">
        <f t="shared" si="20"/>
        <v>17.142857142857142</v>
      </c>
      <c r="M29" s="8">
        <f t="shared" si="21"/>
        <v>33.571428571428569</v>
      </c>
      <c r="N29" s="8">
        <f t="shared" si="22"/>
        <v>4276.4285714285706</v>
      </c>
    </row>
    <row r="30" spans="1:46" x14ac:dyDescent="0.3">
      <c r="A30" s="2">
        <v>7</v>
      </c>
      <c r="B30" s="12" t="s">
        <v>8</v>
      </c>
      <c r="C30" s="8">
        <f>H35</f>
        <v>3142.8571428571427</v>
      </c>
      <c r="D30" s="8">
        <f t="shared" si="12"/>
        <v>428.57142857142856</v>
      </c>
      <c r="E30" s="8">
        <f t="shared" si="13"/>
        <v>0</v>
      </c>
      <c r="F30" s="8">
        <f t="shared" si="14"/>
        <v>71.428571428571431</v>
      </c>
      <c r="G30" s="8">
        <f t="shared" si="15"/>
        <v>139.28571428571428</v>
      </c>
      <c r="H30" s="8">
        <f t="shared" si="16"/>
        <v>132.85714285714286</v>
      </c>
      <c r="I30" s="8">
        <f t="shared" si="17"/>
        <v>275</v>
      </c>
      <c r="J30" s="8">
        <f t="shared" si="18"/>
        <v>35.714285714285715</v>
      </c>
      <c r="K30" s="8">
        <f t="shared" si="19"/>
        <v>0</v>
      </c>
      <c r="L30" s="8">
        <f t="shared" si="20"/>
        <v>17.142857142857142</v>
      </c>
      <c r="M30" s="8">
        <f t="shared" si="21"/>
        <v>33.571428571428569</v>
      </c>
      <c r="N30" s="8">
        <f t="shared" si="22"/>
        <v>4276.4285714285706</v>
      </c>
    </row>
    <row r="31" spans="1:46" x14ac:dyDescent="0.3">
      <c r="C31" s="8">
        <f>SUM(C24:C30)</f>
        <v>18500</v>
      </c>
      <c r="D31" s="40">
        <v>3000</v>
      </c>
      <c r="E31" s="8">
        <f>0</f>
        <v>0</v>
      </c>
      <c r="F31" s="8">
        <f>500</f>
        <v>500</v>
      </c>
      <c r="G31" s="8">
        <f>975</f>
        <v>975</v>
      </c>
      <c r="H31" s="14">
        <v>930</v>
      </c>
      <c r="I31" s="14">
        <v>1925</v>
      </c>
      <c r="J31" s="8">
        <f>250</f>
        <v>250</v>
      </c>
      <c r="K31" s="8">
        <f>0</f>
        <v>0</v>
      </c>
      <c r="L31" s="8">
        <f>120</f>
        <v>120</v>
      </c>
      <c r="M31" s="8">
        <f>115+120</f>
        <v>235</v>
      </c>
      <c r="N31" s="8">
        <f>SUM(N24:N30)</f>
        <v>26435</v>
      </c>
    </row>
    <row r="33" spans="4:15" x14ac:dyDescent="0.3">
      <c r="N33" t="s">
        <v>61</v>
      </c>
      <c r="O33">
        <f>22580</f>
        <v>22580</v>
      </c>
    </row>
    <row r="34" spans="4:15" x14ac:dyDescent="0.3">
      <c r="D34" s="1">
        <v>6000</v>
      </c>
      <c r="E34" s="1">
        <v>2</v>
      </c>
      <c r="F34" s="1">
        <f>D34/E34</f>
        <v>3000</v>
      </c>
      <c r="G34" s="1">
        <f>(500+500)/7</f>
        <v>142.85714285714286</v>
      </c>
      <c r="H34" s="11">
        <f>F34+G34</f>
        <v>3142.8571428571427</v>
      </c>
      <c r="I34" s="11">
        <f>H34*E34</f>
        <v>6285.7142857142853</v>
      </c>
      <c r="N34" t="s">
        <v>62</v>
      </c>
      <c r="O34">
        <v>3000</v>
      </c>
    </row>
    <row r="35" spans="4:15" x14ac:dyDescent="0.3">
      <c r="D35" s="1">
        <v>6000</v>
      </c>
      <c r="E35" s="1">
        <v>2</v>
      </c>
      <c r="F35" s="1">
        <f t="shared" ref="F35:F36" si="23">D35/E35</f>
        <v>3000</v>
      </c>
      <c r="G35" s="1">
        <f t="shared" ref="G35:G36" si="24">(500+500)/7</f>
        <v>142.85714285714286</v>
      </c>
      <c r="H35" s="11">
        <f t="shared" ref="H35" si="25">F35+G35</f>
        <v>3142.8571428571427</v>
      </c>
      <c r="I35" s="11">
        <f t="shared" ref="I35:I36" si="26">H35*E35</f>
        <v>6285.7142857142853</v>
      </c>
      <c r="N35" t="s">
        <v>63</v>
      </c>
      <c r="O35">
        <v>500</v>
      </c>
    </row>
    <row r="36" spans="4:15" x14ac:dyDescent="0.3">
      <c r="D36" s="1">
        <v>5500</v>
      </c>
      <c r="E36" s="1">
        <v>3</v>
      </c>
      <c r="F36" s="11">
        <f t="shared" si="23"/>
        <v>1833.3333333333333</v>
      </c>
      <c r="G36" s="1">
        <f t="shared" si="24"/>
        <v>142.85714285714286</v>
      </c>
      <c r="H36" s="11">
        <f>F36+G36</f>
        <v>1976.1904761904761</v>
      </c>
      <c r="I36" s="11">
        <f t="shared" si="26"/>
        <v>5928.5714285714284</v>
      </c>
      <c r="N36" t="s">
        <v>64</v>
      </c>
      <c r="O36">
        <v>120</v>
      </c>
    </row>
    <row r="37" spans="4:15" x14ac:dyDescent="0.3">
      <c r="D37" s="1">
        <f>SUM(D34:D36)</f>
        <v>17500</v>
      </c>
      <c r="E37" s="1"/>
      <c r="F37" s="1"/>
      <c r="G37" s="1"/>
      <c r="H37" s="1"/>
      <c r="I37" s="11">
        <f>SUM(I34:I36)</f>
        <v>18500</v>
      </c>
      <c r="O37">
        <f>SUM(O33:O36)</f>
        <v>26200</v>
      </c>
    </row>
  </sheetData>
  <mergeCells count="2">
    <mergeCell ref="C1:D2"/>
    <mergeCell ref="E1:F2"/>
  </mergeCells>
  <pageMargins left="0.7" right="0.7" top="0.75" bottom="0.75" header="0.3" footer="0.3"/>
  <pageSetup orientation="portrait" horizontalDpi="1200" verticalDpi="120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U37"/>
  <sheetViews>
    <sheetView zoomScaleNormal="100" workbookViewId="0">
      <pane xSplit="2" ySplit="4" topLeftCell="AO5" activePane="bottomRight" state="frozen"/>
      <selection pane="topRight" activeCell="C1" sqref="C1"/>
      <selection pane="bottomLeft" activeCell="A5" sqref="A5"/>
      <selection pane="bottomRight" activeCell="AQ6" sqref="AQ6"/>
    </sheetView>
  </sheetViews>
  <sheetFormatPr defaultRowHeight="14.4" x14ac:dyDescent="0.3"/>
  <cols>
    <col min="1" max="1" width="7" bestFit="1" customWidth="1"/>
    <col min="2" max="2" width="23.6640625" bestFit="1" customWidth="1"/>
    <col min="3" max="3" width="10.5546875" bestFit="1" customWidth="1"/>
    <col min="4" max="4" width="9.5546875" bestFit="1" customWidth="1"/>
    <col min="5" max="5" width="9" bestFit="1" customWidth="1"/>
    <col min="6" max="6" width="11.5546875" bestFit="1" customWidth="1"/>
    <col min="7" max="7" width="9" bestFit="1" customWidth="1"/>
    <col min="8" max="8" width="13.33203125" bestFit="1" customWidth="1"/>
    <col min="9" max="9" width="9.6640625" bestFit="1" customWidth="1"/>
    <col min="10" max="10" width="9" bestFit="1" customWidth="1"/>
    <col min="11" max="11" width="14.5546875" bestFit="1" customWidth="1"/>
    <col min="12" max="14" width="10" bestFit="1" customWidth="1"/>
    <col min="15" max="32" width="9.6640625" bestFit="1" customWidth="1"/>
    <col min="33" max="33" width="9.6640625" customWidth="1"/>
    <col min="34" max="34" width="10.33203125" bestFit="1" customWidth="1"/>
    <col min="36" max="36" width="23" bestFit="1" customWidth="1"/>
    <col min="37" max="37" width="19.33203125" bestFit="1" customWidth="1"/>
    <col min="38" max="38" width="25.6640625" bestFit="1" customWidth="1"/>
    <col min="39" max="39" width="20.6640625" bestFit="1" customWidth="1"/>
    <col min="40" max="40" width="24" bestFit="1" customWidth="1"/>
    <col min="41" max="41" width="33" bestFit="1" customWidth="1"/>
    <col min="42" max="42" width="33" customWidth="1"/>
    <col min="43" max="43" width="12.33203125" bestFit="1" customWidth="1"/>
    <col min="44" max="44" width="13.44140625" bestFit="1" customWidth="1"/>
    <col min="45" max="45" width="25.5546875" bestFit="1" customWidth="1"/>
    <col min="46" max="46" width="11.33203125" bestFit="1" customWidth="1"/>
    <col min="47" max="47" width="10.33203125" bestFit="1" customWidth="1"/>
  </cols>
  <sheetData>
    <row r="1" spans="1:47" x14ac:dyDescent="0.3">
      <c r="C1" s="107" t="s">
        <v>65</v>
      </c>
      <c r="D1" s="107"/>
      <c r="E1" s="106">
        <f>AH22/AH12</f>
        <v>45.053879310344826</v>
      </c>
      <c r="F1" s="106"/>
    </row>
    <row r="2" spans="1:47" ht="25.5" customHeight="1" x14ac:dyDescent="0.3">
      <c r="C2" s="107"/>
      <c r="D2" s="107"/>
      <c r="E2" s="106"/>
      <c r="F2" s="106"/>
    </row>
    <row r="4" spans="1:47" x14ac:dyDescent="0.3">
      <c r="A4" s="4" t="s">
        <v>0</v>
      </c>
      <c r="B4" s="4" t="s">
        <v>2</v>
      </c>
      <c r="C4" s="5">
        <v>44256</v>
      </c>
      <c r="D4" s="5">
        <v>44257</v>
      </c>
      <c r="E4" s="5">
        <v>44258</v>
      </c>
      <c r="F4" s="5">
        <v>44259</v>
      </c>
      <c r="G4" s="5">
        <v>44260</v>
      </c>
      <c r="H4" s="5">
        <v>44261</v>
      </c>
      <c r="I4" s="5">
        <v>44262</v>
      </c>
      <c r="J4" s="5">
        <v>44263</v>
      </c>
      <c r="K4" s="5">
        <v>44264</v>
      </c>
      <c r="L4" s="5">
        <v>44265</v>
      </c>
      <c r="M4" s="5">
        <v>44266</v>
      </c>
      <c r="N4" s="5">
        <v>44267</v>
      </c>
      <c r="O4" s="5">
        <v>44268</v>
      </c>
      <c r="P4" s="5">
        <v>44269</v>
      </c>
      <c r="Q4" s="5">
        <v>44270</v>
      </c>
      <c r="R4" s="5">
        <v>44271</v>
      </c>
      <c r="S4" s="5">
        <v>44272</v>
      </c>
      <c r="T4" s="5">
        <v>44273</v>
      </c>
      <c r="U4" s="5">
        <v>44274</v>
      </c>
      <c r="V4" s="5">
        <v>44275</v>
      </c>
      <c r="W4" s="5">
        <v>44276</v>
      </c>
      <c r="X4" s="5">
        <v>44277</v>
      </c>
      <c r="Y4" s="5">
        <v>44278</v>
      </c>
      <c r="Z4" s="5">
        <v>44279</v>
      </c>
      <c r="AA4" s="5">
        <v>44280</v>
      </c>
      <c r="AB4" s="5">
        <v>44281</v>
      </c>
      <c r="AC4" s="5">
        <v>44282</v>
      </c>
      <c r="AD4" s="5">
        <v>44283</v>
      </c>
      <c r="AE4" s="5">
        <v>44284</v>
      </c>
      <c r="AF4" s="5">
        <v>44285</v>
      </c>
      <c r="AG4" s="5">
        <v>44286</v>
      </c>
      <c r="AH4" s="4" t="s">
        <v>1</v>
      </c>
      <c r="AJ4" s="4" t="s">
        <v>23</v>
      </c>
      <c r="AK4" s="4" t="s">
        <v>24</v>
      </c>
      <c r="AL4" s="4" t="s">
        <v>26</v>
      </c>
      <c r="AM4" s="4" t="s">
        <v>67</v>
      </c>
      <c r="AN4" s="4" t="s">
        <v>27</v>
      </c>
      <c r="AO4" s="4" t="s">
        <v>30</v>
      </c>
      <c r="AP4" s="4" t="s">
        <v>32</v>
      </c>
      <c r="AQ4" s="4" t="s">
        <v>28</v>
      </c>
      <c r="AR4" s="4" t="s">
        <v>29</v>
      </c>
      <c r="AS4" s="4" t="s">
        <v>31</v>
      </c>
    </row>
    <row r="5" spans="1:47" x14ac:dyDescent="0.3">
      <c r="A5" s="2">
        <v>1</v>
      </c>
      <c r="B5" s="3" t="s">
        <v>4</v>
      </c>
      <c r="C5" s="7">
        <v>1</v>
      </c>
      <c r="D5" s="7">
        <v>1.5</v>
      </c>
      <c r="E5" s="7">
        <v>1.5</v>
      </c>
      <c r="F5" s="7">
        <v>1.5</v>
      </c>
      <c r="G5" s="7">
        <v>2.5</v>
      </c>
      <c r="H5" s="7">
        <v>1.5</v>
      </c>
      <c r="I5" s="7">
        <v>1.5</v>
      </c>
      <c r="J5" s="7">
        <v>1.5</v>
      </c>
      <c r="K5" s="7">
        <v>1.5</v>
      </c>
      <c r="L5" s="7">
        <v>1.5</v>
      </c>
      <c r="M5" s="7">
        <v>1.5</v>
      </c>
      <c r="N5" s="7">
        <v>2.5</v>
      </c>
      <c r="O5" s="7">
        <v>0.5</v>
      </c>
      <c r="P5" s="7">
        <v>1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1</v>
      </c>
      <c r="W5" s="7">
        <v>1.5</v>
      </c>
      <c r="X5" s="7">
        <v>1.5</v>
      </c>
      <c r="Y5" s="7">
        <v>1.5</v>
      </c>
      <c r="Z5" s="7">
        <v>1.5</v>
      </c>
      <c r="AA5" s="7">
        <v>0.5</v>
      </c>
      <c r="AB5" s="7">
        <v>0</v>
      </c>
      <c r="AC5" s="7">
        <v>1</v>
      </c>
      <c r="AD5" s="7">
        <v>1</v>
      </c>
      <c r="AE5" s="7">
        <v>1.5</v>
      </c>
      <c r="AF5" s="7">
        <v>2</v>
      </c>
      <c r="AG5" s="7">
        <v>1.5</v>
      </c>
      <c r="AH5" s="7">
        <f>SUM(C5:AG5)</f>
        <v>35.5</v>
      </c>
      <c r="AJ5" s="15">
        <f>AH5*$E$1</f>
        <v>1599.4127155172414</v>
      </c>
      <c r="AK5" s="16">
        <f>AH15</f>
        <v>3910</v>
      </c>
      <c r="AL5" s="15">
        <f>AK5-AJ5</f>
        <v>2310.5872844827586</v>
      </c>
      <c r="AM5" s="16">
        <f>N24</f>
        <v>4294.5714285714275</v>
      </c>
      <c r="AN5" s="15">
        <f>AM5-AL5</f>
        <v>1983.9841440886689</v>
      </c>
      <c r="AO5" s="15">
        <f>'Meal Feb''21 &amp; Rent March'!AS5</f>
        <v>3176.7576177286892</v>
      </c>
      <c r="AP5" s="15">
        <f>AN5-AO5</f>
        <v>-1192.7734736400203</v>
      </c>
      <c r="AQ5" s="6">
        <f>500+2000</f>
        <v>2500</v>
      </c>
      <c r="AR5" s="17">
        <v>44298</v>
      </c>
      <c r="AS5" s="15">
        <f>AQ5-AP5</f>
        <v>3692.7734736400203</v>
      </c>
    </row>
    <row r="6" spans="1:47" x14ac:dyDescent="0.3">
      <c r="A6" s="2">
        <v>2</v>
      </c>
      <c r="B6" s="3" t="s">
        <v>5</v>
      </c>
      <c r="C6" s="7">
        <v>1.5</v>
      </c>
      <c r="D6" s="7">
        <v>1.5</v>
      </c>
      <c r="E6" s="7">
        <v>1.5</v>
      </c>
      <c r="F6" s="7">
        <v>1.5</v>
      </c>
      <c r="G6" s="7">
        <v>4.5</v>
      </c>
      <c r="H6" s="7">
        <v>3.5</v>
      </c>
      <c r="I6" s="7">
        <v>2.5</v>
      </c>
      <c r="J6" s="7">
        <v>2</v>
      </c>
      <c r="K6" s="7">
        <v>2</v>
      </c>
      <c r="L6" s="7">
        <v>2</v>
      </c>
      <c r="M6" s="7">
        <v>3</v>
      </c>
      <c r="N6" s="7">
        <v>4</v>
      </c>
      <c r="O6" s="7">
        <v>4</v>
      </c>
      <c r="P6" s="7">
        <v>3.5</v>
      </c>
      <c r="Q6" s="7">
        <v>3.5</v>
      </c>
      <c r="R6" s="7">
        <v>4</v>
      </c>
      <c r="S6" s="7">
        <v>4</v>
      </c>
      <c r="T6" s="7">
        <v>4</v>
      </c>
      <c r="U6" s="7">
        <v>2.5</v>
      </c>
      <c r="V6" s="7">
        <v>4</v>
      </c>
      <c r="W6" s="7">
        <v>5</v>
      </c>
      <c r="X6" s="7">
        <v>4</v>
      </c>
      <c r="Y6" s="7">
        <v>3.5</v>
      </c>
      <c r="Z6" s="7">
        <v>4</v>
      </c>
      <c r="AA6" s="7">
        <v>2.5</v>
      </c>
      <c r="AB6" s="7">
        <v>5</v>
      </c>
      <c r="AC6" s="7">
        <v>4</v>
      </c>
      <c r="AD6" s="7">
        <v>4</v>
      </c>
      <c r="AE6" s="7">
        <v>4</v>
      </c>
      <c r="AF6" s="7">
        <v>5</v>
      </c>
      <c r="AG6" s="7">
        <v>4</v>
      </c>
      <c r="AH6" s="7">
        <f t="shared" ref="AH6:AH11" si="0">SUM(C6:AG6)</f>
        <v>104</v>
      </c>
      <c r="AJ6" s="15">
        <f t="shared" ref="AJ6:AJ11" si="1">AH6*$E$1</f>
        <v>4685.6034482758623</v>
      </c>
      <c r="AK6" s="16">
        <f>AH16</f>
        <v>4490</v>
      </c>
      <c r="AL6" s="15">
        <f>AK6-AJ6</f>
        <v>-195.60344827586232</v>
      </c>
      <c r="AM6" s="16">
        <f t="shared" ref="AM6:AM8" si="2">N25</f>
        <v>4294.5714285714275</v>
      </c>
      <c r="AN6" s="15">
        <f t="shared" ref="AN6:AN11" si="3">AM6-AL6</f>
        <v>4490.1748768472899</v>
      </c>
      <c r="AO6" s="15">
        <f>'Meal Feb''21 &amp; Rent March'!AS6</f>
        <v>-0.53918338526045773</v>
      </c>
      <c r="AP6" s="15">
        <f t="shared" ref="AP6:AP11" si="4">AN6-AO6</f>
        <v>4490.7140602325508</v>
      </c>
      <c r="AQ6" s="6">
        <f>4267+250</f>
        <v>4517</v>
      </c>
      <c r="AR6" s="17">
        <v>44286</v>
      </c>
      <c r="AS6" s="15">
        <f t="shared" ref="AS6:AS10" si="5">AQ6-AP6</f>
        <v>26.285939767449236</v>
      </c>
    </row>
    <row r="7" spans="1:47" x14ac:dyDescent="0.3">
      <c r="A7" s="2">
        <v>3</v>
      </c>
      <c r="B7" s="3" t="s">
        <v>6</v>
      </c>
      <c r="C7" s="7">
        <v>1.5</v>
      </c>
      <c r="D7" s="7">
        <v>1.5</v>
      </c>
      <c r="E7" s="7">
        <v>1.5</v>
      </c>
      <c r="F7" s="7">
        <v>1.5</v>
      </c>
      <c r="G7" s="7">
        <v>2.5</v>
      </c>
      <c r="H7" s="7">
        <v>1.5</v>
      </c>
      <c r="I7" s="7">
        <v>1.5</v>
      </c>
      <c r="J7" s="7">
        <v>1.5</v>
      </c>
      <c r="K7" s="7">
        <v>1.5</v>
      </c>
      <c r="L7" s="7">
        <v>1.5</v>
      </c>
      <c r="M7" s="7">
        <v>1.5</v>
      </c>
      <c r="N7" s="7">
        <v>2.5</v>
      </c>
      <c r="O7" s="7">
        <v>1.5</v>
      </c>
      <c r="P7" s="7">
        <v>1.5</v>
      </c>
      <c r="Q7" s="7">
        <v>1.5</v>
      </c>
      <c r="R7" s="7">
        <v>2.5</v>
      </c>
      <c r="S7" s="7">
        <v>2.5</v>
      </c>
      <c r="T7" s="7">
        <v>2.5</v>
      </c>
      <c r="U7" s="7">
        <v>2.5</v>
      </c>
      <c r="V7" s="7">
        <v>2.5</v>
      </c>
      <c r="W7" s="7">
        <v>2.5</v>
      </c>
      <c r="X7" s="7">
        <v>2.5</v>
      </c>
      <c r="Y7" s="7">
        <v>2.5</v>
      </c>
      <c r="Z7" s="7">
        <v>2</v>
      </c>
      <c r="AA7" s="7">
        <v>2.5</v>
      </c>
      <c r="AB7" s="7">
        <v>2.5</v>
      </c>
      <c r="AC7" s="7">
        <v>2.5</v>
      </c>
      <c r="AD7" s="7">
        <v>2</v>
      </c>
      <c r="AE7" s="7">
        <v>2.5</v>
      </c>
      <c r="AF7" s="7">
        <v>2.5</v>
      </c>
      <c r="AG7" s="7">
        <v>2.5</v>
      </c>
      <c r="AH7" s="7">
        <f t="shared" si="0"/>
        <v>63.5</v>
      </c>
      <c r="AJ7" s="15">
        <f t="shared" si="1"/>
        <v>2860.9213362068963</v>
      </c>
      <c r="AK7" s="16">
        <f>AH17</f>
        <v>2020</v>
      </c>
      <c r="AL7" s="15">
        <f t="shared" ref="AL7:AL11" si="6">AK7-AJ7</f>
        <v>-840.92133620689629</v>
      </c>
      <c r="AM7" s="16">
        <f t="shared" si="2"/>
        <v>3127.9047619047624</v>
      </c>
      <c r="AN7" s="15">
        <f t="shared" si="3"/>
        <v>3968.8260981116587</v>
      </c>
      <c r="AO7" s="15">
        <f>'Meal Feb''21 &amp; Rent March'!AS7</f>
        <v>-5281.1190252776069</v>
      </c>
      <c r="AP7" s="15">
        <f t="shared" si="4"/>
        <v>9249.9451233892651</v>
      </c>
      <c r="AQ7" s="6">
        <f>120+3900</f>
        <v>4020</v>
      </c>
      <c r="AR7" s="17">
        <v>44297</v>
      </c>
      <c r="AS7" s="15">
        <f t="shared" si="5"/>
        <v>-5229.9451233892651</v>
      </c>
    </row>
    <row r="8" spans="1:47" x14ac:dyDescent="0.3">
      <c r="A8" s="2">
        <v>4</v>
      </c>
      <c r="B8" s="3" t="s">
        <v>57</v>
      </c>
      <c r="C8" s="7">
        <v>2.5</v>
      </c>
      <c r="D8" s="7">
        <v>2.5</v>
      </c>
      <c r="E8" s="7">
        <v>2.5</v>
      </c>
      <c r="F8" s="7">
        <v>2.5</v>
      </c>
      <c r="G8" s="7">
        <v>2.5</v>
      </c>
      <c r="H8" s="7">
        <v>2.5</v>
      </c>
      <c r="I8" s="7">
        <v>2.5</v>
      </c>
      <c r="J8" s="7">
        <v>2.5</v>
      </c>
      <c r="K8" s="7">
        <v>2.5</v>
      </c>
      <c r="L8" s="7">
        <v>2.5</v>
      </c>
      <c r="M8" s="7">
        <v>2.5</v>
      </c>
      <c r="N8" s="7">
        <v>2.5</v>
      </c>
      <c r="O8" s="7">
        <v>2.5</v>
      </c>
      <c r="P8" s="7">
        <v>2.5</v>
      </c>
      <c r="Q8" s="7">
        <v>2.5</v>
      </c>
      <c r="R8" s="7">
        <v>2.5</v>
      </c>
      <c r="S8" s="7">
        <v>2.5</v>
      </c>
      <c r="T8" s="7">
        <v>3.5</v>
      </c>
      <c r="U8" s="7">
        <v>2</v>
      </c>
      <c r="V8" s="7">
        <v>3</v>
      </c>
      <c r="W8" s="7">
        <v>2.5</v>
      </c>
      <c r="X8" s="7">
        <v>2.5</v>
      </c>
      <c r="Y8" s="7">
        <v>2.5</v>
      </c>
      <c r="Z8" s="7">
        <v>1.5</v>
      </c>
      <c r="AA8" s="7">
        <v>2.5</v>
      </c>
      <c r="AB8" s="7">
        <v>2.5</v>
      </c>
      <c r="AC8" s="7">
        <v>2.5</v>
      </c>
      <c r="AD8" s="7">
        <v>2</v>
      </c>
      <c r="AE8" s="7">
        <v>2.5</v>
      </c>
      <c r="AF8" s="7">
        <v>2.5</v>
      </c>
      <c r="AG8" s="7">
        <v>3.5</v>
      </c>
      <c r="AH8" s="7">
        <f t="shared" si="0"/>
        <v>78</v>
      </c>
      <c r="AJ8" s="15">
        <f>AH8*$E$1</f>
        <v>3514.2025862068963</v>
      </c>
      <c r="AK8" s="16">
        <f>AH18</f>
        <v>1360</v>
      </c>
      <c r="AL8" s="15">
        <f t="shared" si="6"/>
        <v>-2154.2025862068963</v>
      </c>
      <c r="AM8" s="16">
        <f t="shared" si="2"/>
        <v>3127.9047619047624</v>
      </c>
      <c r="AN8" s="15">
        <f t="shared" si="3"/>
        <v>5282.1073481116582</v>
      </c>
      <c r="AO8" s="15">
        <f>'Meal Feb''21 &amp; Rent March'!AS8</f>
        <v>-4029.7060983896145</v>
      </c>
      <c r="AP8" s="15">
        <f t="shared" si="4"/>
        <v>9311.8134465012736</v>
      </c>
      <c r="AQ8" s="6">
        <v>6000</v>
      </c>
      <c r="AR8" s="17">
        <v>44297</v>
      </c>
      <c r="AS8" s="15">
        <f>AQ8-AP8</f>
        <v>-3311.8134465012736</v>
      </c>
      <c r="AT8" s="25"/>
      <c r="AU8" s="25"/>
    </row>
    <row r="9" spans="1:47" x14ac:dyDescent="0.3">
      <c r="A9" s="2">
        <v>5</v>
      </c>
      <c r="B9" s="12" t="s">
        <v>51</v>
      </c>
      <c r="C9" s="7">
        <v>1</v>
      </c>
      <c r="D9" s="7">
        <v>1.5</v>
      </c>
      <c r="E9" s="7">
        <v>0.5</v>
      </c>
      <c r="F9" s="7">
        <v>2</v>
      </c>
      <c r="G9" s="7">
        <v>7</v>
      </c>
      <c r="H9" s="7">
        <v>1</v>
      </c>
      <c r="I9" s="7">
        <v>2</v>
      </c>
      <c r="J9" s="7">
        <v>1</v>
      </c>
      <c r="K9" s="7">
        <v>1</v>
      </c>
      <c r="L9" s="7">
        <v>1</v>
      </c>
      <c r="M9" s="7">
        <v>1</v>
      </c>
      <c r="N9" s="7">
        <v>2.5</v>
      </c>
      <c r="O9" s="7">
        <v>3.5</v>
      </c>
      <c r="P9" s="7">
        <v>1</v>
      </c>
      <c r="Q9" s="7">
        <v>1</v>
      </c>
      <c r="R9" s="7">
        <v>1.5</v>
      </c>
      <c r="S9" s="7">
        <v>1</v>
      </c>
      <c r="T9" s="7">
        <v>1</v>
      </c>
      <c r="U9" s="7">
        <v>1.5</v>
      </c>
      <c r="V9" s="7">
        <v>1</v>
      </c>
      <c r="W9" s="7">
        <v>1</v>
      </c>
      <c r="X9" s="7">
        <v>1</v>
      </c>
      <c r="Y9" s="7">
        <v>1</v>
      </c>
      <c r="Z9" s="7">
        <v>1</v>
      </c>
      <c r="AA9" s="7">
        <v>1</v>
      </c>
      <c r="AB9" s="7">
        <v>2</v>
      </c>
      <c r="AC9" s="7">
        <v>6</v>
      </c>
      <c r="AD9" s="7">
        <v>1</v>
      </c>
      <c r="AE9" s="7">
        <v>1</v>
      </c>
      <c r="AF9" s="7">
        <v>2.5</v>
      </c>
      <c r="AG9" s="7">
        <v>1.5</v>
      </c>
      <c r="AH9" s="7">
        <f t="shared" si="0"/>
        <v>52</v>
      </c>
      <c r="AJ9" s="15">
        <f>$AH$9*$E$1</f>
        <v>2342.8017241379312</v>
      </c>
      <c r="AK9" s="16">
        <f>AH19</f>
        <v>4090</v>
      </c>
      <c r="AL9" s="15">
        <f>AK9-AJ9</f>
        <v>1747.1982758620688</v>
      </c>
      <c r="AM9" s="16">
        <f>N28</f>
        <v>3127.9047619047624</v>
      </c>
      <c r="AN9" s="15">
        <f t="shared" si="3"/>
        <v>1380.7064860426935</v>
      </c>
      <c r="AO9" s="15">
        <f>'Meal Feb''21 &amp; Rent March'!AS9</f>
        <v>0.12923454375550136</v>
      </c>
      <c r="AP9" s="15">
        <f t="shared" si="4"/>
        <v>1380.577251498938</v>
      </c>
      <c r="AQ9" s="6">
        <v>1380</v>
      </c>
      <c r="AR9" s="17">
        <v>44296</v>
      </c>
      <c r="AS9" s="15">
        <f>AQ9-AP9</f>
        <v>-0.57725149893803973</v>
      </c>
      <c r="AU9" s="25"/>
    </row>
    <row r="10" spans="1:47" x14ac:dyDescent="0.3">
      <c r="A10" s="2">
        <v>6</v>
      </c>
      <c r="B10" s="3" t="s">
        <v>7</v>
      </c>
      <c r="C10" s="7">
        <v>1.5</v>
      </c>
      <c r="D10" s="7">
        <v>3.5</v>
      </c>
      <c r="E10" s="7">
        <v>2</v>
      </c>
      <c r="F10" s="7">
        <v>1.5</v>
      </c>
      <c r="G10" s="7">
        <v>2.5</v>
      </c>
      <c r="H10" s="7">
        <v>1.5</v>
      </c>
      <c r="I10" s="7">
        <v>1.5</v>
      </c>
      <c r="J10" s="7">
        <v>1.5</v>
      </c>
      <c r="K10" s="7">
        <v>2.5</v>
      </c>
      <c r="L10" s="7">
        <v>3.5</v>
      </c>
      <c r="M10" s="7">
        <v>3</v>
      </c>
      <c r="N10" s="7">
        <v>4</v>
      </c>
      <c r="O10" s="7">
        <v>4</v>
      </c>
      <c r="P10" s="7">
        <v>3</v>
      </c>
      <c r="Q10" s="7">
        <v>3</v>
      </c>
      <c r="R10" s="7">
        <v>3</v>
      </c>
      <c r="S10" s="7">
        <v>3</v>
      </c>
      <c r="T10" s="7">
        <v>3</v>
      </c>
      <c r="U10" s="7">
        <v>1.5</v>
      </c>
      <c r="V10" s="7">
        <v>3</v>
      </c>
      <c r="W10" s="7">
        <v>3</v>
      </c>
      <c r="X10" s="7">
        <v>3</v>
      </c>
      <c r="Y10" s="7">
        <v>3</v>
      </c>
      <c r="Z10" s="7">
        <v>1</v>
      </c>
      <c r="AA10" s="7">
        <v>0</v>
      </c>
      <c r="AB10" s="7">
        <v>0</v>
      </c>
      <c r="AC10" s="7">
        <v>1</v>
      </c>
      <c r="AD10" s="7">
        <v>1</v>
      </c>
      <c r="AE10" s="7">
        <v>1.5</v>
      </c>
      <c r="AF10" s="7">
        <v>2.5</v>
      </c>
      <c r="AG10" s="7">
        <v>2.5</v>
      </c>
      <c r="AH10" s="7">
        <f t="shared" si="0"/>
        <v>70.5</v>
      </c>
      <c r="AJ10" s="15">
        <f t="shared" si="1"/>
        <v>3176.2984913793102</v>
      </c>
      <c r="AK10" s="16">
        <f t="shared" ref="AK10:AK11" si="7">AH20</f>
        <v>2125</v>
      </c>
      <c r="AL10" s="15">
        <f t="shared" si="6"/>
        <v>-1051.2984913793102</v>
      </c>
      <c r="AM10" s="16">
        <f>N29</f>
        <v>4294.5714285714275</v>
      </c>
      <c r="AN10" s="15">
        <f t="shared" si="3"/>
        <v>5345.8699199507373</v>
      </c>
      <c r="AO10" s="15">
        <f>'Meal Feb''21 &amp; Rent March'!AS10</f>
        <v>-7555.0155126850605</v>
      </c>
      <c r="AP10" s="15">
        <f t="shared" si="4"/>
        <v>12900.885432635798</v>
      </c>
      <c r="AQ10" s="6">
        <f>12100</f>
        <v>12100</v>
      </c>
      <c r="AR10" s="17"/>
      <c r="AS10" s="15">
        <f t="shared" si="5"/>
        <v>-800.88543263579777</v>
      </c>
    </row>
    <row r="11" spans="1:47" x14ac:dyDescent="0.3">
      <c r="A11" s="2">
        <v>7</v>
      </c>
      <c r="B11" s="3" t="s">
        <v>8</v>
      </c>
      <c r="C11" s="7">
        <v>2.5</v>
      </c>
      <c r="D11" s="7">
        <v>3.5</v>
      </c>
      <c r="E11" s="7">
        <v>4</v>
      </c>
      <c r="F11" s="7">
        <v>1.5</v>
      </c>
      <c r="G11" s="7">
        <v>2.5</v>
      </c>
      <c r="H11" s="7">
        <v>3.5</v>
      </c>
      <c r="I11" s="7">
        <v>1.5</v>
      </c>
      <c r="J11" s="7">
        <v>1.5</v>
      </c>
      <c r="K11" s="7">
        <v>1.5</v>
      </c>
      <c r="L11" s="7">
        <v>0.5</v>
      </c>
      <c r="M11" s="7">
        <v>0.5</v>
      </c>
      <c r="N11" s="7">
        <v>2.5</v>
      </c>
      <c r="O11" s="7">
        <v>1.5</v>
      </c>
      <c r="P11" s="7">
        <v>1</v>
      </c>
      <c r="Q11" s="7">
        <v>0.5</v>
      </c>
      <c r="R11" s="7">
        <v>2.5</v>
      </c>
      <c r="S11" s="7">
        <v>2.5</v>
      </c>
      <c r="T11" s="7">
        <v>2.5</v>
      </c>
      <c r="U11" s="7">
        <v>2.5</v>
      </c>
      <c r="V11" s="7">
        <v>1.5</v>
      </c>
      <c r="W11" s="7">
        <v>0.5</v>
      </c>
      <c r="X11" s="7">
        <v>1.5</v>
      </c>
      <c r="Y11" s="7">
        <v>4.5</v>
      </c>
      <c r="Z11" s="7">
        <v>1</v>
      </c>
      <c r="AA11" s="7">
        <v>2.5</v>
      </c>
      <c r="AB11" s="7">
        <v>2.5</v>
      </c>
      <c r="AC11" s="7">
        <v>2.5</v>
      </c>
      <c r="AD11" s="7">
        <v>2</v>
      </c>
      <c r="AE11" s="7">
        <v>2.5</v>
      </c>
      <c r="AF11" s="7">
        <v>0.5</v>
      </c>
      <c r="AG11" s="7">
        <v>0.5</v>
      </c>
      <c r="AH11" s="7">
        <f t="shared" si="0"/>
        <v>60.5</v>
      </c>
      <c r="AJ11" s="15">
        <f t="shared" si="1"/>
        <v>2725.7596982758619</v>
      </c>
      <c r="AK11" s="16">
        <f t="shared" si="7"/>
        <v>2910</v>
      </c>
      <c r="AL11" s="15">
        <f t="shared" si="6"/>
        <v>184.24030172413813</v>
      </c>
      <c r="AM11" s="16">
        <f>N30</f>
        <v>4294.5714285714275</v>
      </c>
      <c r="AN11" s="15">
        <f t="shared" si="3"/>
        <v>4110.3311268472899</v>
      </c>
      <c r="AO11" s="15">
        <f>'Meal Feb''21 &amp; Rent March'!AS11</f>
        <v>-1764.3193151955975</v>
      </c>
      <c r="AP11" s="15">
        <f t="shared" si="4"/>
        <v>5874.6504420428873</v>
      </c>
      <c r="AQ11" s="6">
        <f>5875</f>
        <v>5875</v>
      </c>
      <c r="AR11" s="17">
        <v>44296</v>
      </c>
      <c r="AS11" s="15">
        <f>AQ11-AP11</f>
        <v>0.34955795711266546</v>
      </c>
    </row>
    <row r="12" spans="1:47" x14ac:dyDescent="0.3">
      <c r="A12" s="1"/>
      <c r="B12" s="1"/>
      <c r="C12" s="7">
        <f>SUM(C5:C11)</f>
        <v>11.5</v>
      </c>
      <c r="D12" s="7">
        <f t="shared" ref="D12:AG12" si="8">SUM(D5:D11)</f>
        <v>15.5</v>
      </c>
      <c r="E12" s="7">
        <f t="shared" si="8"/>
        <v>13.5</v>
      </c>
      <c r="F12" s="7">
        <f t="shared" si="8"/>
        <v>12</v>
      </c>
      <c r="G12" s="7">
        <f t="shared" si="8"/>
        <v>24</v>
      </c>
      <c r="H12" s="7">
        <f t="shared" si="8"/>
        <v>15</v>
      </c>
      <c r="I12" s="7">
        <f t="shared" si="8"/>
        <v>13</v>
      </c>
      <c r="J12" s="7">
        <f t="shared" si="8"/>
        <v>11.5</v>
      </c>
      <c r="K12" s="7">
        <f t="shared" si="8"/>
        <v>12.5</v>
      </c>
      <c r="L12" s="7">
        <f t="shared" si="8"/>
        <v>12.5</v>
      </c>
      <c r="M12" s="7">
        <f t="shared" si="8"/>
        <v>13</v>
      </c>
      <c r="N12" s="7">
        <f t="shared" si="8"/>
        <v>20.5</v>
      </c>
      <c r="O12" s="7">
        <f t="shared" si="8"/>
        <v>17.5</v>
      </c>
      <c r="P12" s="7">
        <f t="shared" si="8"/>
        <v>13.5</v>
      </c>
      <c r="Q12" s="7">
        <f t="shared" si="8"/>
        <v>12</v>
      </c>
      <c r="R12" s="7">
        <f t="shared" si="8"/>
        <v>16</v>
      </c>
      <c r="S12" s="7">
        <f t="shared" si="8"/>
        <v>15.5</v>
      </c>
      <c r="T12" s="7">
        <f t="shared" si="8"/>
        <v>16.5</v>
      </c>
      <c r="U12" s="7">
        <f t="shared" si="8"/>
        <v>12.5</v>
      </c>
      <c r="V12" s="7">
        <f t="shared" si="8"/>
        <v>16</v>
      </c>
      <c r="W12" s="7">
        <f t="shared" si="8"/>
        <v>16</v>
      </c>
      <c r="X12" s="7">
        <f t="shared" si="8"/>
        <v>16</v>
      </c>
      <c r="Y12" s="7">
        <f t="shared" si="8"/>
        <v>18.5</v>
      </c>
      <c r="Z12" s="7">
        <f t="shared" si="8"/>
        <v>12</v>
      </c>
      <c r="AA12" s="7">
        <f t="shared" si="8"/>
        <v>11.5</v>
      </c>
      <c r="AB12" s="7">
        <f t="shared" si="8"/>
        <v>14.5</v>
      </c>
      <c r="AC12" s="7">
        <f t="shared" si="8"/>
        <v>19.5</v>
      </c>
      <c r="AD12" s="7">
        <f t="shared" si="8"/>
        <v>13</v>
      </c>
      <c r="AE12" s="7">
        <f t="shared" si="8"/>
        <v>15.5</v>
      </c>
      <c r="AF12" s="7">
        <f t="shared" si="8"/>
        <v>17.5</v>
      </c>
      <c r="AG12" s="7">
        <f t="shared" si="8"/>
        <v>16</v>
      </c>
      <c r="AH12" s="7">
        <f>SUM(AH5:AH11)</f>
        <v>464</v>
      </c>
      <c r="AJ12" s="15">
        <f t="shared" ref="AJ12:AN12" si="9">SUM(AJ5:AJ11)</f>
        <v>20905</v>
      </c>
      <c r="AK12" s="16">
        <f t="shared" si="9"/>
        <v>20905</v>
      </c>
      <c r="AL12" s="16">
        <f t="shared" si="9"/>
        <v>4.5474735088646412E-13</v>
      </c>
      <c r="AM12" s="16">
        <f>SUM(AM5:AM11)</f>
        <v>26562</v>
      </c>
      <c r="AN12" s="16">
        <f t="shared" si="9"/>
        <v>26561.999999999993</v>
      </c>
      <c r="AO12" s="16">
        <f>SUM(AO5:AO11)</f>
        <v>-15453.812282660696</v>
      </c>
      <c r="AP12" s="15">
        <f>AN12-AO12+$AU$4</f>
        <v>42015.812282660685</v>
      </c>
      <c r="AQ12" s="16"/>
      <c r="AR12" s="16"/>
      <c r="AS12" s="16">
        <f>SUM(AS5:AS11)</f>
        <v>-5623.8122826606932</v>
      </c>
    </row>
    <row r="13" spans="1:47" x14ac:dyDescent="0.3">
      <c r="A13" s="36"/>
      <c r="B13" s="36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37"/>
      <c r="AF13" s="37"/>
      <c r="AG13" s="37"/>
      <c r="AH13" s="37"/>
      <c r="AJ13" s="38"/>
      <c r="AK13" s="39"/>
      <c r="AL13" s="39"/>
      <c r="AM13" s="39"/>
      <c r="AN13" s="39"/>
      <c r="AO13" s="39"/>
      <c r="AP13" s="38"/>
      <c r="AQ13" s="39"/>
      <c r="AR13" s="39"/>
      <c r="AS13" s="39"/>
    </row>
    <row r="14" spans="1:47" x14ac:dyDescent="0.3">
      <c r="B14" s="10" t="s">
        <v>66</v>
      </c>
    </row>
    <row r="15" spans="1:47" x14ac:dyDescent="0.3">
      <c r="A15" s="2">
        <v>1</v>
      </c>
      <c r="B15" s="3" t="s">
        <v>4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3770</v>
      </c>
      <c r="O15" s="8">
        <v>0</v>
      </c>
      <c r="P15" s="8">
        <v>140</v>
      </c>
      <c r="Q15" s="8">
        <v>0</v>
      </c>
      <c r="R15" s="8">
        <v>0</v>
      </c>
      <c r="S15" s="8">
        <v>0</v>
      </c>
      <c r="T15" s="8">
        <v>0</v>
      </c>
      <c r="U15" s="8">
        <v>0</v>
      </c>
      <c r="V15" s="8">
        <v>0</v>
      </c>
      <c r="W15" s="8">
        <v>0</v>
      </c>
      <c r="X15" s="8">
        <v>0</v>
      </c>
      <c r="Y15" s="8">
        <v>0</v>
      </c>
      <c r="Z15" s="8">
        <v>0</v>
      </c>
      <c r="AA15" s="8">
        <v>0</v>
      </c>
      <c r="AB15" s="8">
        <v>0</v>
      </c>
      <c r="AC15" s="8">
        <v>0</v>
      </c>
      <c r="AD15" s="8">
        <v>0</v>
      </c>
      <c r="AE15" s="8">
        <v>0</v>
      </c>
      <c r="AF15" s="8">
        <v>0</v>
      </c>
      <c r="AG15" s="8">
        <v>0</v>
      </c>
      <c r="AH15" s="8">
        <f>SUM(C15:AG15)</f>
        <v>3910</v>
      </c>
      <c r="AP15" s="25"/>
      <c r="AR15" s="1"/>
      <c r="AS15" s="8"/>
    </row>
    <row r="16" spans="1:47" x14ac:dyDescent="0.3">
      <c r="A16" s="2">
        <v>2</v>
      </c>
      <c r="B16" s="3" t="s">
        <v>5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840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>
        <v>700</v>
      </c>
      <c r="S16" s="8">
        <v>2190</v>
      </c>
      <c r="T16" s="8">
        <v>220</v>
      </c>
      <c r="U16" s="8">
        <v>540</v>
      </c>
      <c r="V16" s="8">
        <v>0</v>
      </c>
      <c r="W16" s="8">
        <v>0</v>
      </c>
      <c r="X16" s="8">
        <v>0</v>
      </c>
      <c r="Y16" s="8">
        <v>0</v>
      </c>
      <c r="Z16" s="8">
        <v>0</v>
      </c>
      <c r="AA16" s="8">
        <v>0</v>
      </c>
      <c r="AB16" s="8">
        <v>0</v>
      </c>
      <c r="AC16" s="8">
        <v>0</v>
      </c>
      <c r="AD16" s="8">
        <v>0</v>
      </c>
      <c r="AE16" s="8">
        <v>0</v>
      </c>
      <c r="AF16" s="8">
        <v>0</v>
      </c>
      <c r="AG16" s="8">
        <v>0</v>
      </c>
      <c r="AH16" s="8">
        <f t="shared" ref="AH16:AH21" si="10">SUM(C16:AG16)</f>
        <v>4490</v>
      </c>
      <c r="AR16" s="1"/>
      <c r="AS16" s="8"/>
      <c r="AT16" s="25"/>
    </row>
    <row r="17" spans="1:46" x14ac:dyDescent="0.3">
      <c r="A17" s="2">
        <v>3</v>
      </c>
      <c r="B17" s="3" t="s">
        <v>6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</v>
      </c>
      <c r="U17" s="8">
        <v>0</v>
      </c>
      <c r="V17" s="8">
        <v>0</v>
      </c>
      <c r="W17" s="8">
        <v>0</v>
      </c>
      <c r="X17" s="8">
        <v>1750</v>
      </c>
      <c r="Y17" s="8">
        <v>0</v>
      </c>
      <c r="Z17" s="8">
        <v>150</v>
      </c>
      <c r="AA17" s="8">
        <v>120</v>
      </c>
      <c r="AB17" s="8">
        <v>0</v>
      </c>
      <c r="AC17" s="8">
        <v>0</v>
      </c>
      <c r="AD17" s="8">
        <v>0</v>
      </c>
      <c r="AE17" s="8">
        <v>0</v>
      </c>
      <c r="AF17" s="8">
        <v>0</v>
      </c>
      <c r="AG17" s="8">
        <v>0</v>
      </c>
      <c r="AH17" s="8">
        <f t="shared" si="10"/>
        <v>2020</v>
      </c>
      <c r="AP17" s="25"/>
      <c r="AR17" s="1"/>
      <c r="AS17" s="8"/>
      <c r="AT17" s="25"/>
    </row>
    <row r="18" spans="1:46" x14ac:dyDescent="0.3">
      <c r="A18" s="2">
        <v>4</v>
      </c>
      <c r="B18" s="3" t="s">
        <v>57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  <c r="T18" s="8">
        <v>0</v>
      </c>
      <c r="U18" s="8">
        <v>0</v>
      </c>
      <c r="V18" s="8">
        <v>0</v>
      </c>
      <c r="W18" s="8">
        <v>1000</v>
      </c>
      <c r="X18" s="8">
        <v>0</v>
      </c>
      <c r="Y18" s="8">
        <v>0</v>
      </c>
      <c r="Z18" s="8">
        <v>0</v>
      </c>
      <c r="AA18" s="8">
        <v>0</v>
      </c>
      <c r="AB18" s="8">
        <v>0</v>
      </c>
      <c r="AC18" s="8">
        <v>0</v>
      </c>
      <c r="AD18" s="8">
        <v>0</v>
      </c>
      <c r="AE18" s="8">
        <v>0</v>
      </c>
      <c r="AF18" s="8">
        <v>360</v>
      </c>
      <c r="AG18" s="8">
        <v>0</v>
      </c>
      <c r="AH18" s="8">
        <f t="shared" si="10"/>
        <v>1360</v>
      </c>
    </row>
    <row r="19" spans="1:46" x14ac:dyDescent="0.3">
      <c r="A19" s="2">
        <v>5</v>
      </c>
      <c r="B19" s="12" t="s">
        <v>51</v>
      </c>
      <c r="C19" s="8">
        <v>0</v>
      </c>
      <c r="D19" s="8">
        <v>0</v>
      </c>
      <c r="E19" s="8">
        <v>0</v>
      </c>
      <c r="F19" s="8">
        <v>470</v>
      </c>
      <c r="G19" s="8">
        <v>0</v>
      </c>
      <c r="H19" s="8">
        <v>140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0</v>
      </c>
      <c r="R19" s="8">
        <v>0</v>
      </c>
      <c r="S19" s="8">
        <v>0</v>
      </c>
      <c r="T19" s="8">
        <v>0</v>
      </c>
      <c r="U19" s="8">
        <v>0</v>
      </c>
      <c r="V19" s="8">
        <v>0</v>
      </c>
      <c r="W19" s="8">
        <v>0</v>
      </c>
      <c r="X19" s="8">
        <v>0</v>
      </c>
      <c r="Y19" s="8">
        <v>1605</v>
      </c>
      <c r="Z19" s="8">
        <v>0</v>
      </c>
      <c r="AA19" s="8">
        <v>0</v>
      </c>
      <c r="AB19" s="8">
        <v>1270</v>
      </c>
      <c r="AC19" s="8">
        <v>215</v>
      </c>
      <c r="AD19" s="8">
        <v>0</v>
      </c>
      <c r="AE19" s="8">
        <v>390</v>
      </c>
      <c r="AF19" s="8">
        <v>0</v>
      </c>
      <c r="AG19" s="8">
        <v>0</v>
      </c>
      <c r="AH19" s="8">
        <f t="shared" si="10"/>
        <v>4090</v>
      </c>
    </row>
    <row r="20" spans="1:46" x14ac:dyDescent="0.3">
      <c r="A20" s="2">
        <v>6</v>
      </c>
      <c r="B20" s="3" t="s">
        <v>7</v>
      </c>
      <c r="C20" s="8">
        <v>0</v>
      </c>
      <c r="D20" s="8">
        <v>0</v>
      </c>
      <c r="E20" s="8">
        <v>0</v>
      </c>
      <c r="F20" s="8">
        <v>0</v>
      </c>
      <c r="G20" s="8">
        <v>1510</v>
      </c>
      <c r="H20" s="8">
        <v>0</v>
      </c>
      <c r="I20" s="8">
        <v>0</v>
      </c>
      <c r="J20" s="8">
        <v>385</v>
      </c>
      <c r="K20" s="8">
        <v>130</v>
      </c>
      <c r="L20" s="8">
        <v>100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  <c r="S20" s="8">
        <v>0</v>
      </c>
      <c r="T20" s="8">
        <v>0</v>
      </c>
      <c r="U20" s="8">
        <v>0</v>
      </c>
      <c r="V20" s="8">
        <v>0</v>
      </c>
      <c r="W20" s="8">
        <v>0</v>
      </c>
      <c r="X20" s="8">
        <v>0</v>
      </c>
      <c r="Y20" s="8">
        <v>0</v>
      </c>
      <c r="Z20" s="8">
        <v>0</v>
      </c>
      <c r="AA20" s="8">
        <v>0</v>
      </c>
      <c r="AB20" s="8">
        <v>0</v>
      </c>
      <c r="AC20" s="8">
        <v>0</v>
      </c>
      <c r="AD20" s="8">
        <v>0</v>
      </c>
      <c r="AE20" s="8">
        <v>0</v>
      </c>
      <c r="AF20" s="8">
        <v>0</v>
      </c>
      <c r="AG20" s="8">
        <v>0</v>
      </c>
      <c r="AH20" s="8">
        <f t="shared" si="10"/>
        <v>2125</v>
      </c>
      <c r="AT20" s="25"/>
    </row>
    <row r="21" spans="1:46" x14ac:dyDescent="0.3">
      <c r="A21" s="2">
        <v>7</v>
      </c>
      <c r="B21" s="3" t="s">
        <v>8</v>
      </c>
      <c r="C21" s="8">
        <v>1460</v>
      </c>
      <c r="D21" s="8">
        <v>1250</v>
      </c>
      <c r="E21" s="8">
        <v>200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8">
        <v>0</v>
      </c>
      <c r="T21" s="8">
        <v>0</v>
      </c>
      <c r="U21" s="8">
        <v>0</v>
      </c>
      <c r="V21" s="8">
        <v>0</v>
      </c>
      <c r="W21" s="8">
        <v>0</v>
      </c>
      <c r="X21" s="8">
        <v>0</v>
      </c>
      <c r="Y21" s="8">
        <v>0</v>
      </c>
      <c r="Z21" s="8">
        <v>0</v>
      </c>
      <c r="AA21" s="8">
        <v>0</v>
      </c>
      <c r="AB21" s="8">
        <v>0</v>
      </c>
      <c r="AC21" s="8">
        <v>0</v>
      </c>
      <c r="AD21" s="8">
        <v>0</v>
      </c>
      <c r="AE21" s="8">
        <v>0</v>
      </c>
      <c r="AF21" s="8">
        <v>0</v>
      </c>
      <c r="AG21" s="8">
        <v>0</v>
      </c>
      <c r="AH21" s="8">
        <f t="shared" si="10"/>
        <v>2910</v>
      </c>
    </row>
    <row r="22" spans="1:46" x14ac:dyDescent="0.3">
      <c r="AH22" s="9">
        <f>SUM(AH15:AH21)</f>
        <v>20905</v>
      </c>
    </row>
    <row r="23" spans="1:46" x14ac:dyDescent="0.3">
      <c r="A23" s="4"/>
      <c r="B23" s="13" t="s">
        <v>60</v>
      </c>
      <c r="C23" s="4" t="s">
        <v>11</v>
      </c>
      <c r="D23" s="4" t="s">
        <v>12</v>
      </c>
      <c r="E23" s="4" t="s">
        <v>13</v>
      </c>
      <c r="F23" s="4" t="s">
        <v>14</v>
      </c>
      <c r="G23" s="4" t="s">
        <v>15</v>
      </c>
      <c r="H23" s="4" t="s">
        <v>16</v>
      </c>
      <c r="I23" s="4" t="s">
        <v>17</v>
      </c>
      <c r="J23" s="4" t="s">
        <v>18</v>
      </c>
      <c r="K23" s="4" t="s">
        <v>19</v>
      </c>
      <c r="L23" s="4" t="s">
        <v>20</v>
      </c>
      <c r="M23" s="4" t="s">
        <v>21</v>
      </c>
      <c r="N23" s="4" t="s">
        <v>22</v>
      </c>
    </row>
    <row r="24" spans="1:46" x14ac:dyDescent="0.3">
      <c r="A24" s="2">
        <v>1</v>
      </c>
      <c r="B24" s="12" t="s">
        <v>4</v>
      </c>
      <c r="C24" s="8">
        <f>H34</f>
        <v>3142.8571428571427</v>
      </c>
      <c r="D24" s="8">
        <f>$D$31/7</f>
        <v>428.57142857142856</v>
      </c>
      <c r="E24" s="8">
        <f>$E$31/6</f>
        <v>0</v>
      </c>
      <c r="F24" s="8">
        <f>$F$31/7</f>
        <v>71.428571428571431</v>
      </c>
      <c r="G24" s="8">
        <f>$G$31/7</f>
        <v>139.28571428571428</v>
      </c>
      <c r="H24" s="8">
        <f>$H$31/7</f>
        <v>198.14285714285714</v>
      </c>
      <c r="I24" s="8">
        <f>$I$31/7</f>
        <v>244.28571428571428</v>
      </c>
      <c r="J24" s="8">
        <f>$J$31/7</f>
        <v>35.714285714285715</v>
      </c>
      <c r="K24" s="8">
        <f>$K$31/6</f>
        <v>0</v>
      </c>
      <c r="L24" s="8">
        <f>$L$31/7</f>
        <v>17.142857142857142</v>
      </c>
      <c r="M24" s="8">
        <f>$M$31/7</f>
        <v>17.142857142857142</v>
      </c>
      <c r="N24" s="8">
        <f>SUM(C24:M24)</f>
        <v>4294.5714285714275</v>
      </c>
    </row>
    <row r="25" spans="1:46" x14ac:dyDescent="0.3">
      <c r="A25" s="2">
        <v>2</v>
      </c>
      <c r="B25" s="12" t="s">
        <v>5</v>
      </c>
      <c r="C25" s="8">
        <f>H35</f>
        <v>3142.8571428571427</v>
      </c>
      <c r="D25" s="8">
        <f t="shared" ref="D25:D30" si="11">$D$31/7</f>
        <v>428.57142857142856</v>
      </c>
      <c r="E25" s="8">
        <f t="shared" ref="E25:E30" si="12">$E$31/6</f>
        <v>0</v>
      </c>
      <c r="F25" s="8">
        <f t="shared" ref="F25:F30" si="13">$F$31/7</f>
        <v>71.428571428571431</v>
      </c>
      <c r="G25" s="8">
        <f t="shared" ref="G25:G30" si="14">$G$31/7</f>
        <v>139.28571428571428</v>
      </c>
      <c r="H25" s="8">
        <f t="shared" ref="H25:H30" si="15">$H$31/7</f>
        <v>198.14285714285714</v>
      </c>
      <c r="I25" s="8">
        <f t="shared" ref="I25:I30" si="16">$I$31/7</f>
        <v>244.28571428571428</v>
      </c>
      <c r="J25" s="8">
        <f t="shared" ref="J25:J30" si="17">$J$31/7</f>
        <v>35.714285714285715</v>
      </c>
      <c r="K25" s="8">
        <f t="shared" ref="K25:K30" si="18">$K$31/6</f>
        <v>0</v>
      </c>
      <c r="L25" s="8">
        <f t="shared" ref="L25:L30" si="19">$L$31/7</f>
        <v>17.142857142857142</v>
      </c>
      <c r="M25" s="8">
        <f t="shared" ref="M25:M30" si="20">$M$31/7</f>
        <v>17.142857142857142</v>
      </c>
      <c r="N25" s="8">
        <f t="shared" ref="N25:N30" si="21">SUM(C25:M25)</f>
        <v>4294.5714285714275</v>
      </c>
    </row>
    <row r="26" spans="1:46" x14ac:dyDescent="0.3">
      <c r="A26" s="2">
        <v>3</v>
      </c>
      <c r="B26" s="12" t="s">
        <v>6</v>
      </c>
      <c r="C26" s="8">
        <f>H36</f>
        <v>1976.1904761904761</v>
      </c>
      <c r="D26" s="8">
        <f t="shared" si="11"/>
        <v>428.57142857142856</v>
      </c>
      <c r="E26" s="8">
        <f t="shared" si="12"/>
        <v>0</v>
      </c>
      <c r="F26" s="8">
        <f t="shared" si="13"/>
        <v>71.428571428571431</v>
      </c>
      <c r="G26" s="8">
        <f t="shared" si="14"/>
        <v>139.28571428571428</v>
      </c>
      <c r="H26" s="8">
        <f t="shared" si="15"/>
        <v>198.14285714285714</v>
      </c>
      <c r="I26" s="8">
        <f t="shared" si="16"/>
        <v>244.28571428571428</v>
      </c>
      <c r="J26" s="8">
        <f t="shared" si="17"/>
        <v>35.714285714285715</v>
      </c>
      <c r="K26" s="8">
        <f t="shared" si="18"/>
        <v>0</v>
      </c>
      <c r="L26" s="8">
        <f t="shared" si="19"/>
        <v>17.142857142857142</v>
      </c>
      <c r="M26" s="8">
        <f t="shared" si="20"/>
        <v>17.142857142857142</v>
      </c>
      <c r="N26" s="8">
        <f t="shared" si="21"/>
        <v>3127.9047619047624</v>
      </c>
    </row>
    <row r="27" spans="1:46" x14ac:dyDescent="0.3">
      <c r="A27" s="2">
        <v>4</v>
      </c>
      <c r="B27" s="12" t="s">
        <v>57</v>
      </c>
      <c r="C27" s="8">
        <f>H36</f>
        <v>1976.1904761904761</v>
      </c>
      <c r="D27" s="8">
        <f t="shared" si="11"/>
        <v>428.57142857142856</v>
      </c>
      <c r="E27" s="8">
        <f t="shared" si="12"/>
        <v>0</v>
      </c>
      <c r="F27" s="8">
        <f t="shared" si="13"/>
        <v>71.428571428571431</v>
      </c>
      <c r="G27" s="8">
        <f t="shared" si="14"/>
        <v>139.28571428571428</v>
      </c>
      <c r="H27" s="8">
        <f t="shared" si="15"/>
        <v>198.14285714285714</v>
      </c>
      <c r="I27" s="8">
        <f t="shared" si="16"/>
        <v>244.28571428571428</v>
      </c>
      <c r="J27" s="8">
        <f t="shared" si="17"/>
        <v>35.714285714285715</v>
      </c>
      <c r="K27" s="8"/>
      <c r="L27" s="8">
        <f t="shared" si="19"/>
        <v>17.142857142857142</v>
      </c>
      <c r="M27" s="8">
        <f t="shared" si="20"/>
        <v>17.142857142857142</v>
      </c>
      <c r="N27" s="8">
        <f t="shared" si="21"/>
        <v>3127.9047619047624</v>
      </c>
    </row>
    <row r="28" spans="1:46" x14ac:dyDescent="0.3">
      <c r="A28" s="2">
        <v>5</v>
      </c>
      <c r="B28" s="12" t="s">
        <v>51</v>
      </c>
      <c r="C28" s="8">
        <f>H36</f>
        <v>1976.1904761904761</v>
      </c>
      <c r="D28" s="8">
        <f t="shared" si="11"/>
        <v>428.57142857142856</v>
      </c>
      <c r="E28" s="8">
        <f t="shared" si="12"/>
        <v>0</v>
      </c>
      <c r="F28" s="8">
        <f t="shared" si="13"/>
        <v>71.428571428571431</v>
      </c>
      <c r="G28" s="8">
        <f t="shared" si="14"/>
        <v>139.28571428571428</v>
      </c>
      <c r="H28" s="8">
        <f t="shared" si="15"/>
        <v>198.14285714285714</v>
      </c>
      <c r="I28" s="8">
        <f t="shared" si="16"/>
        <v>244.28571428571428</v>
      </c>
      <c r="J28" s="8">
        <f t="shared" si="17"/>
        <v>35.714285714285715</v>
      </c>
      <c r="K28" s="8">
        <f t="shared" si="18"/>
        <v>0</v>
      </c>
      <c r="L28" s="8">
        <f t="shared" si="19"/>
        <v>17.142857142857142</v>
      </c>
      <c r="M28" s="8">
        <f t="shared" si="20"/>
        <v>17.142857142857142</v>
      </c>
      <c r="N28" s="8">
        <f t="shared" si="21"/>
        <v>3127.9047619047624</v>
      </c>
    </row>
    <row r="29" spans="1:46" x14ac:dyDescent="0.3">
      <c r="A29" s="2">
        <v>6</v>
      </c>
      <c r="B29" s="12" t="s">
        <v>7</v>
      </c>
      <c r="C29" s="8">
        <f>H35</f>
        <v>3142.8571428571427</v>
      </c>
      <c r="D29" s="8">
        <f t="shared" si="11"/>
        <v>428.57142857142856</v>
      </c>
      <c r="E29" s="8">
        <f t="shared" si="12"/>
        <v>0</v>
      </c>
      <c r="F29" s="8">
        <f t="shared" si="13"/>
        <v>71.428571428571431</v>
      </c>
      <c r="G29" s="8">
        <f t="shared" si="14"/>
        <v>139.28571428571428</v>
      </c>
      <c r="H29" s="8">
        <f t="shared" si="15"/>
        <v>198.14285714285714</v>
      </c>
      <c r="I29" s="8">
        <f t="shared" si="16"/>
        <v>244.28571428571428</v>
      </c>
      <c r="J29" s="8">
        <f t="shared" si="17"/>
        <v>35.714285714285715</v>
      </c>
      <c r="K29" s="8">
        <f t="shared" si="18"/>
        <v>0</v>
      </c>
      <c r="L29" s="8">
        <f t="shared" si="19"/>
        <v>17.142857142857142</v>
      </c>
      <c r="M29" s="8">
        <f t="shared" si="20"/>
        <v>17.142857142857142</v>
      </c>
      <c r="N29" s="8">
        <f t="shared" si="21"/>
        <v>4294.5714285714275</v>
      </c>
    </row>
    <row r="30" spans="1:46" x14ac:dyDescent="0.3">
      <c r="A30" s="2">
        <v>7</v>
      </c>
      <c r="B30" s="12" t="s">
        <v>8</v>
      </c>
      <c r="C30" s="8">
        <f>H35</f>
        <v>3142.8571428571427</v>
      </c>
      <c r="D30" s="8">
        <f t="shared" si="11"/>
        <v>428.57142857142856</v>
      </c>
      <c r="E30" s="8">
        <f t="shared" si="12"/>
        <v>0</v>
      </c>
      <c r="F30" s="8">
        <f t="shared" si="13"/>
        <v>71.428571428571431</v>
      </c>
      <c r="G30" s="8">
        <f t="shared" si="14"/>
        <v>139.28571428571428</v>
      </c>
      <c r="H30" s="8">
        <f t="shared" si="15"/>
        <v>198.14285714285714</v>
      </c>
      <c r="I30" s="8">
        <f t="shared" si="16"/>
        <v>244.28571428571428</v>
      </c>
      <c r="J30" s="8">
        <f t="shared" si="17"/>
        <v>35.714285714285715</v>
      </c>
      <c r="K30" s="8">
        <f t="shared" si="18"/>
        <v>0</v>
      </c>
      <c r="L30" s="8">
        <f t="shared" si="19"/>
        <v>17.142857142857142</v>
      </c>
      <c r="M30" s="8">
        <f t="shared" si="20"/>
        <v>17.142857142857142</v>
      </c>
      <c r="N30" s="8">
        <f t="shared" si="21"/>
        <v>4294.5714285714275</v>
      </c>
    </row>
    <row r="31" spans="1:46" x14ac:dyDescent="0.3">
      <c r="C31" s="8">
        <f>SUM(C24:C30)</f>
        <v>18500</v>
      </c>
      <c r="D31" s="40">
        <v>3000</v>
      </c>
      <c r="E31" s="8">
        <f>0</f>
        <v>0</v>
      </c>
      <c r="F31" s="8">
        <f>500</f>
        <v>500</v>
      </c>
      <c r="G31" s="8">
        <f>975</f>
        <v>975</v>
      </c>
      <c r="H31" s="14">
        <v>1387</v>
      </c>
      <c r="I31" s="14">
        <v>1710</v>
      </c>
      <c r="J31" s="8">
        <f>250</f>
        <v>250</v>
      </c>
      <c r="K31" s="8">
        <f>0</f>
        <v>0</v>
      </c>
      <c r="L31" s="8">
        <f>120</f>
        <v>120</v>
      </c>
      <c r="M31" s="8">
        <v>120</v>
      </c>
      <c r="N31" s="8">
        <f>SUM(N24:N30)</f>
        <v>26562</v>
      </c>
    </row>
    <row r="33" spans="4:15" x14ac:dyDescent="0.3">
      <c r="N33" t="s">
        <v>61</v>
      </c>
      <c r="O33">
        <f>22580</f>
        <v>22580</v>
      </c>
    </row>
    <row r="34" spans="4:15" x14ac:dyDescent="0.3">
      <c r="D34" s="1">
        <v>6000</v>
      </c>
      <c r="E34" s="1">
        <v>2</v>
      </c>
      <c r="F34" s="1">
        <f>D34/E34</f>
        <v>3000</v>
      </c>
      <c r="G34" s="1">
        <f>(500+500)/7</f>
        <v>142.85714285714286</v>
      </c>
      <c r="H34" s="11">
        <f>F34+G34</f>
        <v>3142.8571428571427</v>
      </c>
      <c r="I34" s="11">
        <f>H34*E34</f>
        <v>6285.7142857142853</v>
      </c>
      <c r="N34" t="s">
        <v>62</v>
      </c>
      <c r="O34">
        <v>3000</v>
      </c>
    </row>
    <row r="35" spans="4:15" x14ac:dyDescent="0.3">
      <c r="D35" s="1">
        <v>6000</v>
      </c>
      <c r="E35" s="1">
        <v>2</v>
      </c>
      <c r="F35" s="1">
        <f t="shared" ref="F35:F36" si="22">D35/E35</f>
        <v>3000</v>
      </c>
      <c r="G35" s="1">
        <f t="shared" ref="G35:G36" si="23">(500+500)/7</f>
        <v>142.85714285714286</v>
      </c>
      <c r="H35" s="11">
        <f t="shared" ref="H35" si="24">F35+G35</f>
        <v>3142.8571428571427</v>
      </c>
      <c r="I35" s="11">
        <f t="shared" ref="I35:I36" si="25">H35*E35</f>
        <v>6285.7142857142853</v>
      </c>
      <c r="N35" t="s">
        <v>63</v>
      </c>
      <c r="O35">
        <v>500</v>
      </c>
    </row>
    <row r="36" spans="4:15" x14ac:dyDescent="0.3">
      <c r="D36" s="1">
        <v>5500</v>
      </c>
      <c r="E36" s="1">
        <v>3</v>
      </c>
      <c r="F36" s="11">
        <f t="shared" si="22"/>
        <v>1833.3333333333333</v>
      </c>
      <c r="G36" s="1">
        <f t="shared" si="23"/>
        <v>142.85714285714286</v>
      </c>
      <c r="H36" s="11">
        <f>F36+G36</f>
        <v>1976.1904761904761</v>
      </c>
      <c r="I36" s="11">
        <f t="shared" si="25"/>
        <v>5928.5714285714284</v>
      </c>
      <c r="N36" t="s">
        <v>64</v>
      </c>
      <c r="O36">
        <v>120</v>
      </c>
    </row>
    <row r="37" spans="4:15" x14ac:dyDescent="0.3">
      <c r="D37" s="1">
        <f>SUM(D34:D36)</f>
        <v>17500</v>
      </c>
      <c r="E37" s="1"/>
      <c r="F37" s="1"/>
      <c r="G37" s="1"/>
      <c r="H37" s="1"/>
      <c r="I37" s="11">
        <f>SUM(I34:I36)</f>
        <v>18500</v>
      </c>
      <c r="O37">
        <f>SUM(O33:O36)</f>
        <v>26200</v>
      </c>
    </row>
  </sheetData>
  <mergeCells count="2">
    <mergeCell ref="C1:D2"/>
    <mergeCell ref="E1:F2"/>
  </mergeCells>
  <pageMargins left="0.7" right="0.7" top="0.75" bottom="0.75" header="0.3" footer="0.3"/>
  <pageSetup orientation="portrait" horizontalDpi="1200" verticalDpi="120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U46"/>
  <sheetViews>
    <sheetView zoomScaleNormal="100" workbookViewId="0">
      <pane xSplit="2" ySplit="4" topLeftCell="AN5" activePane="bottomRight" state="frozen"/>
      <selection pane="topRight" activeCell="C1" sqref="C1"/>
      <selection pane="bottomLeft" activeCell="A5" sqref="A5"/>
      <selection pane="bottomRight" activeCell="AQ6" sqref="AQ6"/>
    </sheetView>
  </sheetViews>
  <sheetFormatPr defaultRowHeight="14.4" x14ac:dyDescent="0.3"/>
  <cols>
    <col min="1" max="1" width="7" bestFit="1" customWidth="1"/>
    <col min="2" max="2" width="23.6640625" bestFit="1" customWidth="1"/>
    <col min="3" max="3" width="10.5546875" customWidth="1"/>
    <col min="4" max="4" width="9.5546875" customWidth="1"/>
    <col min="5" max="5" width="9" customWidth="1"/>
    <col min="6" max="6" width="11.5546875" customWidth="1"/>
    <col min="7" max="7" width="9" customWidth="1"/>
    <col min="8" max="8" width="13.33203125" customWidth="1"/>
    <col min="9" max="9" width="9.6640625" customWidth="1"/>
    <col min="10" max="10" width="9" customWidth="1"/>
    <col min="11" max="11" width="14.5546875" customWidth="1"/>
    <col min="12" max="14" width="10" customWidth="1"/>
    <col min="15" max="33" width="9.6640625" customWidth="1"/>
    <col min="34" max="34" width="10.33203125" bestFit="1" customWidth="1"/>
    <col min="36" max="36" width="23" bestFit="1" customWidth="1"/>
    <col min="37" max="37" width="19.33203125" bestFit="1" customWidth="1"/>
    <col min="38" max="38" width="25.6640625" bestFit="1" customWidth="1"/>
    <col min="39" max="39" width="20.6640625" bestFit="1" customWidth="1"/>
    <col min="40" max="40" width="24" bestFit="1" customWidth="1"/>
    <col min="41" max="41" width="33" bestFit="1" customWidth="1"/>
    <col min="42" max="42" width="33" customWidth="1"/>
    <col min="43" max="43" width="12.33203125" bestFit="1" customWidth="1"/>
    <col min="44" max="44" width="13.44140625" bestFit="1" customWidth="1"/>
    <col min="45" max="45" width="25.5546875" bestFit="1" customWidth="1"/>
    <col min="46" max="46" width="11.33203125" bestFit="1" customWidth="1"/>
    <col min="47" max="47" width="10.33203125" bestFit="1" customWidth="1"/>
  </cols>
  <sheetData>
    <row r="1" spans="1:47" x14ac:dyDescent="0.3">
      <c r="C1" s="107" t="s">
        <v>70</v>
      </c>
      <c r="D1" s="107"/>
      <c r="E1" s="106">
        <f>AH22/AH12</f>
        <v>53.349152542372885</v>
      </c>
      <c r="F1" s="106"/>
    </row>
    <row r="2" spans="1:47" ht="25.5" customHeight="1" x14ac:dyDescent="0.3">
      <c r="C2" s="107"/>
      <c r="D2" s="107"/>
      <c r="E2" s="106"/>
      <c r="F2" s="106"/>
    </row>
    <row r="4" spans="1:47" x14ac:dyDescent="0.3">
      <c r="A4" s="4" t="s">
        <v>0</v>
      </c>
      <c r="B4" s="4" t="s">
        <v>2</v>
      </c>
      <c r="C4" s="5">
        <v>44287</v>
      </c>
      <c r="D4" s="5">
        <v>44288</v>
      </c>
      <c r="E4" s="5">
        <v>44289</v>
      </c>
      <c r="F4" s="5">
        <v>44290</v>
      </c>
      <c r="G4" s="5">
        <v>44291</v>
      </c>
      <c r="H4" s="5">
        <v>44292</v>
      </c>
      <c r="I4" s="5">
        <v>44293</v>
      </c>
      <c r="J4" s="5">
        <v>44294</v>
      </c>
      <c r="K4" s="5">
        <v>44295</v>
      </c>
      <c r="L4" s="5">
        <v>44296</v>
      </c>
      <c r="M4" s="5">
        <v>44297</v>
      </c>
      <c r="N4" s="5">
        <v>44298</v>
      </c>
      <c r="O4" s="5">
        <v>44299</v>
      </c>
      <c r="P4" s="5">
        <v>44300</v>
      </c>
      <c r="Q4" s="5">
        <v>44301</v>
      </c>
      <c r="R4" s="5">
        <v>44302</v>
      </c>
      <c r="S4" s="5">
        <v>44303</v>
      </c>
      <c r="T4" s="5">
        <v>44304</v>
      </c>
      <c r="U4" s="5">
        <v>44305</v>
      </c>
      <c r="V4" s="5">
        <v>44306</v>
      </c>
      <c r="W4" s="5">
        <v>44307</v>
      </c>
      <c r="X4" s="5">
        <v>44308</v>
      </c>
      <c r="Y4" s="5">
        <v>44309</v>
      </c>
      <c r="Z4" s="5">
        <v>44310</v>
      </c>
      <c r="AA4" s="5">
        <v>44311</v>
      </c>
      <c r="AB4" s="5">
        <v>44312</v>
      </c>
      <c r="AC4" s="5">
        <v>44313</v>
      </c>
      <c r="AD4" s="5">
        <v>44314</v>
      </c>
      <c r="AE4" s="5">
        <v>44315</v>
      </c>
      <c r="AF4" s="5">
        <v>44316</v>
      </c>
      <c r="AG4" s="5"/>
      <c r="AH4" s="4" t="s">
        <v>1</v>
      </c>
      <c r="AJ4" s="4" t="s">
        <v>23</v>
      </c>
      <c r="AK4" s="4" t="s">
        <v>24</v>
      </c>
      <c r="AL4" s="4" t="s">
        <v>26</v>
      </c>
      <c r="AM4" s="4" t="s">
        <v>75</v>
      </c>
      <c r="AN4" s="4" t="s">
        <v>27</v>
      </c>
      <c r="AO4" s="4" t="s">
        <v>30</v>
      </c>
      <c r="AP4" s="4" t="s">
        <v>32</v>
      </c>
      <c r="AQ4" s="4" t="s">
        <v>28</v>
      </c>
      <c r="AR4" s="4" t="s">
        <v>29</v>
      </c>
      <c r="AS4" s="4" t="s">
        <v>31</v>
      </c>
    </row>
    <row r="5" spans="1:47" x14ac:dyDescent="0.3">
      <c r="A5" s="2">
        <v>1</v>
      </c>
      <c r="B5" s="3" t="s">
        <v>4</v>
      </c>
      <c r="C5" s="7">
        <v>1.5</v>
      </c>
      <c r="D5" s="7">
        <v>2.5</v>
      </c>
      <c r="E5" s="7">
        <v>2.5</v>
      </c>
      <c r="F5" s="7">
        <v>2.5</v>
      </c>
      <c r="G5" s="7">
        <v>2.5</v>
      </c>
      <c r="H5" s="7">
        <v>2.5</v>
      </c>
      <c r="I5" s="7">
        <v>2.5</v>
      </c>
      <c r="J5" s="7">
        <v>2.5</v>
      </c>
      <c r="K5" s="7">
        <v>2.5</v>
      </c>
      <c r="L5" s="7">
        <v>2.5</v>
      </c>
      <c r="M5" s="7">
        <v>2</v>
      </c>
      <c r="N5" s="7">
        <v>2</v>
      </c>
      <c r="O5" s="7">
        <v>1</v>
      </c>
      <c r="P5" s="7">
        <v>2</v>
      </c>
      <c r="Q5" s="7">
        <v>2</v>
      </c>
      <c r="R5" s="7">
        <v>2</v>
      </c>
      <c r="S5" s="7">
        <v>2</v>
      </c>
      <c r="T5" s="7">
        <v>2</v>
      </c>
      <c r="U5" s="7">
        <v>2</v>
      </c>
      <c r="V5" s="7">
        <v>2</v>
      </c>
      <c r="W5" s="7">
        <v>2</v>
      </c>
      <c r="X5" s="7">
        <v>2</v>
      </c>
      <c r="Y5" s="7">
        <v>1</v>
      </c>
      <c r="Z5" s="7">
        <v>1.5</v>
      </c>
      <c r="AA5" s="7">
        <v>1</v>
      </c>
      <c r="AB5" s="7">
        <v>2</v>
      </c>
      <c r="AC5" s="7">
        <v>2</v>
      </c>
      <c r="AD5" s="7">
        <v>2</v>
      </c>
      <c r="AE5" s="7">
        <v>1</v>
      </c>
      <c r="AF5" s="7">
        <v>2</v>
      </c>
      <c r="AG5" s="7"/>
      <c r="AH5" s="7">
        <f>SUM(C5:AG5)</f>
        <v>59.5</v>
      </c>
      <c r="AJ5" s="15">
        <f>AH5*$E$1</f>
        <v>3174.2745762711866</v>
      </c>
      <c r="AK5" s="16">
        <f>AH15</f>
        <v>5185</v>
      </c>
      <c r="AL5" s="15">
        <f>AK5-AJ5</f>
        <v>2010.7254237288134</v>
      </c>
      <c r="AM5" s="16">
        <f>N24</f>
        <v>4701.5714285714275</v>
      </c>
      <c r="AN5" s="15">
        <f>AM5-AL5</f>
        <v>2690.8460048426141</v>
      </c>
      <c r="AO5" s="15">
        <f>'Meal Mar''21 &amp; Rent April'!AS5</f>
        <v>3692.7734736400203</v>
      </c>
      <c r="AP5" s="15">
        <f>AN5-AO5</f>
        <v>-1001.9274687974062</v>
      </c>
      <c r="AQ5" s="6">
        <f>120</f>
        <v>120</v>
      </c>
      <c r="AR5" s="17"/>
      <c r="AS5" s="15">
        <f>AQ5-AP5</f>
        <v>1121.9274687974062</v>
      </c>
    </row>
    <row r="6" spans="1:47" x14ac:dyDescent="0.3">
      <c r="A6" s="2">
        <v>2</v>
      </c>
      <c r="B6" s="3" t="s">
        <v>5</v>
      </c>
      <c r="C6" s="7">
        <v>5</v>
      </c>
      <c r="D6" s="7">
        <v>5.5</v>
      </c>
      <c r="E6" s="7">
        <v>1.5</v>
      </c>
      <c r="F6" s="7">
        <v>2.5</v>
      </c>
      <c r="G6" s="7">
        <v>2.5</v>
      </c>
      <c r="H6" s="7">
        <v>4.5</v>
      </c>
      <c r="I6" s="7">
        <v>5</v>
      </c>
      <c r="J6" s="7">
        <v>2.5</v>
      </c>
      <c r="K6" s="7">
        <v>5</v>
      </c>
      <c r="L6" s="7">
        <v>4.5</v>
      </c>
      <c r="M6" s="7">
        <v>4</v>
      </c>
      <c r="N6" s="7">
        <v>4.5</v>
      </c>
      <c r="O6" s="7">
        <v>3</v>
      </c>
      <c r="P6" s="7">
        <v>3</v>
      </c>
      <c r="Q6" s="7">
        <v>3.5</v>
      </c>
      <c r="R6" s="7">
        <v>3.5</v>
      </c>
      <c r="S6" s="7">
        <v>3.5</v>
      </c>
      <c r="T6" s="7">
        <v>2.5</v>
      </c>
      <c r="U6" s="7">
        <v>4</v>
      </c>
      <c r="V6" s="7">
        <v>3.5</v>
      </c>
      <c r="W6" s="7">
        <v>3</v>
      </c>
      <c r="X6" s="7">
        <v>3.5</v>
      </c>
      <c r="Y6" s="7">
        <v>1</v>
      </c>
      <c r="Z6" s="7">
        <v>3</v>
      </c>
      <c r="AA6" s="7">
        <v>3</v>
      </c>
      <c r="AB6" s="7">
        <v>3</v>
      </c>
      <c r="AC6" s="7">
        <v>3</v>
      </c>
      <c r="AD6" s="7">
        <v>3</v>
      </c>
      <c r="AE6" s="7">
        <v>2</v>
      </c>
      <c r="AF6" s="7">
        <v>3</v>
      </c>
      <c r="AG6" s="7"/>
      <c r="AH6" s="7">
        <f t="shared" ref="AH6:AH11" si="0">SUM(C6:AG6)</f>
        <v>101</v>
      </c>
      <c r="AJ6" s="15">
        <f t="shared" ref="AJ6:AJ11" si="1">AH6*$E$1</f>
        <v>5388.2644067796609</v>
      </c>
      <c r="AK6" s="16">
        <f>AH16</f>
        <v>3970</v>
      </c>
      <c r="AL6" s="15">
        <f>AK6-AJ6</f>
        <v>-1418.2644067796609</v>
      </c>
      <c r="AM6" s="16">
        <f t="shared" ref="AM6:AM8" si="2">N25</f>
        <v>4701.5714285714275</v>
      </c>
      <c r="AN6" s="15">
        <f t="shared" ref="AN6:AN11" si="3">AM6-AL6</f>
        <v>6119.8358353510885</v>
      </c>
      <c r="AO6" s="15">
        <f>'Meal Mar''21 &amp; Rent April'!AS6</f>
        <v>26.285939767449236</v>
      </c>
      <c r="AP6" s="15">
        <f t="shared" ref="AP6:AP11" si="4">AN6-AO6</f>
        <v>6093.5498955836392</v>
      </c>
      <c r="AQ6" s="6">
        <f>4000+120+500</f>
        <v>4620</v>
      </c>
      <c r="AR6" s="17">
        <v>44319</v>
      </c>
      <c r="AS6" s="15">
        <f t="shared" ref="AS6:AS10" si="5">AQ6-AP6</f>
        <v>-1473.5498955836392</v>
      </c>
    </row>
    <row r="7" spans="1:47" x14ac:dyDescent="0.3">
      <c r="A7" s="2">
        <v>3</v>
      </c>
      <c r="B7" s="3" t="s">
        <v>6</v>
      </c>
      <c r="C7" s="7">
        <v>2.5</v>
      </c>
      <c r="D7" s="7">
        <v>2.5</v>
      </c>
      <c r="E7" s="7">
        <v>2.5</v>
      </c>
      <c r="F7" s="7">
        <v>2.5</v>
      </c>
      <c r="G7" s="7">
        <v>2.5</v>
      </c>
      <c r="H7" s="7">
        <v>2.5</v>
      </c>
      <c r="I7" s="7">
        <v>2.5</v>
      </c>
      <c r="J7" s="7">
        <v>2.5</v>
      </c>
      <c r="K7" s="7">
        <v>2.5</v>
      </c>
      <c r="L7" s="7">
        <v>2.5</v>
      </c>
      <c r="M7" s="7">
        <v>2.5</v>
      </c>
      <c r="N7" s="7">
        <v>2.5</v>
      </c>
      <c r="O7" s="7">
        <v>2</v>
      </c>
      <c r="P7" s="7">
        <v>2.5</v>
      </c>
      <c r="Q7" s="7">
        <v>2.5</v>
      </c>
      <c r="R7" s="7">
        <v>2.5</v>
      </c>
      <c r="S7" s="7">
        <v>2.5</v>
      </c>
      <c r="T7" s="7">
        <v>2.5</v>
      </c>
      <c r="U7" s="7">
        <v>2.5</v>
      </c>
      <c r="V7" s="7">
        <v>2.5</v>
      </c>
      <c r="W7" s="7">
        <v>2.5</v>
      </c>
      <c r="X7" s="7">
        <v>2.5</v>
      </c>
      <c r="Y7" s="7">
        <v>1</v>
      </c>
      <c r="Z7" s="7">
        <v>2</v>
      </c>
      <c r="AA7" s="7">
        <v>2</v>
      </c>
      <c r="AB7" s="7">
        <v>2</v>
      </c>
      <c r="AC7" s="7">
        <v>2</v>
      </c>
      <c r="AD7" s="7">
        <v>2</v>
      </c>
      <c r="AE7" s="7">
        <v>1</v>
      </c>
      <c r="AF7" s="7">
        <v>2</v>
      </c>
      <c r="AG7" s="7"/>
      <c r="AH7" s="7">
        <f t="shared" si="0"/>
        <v>68.5</v>
      </c>
      <c r="AJ7" s="15">
        <f t="shared" si="1"/>
        <v>3654.4169491525427</v>
      </c>
      <c r="AK7" s="16">
        <f>AH17</f>
        <v>840</v>
      </c>
      <c r="AL7" s="15">
        <f t="shared" ref="AL7:AL11" si="6">AK7-AJ7</f>
        <v>-2814.4169491525427</v>
      </c>
      <c r="AM7" s="16">
        <f t="shared" si="2"/>
        <v>3534.9047619047619</v>
      </c>
      <c r="AN7" s="15">
        <f t="shared" si="3"/>
        <v>6349.3217110573041</v>
      </c>
      <c r="AO7" s="15">
        <f>'Meal Mar''21 &amp; Rent April'!AS7</f>
        <v>-5229.9451233892651</v>
      </c>
      <c r="AP7" s="15">
        <f t="shared" si="4"/>
        <v>11579.266834446569</v>
      </c>
      <c r="AQ7" s="6">
        <v>6900</v>
      </c>
      <c r="AR7" s="17">
        <v>44359</v>
      </c>
      <c r="AS7" s="15">
        <f t="shared" si="5"/>
        <v>-4679.2668344465692</v>
      </c>
    </row>
    <row r="8" spans="1:47" x14ac:dyDescent="0.3">
      <c r="A8" s="2">
        <v>4</v>
      </c>
      <c r="B8" s="3" t="s">
        <v>57</v>
      </c>
      <c r="C8" s="7">
        <v>2</v>
      </c>
      <c r="D8" s="7">
        <v>2.5</v>
      </c>
      <c r="E8" s="7">
        <v>2.5</v>
      </c>
      <c r="F8" s="7">
        <v>2.5</v>
      </c>
      <c r="G8" s="7">
        <v>2.5</v>
      </c>
      <c r="H8" s="7">
        <v>2.5</v>
      </c>
      <c r="I8" s="7">
        <v>2.5</v>
      </c>
      <c r="J8" s="7">
        <v>2.5</v>
      </c>
      <c r="K8" s="7">
        <v>2.5</v>
      </c>
      <c r="L8" s="7">
        <v>3.5</v>
      </c>
      <c r="M8" s="7">
        <v>1</v>
      </c>
      <c r="N8" s="7">
        <v>2.5</v>
      </c>
      <c r="O8" s="7">
        <v>2</v>
      </c>
      <c r="P8" s="7">
        <v>1</v>
      </c>
      <c r="Q8" s="7">
        <v>1</v>
      </c>
      <c r="R8" s="7">
        <v>1</v>
      </c>
      <c r="S8" s="7">
        <v>1</v>
      </c>
      <c r="T8" s="7">
        <v>1</v>
      </c>
      <c r="U8" s="7">
        <v>1</v>
      </c>
      <c r="V8" s="7">
        <v>1</v>
      </c>
      <c r="W8" s="7">
        <v>1</v>
      </c>
      <c r="X8" s="7">
        <v>1</v>
      </c>
      <c r="Y8" s="7">
        <v>1</v>
      </c>
      <c r="Z8" s="7">
        <v>1</v>
      </c>
      <c r="AA8" s="7">
        <v>1</v>
      </c>
      <c r="AB8" s="7">
        <v>1</v>
      </c>
      <c r="AC8" s="7">
        <v>1</v>
      </c>
      <c r="AD8" s="7">
        <v>1</v>
      </c>
      <c r="AE8" s="7">
        <v>1</v>
      </c>
      <c r="AF8" s="7">
        <v>1</v>
      </c>
      <c r="AG8" s="7"/>
      <c r="AH8" s="7">
        <f t="shared" si="0"/>
        <v>48</v>
      </c>
      <c r="AJ8" s="15">
        <f>AH8*$E$1</f>
        <v>2560.7593220338986</v>
      </c>
      <c r="AK8" s="16">
        <f>AH18</f>
        <v>4420</v>
      </c>
      <c r="AL8" s="15">
        <f t="shared" si="6"/>
        <v>1859.2406779661014</v>
      </c>
      <c r="AM8" s="16">
        <f t="shared" si="2"/>
        <v>3534.9047619047619</v>
      </c>
      <c r="AN8" s="15">
        <f t="shared" si="3"/>
        <v>1675.6640839386605</v>
      </c>
      <c r="AO8" s="15">
        <f>'Meal Mar''21 &amp; Rent April'!AS8</f>
        <v>-3311.8134465012736</v>
      </c>
      <c r="AP8" s="15">
        <f t="shared" si="4"/>
        <v>4987.4775304399336</v>
      </c>
      <c r="AQ8" s="6">
        <f>5000-5500+5500</f>
        <v>5000</v>
      </c>
      <c r="AR8" s="17" t="s">
        <v>82</v>
      </c>
      <c r="AS8" s="15">
        <f>AQ8-AP8</f>
        <v>12.522469560066384</v>
      </c>
      <c r="AT8" s="25"/>
      <c r="AU8" s="25"/>
    </row>
    <row r="9" spans="1:47" x14ac:dyDescent="0.3">
      <c r="A9" s="2">
        <v>5</v>
      </c>
      <c r="B9" s="12" t="s">
        <v>51</v>
      </c>
      <c r="C9" s="7">
        <v>1.5</v>
      </c>
      <c r="D9" s="7">
        <v>2.5</v>
      </c>
      <c r="E9" s="7">
        <v>2.5</v>
      </c>
      <c r="F9" s="7">
        <v>1.5</v>
      </c>
      <c r="G9" s="7">
        <v>2.5</v>
      </c>
      <c r="H9" s="7">
        <v>1</v>
      </c>
      <c r="I9" s="7">
        <v>1.5</v>
      </c>
      <c r="J9" s="7">
        <v>1</v>
      </c>
      <c r="K9" s="7">
        <v>2.5</v>
      </c>
      <c r="L9" s="7">
        <v>2.5</v>
      </c>
      <c r="M9" s="7">
        <v>1</v>
      </c>
      <c r="N9" s="7">
        <v>2.5</v>
      </c>
      <c r="O9" s="7">
        <v>2</v>
      </c>
      <c r="P9" s="7">
        <v>1</v>
      </c>
      <c r="Q9" s="7">
        <v>1</v>
      </c>
      <c r="R9" s="7">
        <v>1</v>
      </c>
      <c r="S9" s="7">
        <v>1</v>
      </c>
      <c r="T9" s="7">
        <v>1</v>
      </c>
      <c r="U9" s="7">
        <v>1</v>
      </c>
      <c r="V9" s="7">
        <v>1</v>
      </c>
      <c r="W9" s="7">
        <v>1</v>
      </c>
      <c r="X9" s="7">
        <v>1</v>
      </c>
      <c r="Y9" s="7">
        <v>1</v>
      </c>
      <c r="Z9" s="7">
        <v>1</v>
      </c>
      <c r="AA9" s="7">
        <v>1</v>
      </c>
      <c r="AB9" s="7">
        <v>1</v>
      </c>
      <c r="AC9" s="7">
        <v>1</v>
      </c>
      <c r="AD9" s="7">
        <v>1</v>
      </c>
      <c r="AE9" s="7">
        <v>1</v>
      </c>
      <c r="AF9" s="7">
        <v>1</v>
      </c>
      <c r="AG9" s="7"/>
      <c r="AH9" s="7">
        <f t="shared" si="0"/>
        <v>41.5</v>
      </c>
      <c r="AJ9" s="15">
        <f>$AH$9*$E$1</f>
        <v>2213.9898305084748</v>
      </c>
      <c r="AK9" s="16">
        <f>AH19</f>
        <v>2610</v>
      </c>
      <c r="AL9" s="15">
        <f>AK9-AJ9</f>
        <v>396.01016949152518</v>
      </c>
      <c r="AM9" s="16">
        <f>N28</f>
        <v>3534.9047619047619</v>
      </c>
      <c r="AN9" s="15">
        <f t="shared" si="3"/>
        <v>3138.8945924132368</v>
      </c>
      <c r="AO9" s="15">
        <f>'Meal Mar''21 &amp; Rent April'!AS9</f>
        <v>-0.57725149893803973</v>
      </c>
      <c r="AP9" s="15">
        <f t="shared" si="4"/>
        <v>3139.4718439121748</v>
      </c>
      <c r="AQ9" s="6">
        <f>3000+140</f>
        <v>3140</v>
      </c>
      <c r="AR9" s="17">
        <v>44320</v>
      </c>
      <c r="AS9" s="15">
        <f>AQ9-AP9</f>
        <v>0.5281560878252094</v>
      </c>
      <c r="AU9" s="25"/>
    </row>
    <row r="10" spans="1:47" x14ac:dyDescent="0.3">
      <c r="A10" s="2">
        <v>6</v>
      </c>
      <c r="B10" s="3" t="s">
        <v>7</v>
      </c>
      <c r="C10" s="7">
        <v>2</v>
      </c>
      <c r="D10" s="7">
        <v>2.5</v>
      </c>
      <c r="E10" s="7">
        <v>1.5</v>
      </c>
      <c r="F10" s="7">
        <v>1.5</v>
      </c>
      <c r="G10" s="7">
        <v>2.5</v>
      </c>
      <c r="H10" s="7">
        <v>2.5</v>
      </c>
      <c r="I10" s="7">
        <v>2.5</v>
      </c>
      <c r="J10" s="7">
        <v>2.5</v>
      </c>
      <c r="K10" s="7">
        <v>2.5</v>
      </c>
      <c r="L10" s="7">
        <v>2.5</v>
      </c>
      <c r="M10" s="7">
        <v>2.5</v>
      </c>
      <c r="N10" s="7">
        <v>2.5</v>
      </c>
      <c r="O10" s="7">
        <v>1</v>
      </c>
      <c r="P10" s="7">
        <v>2</v>
      </c>
      <c r="Q10" s="7">
        <v>5</v>
      </c>
      <c r="R10" s="7">
        <v>2</v>
      </c>
      <c r="S10" s="7">
        <v>1</v>
      </c>
      <c r="T10" s="7">
        <v>2</v>
      </c>
      <c r="U10" s="7">
        <v>2</v>
      </c>
      <c r="V10" s="7">
        <v>2</v>
      </c>
      <c r="W10" s="7">
        <v>2</v>
      </c>
      <c r="X10" s="7">
        <v>2</v>
      </c>
      <c r="Y10" s="7">
        <v>1</v>
      </c>
      <c r="Z10" s="7">
        <v>1</v>
      </c>
      <c r="AA10" s="7">
        <v>1</v>
      </c>
      <c r="AB10" s="7">
        <v>1</v>
      </c>
      <c r="AC10" s="7">
        <v>2</v>
      </c>
      <c r="AD10" s="7">
        <v>2</v>
      </c>
      <c r="AE10" s="7">
        <v>2</v>
      </c>
      <c r="AF10" s="7">
        <v>2</v>
      </c>
      <c r="AG10" s="7"/>
      <c r="AH10" s="7">
        <f t="shared" si="0"/>
        <v>60.5</v>
      </c>
      <c r="AJ10" s="15">
        <f t="shared" si="1"/>
        <v>3227.6237288135594</v>
      </c>
      <c r="AK10" s="16">
        <f t="shared" ref="AK10:AK11" si="7">AH20</f>
        <v>2617</v>
      </c>
      <c r="AL10" s="15">
        <f t="shared" si="6"/>
        <v>-610.62372881355941</v>
      </c>
      <c r="AM10" s="16">
        <f>N29</f>
        <v>4701.5714285714275</v>
      </c>
      <c r="AN10" s="15">
        <f t="shared" si="3"/>
        <v>5312.1951573849874</v>
      </c>
      <c r="AO10" s="15">
        <f>'Meal Mar''21 &amp; Rent April'!AS10</f>
        <v>-800.88543263579777</v>
      </c>
      <c r="AP10" s="15">
        <f t="shared" si="4"/>
        <v>6113.0805900207852</v>
      </c>
      <c r="AQ10" s="6">
        <f>6000</f>
        <v>6000</v>
      </c>
      <c r="AR10" s="17"/>
      <c r="AS10" s="15">
        <f t="shared" si="5"/>
        <v>-113.08059002078517</v>
      </c>
    </row>
    <row r="11" spans="1:47" x14ac:dyDescent="0.3">
      <c r="A11" s="2">
        <v>7</v>
      </c>
      <c r="B11" s="3" t="s">
        <v>8</v>
      </c>
      <c r="C11" s="7">
        <v>2.5</v>
      </c>
      <c r="D11" s="7">
        <v>2.5</v>
      </c>
      <c r="E11" s="7">
        <v>2.5</v>
      </c>
      <c r="F11" s="7">
        <v>2.5</v>
      </c>
      <c r="G11" s="7">
        <v>2.5</v>
      </c>
      <c r="H11" s="7">
        <v>2.5</v>
      </c>
      <c r="I11" s="7">
        <v>2.5</v>
      </c>
      <c r="J11" s="7">
        <v>2</v>
      </c>
      <c r="K11" s="7">
        <v>2.5</v>
      </c>
      <c r="L11" s="7">
        <v>2.5</v>
      </c>
      <c r="M11" s="7">
        <v>2</v>
      </c>
      <c r="N11" s="7">
        <v>2.5</v>
      </c>
      <c r="O11" s="7">
        <v>2</v>
      </c>
      <c r="P11" s="7">
        <v>2</v>
      </c>
      <c r="Q11" s="7">
        <v>2</v>
      </c>
      <c r="R11" s="7">
        <v>2</v>
      </c>
      <c r="S11" s="7">
        <v>2</v>
      </c>
      <c r="T11" s="7">
        <v>2</v>
      </c>
      <c r="U11" s="7">
        <v>2</v>
      </c>
      <c r="V11" s="7">
        <v>2</v>
      </c>
      <c r="W11" s="7">
        <v>2.5</v>
      </c>
      <c r="X11" s="7">
        <v>2</v>
      </c>
      <c r="Y11" s="7">
        <v>1</v>
      </c>
      <c r="Z11" s="7">
        <v>2</v>
      </c>
      <c r="AA11" s="7">
        <v>1</v>
      </c>
      <c r="AB11" s="7">
        <v>2</v>
      </c>
      <c r="AC11" s="7">
        <v>2</v>
      </c>
      <c r="AD11" s="7">
        <v>2</v>
      </c>
      <c r="AE11" s="7">
        <v>2</v>
      </c>
      <c r="AF11" s="7">
        <v>2</v>
      </c>
      <c r="AG11" s="7"/>
      <c r="AH11" s="7">
        <f t="shared" si="0"/>
        <v>63.5</v>
      </c>
      <c r="AJ11" s="15">
        <f t="shared" si="1"/>
        <v>3387.671186440678</v>
      </c>
      <c r="AK11" s="16">
        <f t="shared" si="7"/>
        <v>3965</v>
      </c>
      <c r="AL11" s="15">
        <f t="shared" si="6"/>
        <v>577.32881355932204</v>
      </c>
      <c r="AM11" s="16">
        <f>N30</f>
        <v>4701.5714285714275</v>
      </c>
      <c r="AN11" s="15">
        <f t="shared" si="3"/>
        <v>4124.2426150121055</v>
      </c>
      <c r="AO11" s="15">
        <f>'Meal Mar''21 &amp; Rent April'!AS11</f>
        <v>0.34955795711266546</v>
      </c>
      <c r="AP11" s="15">
        <f t="shared" si="4"/>
        <v>4123.8930570549928</v>
      </c>
      <c r="AQ11" s="6">
        <f>180+1000+4000</f>
        <v>5180</v>
      </c>
      <c r="AR11" s="17">
        <v>44320</v>
      </c>
      <c r="AS11" s="15">
        <f>AQ11-AP11</f>
        <v>1056.1069429450072</v>
      </c>
    </row>
    <row r="12" spans="1:47" x14ac:dyDescent="0.3">
      <c r="A12" s="1"/>
      <c r="B12" s="1"/>
      <c r="C12" s="7">
        <f>SUM(C5:C11)</f>
        <v>17</v>
      </c>
      <c r="D12" s="7">
        <f t="shared" ref="D12:AG12" si="8">SUM(D5:D11)</f>
        <v>20.5</v>
      </c>
      <c r="E12" s="7">
        <f t="shared" si="8"/>
        <v>15.5</v>
      </c>
      <c r="F12" s="7">
        <f t="shared" si="8"/>
        <v>15.5</v>
      </c>
      <c r="G12" s="7">
        <f t="shared" si="8"/>
        <v>17.5</v>
      </c>
      <c r="H12" s="7">
        <f t="shared" si="8"/>
        <v>18</v>
      </c>
      <c r="I12" s="7">
        <f t="shared" si="8"/>
        <v>19</v>
      </c>
      <c r="J12" s="7">
        <f t="shared" si="8"/>
        <v>15.5</v>
      </c>
      <c r="K12" s="7">
        <f t="shared" si="8"/>
        <v>20</v>
      </c>
      <c r="L12" s="7">
        <f t="shared" si="8"/>
        <v>20.5</v>
      </c>
      <c r="M12" s="7">
        <f t="shared" si="8"/>
        <v>15</v>
      </c>
      <c r="N12" s="7">
        <f t="shared" si="8"/>
        <v>19</v>
      </c>
      <c r="O12" s="7">
        <f t="shared" si="8"/>
        <v>13</v>
      </c>
      <c r="P12" s="7">
        <f t="shared" si="8"/>
        <v>13.5</v>
      </c>
      <c r="Q12" s="7">
        <f t="shared" si="8"/>
        <v>17</v>
      </c>
      <c r="R12" s="7">
        <f t="shared" si="8"/>
        <v>14</v>
      </c>
      <c r="S12" s="7">
        <f t="shared" si="8"/>
        <v>13</v>
      </c>
      <c r="T12" s="7">
        <f t="shared" si="8"/>
        <v>13</v>
      </c>
      <c r="U12" s="7">
        <f t="shared" si="8"/>
        <v>14.5</v>
      </c>
      <c r="V12" s="7">
        <f t="shared" si="8"/>
        <v>14</v>
      </c>
      <c r="W12" s="7">
        <f t="shared" si="8"/>
        <v>14</v>
      </c>
      <c r="X12" s="7">
        <f t="shared" si="8"/>
        <v>14</v>
      </c>
      <c r="Y12" s="7">
        <f t="shared" si="8"/>
        <v>7</v>
      </c>
      <c r="Z12" s="7">
        <f t="shared" si="8"/>
        <v>11.5</v>
      </c>
      <c r="AA12" s="7">
        <f t="shared" si="8"/>
        <v>10</v>
      </c>
      <c r="AB12" s="7">
        <f t="shared" si="8"/>
        <v>12</v>
      </c>
      <c r="AC12" s="7">
        <f t="shared" si="8"/>
        <v>13</v>
      </c>
      <c r="AD12" s="7">
        <f t="shared" si="8"/>
        <v>13</v>
      </c>
      <c r="AE12" s="7">
        <f t="shared" si="8"/>
        <v>10</v>
      </c>
      <c r="AF12" s="7">
        <f t="shared" si="8"/>
        <v>13</v>
      </c>
      <c r="AG12" s="7">
        <f t="shared" si="8"/>
        <v>0</v>
      </c>
      <c r="AH12" s="7">
        <f>SUM(AH5:AH11)</f>
        <v>442.5</v>
      </c>
      <c r="AJ12" s="15">
        <f t="shared" ref="AJ12:AN12" si="9">SUM(AJ5:AJ11)</f>
        <v>23607</v>
      </c>
      <c r="AK12" s="16">
        <f t="shared" si="9"/>
        <v>23607</v>
      </c>
      <c r="AL12" s="16">
        <f t="shared" si="9"/>
        <v>-9.0949470177292824E-13</v>
      </c>
      <c r="AM12" s="16">
        <f>SUM(AM5:AM11)</f>
        <v>29410.999999999996</v>
      </c>
      <c r="AN12" s="16">
        <f t="shared" si="9"/>
        <v>29410.999999999996</v>
      </c>
      <c r="AO12" s="16">
        <f>SUM(AO5:AO11)</f>
        <v>-5623.8122826606932</v>
      </c>
      <c r="AP12" s="15">
        <f>AN12-AO12+$AU$4</f>
        <v>35034.812282660692</v>
      </c>
      <c r="AQ12" s="16">
        <f>SUM(AQ5:AQ11)</f>
        <v>30960</v>
      </c>
      <c r="AR12" s="16"/>
      <c r="AS12" s="16">
        <f>SUM(AS5:AS11)</f>
        <v>-4074.8122826606887</v>
      </c>
    </row>
    <row r="13" spans="1:47" x14ac:dyDescent="0.3">
      <c r="A13" s="36"/>
      <c r="B13" s="36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37"/>
      <c r="AF13" s="37"/>
      <c r="AG13" s="37"/>
      <c r="AH13" s="37"/>
      <c r="AJ13" s="38"/>
      <c r="AK13" s="39"/>
      <c r="AL13" s="39"/>
      <c r="AM13" s="39"/>
      <c r="AN13" s="39"/>
      <c r="AO13" s="39"/>
      <c r="AP13" s="38"/>
      <c r="AQ13" s="39"/>
      <c r="AR13" s="39"/>
      <c r="AS13" s="39"/>
    </row>
    <row r="14" spans="1:47" x14ac:dyDescent="0.3">
      <c r="B14" s="10" t="s">
        <v>69</v>
      </c>
    </row>
    <row r="15" spans="1:47" x14ac:dyDescent="0.3">
      <c r="A15" s="2">
        <v>1</v>
      </c>
      <c r="B15" s="3" t="s">
        <v>4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3705</v>
      </c>
      <c r="T15" s="8">
        <v>250</v>
      </c>
      <c r="U15" s="8">
        <v>0</v>
      </c>
      <c r="V15" s="8">
        <v>0</v>
      </c>
      <c r="W15" s="8">
        <v>0</v>
      </c>
      <c r="X15" s="8">
        <v>0</v>
      </c>
      <c r="Y15" s="8">
        <v>0</v>
      </c>
      <c r="Z15" s="8">
        <v>0</v>
      </c>
      <c r="AA15" s="8">
        <v>0</v>
      </c>
      <c r="AB15" s="8">
        <v>0</v>
      </c>
      <c r="AC15" s="8">
        <v>0</v>
      </c>
      <c r="AD15" s="8">
        <v>0</v>
      </c>
      <c r="AE15" s="8">
        <v>1230</v>
      </c>
      <c r="AF15" s="8">
        <v>0</v>
      </c>
      <c r="AG15" s="8">
        <v>0</v>
      </c>
      <c r="AH15" s="8">
        <f>SUM(C15:AG15)</f>
        <v>5185</v>
      </c>
      <c r="AP15" s="25"/>
      <c r="AR15" s="1"/>
      <c r="AS15" s="8"/>
    </row>
    <row r="16" spans="1:47" x14ac:dyDescent="0.3">
      <c r="A16" s="2">
        <v>2</v>
      </c>
      <c r="B16" s="3" t="s">
        <v>5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3820</v>
      </c>
      <c r="Q16" s="8">
        <v>150</v>
      </c>
      <c r="R16" s="8">
        <v>0</v>
      </c>
      <c r="S16" s="8">
        <v>0</v>
      </c>
      <c r="T16" s="8">
        <v>0</v>
      </c>
      <c r="U16" s="8">
        <v>0</v>
      </c>
      <c r="V16" s="8">
        <v>0</v>
      </c>
      <c r="W16" s="8">
        <v>0</v>
      </c>
      <c r="X16" s="8">
        <v>0</v>
      </c>
      <c r="Y16" s="8">
        <v>0</v>
      </c>
      <c r="Z16" s="8">
        <v>0</v>
      </c>
      <c r="AA16" s="8">
        <v>0</v>
      </c>
      <c r="AB16" s="8">
        <v>0</v>
      </c>
      <c r="AC16" s="8">
        <v>0</v>
      </c>
      <c r="AD16" s="8">
        <v>0</v>
      </c>
      <c r="AE16" s="8">
        <v>0</v>
      </c>
      <c r="AF16" s="8">
        <v>0</v>
      </c>
      <c r="AG16" s="8">
        <v>0</v>
      </c>
      <c r="AH16" s="8">
        <f t="shared" ref="AH16:AH21" si="10">SUM(C16:AG16)</f>
        <v>3970</v>
      </c>
      <c r="AR16" s="1"/>
      <c r="AS16" s="8"/>
      <c r="AT16" s="25"/>
    </row>
    <row r="17" spans="1:46" x14ac:dyDescent="0.3">
      <c r="A17" s="2">
        <v>3</v>
      </c>
      <c r="B17" s="3" t="s">
        <v>6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</v>
      </c>
      <c r="U17" s="8">
        <v>0</v>
      </c>
      <c r="V17" s="8">
        <v>0</v>
      </c>
      <c r="W17" s="8">
        <v>710</v>
      </c>
      <c r="X17" s="8">
        <v>0</v>
      </c>
      <c r="Y17" s="8">
        <v>0</v>
      </c>
      <c r="Z17" s="8">
        <v>0</v>
      </c>
      <c r="AA17" s="8">
        <v>0</v>
      </c>
      <c r="AB17" s="8">
        <v>0</v>
      </c>
      <c r="AC17" s="8">
        <v>0</v>
      </c>
      <c r="AD17" s="8">
        <v>130</v>
      </c>
      <c r="AE17" s="8">
        <v>0</v>
      </c>
      <c r="AF17" s="8">
        <v>0</v>
      </c>
      <c r="AG17" s="8">
        <v>0</v>
      </c>
      <c r="AH17" s="8">
        <f t="shared" si="10"/>
        <v>840</v>
      </c>
      <c r="AP17" s="25"/>
      <c r="AR17" s="1"/>
      <c r="AS17" s="8"/>
      <c r="AT17" s="25"/>
    </row>
    <row r="18" spans="1:46" x14ac:dyDescent="0.3">
      <c r="A18" s="2">
        <v>4</v>
      </c>
      <c r="B18" s="3" t="s">
        <v>57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  <c r="T18" s="8">
        <v>0</v>
      </c>
      <c r="U18" s="8">
        <v>0</v>
      </c>
      <c r="V18" s="8">
        <v>1250</v>
      </c>
      <c r="W18" s="8">
        <v>0</v>
      </c>
      <c r="X18" s="8">
        <v>1000</v>
      </c>
      <c r="Y18" s="8">
        <v>40</v>
      </c>
      <c r="Z18" s="8">
        <v>1070</v>
      </c>
      <c r="AA18" s="8">
        <v>70</v>
      </c>
      <c r="AB18" s="8">
        <v>340</v>
      </c>
      <c r="AC18" s="8">
        <v>650</v>
      </c>
      <c r="AD18" s="8">
        <v>0</v>
      </c>
      <c r="AE18" s="8">
        <v>0</v>
      </c>
      <c r="AF18" s="8">
        <v>0</v>
      </c>
      <c r="AG18" s="8">
        <v>0</v>
      </c>
      <c r="AH18" s="8">
        <f t="shared" si="10"/>
        <v>4420</v>
      </c>
    </row>
    <row r="19" spans="1:46" x14ac:dyDescent="0.3">
      <c r="A19" s="2">
        <v>5</v>
      </c>
      <c r="B19" s="12" t="s">
        <v>51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1080</v>
      </c>
      <c r="L19" s="8">
        <v>90</v>
      </c>
      <c r="M19" s="8">
        <v>740</v>
      </c>
      <c r="N19" s="8">
        <v>525</v>
      </c>
      <c r="O19" s="8">
        <v>175</v>
      </c>
      <c r="P19" s="8">
        <v>0</v>
      </c>
      <c r="Q19" s="8">
        <v>0</v>
      </c>
      <c r="R19" s="8">
        <v>0</v>
      </c>
      <c r="S19" s="8">
        <v>0</v>
      </c>
      <c r="T19" s="8">
        <v>0</v>
      </c>
      <c r="U19" s="8">
        <v>0</v>
      </c>
      <c r="V19" s="8">
        <v>0</v>
      </c>
      <c r="W19" s="8">
        <v>0</v>
      </c>
      <c r="X19" s="8">
        <v>0</v>
      </c>
      <c r="Y19" s="8">
        <v>0</v>
      </c>
      <c r="Z19" s="8">
        <v>0</v>
      </c>
      <c r="AA19" s="8">
        <v>0</v>
      </c>
      <c r="AB19" s="8">
        <v>0</v>
      </c>
      <c r="AC19" s="8">
        <v>0</v>
      </c>
      <c r="AD19" s="8">
        <v>0</v>
      </c>
      <c r="AE19" s="8">
        <v>0</v>
      </c>
      <c r="AF19" s="8">
        <v>0</v>
      </c>
      <c r="AG19" s="8">
        <v>0</v>
      </c>
      <c r="AH19" s="8">
        <f t="shared" si="10"/>
        <v>2610</v>
      </c>
    </row>
    <row r="20" spans="1:46" x14ac:dyDescent="0.3">
      <c r="A20" s="2">
        <v>6</v>
      </c>
      <c r="B20" s="3" t="s">
        <v>7</v>
      </c>
      <c r="C20" s="8">
        <v>1450</v>
      </c>
      <c r="D20" s="8">
        <v>550</v>
      </c>
      <c r="E20" s="8">
        <v>195</v>
      </c>
      <c r="F20" s="8">
        <f>362+60</f>
        <v>422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  <c r="S20" s="8">
        <v>0</v>
      </c>
      <c r="T20" s="8">
        <v>0</v>
      </c>
      <c r="U20" s="8">
        <v>0</v>
      </c>
      <c r="V20" s="8">
        <v>0</v>
      </c>
      <c r="W20" s="8">
        <v>0</v>
      </c>
      <c r="X20" s="8">
        <v>0</v>
      </c>
      <c r="Y20" s="8">
        <v>0</v>
      </c>
      <c r="Z20" s="8">
        <v>0</v>
      </c>
      <c r="AA20" s="8">
        <v>0</v>
      </c>
      <c r="AB20" s="8">
        <v>0</v>
      </c>
      <c r="AC20" s="8">
        <v>0</v>
      </c>
      <c r="AD20" s="8">
        <v>0</v>
      </c>
      <c r="AE20" s="8">
        <v>0</v>
      </c>
      <c r="AF20" s="8">
        <v>0</v>
      </c>
      <c r="AG20" s="8">
        <v>0</v>
      </c>
      <c r="AH20" s="8">
        <f t="shared" si="10"/>
        <v>2617</v>
      </c>
      <c r="AT20" s="25"/>
    </row>
    <row r="21" spans="1:46" x14ac:dyDescent="0.3">
      <c r="A21" s="2">
        <v>7</v>
      </c>
      <c r="B21" s="3" t="s">
        <v>8</v>
      </c>
      <c r="C21" s="8">
        <v>0</v>
      </c>
      <c r="D21" s="8">
        <v>0</v>
      </c>
      <c r="E21" s="8">
        <v>0</v>
      </c>
      <c r="F21" s="8">
        <v>0</v>
      </c>
      <c r="G21" s="8">
        <v>1400</v>
      </c>
      <c r="H21" s="8">
        <v>1070</v>
      </c>
      <c r="I21" s="8">
        <v>250</v>
      </c>
      <c r="J21" s="8">
        <v>1245</v>
      </c>
      <c r="K21" s="8">
        <v>0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8">
        <v>0</v>
      </c>
      <c r="T21" s="8">
        <v>0</v>
      </c>
      <c r="U21" s="8">
        <v>0</v>
      </c>
      <c r="V21" s="8">
        <v>0</v>
      </c>
      <c r="W21" s="8">
        <v>0</v>
      </c>
      <c r="X21" s="8">
        <v>0</v>
      </c>
      <c r="Y21" s="8">
        <v>0</v>
      </c>
      <c r="Z21" s="8">
        <v>0</v>
      </c>
      <c r="AA21" s="8">
        <v>0</v>
      </c>
      <c r="AB21" s="8">
        <v>0</v>
      </c>
      <c r="AC21" s="8">
        <v>0</v>
      </c>
      <c r="AD21" s="8">
        <v>0</v>
      </c>
      <c r="AE21" s="8">
        <v>0</v>
      </c>
      <c r="AF21" s="8">
        <v>0</v>
      </c>
      <c r="AG21" s="8">
        <v>0</v>
      </c>
      <c r="AH21" s="8">
        <f t="shared" si="10"/>
        <v>3965</v>
      </c>
    </row>
    <row r="22" spans="1:46" x14ac:dyDescent="0.3">
      <c r="AH22" s="9">
        <f>SUM(AH15:AH21)</f>
        <v>23607</v>
      </c>
    </row>
    <row r="23" spans="1:46" x14ac:dyDescent="0.3">
      <c r="A23" s="4"/>
      <c r="B23" s="13" t="s">
        <v>76</v>
      </c>
      <c r="C23" s="4" t="s">
        <v>11</v>
      </c>
      <c r="D23" s="4" t="s">
        <v>12</v>
      </c>
      <c r="E23" s="4" t="s">
        <v>13</v>
      </c>
      <c r="F23" s="4" t="s">
        <v>14</v>
      </c>
      <c r="G23" s="4" t="s">
        <v>15</v>
      </c>
      <c r="H23" s="4" t="s">
        <v>16</v>
      </c>
      <c r="I23" s="4" t="s">
        <v>17</v>
      </c>
      <c r="J23" s="4" t="s">
        <v>18</v>
      </c>
      <c r="K23" s="4" t="s">
        <v>19</v>
      </c>
      <c r="L23" s="4" t="s">
        <v>20</v>
      </c>
      <c r="M23" s="4" t="s">
        <v>21</v>
      </c>
      <c r="N23" s="4" t="s">
        <v>22</v>
      </c>
    </row>
    <row r="24" spans="1:46" x14ac:dyDescent="0.3">
      <c r="A24" s="2">
        <v>1</v>
      </c>
      <c r="B24" s="12" t="s">
        <v>4</v>
      </c>
      <c r="C24" s="8">
        <f>H34</f>
        <v>3142.8571428571427</v>
      </c>
      <c r="D24" s="8">
        <f>$D$31/7</f>
        <v>428.57142857142856</v>
      </c>
      <c r="E24" s="8">
        <f>$E$31/7</f>
        <v>214.28571428571428</v>
      </c>
      <c r="F24" s="8">
        <f>$F$31/7</f>
        <v>71.428571428571431</v>
      </c>
      <c r="G24" s="8">
        <f>$G$31/7</f>
        <v>139.28571428571428</v>
      </c>
      <c r="H24" s="8">
        <f>$H$31/7</f>
        <v>316.57142857142856</v>
      </c>
      <c r="I24" s="8">
        <f>$I$31/7</f>
        <v>310</v>
      </c>
      <c r="J24" s="8">
        <f>$J$31/7</f>
        <v>35.714285714285715</v>
      </c>
      <c r="K24" s="8">
        <f>$K$31/6</f>
        <v>0</v>
      </c>
      <c r="L24" s="8">
        <f>$L$31/7</f>
        <v>17.142857142857142</v>
      </c>
      <c r="M24" s="8">
        <f>$M$31/7</f>
        <v>25.714285714285715</v>
      </c>
      <c r="N24" s="8">
        <f t="shared" ref="N24:N30" si="11">SUM(C24:M24)</f>
        <v>4701.5714285714275</v>
      </c>
    </row>
    <row r="25" spans="1:46" x14ac:dyDescent="0.3">
      <c r="A25" s="2">
        <v>2</v>
      </c>
      <c r="B25" s="12" t="s">
        <v>5</v>
      </c>
      <c r="C25" s="8">
        <f>H35</f>
        <v>3142.8571428571427</v>
      </c>
      <c r="D25" s="8">
        <f t="shared" ref="D25:D30" si="12">$D$31/7</f>
        <v>428.57142857142856</v>
      </c>
      <c r="E25" s="8">
        <f>$E$31/7</f>
        <v>214.28571428571428</v>
      </c>
      <c r="F25" s="8">
        <f t="shared" ref="F25:F30" si="13">$F$31/7</f>
        <v>71.428571428571431</v>
      </c>
      <c r="G25" s="8">
        <f t="shared" ref="G25:G30" si="14">$G$31/7</f>
        <v>139.28571428571428</v>
      </c>
      <c r="H25" s="8">
        <f t="shared" ref="H25:H30" si="15">$H$31/7</f>
        <v>316.57142857142856</v>
      </c>
      <c r="I25" s="8">
        <f t="shared" ref="I25:I30" si="16">$I$31/7</f>
        <v>310</v>
      </c>
      <c r="J25" s="8">
        <f t="shared" ref="J25:J29" si="17">$J$31/7</f>
        <v>35.714285714285715</v>
      </c>
      <c r="K25" s="8">
        <f t="shared" ref="K25:K30" si="18">$K$31/6</f>
        <v>0</v>
      </c>
      <c r="L25" s="8">
        <f t="shared" ref="L25:L30" si="19">$L$31/7</f>
        <v>17.142857142857142</v>
      </c>
      <c r="M25" s="8">
        <f t="shared" ref="M25:M30" si="20">$M$31/7</f>
        <v>25.714285714285715</v>
      </c>
      <c r="N25" s="8">
        <f t="shared" si="11"/>
        <v>4701.5714285714275</v>
      </c>
    </row>
    <row r="26" spans="1:46" x14ac:dyDescent="0.3">
      <c r="A26" s="2">
        <v>3</v>
      </c>
      <c r="B26" s="12" t="s">
        <v>6</v>
      </c>
      <c r="C26" s="8">
        <f>H36</f>
        <v>1976.1904761904761</v>
      </c>
      <c r="D26" s="8">
        <f t="shared" si="12"/>
        <v>428.57142857142856</v>
      </c>
      <c r="E26" s="8">
        <f>$E$31/7</f>
        <v>214.28571428571428</v>
      </c>
      <c r="F26" s="8">
        <f t="shared" si="13"/>
        <v>71.428571428571431</v>
      </c>
      <c r="G26" s="8">
        <f t="shared" si="14"/>
        <v>139.28571428571428</v>
      </c>
      <c r="H26" s="8">
        <f t="shared" si="15"/>
        <v>316.57142857142856</v>
      </c>
      <c r="I26" s="8">
        <f t="shared" si="16"/>
        <v>310</v>
      </c>
      <c r="J26" s="8">
        <f t="shared" si="17"/>
        <v>35.714285714285715</v>
      </c>
      <c r="K26" s="8">
        <f t="shared" si="18"/>
        <v>0</v>
      </c>
      <c r="L26" s="8">
        <f t="shared" si="19"/>
        <v>17.142857142857142</v>
      </c>
      <c r="M26" s="8">
        <f t="shared" si="20"/>
        <v>25.714285714285715</v>
      </c>
      <c r="N26" s="8">
        <f t="shared" si="11"/>
        <v>3534.9047619047619</v>
      </c>
    </row>
    <row r="27" spans="1:46" x14ac:dyDescent="0.3">
      <c r="A27" s="2">
        <v>4</v>
      </c>
      <c r="B27" s="12" t="s">
        <v>57</v>
      </c>
      <c r="C27" s="8">
        <f>H36</f>
        <v>1976.1904761904761</v>
      </c>
      <c r="D27" s="8">
        <f t="shared" si="12"/>
        <v>428.57142857142856</v>
      </c>
      <c r="E27" s="8">
        <f>$E$31/7</f>
        <v>214.28571428571428</v>
      </c>
      <c r="F27" s="8">
        <f t="shared" si="13"/>
        <v>71.428571428571431</v>
      </c>
      <c r="G27" s="8">
        <f t="shared" si="14"/>
        <v>139.28571428571428</v>
      </c>
      <c r="H27" s="8">
        <f t="shared" si="15"/>
        <v>316.57142857142856</v>
      </c>
      <c r="I27" s="8">
        <f t="shared" si="16"/>
        <v>310</v>
      </c>
      <c r="J27" s="8">
        <f t="shared" si="17"/>
        <v>35.714285714285715</v>
      </c>
      <c r="K27" s="8"/>
      <c r="L27" s="8">
        <f t="shared" si="19"/>
        <v>17.142857142857142</v>
      </c>
      <c r="M27" s="8">
        <f t="shared" si="20"/>
        <v>25.714285714285715</v>
      </c>
      <c r="N27" s="8">
        <f t="shared" si="11"/>
        <v>3534.9047619047619</v>
      </c>
    </row>
    <row r="28" spans="1:46" x14ac:dyDescent="0.3">
      <c r="A28" s="2">
        <v>5</v>
      </c>
      <c r="B28" s="12" t="s">
        <v>51</v>
      </c>
      <c r="C28" s="8">
        <f>H36</f>
        <v>1976.1904761904761</v>
      </c>
      <c r="D28" s="8">
        <f t="shared" si="12"/>
        <v>428.57142857142856</v>
      </c>
      <c r="E28" s="8">
        <f t="shared" ref="E28:E30" si="21">$E$31/7</f>
        <v>214.28571428571428</v>
      </c>
      <c r="F28" s="8">
        <f t="shared" si="13"/>
        <v>71.428571428571431</v>
      </c>
      <c r="G28" s="8">
        <f t="shared" si="14"/>
        <v>139.28571428571428</v>
      </c>
      <c r="H28" s="8">
        <f t="shared" si="15"/>
        <v>316.57142857142856</v>
      </c>
      <c r="I28" s="8">
        <f t="shared" si="16"/>
        <v>310</v>
      </c>
      <c r="J28" s="8">
        <f t="shared" si="17"/>
        <v>35.714285714285715</v>
      </c>
      <c r="K28" s="8">
        <f t="shared" si="18"/>
        <v>0</v>
      </c>
      <c r="L28" s="8">
        <f t="shared" si="19"/>
        <v>17.142857142857142</v>
      </c>
      <c r="M28" s="8">
        <f t="shared" si="20"/>
        <v>25.714285714285715</v>
      </c>
      <c r="N28" s="8">
        <f t="shared" si="11"/>
        <v>3534.9047619047619</v>
      </c>
    </row>
    <row r="29" spans="1:46" x14ac:dyDescent="0.3">
      <c r="A29" s="2">
        <v>6</v>
      </c>
      <c r="B29" s="12" t="s">
        <v>7</v>
      </c>
      <c r="C29" s="8">
        <f>H35</f>
        <v>3142.8571428571427</v>
      </c>
      <c r="D29" s="8">
        <f t="shared" si="12"/>
        <v>428.57142857142856</v>
      </c>
      <c r="E29" s="8">
        <f t="shared" si="21"/>
        <v>214.28571428571428</v>
      </c>
      <c r="F29" s="8">
        <f t="shared" si="13"/>
        <v>71.428571428571431</v>
      </c>
      <c r="G29" s="8">
        <f t="shared" si="14"/>
        <v>139.28571428571428</v>
      </c>
      <c r="H29" s="8">
        <f t="shared" si="15"/>
        <v>316.57142857142856</v>
      </c>
      <c r="I29" s="8">
        <f t="shared" si="16"/>
        <v>310</v>
      </c>
      <c r="J29" s="8">
        <f t="shared" si="17"/>
        <v>35.714285714285715</v>
      </c>
      <c r="K29" s="8">
        <f t="shared" si="18"/>
        <v>0</v>
      </c>
      <c r="L29" s="8">
        <f t="shared" si="19"/>
        <v>17.142857142857142</v>
      </c>
      <c r="M29" s="8">
        <f t="shared" si="20"/>
        <v>25.714285714285715</v>
      </c>
      <c r="N29" s="8">
        <f t="shared" si="11"/>
        <v>4701.5714285714275</v>
      </c>
    </row>
    <row r="30" spans="1:46" x14ac:dyDescent="0.3">
      <c r="A30" s="2">
        <v>7</v>
      </c>
      <c r="B30" s="12" t="s">
        <v>8</v>
      </c>
      <c r="C30" s="8">
        <f>H35</f>
        <v>3142.8571428571427</v>
      </c>
      <c r="D30" s="8">
        <f t="shared" si="12"/>
        <v>428.57142857142856</v>
      </c>
      <c r="E30" s="8">
        <f t="shared" si="21"/>
        <v>214.28571428571428</v>
      </c>
      <c r="F30" s="8">
        <f t="shared" si="13"/>
        <v>71.428571428571431</v>
      </c>
      <c r="G30" s="8">
        <f t="shared" si="14"/>
        <v>139.28571428571428</v>
      </c>
      <c r="H30" s="8">
        <f t="shared" si="15"/>
        <v>316.57142857142856</v>
      </c>
      <c r="I30" s="8">
        <f t="shared" si="16"/>
        <v>310</v>
      </c>
      <c r="J30" s="8">
        <f>$J$31/7</f>
        <v>35.714285714285715</v>
      </c>
      <c r="K30" s="8">
        <f t="shared" si="18"/>
        <v>0</v>
      </c>
      <c r="L30" s="8">
        <f t="shared" si="19"/>
        <v>17.142857142857142</v>
      </c>
      <c r="M30" s="8">
        <f t="shared" si="20"/>
        <v>25.714285714285715</v>
      </c>
      <c r="N30" s="8">
        <f t="shared" si="11"/>
        <v>4701.5714285714275</v>
      </c>
    </row>
    <row r="31" spans="1:46" x14ac:dyDescent="0.3">
      <c r="C31" s="8">
        <f>SUM(C24:C30)</f>
        <v>18500</v>
      </c>
      <c r="D31" s="40">
        <v>3000</v>
      </c>
      <c r="E31" s="8">
        <v>1500</v>
      </c>
      <c r="F31" s="8">
        <f>500</f>
        <v>500</v>
      </c>
      <c r="G31" s="8">
        <f>975</f>
        <v>975</v>
      </c>
      <c r="H31" s="14">
        <v>2216</v>
      </c>
      <c r="I31" s="14">
        <v>2170</v>
      </c>
      <c r="J31" s="8">
        <f>250</f>
        <v>250</v>
      </c>
      <c r="K31" s="8">
        <f>0</f>
        <v>0</v>
      </c>
      <c r="L31" s="8">
        <f>120</f>
        <v>120</v>
      </c>
      <c r="M31" s="8">
        <f>180</f>
        <v>180</v>
      </c>
      <c r="N31" s="8">
        <f>SUM(N24:N30)</f>
        <v>29410.999999999996</v>
      </c>
      <c r="O31" s="9">
        <f>O38+O46</f>
        <v>29411</v>
      </c>
      <c r="P31" s="9">
        <f>N31-O31</f>
        <v>0</v>
      </c>
    </row>
    <row r="33" spans="4:15" x14ac:dyDescent="0.3">
      <c r="N33" t="s">
        <v>61</v>
      </c>
      <c r="O33" s="9">
        <f>C31</f>
        <v>18500</v>
      </c>
    </row>
    <row r="34" spans="4:15" x14ac:dyDescent="0.3">
      <c r="D34" s="1">
        <v>6000</v>
      </c>
      <c r="E34" s="1">
        <v>2</v>
      </c>
      <c r="F34" s="1">
        <f>D34/E34</f>
        <v>3000</v>
      </c>
      <c r="G34" s="1">
        <f>(500+500)/7</f>
        <v>142.85714285714286</v>
      </c>
      <c r="H34" s="11">
        <f>F34+G34</f>
        <v>3142.8571428571427</v>
      </c>
      <c r="I34" s="11">
        <f>H34*E34</f>
        <v>6285.7142857142853</v>
      </c>
      <c r="N34" t="s">
        <v>71</v>
      </c>
      <c r="O34" s="9">
        <f>G31</f>
        <v>975</v>
      </c>
    </row>
    <row r="35" spans="4:15" x14ac:dyDescent="0.3">
      <c r="D35" s="1">
        <v>6000</v>
      </c>
      <c r="E35" s="1">
        <v>2</v>
      </c>
      <c r="F35" s="1">
        <f t="shared" ref="F35:F36" si="22">D35/E35</f>
        <v>3000</v>
      </c>
      <c r="G35" s="1">
        <f t="shared" ref="G35:G36" si="23">(500+500)/7</f>
        <v>142.85714285714286</v>
      </c>
      <c r="H35" s="11">
        <f t="shared" ref="H35" si="24">F35+G35</f>
        <v>3142.8571428571427</v>
      </c>
      <c r="I35" s="11">
        <f t="shared" ref="I35:I36" si="25">H35*E35</f>
        <v>6285.7142857142853</v>
      </c>
      <c r="N35" t="s">
        <v>72</v>
      </c>
      <c r="O35" s="9">
        <f>I31</f>
        <v>2170</v>
      </c>
    </row>
    <row r="36" spans="4:15" x14ac:dyDescent="0.3">
      <c r="D36" s="1">
        <v>5500</v>
      </c>
      <c r="E36" s="1">
        <v>3</v>
      </c>
      <c r="F36" s="11">
        <f t="shared" si="22"/>
        <v>1833.3333333333333</v>
      </c>
      <c r="G36" s="1">
        <f t="shared" si="23"/>
        <v>142.85714285714286</v>
      </c>
      <c r="H36" s="11">
        <f>F36+G36</f>
        <v>1976.1904761904761</v>
      </c>
      <c r="I36" s="11">
        <f t="shared" si="25"/>
        <v>5928.5714285714284</v>
      </c>
      <c r="N36" t="s">
        <v>73</v>
      </c>
      <c r="O36" s="9">
        <f>H31</f>
        <v>2216</v>
      </c>
    </row>
    <row r="37" spans="4:15" x14ac:dyDescent="0.3">
      <c r="D37" s="1">
        <f>SUM(D34:D36)</f>
        <v>17500</v>
      </c>
      <c r="E37" s="1"/>
      <c r="F37" s="1"/>
      <c r="G37" s="1"/>
      <c r="H37" s="1"/>
      <c r="I37" s="11">
        <f>SUM(I34:I36)</f>
        <v>18500</v>
      </c>
      <c r="N37" t="s">
        <v>74</v>
      </c>
      <c r="O37" s="9">
        <f>J31</f>
        <v>250</v>
      </c>
    </row>
    <row r="38" spans="4:15" x14ac:dyDescent="0.3">
      <c r="O38" s="9">
        <f>SUM(O33:O37)</f>
        <v>24111</v>
      </c>
    </row>
    <row r="41" spans="4:15" x14ac:dyDescent="0.3">
      <c r="N41" t="s">
        <v>12</v>
      </c>
      <c r="O41" s="9">
        <f>D31</f>
        <v>3000</v>
      </c>
    </row>
    <row r="42" spans="4:15" x14ac:dyDescent="0.3">
      <c r="N42" t="s">
        <v>13</v>
      </c>
      <c r="O42" s="9">
        <f>E31</f>
        <v>1500</v>
      </c>
    </row>
    <row r="43" spans="4:15" x14ac:dyDescent="0.3">
      <c r="N43" t="s">
        <v>14</v>
      </c>
      <c r="O43" s="9">
        <f>F31</f>
        <v>500</v>
      </c>
    </row>
    <row r="44" spans="4:15" x14ac:dyDescent="0.3">
      <c r="N44" t="s">
        <v>20</v>
      </c>
      <c r="O44" s="9">
        <f>L31</f>
        <v>120</v>
      </c>
    </row>
    <row r="45" spans="4:15" x14ac:dyDescent="0.3">
      <c r="N45" t="s">
        <v>21</v>
      </c>
      <c r="O45" s="9">
        <f>M31</f>
        <v>180</v>
      </c>
    </row>
    <row r="46" spans="4:15" x14ac:dyDescent="0.3">
      <c r="O46" s="9">
        <f>SUM(O41:O45)</f>
        <v>5300</v>
      </c>
    </row>
  </sheetData>
  <mergeCells count="2">
    <mergeCell ref="C1:D2"/>
    <mergeCell ref="E1:F2"/>
  </mergeCells>
  <pageMargins left="0.7" right="0.7" top="0.75" bottom="0.75" header="0.3" footer="0.3"/>
  <pageSetup orientation="portrait" horizontalDpi="1200" verticalDpi="120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U46"/>
  <sheetViews>
    <sheetView zoomScaleNormal="100" workbookViewId="0">
      <pane xSplit="2" ySplit="4" topLeftCell="AF5" activePane="bottomRight" state="frozen"/>
      <selection pane="topRight" activeCell="C1" sqref="C1"/>
      <selection pane="bottomLeft" activeCell="A5" sqref="A5"/>
      <selection pane="bottomRight" activeCell="AL11" sqref="AL11"/>
    </sheetView>
  </sheetViews>
  <sheetFormatPr defaultRowHeight="14.4" x14ac:dyDescent="0.3"/>
  <cols>
    <col min="1" max="1" width="7" bestFit="1" customWidth="1"/>
    <col min="2" max="2" width="23.6640625" bestFit="1" customWidth="1"/>
    <col min="3" max="3" width="10.5546875" customWidth="1"/>
    <col min="4" max="4" width="9.5546875" customWidth="1"/>
    <col min="5" max="5" width="9.5546875" bestFit="1" customWidth="1"/>
    <col min="6" max="6" width="11.5546875" customWidth="1"/>
    <col min="7" max="7" width="12" bestFit="1" customWidth="1"/>
    <col min="8" max="8" width="13.33203125" customWidth="1"/>
    <col min="9" max="9" width="9.6640625" customWidth="1"/>
    <col min="10" max="10" width="9.5546875" bestFit="1" customWidth="1"/>
    <col min="11" max="11" width="14.5546875" customWidth="1"/>
    <col min="12" max="14" width="10" customWidth="1"/>
    <col min="15" max="28" width="9.6640625" customWidth="1"/>
    <col min="29" max="32" width="10.33203125" bestFit="1" customWidth="1"/>
    <col min="33" max="33" width="9.6640625" customWidth="1"/>
    <col min="34" max="34" width="10.33203125" bestFit="1" customWidth="1"/>
    <col min="36" max="36" width="23" bestFit="1" customWidth="1"/>
    <col min="37" max="37" width="19.33203125" bestFit="1" customWidth="1"/>
    <col min="38" max="38" width="25.6640625" bestFit="1" customWidth="1"/>
    <col min="39" max="39" width="20.6640625" bestFit="1" customWidth="1"/>
    <col min="40" max="40" width="24" bestFit="1" customWidth="1"/>
    <col min="41" max="41" width="33" bestFit="1" customWidth="1"/>
    <col min="42" max="42" width="33" customWidth="1"/>
    <col min="43" max="43" width="12.33203125" bestFit="1" customWidth="1"/>
    <col min="44" max="44" width="13.44140625" bestFit="1" customWidth="1"/>
    <col min="45" max="45" width="25.5546875" bestFit="1" customWidth="1"/>
    <col min="46" max="46" width="11.33203125" bestFit="1" customWidth="1"/>
    <col min="47" max="47" width="10.33203125" bestFit="1" customWidth="1"/>
  </cols>
  <sheetData>
    <row r="1" spans="1:47" x14ac:dyDescent="0.3">
      <c r="C1" s="107" t="s">
        <v>70</v>
      </c>
      <c r="D1" s="107"/>
      <c r="E1" s="106">
        <f>AH22/AH12</f>
        <v>91.606382978723403</v>
      </c>
      <c r="F1" s="106"/>
    </row>
    <row r="2" spans="1:47" ht="25.5" customHeight="1" x14ac:dyDescent="0.3">
      <c r="C2" s="107"/>
      <c r="D2" s="107"/>
      <c r="E2" s="106"/>
      <c r="F2" s="106"/>
    </row>
    <row r="4" spans="1:47" x14ac:dyDescent="0.3">
      <c r="A4" s="4" t="s">
        <v>0</v>
      </c>
      <c r="B4" s="4" t="s">
        <v>2</v>
      </c>
      <c r="C4" s="5">
        <v>44300</v>
      </c>
      <c r="D4" s="5">
        <v>44301</v>
      </c>
      <c r="E4" s="5">
        <v>44302</v>
      </c>
      <c r="F4" s="5">
        <v>44303</v>
      </c>
      <c r="G4" s="5">
        <v>44304</v>
      </c>
      <c r="H4" s="5">
        <v>44305</v>
      </c>
      <c r="I4" s="5">
        <v>44306</v>
      </c>
      <c r="J4" s="5">
        <v>44307</v>
      </c>
      <c r="K4" s="5">
        <v>44308</v>
      </c>
      <c r="L4" s="5">
        <v>44309</v>
      </c>
      <c r="M4" s="5">
        <v>44310</v>
      </c>
      <c r="N4" s="5">
        <v>44311</v>
      </c>
      <c r="O4" s="5">
        <v>44312</v>
      </c>
      <c r="P4" s="5">
        <v>44313</v>
      </c>
      <c r="Q4" s="5">
        <v>44314</v>
      </c>
      <c r="R4" s="5">
        <v>44315</v>
      </c>
      <c r="S4" s="5">
        <v>44316</v>
      </c>
      <c r="T4" s="5">
        <v>44317</v>
      </c>
      <c r="U4" s="5">
        <v>44318</v>
      </c>
      <c r="V4" s="5">
        <v>44319</v>
      </c>
      <c r="W4" s="5">
        <v>44320</v>
      </c>
      <c r="X4" s="5">
        <v>44321</v>
      </c>
      <c r="Y4" s="5">
        <v>44322</v>
      </c>
      <c r="Z4" s="5">
        <v>44323</v>
      </c>
      <c r="AA4" s="5">
        <v>44324</v>
      </c>
      <c r="AB4" s="5">
        <v>44325</v>
      </c>
      <c r="AC4" s="5">
        <v>44326</v>
      </c>
      <c r="AD4" s="5">
        <v>44327</v>
      </c>
      <c r="AE4" s="5">
        <v>44328</v>
      </c>
      <c r="AF4" s="5">
        <v>44329</v>
      </c>
      <c r="AG4" s="5"/>
      <c r="AH4" s="4" t="s">
        <v>1</v>
      </c>
      <c r="AJ4" s="4" t="s">
        <v>23</v>
      </c>
      <c r="AK4" s="4" t="s">
        <v>24</v>
      </c>
      <c r="AL4" s="4" t="s">
        <v>26</v>
      </c>
      <c r="AM4" s="4" t="s">
        <v>75</v>
      </c>
      <c r="AN4" s="4" t="s">
        <v>27</v>
      </c>
      <c r="AO4" s="4" t="s">
        <v>30</v>
      </c>
      <c r="AP4" s="4" t="s">
        <v>32</v>
      </c>
      <c r="AQ4" s="4" t="s">
        <v>28</v>
      </c>
      <c r="AR4" s="4" t="s">
        <v>29</v>
      </c>
      <c r="AS4" s="4" t="s">
        <v>31</v>
      </c>
    </row>
    <row r="5" spans="1:47" x14ac:dyDescent="0.3">
      <c r="A5" s="2">
        <v>1</v>
      </c>
      <c r="B5" s="41" t="s">
        <v>4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  <c r="Z5" s="7">
        <v>0</v>
      </c>
      <c r="AA5" s="7">
        <v>0</v>
      </c>
      <c r="AB5" s="7">
        <v>0</v>
      </c>
      <c r="AC5" s="7">
        <v>0</v>
      </c>
      <c r="AD5" s="7">
        <v>0</v>
      </c>
      <c r="AE5" s="7">
        <v>0</v>
      </c>
      <c r="AF5" s="7">
        <v>0</v>
      </c>
      <c r="AG5" s="7"/>
      <c r="AH5" s="7">
        <f>SUM(C5:AG5)</f>
        <v>0</v>
      </c>
      <c r="AJ5" s="15">
        <f>AH5*$E$1</f>
        <v>0</v>
      </c>
      <c r="AK5" s="16">
        <f>AH15</f>
        <v>0</v>
      </c>
      <c r="AL5" s="15">
        <f>AK5-AJ5</f>
        <v>0</v>
      </c>
      <c r="AM5" s="16">
        <f>N24</f>
        <v>0</v>
      </c>
      <c r="AN5" s="15"/>
      <c r="AO5" s="15"/>
      <c r="AP5" s="15">
        <f>AN5-AO5</f>
        <v>0</v>
      </c>
      <c r="AQ5" s="6"/>
      <c r="AR5" s="17"/>
      <c r="AS5" s="15">
        <f>AQ5-AP5</f>
        <v>0</v>
      </c>
    </row>
    <row r="6" spans="1:47" x14ac:dyDescent="0.3">
      <c r="A6" s="2">
        <v>2</v>
      </c>
      <c r="B6" s="41" t="s">
        <v>5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  <c r="Z6" s="7">
        <v>0</v>
      </c>
      <c r="AA6" s="7">
        <v>0</v>
      </c>
      <c r="AB6" s="7">
        <v>0</v>
      </c>
      <c r="AC6" s="7">
        <v>0</v>
      </c>
      <c r="AD6" s="7">
        <v>0</v>
      </c>
      <c r="AE6" s="7">
        <v>0</v>
      </c>
      <c r="AF6" s="7">
        <v>0</v>
      </c>
      <c r="AG6" s="7"/>
      <c r="AH6" s="7">
        <f t="shared" ref="AH6:AH11" si="0">SUM(C6:AG6)</f>
        <v>0</v>
      </c>
      <c r="AJ6" s="15">
        <f t="shared" ref="AJ6:AJ11" si="1">AH6*$E$1</f>
        <v>0</v>
      </c>
      <c r="AK6" s="16">
        <f>AH16</f>
        <v>0</v>
      </c>
      <c r="AL6" s="15">
        <f>AK6-AJ6</f>
        <v>0</v>
      </c>
      <c r="AM6" s="16">
        <f t="shared" ref="AM6:AM8" si="2">N25</f>
        <v>0</v>
      </c>
      <c r="AN6" s="15"/>
      <c r="AO6" s="15"/>
      <c r="AP6" s="15">
        <f t="shared" ref="AP6:AP11" si="3">AN6-AO6</f>
        <v>0</v>
      </c>
      <c r="AQ6" s="6"/>
      <c r="AR6" s="17"/>
      <c r="AS6" s="15">
        <f t="shared" ref="AS6:AS10" si="4">AQ6-AP6</f>
        <v>0</v>
      </c>
    </row>
    <row r="7" spans="1:47" x14ac:dyDescent="0.3">
      <c r="A7" s="2">
        <v>3</v>
      </c>
      <c r="B7" s="42" t="s">
        <v>77</v>
      </c>
      <c r="C7" s="7">
        <v>1</v>
      </c>
      <c r="D7" s="7">
        <v>1</v>
      </c>
      <c r="E7" s="7">
        <v>1</v>
      </c>
      <c r="F7" s="7">
        <v>1</v>
      </c>
      <c r="G7" s="7">
        <v>1</v>
      </c>
      <c r="H7" s="7">
        <v>1</v>
      </c>
      <c r="I7" s="7">
        <v>1</v>
      </c>
      <c r="J7" s="7">
        <v>1</v>
      </c>
      <c r="K7" s="7">
        <v>1</v>
      </c>
      <c r="L7" s="7">
        <v>0</v>
      </c>
      <c r="M7" s="7">
        <v>1</v>
      </c>
      <c r="N7" s="7">
        <v>1</v>
      </c>
      <c r="O7" s="7">
        <v>1</v>
      </c>
      <c r="P7" s="7">
        <v>1</v>
      </c>
      <c r="Q7" s="7">
        <v>1</v>
      </c>
      <c r="R7" s="7">
        <v>1</v>
      </c>
      <c r="S7" s="7">
        <v>1</v>
      </c>
      <c r="T7" s="7">
        <v>1</v>
      </c>
      <c r="U7" s="7">
        <v>1</v>
      </c>
      <c r="V7" s="7">
        <v>1</v>
      </c>
      <c r="W7" s="7">
        <v>1</v>
      </c>
      <c r="X7" s="7">
        <v>0</v>
      </c>
      <c r="Y7" s="7">
        <v>0</v>
      </c>
      <c r="Z7" s="7">
        <v>0</v>
      </c>
      <c r="AA7" s="7">
        <v>0</v>
      </c>
      <c r="AB7" s="7">
        <v>0</v>
      </c>
      <c r="AC7" s="7">
        <v>0</v>
      </c>
      <c r="AD7" s="7">
        <v>0</v>
      </c>
      <c r="AE7" s="7">
        <v>0</v>
      </c>
      <c r="AF7" s="7">
        <v>0</v>
      </c>
      <c r="AG7" s="7"/>
      <c r="AH7" s="7">
        <f t="shared" si="0"/>
        <v>20</v>
      </c>
      <c r="AJ7" s="15">
        <f t="shared" si="1"/>
        <v>1832.127659574468</v>
      </c>
      <c r="AK7" s="16">
        <f>AH17</f>
        <v>1570</v>
      </c>
      <c r="AL7" s="15">
        <f t="shared" ref="AL7:AL11" si="5">AK7-AJ7</f>
        <v>-262.127659574468</v>
      </c>
      <c r="AM7" s="16">
        <f t="shared" si="2"/>
        <v>0</v>
      </c>
      <c r="AN7" s="15"/>
      <c r="AO7" s="15"/>
      <c r="AP7" s="15">
        <f t="shared" si="3"/>
        <v>0</v>
      </c>
      <c r="AQ7" s="6"/>
      <c r="AR7" s="17"/>
      <c r="AS7" s="15">
        <f t="shared" si="4"/>
        <v>0</v>
      </c>
    </row>
    <row r="8" spans="1:47" x14ac:dyDescent="0.3">
      <c r="A8" s="2">
        <v>4</v>
      </c>
      <c r="B8" s="3" t="s">
        <v>57</v>
      </c>
      <c r="C8" s="7">
        <v>1</v>
      </c>
      <c r="D8" s="7">
        <v>1</v>
      </c>
      <c r="E8" s="7">
        <v>0</v>
      </c>
      <c r="F8" s="7">
        <v>1</v>
      </c>
      <c r="G8" s="7">
        <v>0</v>
      </c>
      <c r="H8" s="7">
        <v>1</v>
      </c>
      <c r="I8" s="7">
        <v>1</v>
      </c>
      <c r="J8" s="7">
        <v>1</v>
      </c>
      <c r="K8" s="7">
        <v>1</v>
      </c>
      <c r="L8" s="7">
        <v>0</v>
      </c>
      <c r="M8" s="7">
        <v>1</v>
      </c>
      <c r="N8" s="7">
        <v>1</v>
      </c>
      <c r="O8" s="7">
        <v>1</v>
      </c>
      <c r="P8" s="7">
        <v>1</v>
      </c>
      <c r="Q8" s="7">
        <v>1</v>
      </c>
      <c r="R8" s="7">
        <v>1</v>
      </c>
      <c r="S8" s="7">
        <v>1</v>
      </c>
      <c r="T8" s="7">
        <v>1</v>
      </c>
      <c r="U8" s="7">
        <v>1</v>
      </c>
      <c r="V8" s="7">
        <v>1</v>
      </c>
      <c r="W8" s="7">
        <v>0</v>
      </c>
      <c r="X8" s="7">
        <v>1</v>
      </c>
      <c r="Y8" s="7">
        <v>1</v>
      </c>
      <c r="Z8" s="7">
        <v>0</v>
      </c>
      <c r="AA8" s="7">
        <v>0</v>
      </c>
      <c r="AB8" s="7">
        <v>0</v>
      </c>
      <c r="AC8" s="7">
        <v>0</v>
      </c>
      <c r="AD8" s="7">
        <v>0</v>
      </c>
      <c r="AE8" s="7">
        <v>0</v>
      </c>
      <c r="AF8" s="7">
        <v>0</v>
      </c>
      <c r="AG8" s="7"/>
      <c r="AH8" s="7">
        <f t="shared" si="0"/>
        <v>19</v>
      </c>
      <c r="AJ8" s="15">
        <f>AH8*$E$1</f>
        <v>1740.5212765957447</v>
      </c>
      <c r="AK8" s="16">
        <f>AH18</f>
        <v>1380</v>
      </c>
      <c r="AL8" s="15">
        <f t="shared" si="5"/>
        <v>-360.52127659574467</v>
      </c>
      <c r="AM8" s="16">
        <f t="shared" si="2"/>
        <v>0</v>
      </c>
      <c r="AN8" s="15"/>
      <c r="AO8" s="15"/>
      <c r="AP8" s="15">
        <f t="shared" si="3"/>
        <v>0</v>
      </c>
      <c r="AQ8" s="6"/>
      <c r="AR8" s="17"/>
      <c r="AS8" s="15">
        <f>AQ8-AP8</f>
        <v>0</v>
      </c>
      <c r="AT8" s="25"/>
      <c r="AU8" s="25"/>
    </row>
    <row r="9" spans="1:47" x14ac:dyDescent="0.3">
      <c r="A9" s="2">
        <v>5</v>
      </c>
      <c r="B9" s="12" t="s">
        <v>51</v>
      </c>
      <c r="C9" s="7">
        <v>1</v>
      </c>
      <c r="D9" s="7">
        <v>1</v>
      </c>
      <c r="E9" s="7">
        <v>1</v>
      </c>
      <c r="F9" s="7">
        <v>1</v>
      </c>
      <c r="G9" s="7">
        <v>1</v>
      </c>
      <c r="H9" s="7">
        <v>1</v>
      </c>
      <c r="I9" s="7">
        <v>1</v>
      </c>
      <c r="J9" s="7">
        <v>1</v>
      </c>
      <c r="K9" s="7">
        <v>1</v>
      </c>
      <c r="L9" s="7">
        <v>0</v>
      </c>
      <c r="M9" s="7">
        <v>1</v>
      </c>
      <c r="N9" s="7">
        <v>1</v>
      </c>
      <c r="O9" s="7">
        <v>1</v>
      </c>
      <c r="P9" s="7">
        <v>1</v>
      </c>
      <c r="Q9" s="7">
        <v>1</v>
      </c>
      <c r="R9" s="7">
        <v>1</v>
      </c>
      <c r="S9" s="7">
        <v>1</v>
      </c>
      <c r="T9" s="7">
        <v>1</v>
      </c>
      <c r="U9" s="7">
        <v>1</v>
      </c>
      <c r="V9" s="7">
        <v>1</v>
      </c>
      <c r="W9" s="7">
        <v>1</v>
      </c>
      <c r="X9" s="7">
        <v>1</v>
      </c>
      <c r="Y9" s="7">
        <v>1</v>
      </c>
      <c r="Z9" s="7">
        <v>0</v>
      </c>
      <c r="AA9" s="7">
        <v>0</v>
      </c>
      <c r="AB9" s="7">
        <v>0</v>
      </c>
      <c r="AC9" s="7">
        <v>0</v>
      </c>
      <c r="AD9" s="7">
        <v>0</v>
      </c>
      <c r="AE9" s="7">
        <v>0</v>
      </c>
      <c r="AF9" s="7">
        <v>0</v>
      </c>
      <c r="AG9" s="7"/>
      <c r="AH9" s="7">
        <f t="shared" si="0"/>
        <v>22</v>
      </c>
      <c r="AJ9" s="15">
        <f>$AH$9*$E$1</f>
        <v>2015.3404255319149</v>
      </c>
      <c r="AK9" s="16">
        <f>AH19</f>
        <v>2568</v>
      </c>
      <c r="AL9" s="15">
        <f>AK9-AJ9</f>
        <v>552.65957446808511</v>
      </c>
      <c r="AM9" s="16">
        <f>N28</f>
        <v>0</v>
      </c>
      <c r="AN9" s="15"/>
      <c r="AO9" s="15"/>
      <c r="AP9" s="15">
        <f t="shared" si="3"/>
        <v>0</v>
      </c>
      <c r="AQ9" s="6"/>
      <c r="AR9" s="17"/>
      <c r="AS9" s="15">
        <f>AQ9-AP9</f>
        <v>0</v>
      </c>
      <c r="AU9" s="25"/>
    </row>
    <row r="10" spans="1:47" x14ac:dyDescent="0.3">
      <c r="A10" s="2">
        <v>6</v>
      </c>
      <c r="B10" s="3" t="s">
        <v>7</v>
      </c>
      <c r="C10" s="7">
        <v>1</v>
      </c>
      <c r="D10" s="7">
        <v>1</v>
      </c>
      <c r="E10" s="7">
        <v>0</v>
      </c>
      <c r="F10" s="7">
        <v>1</v>
      </c>
      <c r="G10" s="7">
        <v>1</v>
      </c>
      <c r="H10" s="7">
        <v>1</v>
      </c>
      <c r="I10" s="7">
        <v>1</v>
      </c>
      <c r="J10" s="7">
        <v>1</v>
      </c>
      <c r="K10" s="7">
        <v>1</v>
      </c>
      <c r="L10" s="7">
        <v>0</v>
      </c>
      <c r="M10" s="7">
        <v>0</v>
      </c>
      <c r="N10" s="7">
        <v>1</v>
      </c>
      <c r="O10" s="7">
        <v>1</v>
      </c>
      <c r="P10" s="7">
        <v>1</v>
      </c>
      <c r="Q10" s="7">
        <v>0</v>
      </c>
      <c r="R10" s="7">
        <v>0</v>
      </c>
      <c r="S10" s="7">
        <v>1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7">
        <v>0</v>
      </c>
      <c r="Z10" s="7">
        <v>0</v>
      </c>
      <c r="AA10" s="7">
        <v>0</v>
      </c>
      <c r="AB10" s="7">
        <v>0</v>
      </c>
      <c r="AC10" s="7">
        <v>0</v>
      </c>
      <c r="AD10" s="7">
        <v>0</v>
      </c>
      <c r="AE10" s="7">
        <v>0</v>
      </c>
      <c r="AF10" s="7">
        <v>0</v>
      </c>
      <c r="AG10" s="7"/>
      <c r="AH10" s="7">
        <f t="shared" si="0"/>
        <v>12</v>
      </c>
      <c r="AJ10" s="15">
        <f t="shared" si="1"/>
        <v>1099.2765957446809</v>
      </c>
      <c r="AK10" s="16">
        <f t="shared" ref="AK10:AK11" si="6">AH20</f>
        <v>1600</v>
      </c>
      <c r="AL10" s="15">
        <f t="shared" si="5"/>
        <v>500.72340425531911</v>
      </c>
      <c r="AM10" s="16">
        <f>N29</f>
        <v>0</v>
      </c>
      <c r="AN10" s="15"/>
      <c r="AO10" s="15"/>
      <c r="AP10" s="15">
        <f t="shared" si="3"/>
        <v>0</v>
      </c>
      <c r="AQ10" s="6"/>
      <c r="AR10" s="17"/>
      <c r="AS10" s="15">
        <f t="shared" si="4"/>
        <v>0</v>
      </c>
    </row>
    <row r="11" spans="1:47" x14ac:dyDescent="0.3">
      <c r="A11" s="2">
        <v>7</v>
      </c>
      <c r="B11" s="3" t="s">
        <v>8</v>
      </c>
      <c r="C11" s="7">
        <v>1</v>
      </c>
      <c r="D11" s="7">
        <v>1</v>
      </c>
      <c r="E11" s="7">
        <v>1</v>
      </c>
      <c r="F11" s="7">
        <v>1</v>
      </c>
      <c r="G11" s="7">
        <v>1</v>
      </c>
      <c r="H11" s="7">
        <v>1</v>
      </c>
      <c r="I11" s="7">
        <v>1</v>
      </c>
      <c r="J11" s="7">
        <v>1</v>
      </c>
      <c r="K11" s="7">
        <v>1</v>
      </c>
      <c r="L11" s="7">
        <v>0</v>
      </c>
      <c r="M11" s="7">
        <v>1</v>
      </c>
      <c r="N11" s="7">
        <v>1</v>
      </c>
      <c r="O11" s="7">
        <v>1</v>
      </c>
      <c r="P11" s="7">
        <v>1</v>
      </c>
      <c r="Q11" s="7">
        <v>1</v>
      </c>
      <c r="R11" s="7">
        <v>1</v>
      </c>
      <c r="S11" s="7">
        <v>1</v>
      </c>
      <c r="T11" s="7">
        <v>1</v>
      </c>
      <c r="U11" s="7">
        <v>1</v>
      </c>
      <c r="V11" s="7">
        <v>1</v>
      </c>
      <c r="W11" s="7">
        <v>1</v>
      </c>
      <c r="X11" s="7">
        <v>0</v>
      </c>
      <c r="Y11" s="7">
        <v>1</v>
      </c>
      <c r="Z11" s="7">
        <v>0</v>
      </c>
      <c r="AA11" s="7">
        <v>0</v>
      </c>
      <c r="AB11" s="7">
        <v>0</v>
      </c>
      <c r="AC11" s="7">
        <v>0</v>
      </c>
      <c r="AD11" s="7">
        <v>0</v>
      </c>
      <c r="AE11" s="7">
        <v>0</v>
      </c>
      <c r="AF11" s="7">
        <v>0</v>
      </c>
      <c r="AG11" s="7"/>
      <c r="AH11" s="7">
        <f t="shared" si="0"/>
        <v>21</v>
      </c>
      <c r="AJ11" s="15">
        <f t="shared" si="1"/>
        <v>1923.7340425531916</v>
      </c>
      <c r="AK11" s="16">
        <f t="shared" si="6"/>
        <v>1493</v>
      </c>
      <c r="AL11" s="15">
        <f t="shared" si="5"/>
        <v>-430.73404255319156</v>
      </c>
      <c r="AM11" s="16">
        <f>N30</f>
        <v>0</v>
      </c>
      <c r="AN11" s="15"/>
      <c r="AO11" s="15"/>
      <c r="AP11" s="15">
        <f t="shared" si="3"/>
        <v>0</v>
      </c>
      <c r="AQ11" s="6"/>
      <c r="AR11" s="17"/>
      <c r="AS11" s="15">
        <f>AQ11-AP11</f>
        <v>0</v>
      </c>
    </row>
    <row r="12" spans="1:47" x14ac:dyDescent="0.3">
      <c r="A12" s="1"/>
      <c r="B12" s="1"/>
      <c r="C12" s="7">
        <f>SUM(C5:C11)</f>
        <v>5</v>
      </c>
      <c r="D12" s="7">
        <f t="shared" ref="D12:AG12" si="7">SUM(D5:D11)</f>
        <v>5</v>
      </c>
      <c r="E12" s="7">
        <f t="shared" si="7"/>
        <v>3</v>
      </c>
      <c r="F12" s="7">
        <f t="shared" si="7"/>
        <v>5</v>
      </c>
      <c r="G12" s="7">
        <f t="shared" si="7"/>
        <v>4</v>
      </c>
      <c r="H12" s="7">
        <f t="shared" si="7"/>
        <v>5</v>
      </c>
      <c r="I12" s="7">
        <f t="shared" si="7"/>
        <v>5</v>
      </c>
      <c r="J12" s="7">
        <f t="shared" si="7"/>
        <v>5</v>
      </c>
      <c r="K12" s="7">
        <f t="shared" si="7"/>
        <v>5</v>
      </c>
      <c r="L12" s="7">
        <f t="shared" si="7"/>
        <v>0</v>
      </c>
      <c r="M12" s="7">
        <f t="shared" si="7"/>
        <v>4</v>
      </c>
      <c r="N12" s="7">
        <f t="shared" si="7"/>
        <v>5</v>
      </c>
      <c r="O12" s="7">
        <f t="shared" si="7"/>
        <v>5</v>
      </c>
      <c r="P12" s="7">
        <f t="shared" si="7"/>
        <v>5</v>
      </c>
      <c r="Q12" s="7">
        <f t="shared" si="7"/>
        <v>4</v>
      </c>
      <c r="R12" s="7">
        <f t="shared" si="7"/>
        <v>4</v>
      </c>
      <c r="S12" s="7">
        <f t="shared" si="7"/>
        <v>5</v>
      </c>
      <c r="T12" s="7">
        <f t="shared" si="7"/>
        <v>4</v>
      </c>
      <c r="U12" s="7">
        <f t="shared" si="7"/>
        <v>4</v>
      </c>
      <c r="V12" s="7">
        <f t="shared" si="7"/>
        <v>4</v>
      </c>
      <c r="W12" s="7">
        <f t="shared" si="7"/>
        <v>3</v>
      </c>
      <c r="X12" s="7">
        <f t="shared" si="7"/>
        <v>2</v>
      </c>
      <c r="Y12" s="7">
        <f t="shared" si="7"/>
        <v>3</v>
      </c>
      <c r="Z12" s="7">
        <f t="shared" si="7"/>
        <v>0</v>
      </c>
      <c r="AA12" s="7">
        <f t="shared" si="7"/>
        <v>0</v>
      </c>
      <c r="AB12" s="7">
        <f t="shared" si="7"/>
        <v>0</v>
      </c>
      <c r="AC12" s="7">
        <f t="shared" si="7"/>
        <v>0</v>
      </c>
      <c r="AD12" s="7">
        <f t="shared" si="7"/>
        <v>0</v>
      </c>
      <c r="AE12" s="7">
        <f t="shared" si="7"/>
        <v>0</v>
      </c>
      <c r="AF12" s="7">
        <f t="shared" si="7"/>
        <v>0</v>
      </c>
      <c r="AG12" s="7">
        <f t="shared" si="7"/>
        <v>0</v>
      </c>
      <c r="AH12" s="7">
        <f>SUM(AH5:AH11)</f>
        <v>94</v>
      </c>
      <c r="AJ12" s="15">
        <f t="shared" ref="AJ12:AN12" si="8">SUM(AJ5:AJ11)</f>
        <v>8611</v>
      </c>
      <c r="AK12" s="16">
        <f t="shared" si="8"/>
        <v>8611</v>
      </c>
      <c r="AL12" s="16">
        <f>SUM(AL5:AL11)</f>
        <v>0</v>
      </c>
      <c r="AM12" s="16">
        <f>SUM(AM5:AM11)</f>
        <v>0</v>
      </c>
      <c r="AN12" s="16">
        <f t="shared" si="8"/>
        <v>0</v>
      </c>
      <c r="AO12" s="16">
        <f>SUM(AO5:AO11)</f>
        <v>0</v>
      </c>
      <c r="AP12" s="15">
        <f>AN12-AO12+$AU$4</f>
        <v>0</v>
      </c>
      <c r="AQ12" s="16">
        <f>SUM(AQ5:AQ11)</f>
        <v>0</v>
      </c>
      <c r="AR12" s="16"/>
      <c r="AS12" s="16">
        <f>SUM(AS5:AS11)</f>
        <v>0</v>
      </c>
    </row>
    <row r="13" spans="1:47" x14ac:dyDescent="0.3">
      <c r="A13" s="36"/>
      <c r="B13" s="36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37"/>
      <c r="AF13" s="37"/>
      <c r="AG13" s="37"/>
      <c r="AH13" s="37"/>
      <c r="AJ13" s="38"/>
      <c r="AK13" s="39"/>
      <c r="AL13" s="39"/>
      <c r="AM13" s="39"/>
      <c r="AN13" s="39"/>
      <c r="AO13" s="39"/>
      <c r="AP13" s="38"/>
      <c r="AQ13" s="39"/>
      <c r="AR13" s="39"/>
      <c r="AS13" s="39"/>
    </row>
    <row r="14" spans="1:47" x14ac:dyDescent="0.3">
      <c r="B14" s="10" t="s">
        <v>78</v>
      </c>
    </row>
    <row r="15" spans="1:47" x14ac:dyDescent="0.3">
      <c r="A15" s="2">
        <v>1</v>
      </c>
      <c r="B15" s="3" t="s">
        <v>4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 s="8">
        <v>0</v>
      </c>
      <c r="V15" s="8">
        <v>0</v>
      </c>
      <c r="W15" s="8">
        <v>0</v>
      </c>
      <c r="X15" s="8">
        <v>0</v>
      </c>
      <c r="Y15" s="8">
        <v>0</v>
      </c>
      <c r="Z15" s="8">
        <v>0</v>
      </c>
      <c r="AA15" s="8">
        <v>0</v>
      </c>
      <c r="AB15" s="8">
        <v>0</v>
      </c>
      <c r="AC15" s="8">
        <v>0</v>
      </c>
      <c r="AD15" s="8">
        <v>0</v>
      </c>
      <c r="AE15" s="8">
        <v>0</v>
      </c>
      <c r="AF15" s="8">
        <v>0</v>
      </c>
      <c r="AG15" s="8">
        <v>0</v>
      </c>
      <c r="AH15" s="8">
        <f>SUM(C15:AG15)</f>
        <v>0</v>
      </c>
      <c r="AP15" s="25"/>
      <c r="AR15" s="1"/>
      <c r="AS15" s="8"/>
    </row>
    <row r="16" spans="1:47" x14ac:dyDescent="0.3">
      <c r="A16" s="2">
        <v>2</v>
      </c>
      <c r="B16" s="3" t="s">
        <v>5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  <c r="U16" s="8">
        <v>0</v>
      </c>
      <c r="V16" s="8">
        <v>0</v>
      </c>
      <c r="W16" s="8">
        <v>0</v>
      </c>
      <c r="X16" s="8">
        <v>0</v>
      </c>
      <c r="Y16" s="8">
        <v>0</v>
      </c>
      <c r="Z16" s="8">
        <v>0</v>
      </c>
      <c r="AA16" s="8">
        <v>0</v>
      </c>
      <c r="AB16" s="8">
        <v>0</v>
      </c>
      <c r="AC16" s="8">
        <v>0</v>
      </c>
      <c r="AD16" s="8">
        <v>0</v>
      </c>
      <c r="AE16" s="8">
        <v>0</v>
      </c>
      <c r="AF16" s="8">
        <v>0</v>
      </c>
      <c r="AG16" s="8">
        <v>0</v>
      </c>
      <c r="AH16" s="8">
        <f t="shared" ref="AH16:AH21" si="9">SUM(C16:AG16)</f>
        <v>0</v>
      </c>
      <c r="AR16" s="1"/>
      <c r="AS16" s="8"/>
      <c r="AT16" s="25"/>
    </row>
    <row r="17" spans="1:46" x14ac:dyDescent="0.3">
      <c r="A17" s="2">
        <v>3</v>
      </c>
      <c r="B17" s="3" t="s">
        <v>77</v>
      </c>
      <c r="C17" s="8">
        <v>590</v>
      </c>
      <c r="D17" s="8">
        <v>220</v>
      </c>
      <c r="E17" s="8">
        <v>0</v>
      </c>
      <c r="F17" s="8">
        <v>0</v>
      </c>
      <c r="G17" s="8">
        <v>0</v>
      </c>
      <c r="H17" s="8">
        <v>70</v>
      </c>
      <c r="I17" s="8">
        <v>50</v>
      </c>
      <c r="J17" s="8">
        <v>100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</v>
      </c>
      <c r="U17" s="8">
        <v>170</v>
      </c>
      <c r="V17" s="8">
        <v>370</v>
      </c>
      <c r="W17" s="8">
        <v>0</v>
      </c>
      <c r="X17" s="8">
        <v>0</v>
      </c>
      <c r="Y17" s="8">
        <v>0</v>
      </c>
      <c r="Z17" s="8">
        <v>0</v>
      </c>
      <c r="AA17" s="8">
        <v>0</v>
      </c>
      <c r="AB17" s="8">
        <v>0</v>
      </c>
      <c r="AC17" s="8">
        <v>0</v>
      </c>
      <c r="AD17" s="8">
        <v>0</v>
      </c>
      <c r="AE17" s="8">
        <v>0</v>
      </c>
      <c r="AF17" s="8">
        <v>0</v>
      </c>
      <c r="AG17" s="8">
        <v>0</v>
      </c>
      <c r="AH17" s="8">
        <f t="shared" si="9"/>
        <v>1570</v>
      </c>
      <c r="AP17" s="25"/>
      <c r="AR17" s="1"/>
      <c r="AS17" s="8"/>
      <c r="AT17" s="25"/>
    </row>
    <row r="18" spans="1:46" x14ac:dyDescent="0.3">
      <c r="A18" s="2">
        <v>4</v>
      </c>
      <c r="B18" s="3" t="s">
        <v>57</v>
      </c>
      <c r="C18" s="8">
        <v>0</v>
      </c>
      <c r="D18" s="8">
        <v>0</v>
      </c>
      <c r="E18" s="8">
        <v>0</v>
      </c>
      <c r="F18" s="8">
        <v>400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240</v>
      </c>
      <c r="N18" s="8">
        <v>350</v>
      </c>
      <c r="O18" s="8">
        <v>90</v>
      </c>
      <c r="P18" s="8">
        <f>270</f>
        <v>270</v>
      </c>
      <c r="Q18" s="8">
        <v>0</v>
      </c>
      <c r="R18" s="8">
        <v>0</v>
      </c>
      <c r="S18" s="8">
        <v>0</v>
      </c>
      <c r="T18" s="8">
        <v>30</v>
      </c>
      <c r="U18" s="8">
        <v>0</v>
      </c>
      <c r="V18" s="8">
        <v>0</v>
      </c>
      <c r="W18" s="8">
        <v>0</v>
      </c>
      <c r="X18" s="8">
        <v>0</v>
      </c>
      <c r="Y18" s="8">
        <v>0</v>
      </c>
      <c r="Z18" s="8">
        <v>0</v>
      </c>
      <c r="AA18" s="8">
        <v>0</v>
      </c>
      <c r="AB18" s="8">
        <v>0</v>
      </c>
      <c r="AC18" s="8">
        <v>0</v>
      </c>
      <c r="AD18" s="8">
        <v>0</v>
      </c>
      <c r="AE18" s="8">
        <v>0</v>
      </c>
      <c r="AF18" s="8">
        <v>0</v>
      </c>
      <c r="AG18" s="8">
        <v>0</v>
      </c>
      <c r="AH18" s="8">
        <f t="shared" si="9"/>
        <v>1380</v>
      </c>
    </row>
    <row r="19" spans="1:46" x14ac:dyDescent="0.3">
      <c r="A19" s="2">
        <v>5</v>
      </c>
      <c r="B19" s="12" t="s">
        <v>51</v>
      </c>
      <c r="C19" s="8">
        <v>0</v>
      </c>
      <c r="D19" s="8">
        <v>0</v>
      </c>
      <c r="E19" s="8">
        <v>0</v>
      </c>
      <c r="F19" s="8">
        <v>0</v>
      </c>
      <c r="G19" s="8">
        <v>353</v>
      </c>
      <c r="H19" s="8">
        <v>75</v>
      </c>
      <c r="I19" s="8">
        <v>0</v>
      </c>
      <c r="J19" s="8">
        <v>0</v>
      </c>
      <c r="K19" s="8">
        <f>150+200</f>
        <v>350</v>
      </c>
      <c r="L19" s="8">
        <v>0</v>
      </c>
      <c r="M19" s="8">
        <v>0</v>
      </c>
      <c r="N19" s="8">
        <f>75+40</f>
        <v>115</v>
      </c>
      <c r="O19" s="8">
        <v>180</v>
      </c>
      <c r="P19" s="8">
        <v>0</v>
      </c>
      <c r="Q19" s="8">
        <v>405</v>
      </c>
      <c r="R19" s="8">
        <v>350</v>
      </c>
      <c r="S19" s="8">
        <v>0</v>
      </c>
      <c r="T19" s="8">
        <v>290</v>
      </c>
      <c r="U19" s="8">
        <v>0</v>
      </c>
      <c r="V19" s="8">
        <v>0</v>
      </c>
      <c r="W19" s="8">
        <v>170</v>
      </c>
      <c r="X19" s="8">
        <v>280</v>
      </c>
      <c r="Y19" s="8">
        <v>0</v>
      </c>
      <c r="Z19" s="8">
        <v>0</v>
      </c>
      <c r="AA19" s="8">
        <v>0</v>
      </c>
      <c r="AB19" s="8">
        <v>0</v>
      </c>
      <c r="AC19" s="8">
        <v>0</v>
      </c>
      <c r="AD19" s="8">
        <v>0</v>
      </c>
      <c r="AE19" s="8">
        <v>0</v>
      </c>
      <c r="AF19" s="8">
        <v>0</v>
      </c>
      <c r="AG19" s="8">
        <v>0</v>
      </c>
      <c r="AH19" s="8">
        <f t="shared" si="9"/>
        <v>2568</v>
      </c>
    </row>
    <row r="20" spans="1:46" x14ac:dyDescent="0.3">
      <c r="A20" s="2">
        <v>6</v>
      </c>
      <c r="B20" s="3" t="s">
        <v>7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200</v>
      </c>
      <c r="I20" s="8">
        <v>0</v>
      </c>
      <c r="J20" s="8">
        <v>0</v>
      </c>
      <c r="K20" s="8">
        <v>0</v>
      </c>
      <c r="L20" s="8">
        <v>465</v>
      </c>
      <c r="M20" s="8">
        <v>100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  <c r="S20" s="8">
        <f>165+600</f>
        <v>765</v>
      </c>
      <c r="T20" s="8">
        <f>70</f>
        <v>70</v>
      </c>
      <c r="U20" s="8">
        <v>0</v>
      </c>
      <c r="V20" s="8">
        <v>0</v>
      </c>
      <c r="W20" s="8">
        <v>0</v>
      </c>
      <c r="X20" s="8">
        <v>0</v>
      </c>
      <c r="Y20" s="8">
        <v>0</v>
      </c>
      <c r="Z20" s="8">
        <v>0</v>
      </c>
      <c r="AA20" s="8">
        <v>0</v>
      </c>
      <c r="AB20" s="8">
        <v>0</v>
      </c>
      <c r="AC20" s="8">
        <v>0</v>
      </c>
      <c r="AD20" s="8">
        <v>0</v>
      </c>
      <c r="AE20" s="8">
        <v>0</v>
      </c>
      <c r="AF20" s="8">
        <v>0</v>
      </c>
      <c r="AG20" s="8">
        <v>0</v>
      </c>
      <c r="AH20" s="8">
        <f t="shared" si="9"/>
        <v>1600</v>
      </c>
      <c r="AT20" s="25"/>
    </row>
    <row r="21" spans="1:46" x14ac:dyDescent="0.3">
      <c r="A21" s="2">
        <v>7</v>
      </c>
      <c r="B21" s="3" t="s">
        <v>8</v>
      </c>
      <c r="C21" s="8">
        <v>245</v>
      </c>
      <c r="D21" s="8">
        <v>0</v>
      </c>
      <c r="E21" s="8">
        <v>615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8">
        <f>400</f>
        <v>400</v>
      </c>
      <c r="T21" s="8">
        <v>233</v>
      </c>
      <c r="U21" s="8">
        <v>0</v>
      </c>
      <c r="V21" s="8">
        <v>0</v>
      </c>
      <c r="W21" s="8">
        <v>0</v>
      </c>
      <c r="X21" s="8">
        <v>0</v>
      </c>
      <c r="Y21" s="8">
        <v>0</v>
      </c>
      <c r="Z21" s="8">
        <v>0</v>
      </c>
      <c r="AA21" s="8">
        <v>0</v>
      </c>
      <c r="AB21" s="8">
        <v>0</v>
      </c>
      <c r="AC21" s="8">
        <v>0</v>
      </c>
      <c r="AD21" s="8">
        <v>0</v>
      </c>
      <c r="AE21" s="8">
        <v>0</v>
      </c>
      <c r="AF21" s="8">
        <v>0</v>
      </c>
      <c r="AG21" s="8">
        <v>0</v>
      </c>
      <c r="AH21" s="8">
        <f t="shared" si="9"/>
        <v>1493</v>
      </c>
    </row>
    <row r="22" spans="1:46" x14ac:dyDescent="0.3">
      <c r="AH22" s="9">
        <f>SUM(AH15:AH21)</f>
        <v>8611</v>
      </c>
    </row>
    <row r="23" spans="1:46" x14ac:dyDescent="0.3">
      <c r="A23" s="4"/>
      <c r="B23" s="13" t="s">
        <v>76</v>
      </c>
      <c r="C23" s="4" t="s">
        <v>11</v>
      </c>
      <c r="D23" s="4" t="s">
        <v>12</v>
      </c>
      <c r="E23" s="4" t="s">
        <v>13</v>
      </c>
      <c r="F23" s="4" t="s">
        <v>14</v>
      </c>
      <c r="G23" s="4" t="s">
        <v>15</v>
      </c>
      <c r="H23" s="4" t="s">
        <v>16</v>
      </c>
      <c r="I23" s="4" t="s">
        <v>17</v>
      </c>
      <c r="J23" s="4" t="s">
        <v>18</v>
      </c>
      <c r="K23" s="4" t="s">
        <v>19</v>
      </c>
      <c r="L23" s="4" t="s">
        <v>20</v>
      </c>
      <c r="M23" s="4" t="s">
        <v>21</v>
      </c>
      <c r="N23" s="4" t="s">
        <v>22</v>
      </c>
    </row>
    <row r="24" spans="1:46" x14ac:dyDescent="0.3">
      <c r="A24" s="2">
        <v>1</v>
      </c>
      <c r="B24" s="12" t="s">
        <v>4</v>
      </c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>
        <f t="shared" ref="N24:N30" si="10">SUM(C24:M24)</f>
        <v>0</v>
      </c>
    </row>
    <row r="25" spans="1:46" x14ac:dyDescent="0.3">
      <c r="A25" s="2">
        <v>2</v>
      </c>
      <c r="B25" s="12" t="s">
        <v>5</v>
      </c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>
        <f t="shared" si="10"/>
        <v>0</v>
      </c>
    </row>
    <row r="26" spans="1:46" x14ac:dyDescent="0.3">
      <c r="A26" s="2">
        <v>3</v>
      </c>
      <c r="B26" s="12" t="s">
        <v>6</v>
      </c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>
        <f t="shared" si="10"/>
        <v>0</v>
      </c>
    </row>
    <row r="27" spans="1:46" x14ac:dyDescent="0.3">
      <c r="A27" s="2">
        <v>4</v>
      </c>
      <c r="B27" s="12" t="s">
        <v>57</v>
      </c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>
        <f t="shared" si="10"/>
        <v>0</v>
      </c>
    </row>
    <row r="28" spans="1:46" x14ac:dyDescent="0.3">
      <c r="A28" s="2">
        <v>5</v>
      </c>
      <c r="B28" s="12" t="s">
        <v>51</v>
      </c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>
        <f t="shared" si="10"/>
        <v>0</v>
      </c>
    </row>
    <row r="29" spans="1:46" x14ac:dyDescent="0.3">
      <c r="A29" s="2">
        <v>6</v>
      </c>
      <c r="B29" s="12" t="s">
        <v>7</v>
      </c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>
        <f t="shared" si="10"/>
        <v>0</v>
      </c>
    </row>
    <row r="30" spans="1:46" x14ac:dyDescent="0.3">
      <c r="A30" s="2">
        <v>7</v>
      </c>
      <c r="B30" s="12" t="s">
        <v>8</v>
      </c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>
        <f t="shared" si="10"/>
        <v>0</v>
      </c>
    </row>
    <row r="31" spans="1:46" x14ac:dyDescent="0.3">
      <c r="C31" s="8"/>
      <c r="D31" s="40"/>
      <c r="E31" s="8"/>
      <c r="F31" s="8"/>
      <c r="G31" s="8"/>
      <c r="H31" s="14"/>
      <c r="I31" s="14"/>
      <c r="J31" s="8"/>
      <c r="K31" s="8"/>
      <c r="L31" s="8"/>
      <c r="M31" s="8"/>
      <c r="N31" s="8"/>
      <c r="O31" s="9">
        <f>O38+O46</f>
        <v>0</v>
      </c>
      <c r="P31" s="9">
        <f>N31-O31</f>
        <v>0</v>
      </c>
    </row>
    <row r="33" spans="4:15" x14ac:dyDescent="0.3">
      <c r="N33" t="s">
        <v>61</v>
      </c>
      <c r="O33" s="9">
        <f>C31</f>
        <v>0</v>
      </c>
    </row>
    <row r="34" spans="4:15" x14ac:dyDescent="0.3">
      <c r="D34" s="1">
        <v>6000</v>
      </c>
      <c r="E34" s="1">
        <v>2</v>
      </c>
      <c r="F34" s="1">
        <f>D34/E34</f>
        <v>3000</v>
      </c>
      <c r="G34" s="1">
        <f>(500+500)/7</f>
        <v>142.85714285714286</v>
      </c>
      <c r="H34" s="11">
        <f>F34+G34</f>
        <v>3142.8571428571427</v>
      </c>
      <c r="I34" s="11">
        <f>H34*E34</f>
        <v>6285.7142857142853</v>
      </c>
      <c r="N34" t="s">
        <v>71</v>
      </c>
      <c r="O34" s="9">
        <f>G31</f>
        <v>0</v>
      </c>
    </row>
    <row r="35" spans="4:15" x14ac:dyDescent="0.3">
      <c r="D35" s="1">
        <v>6000</v>
      </c>
      <c r="E35" s="1">
        <v>2</v>
      </c>
      <c r="F35" s="1">
        <f t="shared" ref="F35:F36" si="11">D35/E35</f>
        <v>3000</v>
      </c>
      <c r="G35" s="1">
        <f t="shared" ref="G35:G36" si="12">(500+500)/7</f>
        <v>142.85714285714286</v>
      </c>
      <c r="H35" s="11">
        <f t="shared" ref="H35" si="13">F35+G35</f>
        <v>3142.8571428571427</v>
      </c>
      <c r="I35" s="11">
        <f t="shared" ref="I35:I36" si="14">H35*E35</f>
        <v>6285.7142857142853</v>
      </c>
      <c r="N35" t="s">
        <v>72</v>
      </c>
      <c r="O35" s="9">
        <f>I31</f>
        <v>0</v>
      </c>
    </row>
    <row r="36" spans="4:15" x14ac:dyDescent="0.3">
      <c r="D36" s="1">
        <v>5500</v>
      </c>
      <c r="E36" s="1">
        <v>3</v>
      </c>
      <c r="F36" s="11">
        <f t="shared" si="11"/>
        <v>1833.3333333333333</v>
      </c>
      <c r="G36" s="1">
        <f t="shared" si="12"/>
        <v>142.85714285714286</v>
      </c>
      <c r="H36" s="11">
        <f>F36+G36</f>
        <v>1976.1904761904761</v>
      </c>
      <c r="I36" s="11">
        <f t="shared" si="14"/>
        <v>5928.5714285714284</v>
      </c>
      <c r="N36" t="s">
        <v>73</v>
      </c>
      <c r="O36" s="9">
        <f>H31</f>
        <v>0</v>
      </c>
    </row>
    <row r="37" spans="4:15" x14ac:dyDescent="0.3">
      <c r="D37" s="1">
        <f>SUM(D34:D36)</f>
        <v>17500</v>
      </c>
      <c r="E37" s="1"/>
      <c r="F37" s="1"/>
      <c r="G37" s="1"/>
      <c r="H37" s="1"/>
      <c r="I37" s="11">
        <f>SUM(I34:I36)</f>
        <v>18500</v>
      </c>
      <c r="N37" t="s">
        <v>74</v>
      </c>
      <c r="O37" s="9">
        <f>J31</f>
        <v>0</v>
      </c>
    </row>
    <row r="38" spans="4:15" x14ac:dyDescent="0.3">
      <c r="O38" s="9">
        <f>SUM(O33:O37)</f>
        <v>0</v>
      </c>
    </row>
    <row r="41" spans="4:15" x14ac:dyDescent="0.3">
      <c r="N41" t="s">
        <v>12</v>
      </c>
      <c r="O41" s="9">
        <f>D31</f>
        <v>0</v>
      </c>
    </row>
    <row r="42" spans="4:15" x14ac:dyDescent="0.3">
      <c r="N42" t="s">
        <v>13</v>
      </c>
      <c r="O42" s="9">
        <f>E31</f>
        <v>0</v>
      </c>
    </row>
    <row r="43" spans="4:15" x14ac:dyDescent="0.3">
      <c r="N43" t="s">
        <v>14</v>
      </c>
      <c r="O43" s="9">
        <f>F31</f>
        <v>0</v>
      </c>
    </row>
    <row r="44" spans="4:15" x14ac:dyDescent="0.3">
      <c r="N44" t="s">
        <v>20</v>
      </c>
      <c r="O44" s="9">
        <f>L31</f>
        <v>0</v>
      </c>
    </row>
    <row r="45" spans="4:15" x14ac:dyDescent="0.3">
      <c r="N45" t="s">
        <v>21</v>
      </c>
      <c r="O45" s="9">
        <f>M31</f>
        <v>0</v>
      </c>
    </row>
    <row r="46" spans="4:15" x14ac:dyDescent="0.3">
      <c r="O46" s="9">
        <f>SUM(O41:O45)</f>
        <v>0</v>
      </c>
    </row>
  </sheetData>
  <mergeCells count="2">
    <mergeCell ref="C1:D2"/>
    <mergeCell ref="E1:F2"/>
  </mergeCells>
  <pageMargins left="0.7" right="0.7" top="0.75" bottom="0.75" header="0.3" footer="0.3"/>
  <pageSetup orientation="portrait" horizontalDpi="1200" verticalDpi="1200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W46"/>
  <sheetViews>
    <sheetView zoomScaleNormal="100" workbookViewId="0">
      <pane xSplit="2" ySplit="4" topLeftCell="AP5" activePane="bottomRight" state="frozen"/>
      <selection pane="topRight" activeCell="C1" sqref="C1"/>
      <selection pane="bottomLeft" activeCell="A5" sqref="A5"/>
      <selection pane="bottomRight" activeCell="AP20" sqref="AP20"/>
    </sheetView>
  </sheetViews>
  <sheetFormatPr defaultRowHeight="14.4" x14ac:dyDescent="0.3"/>
  <cols>
    <col min="1" max="1" width="7" bestFit="1" customWidth="1"/>
    <col min="2" max="2" width="23.6640625" bestFit="1" customWidth="1"/>
    <col min="3" max="5" width="9.33203125" bestFit="1" customWidth="1"/>
    <col min="6" max="6" width="11.5546875" customWidth="1"/>
    <col min="7" max="7" width="12" bestFit="1" customWidth="1"/>
    <col min="8" max="8" width="13.33203125" customWidth="1"/>
    <col min="9" max="9" width="9.6640625" customWidth="1"/>
    <col min="10" max="10" width="9.33203125" bestFit="1" customWidth="1"/>
    <col min="11" max="11" width="14.5546875" customWidth="1"/>
    <col min="12" max="13" width="10.33203125" bestFit="1" customWidth="1"/>
    <col min="14" max="14" width="11.5546875" bestFit="1" customWidth="1"/>
    <col min="15" max="34" width="10.33203125" bestFit="1" customWidth="1"/>
    <col min="36" max="36" width="23" bestFit="1" customWidth="1"/>
    <col min="37" max="37" width="19.33203125" bestFit="1" customWidth="1"/>
    <col min="38" max="38" width="25.6640625" bestFit="1" customWidth="1"/>
    <col min="39" max="39" width="20.6640625" bestFit="1" customWidth="1"/>
    <col min="40" max="40" width="24" bestFit="1" customWidth="1"/>
    <col min="41" max="41" width="33" bestFit="1" customWidth="1"/>
    <col min="42" max="42" width="57.33203125" bestFit="1" customWidth="1"/>
    <col min="43" max="43" width="12.33203125" bestFit="1" customWidth="1"/>
    <col min="44" max="44" width="13.44140625" bestFit="1" customWidth="1"/>
    <col min="45" max="45" width="25.5546875" bestFit="1" customWidth="1"/>
    <col min="46" max="46" width="11.33203125" bestFit="1" customWidth="1"/>
    <col min="47" max="47" width="10.33203125" bestFit="1" customWidth="1"/>
  </cols>
  <sheetData>
    <row r="1" spans="1:49" x14ac:dyDescent="0.3">
      <c r="C1" s="107" t="s">
        <v>79</v>
      </c>
      <c r="D1" s="107"/>
      <c r="E1" s="106">
        <f>AH22/AH12</f>
        <v>57.381974248927037</v>
      </c>
      <c r="F1" s="106"/>
    </row>
    <row r="2" spans="1:49" ht="25.5" customHeight="1" x14ac:dyDescent="0.3">
      <c r="C2" s="107"/>
      <c r="D2" s="107"/>
      <c r="E2" s="106"/>
      <c r="F2" s="106"/>
    </row>
    <row r="4" spans="1:49" x14ac:dyDescent="0.3">
      <c r="A4" s="4" t="s">
        <v>0</v>
      </c>
      <c r="B4" s="4" t="s">
        <v>2</v>
      </c>
      <c r="C4" s="5">
        <v>44317</v>
      </c>
      <c r="D4" s="5">
        <v>44318</v>
      </c>
      <c r="E4" s="5">
        <v>44319</v>
      </c>
      <c r="F4" s="5">
        <v>44320</v>
      </c>
      <c r="G4" s="5">
        <v>44321</v>
      </c>
      <c r="H4" s="5">
        <v>44322</v>
      </c>
      <c r="I4" s="5">
        <v>44323</v>
      </c>
      <c r="J4" s="5">
        <v>44324</v>
      </c>
      <c r="K4" s="5">
        <v>44325</v>
      </c>
      <c r="L4" s="5">
        <v>44326</v>
      </c>
      <c r="M4" s="5">
        <v>44327</v>
      </c>
      <c r="N4" s="5">
        <v>44328</v>
      </c>
      <c r="O4" s="5">
        <v>44329</v>
      </c>
      <c r="P4" s="5">
        <v>44330</v>
      </c>
      <c r="Q4" s="5">
        <v>44331</v>
      </c>
      <c r="R4" s="5">
        <v>44332</v>
      </c>
      <c r="S4" s="5">
        <v>44333</v>
      </c>
      <c r="T4" s="5">
        <v>44334</v>
      </c>
      <c r="U4" s="5">
        <v>44335</v>
      </c>
      <c r="V4" s="5">
        <v>44336</v>
      </c>
      <c r="W4" s="5">
        <v>44337</v>
      </c>
      <c r="X4" s="5">
        <v>44338</v>
      </c>
      <c r="Y4" s="5">
        <v>44339</v>
      </c>
      <c r="Z4" s="5">
        <v>44340</v>
      </c>
      <c r="AA4" s="5">
        <v>44341</v>
      </c>
      <c r="AB4" s="5">
        <v>44342</v>
      </c>
      <c r="AC4" s="5">
        <v>44343</v>
      </c>
      <c r="AD4" s="5">
        <v>44344</v>
      </c>
      <c r="AE4" s="5">
        <v>44345</v>
      </c>
      <c r="AF4" s="5">
        <v>44346</v>
      </c>
      <c r="AG4" s="5">
        <v>44347</v>
      </c>
      <c r="AH4" s="4" t="s">
        <v>1</v>
      </c>
      <c r="AJ4" s="4" t="s">
        <v>23</v>
      </c>
      <c r="AK4" s="4" t="s">
        <v>24</v>
      </c>
      <c r="AL4" s="4" t="s">
        <v>26</v>
      </c>
      <c r="AM4" s="4" t="s">
        <v>81</v>
      </c>
      <c r="AN4" s="4" t="s">
        <v>27</v>
      </c>
      <c r="AO4" s="4" t="s">
        <v>30</v>
      </c>
      <c r="AP4" s="4" t="s">
        <v>32</v>
      </c>
      <c r="AQ4" s="4" t="s">
        <v>28</v>
      </c>
      <c r="AR4" s="4" t="s">
        <v>29</v>
      </c>
      <c r="AS4" s="4" t="s">
        <v>31</v>
      </c>
    </row>
    <row r="5" spans="1:49" x14ac:dyDescent="0.3">
      <c r="A5" s="2">
        <v>1</v>
      </c>
      <c r="B5" s="3" t="s">
        <v>4</v>
      </c>
      <c r="C5" s="7">
        <v>2</v>
      </c>
      <c r="D5" s="7">
        <v>2</v>
      </c>
      <c r="E5" s="7">
        <v>2</v>
      </c>
      <c r="F5" s="7">
        <v>2</v>
      </c>
      <c r="G5" s="7">
        <v>2</v>
      </c>
      <c r="H5" s="7">
        <v>1</v>
      </c>
      <c r="I5" s="7">
        <v>2</v>
      </c>
      <c r="J5" s="7">
        <v>2</v>
      </c>
      <c r="K5" s="7">
        <v>1</v>
      </c>
      <c r="L5" s="7">
        <v>2</v>
      </c>
      <c r="M5" s="7">
        <v>1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1</v>
      </c>
      <c r="U5" s="7">
        <v>1.5</v>
      </c>
      <c r="V5" s="7">
        <v>1.5</v>
      </c>
      <c r="W5" s="7">
        <v>0</v>
      </c>
      <c r="X5" s="7">
        <v>1</v>
      </c>
      <c r="Y5" s="7">
        <v>2.5</v>
      </c>
      <c r="Z5" s="7">
        <v>2.5</v>
      </c>
      <c r="AA5" s="7">
        <v>2.5</v>
      </c>
      <c r="AB5" s="7">
        <v>1</v>
      </c>
      <c r="AC5" s="7">
        <v>2.5</v>
      </c>
      <c r="AD5" s="7">
        <v>2.5</v>
      </c>
      <c r="AE5" s="7">
        <v>2.5</v>
      </c>
      <c r="AF5" s="7">
        <v>2.5</v>
      </c>
      <c r="AG5" s="7">
        <v>2</v>
      </c>
      <c r="AH5" s="7">
        <f>SUM(C5:AG5)</f>
        <v>44.5</v>
      </c>
      <c r="AJ5" s="15">
        <f>AH5*$E$1+150</f>
        <v>2703.4978540772531</v>
      </c>
      <c r="AK5" s="16">
        <f>AH15</f>
        <v>2645</v>
      </c>
      <c r="AL5" s="15">
        <f>AK5-AJ5</f>
        <v>-58.497854077253123</v>
      </c>
      <c r="AM5" s="16">
        <f>N24</f>
        <v>4413.4285714285706</v>
      </c>
      <c r="AN5" s="15">
        <f>AM5-AL5</f>
        <v>4471.9264255058242</v>
      </c>
      <c r="AO5" s="15">
        <f>'Meal April''21 &amp; Rent May (2)'!AS5</f>
        <v>1121.9274687974062</v>
      </c>
      <c r="AP5" s="15">
        <f>AN5-AO5</f>
        <v>3349.9989567084181</v>
      </c>
      <c r="AQ5" s="6">
        <v>4000</v>
      </c>
      <c r="AR5" s="17">
        <v>44357</v>
      </c>
      <c r="AS5" s="15">
        <f>AQ5-AP5</f>
        <v>650.00104329158194</v>
      </c>
    </row>
    <row r="6" spans="1:49" x14ac:dyDescent="0.3">
      <c r="A6" s="2">
        <v>2</v>
      </c>
      <c r="B6" s="3" t="s">
        <v>5</v>
      </c>
      <c r="C6" s="7">
        <v>3</v>
      </c>
      <c r="D6" s="7">
        <v>3</v>
      </c>
      <c r="E6" s="7">
        <v>4</v>
      </c>
      <c r="F6" s="7">
        <v>3</v>
      </c>
      <c r="G6" s="7">
        <v>3</v>
      </c>
      <c r="H6" s="7">
        <v>2</v>
      </c>
      <c r="I6" s="7">
        <v>3</v>
      </c>
      <c r="J6" s="7">
        <v>2</v>
      </c>
      <c r="K6" s="7">
        <v>2</v>
      </c>
      <c r="L6" s="7">
        <v>2</v>
      </c>
      <c r="M6" s="7">
        <v>2</v>
      </c>
      <c r="N6" s="7">
        <v>1</v>
      </c>
      <c r="O6" s="7">
        <v>0</v>
      </c>
      <c r="P6" s="7">
        <v>0</v>
      </c>
      <c r="Q6" s="7">
        <v>0</v>
      </c>
      <c r="R6" s="7">
        <v>1</v>
      </c>
      <c r="S6" s="7">
        <v>2</v>
      </c>
      <c r="T6" s="7">
        <v>3</v>
      </c>
      <c r="U6" s="7">
        <v>4</v>
      </c>
      <c r="V6" s="7">
        <v>5</v>
      </c>
      <c r="W6" s="7">
        <v>4.5</v>
      </c>
      <c r="X6" s="7">
        <v>4.5</v>
      </c>
      <c r="Y6" s="7">
        <v>2</v>
      </c>
      <c r="Z6" s="7">
        <v>4.5</v>
      </c>
      <c r="AA6" s="7">
        <v>4</v>
      </c>
      <c r="AB6" s="7">
        <v>2.5</v>
      </c>
      <c r="AC6" s="7">
        <v>2.5</v>
      </c>
      <c r="AD6" s="7">
        <v>2.5</v>
      </c>
      <c r="AE6" s="7">
        <v>2.5</v>
      </c>
      <c r="AF6" s="7">
        <v>3.5</v>
      </c>
      <c r="AG6" s="7">
        <v>3</v>
      </c>
      <c r="AH6" s="7">
        <f>SUM(C6:AG6)</f>
        <v>81</v>
      </c>
      <c r="AJ6" s="15">
        <f>AH6*$E$1+150</f>
        <v>4797.9399141630902</v>
      </c>
      <c r="AK6" s="16">
        <f>AH16</f>
        <v>4595</v>
      </c>
      <c r="AL6" s="15">
        <f>AK6-AJ6</f>
        <v>-202.93991416309018</v>
      </c>
      <c r="AM6" s="16">
        <f>N25</f>
        <v>4413.4285714285706</v>
      </c>
      <c r="AN6" s="15">
        <f>AM6-AL6</f>
        <v>4616.3684855916608</v>
      </c>
      <c r="AO6" s="15">
        <f>'Meal April''21 &amp; Rent May (2)'!AS6+'Iftar accounts-2021'!AL7</f>
        <v>-1735.6775551581072</v>
      </c>
      <c r="AP6" s="15">
        <f t="shared" ref="AP6:AP11" si="0">AN6-AO6</f>
        <v>6352.0460407497685</v>
      </c>
      <c r="AQ6" s="6">
        <v>6000</v>
      </c>
      <c r="AR6" s="17">
        <v>44358</v>
      </c>
      <c r="AS6" s="15">
        <f t="shared" ref="AS6:AS10" si="1">AQ6-AP6</f>
        <v>-352.04604074976851</v>
      </c>
    </row>
    <row r="7" spans="1:49" x14ac:dyDescent="0.3">
      <c r="A7" s="2">
        <v>3</v>
      </c>
      <c r="B7" s="3" t="s">
        <v>6</v>
      </c>
      <c r="C7" s="7">
        <v>2</v>
      </c>
      <c r="D7" s="7">
        <v>2</v>
      </c>
      <c r="E7" s="7">
        <v>2</v>
      </c>
      <c r="F7" s="7">
        <v>2</v>
      </c>
      <c r="G7" s="7">
        <v>2</v>
      </c>
      <c r="H7" s="7">
        <v>2</v>
      </c>
      <c r="I7" s="7">
        <v>2</v>
      </c>
      <c r="J7" s="7">
        <v>2</v>
      </c>
      <c r="K7" s="7">
        <v>2</v>
      </c>
      <c r="L7" s="7">
        <v>2</v>
      </c>
      <c r="M7" s="7">
        <v>2</v>
      </c>
      <c r="N7" s="7">
        <v>2</v>
      </c>
      <c r="O7" s="7">
        <v>2</v>
      </c>
      <c r="P7" s="7">
        <v>2</v>
      </c>
      <c r="Q7" s="7">
        <v>2</v>
      </c>
      <c r="R7" s="7">
        <v>2</v>
      </c>
      <c r="S7" s="7">
        <v>2</v>
      </c>
      <c r="T7" s="7">
        <v>2</v>
      </c>
      <c r="U7" s="7">
        <v>2.5</v>
      </c>
      <c r="V7" s="7">
        <v>2.5</v>
      </c>
      <c r="W7" s="7">
        <v>2.5</v>
      </c>
      <c r="X7" s="7">
        <v>1.5</v>
      </c>
      <c r="Y7" s="7">
        <v>0</v>
      </c>
      <c r="Z7" s="7">
        <v>0</v>
      </c>
      <c r="AA7" s="7">
        <v>0</v>
      </c>
      <c r="AB7" s="7">
        <v>0</v>
      </c>
      <c r="AC7" s="7">
        <v>0</v>
      </c>
      <c r="AD7" s="7">
        <v>0</v>
      </c>
      <c r="AE7" s="7">
        <v>0</v>
      </c>
      <c r="AF7" s="7">
        <v>0</v>
      </c>
      <c r="AG7" s="7">
        <v>0</v>
      </c>
      <c r="AH7" s="7">
        <f t="shared" ref="AH7:AH11" si="2">SUM(C7:AG7)</f>
        <v>45</v>
      </c>
      <c r="AJ7" s="15">
        <f t="shared" ref="AJ7:AJ11" si="3">AH7*$E$1</f>
        <v>2582.1888412017165</v>
      </c>
      <c r="AK7" s="16">
        <f>AH17</f>
        <v>2335</v>
      </c>
      <c r="AL7" s="15">
        <f t="shared" ref="AL7:AL11" si="4">AK7-AJ7</f>
        <v>-247.18884120171651</v>
      </c>
      <c r="AM7" s="16">
        <f t="shared" ref="AM7:AM8" si="5">N26</f>
        <v>3246.761904761905</v>
      </c>
      <c r="AN7" s="15">
        <f t="shared" ref="AN7:AN11" si="6">AM7-AL7</f>
        <v>3493.9507459636216</v>
      </c>
      <c r="AO7" s="15">
        <f>'Meal April''21 &amp; Rent May (2)'!AS7</f>
        <v>-4679.2668344465692</v>
      </c>
      <c r="AP7" s="15">
        <f t="shared" si="0"/>
        <v>8173.2175804101907</v>
      </c>
      <c r="AQ7" s="6"/>
      <c r="AR7" s="17"/>
      <c r="AS7" s="15">
        <f t="shared" si="1"/>
        <v>-8173.2175804101907</v>
      </c>
    </row>
    <row r="8" spans="1:49" x14ac:dyDescent="0.3">
      <c r="A8" s="2">
        <v>4</v>
      </c>
      <c r="B8" s="3" t="s">
        <v>57</v>
      </c>
      <c r="C8" s="7">
        <v>1</v>
      </c>
      <c r="D8" s="7">
        <v>1</v>
      </c>
      <c r="E8" s="7">
        <v>1</v>
      </c>
      <c r="F8" s="7">
        <v>1</v>
      </c>
      <c r="G8" s="7">
        <v>1</v>
      </c>
      <c r="H8" s="7">
        <v>2</v>
      </c>
      <c r="I8" s="7">
        <v>1</v>
      </c>
      <c r="J8" s="7">
        <v>1</v>
      </c>
      <c r="K8" s="7">
        <v>1</v>
      </c>
      <c r="L8" s="7">
        <v>1</v>
      </c>
      <c r="M8" s="7">
        <v>1</v>
      </c>
      <c r="N8" s="7">
        <v>1</v>
      </c>
      <c r="O8" s="7">
        <v>1</v>
      </c>
      <c r="P8" s="7">
        <v>2</v>
      </c>
      <c r="Q8" s="7">
        <v>2</v>
      </c>
      <c r="R8" s="7">
        <v>2</v>
      </c>
      <c r="S8" s="7">
        <v>2</v>
      </c>
      <c r="T8" s="7">
        <v>2</v>
      </c>
      <c r="U8" s="7">
        <v>2.5</v>
      </c>
      <c r="V8" s="7">
        <v>2.5</v>
      </c>
      <c r="W8" s="7">
        <v>2.5</v>
      </c>
      <c r="X8" s="7">
        <v>2.5</v>
      </c>
      <c r="Y8" s="7">
        <v>2.5</v>
      </c>
      <c r="Z8" s="7">
        <v>2.5</v>
      </c>
      <c r="AA8" s="7">
        <v>2.5</v>
      </c>
      <c r="AB8" s="7">
        <v>2.5</v>
      </c>
      <c r="AC8" s="7">
        <v>2.5</v>
      </c>
      <c r="AD8" s="7">
        <v>2.5</v>
      </c>
      <c r="AE8" s="7">
        <v>2.5</v>
      </c>
      <c r="AF8" s="7">
        <v>2.5</v>
      </c>
      <c r="AG8" s="7">
        <v>2.5</v>
      </c>
      <c r="AH8" s="7">
        <f t="shared" si="2"/>
        <v>56.5</v>
      </c>
      <c r="AJ8" s="15">
        <f>AH8*$E$1</f>
        <v>3242.0815450643777</v>
      </c>
      <c r="AK8" s="16">
        <f>AH18</f>
        <v>2460</v>
      </c>
      <c r="AL8" s="15">
        <f t="shared" si="4"/>
        <v>-782.08154506437768</v>
      </c>
      <c r="AM8" s="16">
        <f t="shared" si="5"/>
        <v>3246.761904761905</v>
      </c>
      <c r="AN8" s="15">
        <f t="shared" si="6"/>
        <v>4028.8434498262827</v>
      </c>
      <c r="AO8" s="15">
        <f>'Meal April''21 &amp; Rent May (2)'!AS8+'Iftar accounts-2021'!AL8</f>
        <v>-347.99880703567828</v>
      </c>
      <c r="AP8" s="15">
        <f t="shared" si="0"/>
        <v>4376.8422568619608</v>
      </c>
      <c r="AQ8" s="6">
        <v>2000</v>
      </c>
      <c r="AR8" s="17">
        <v>44365</v>
      </c>
      <c r="AS8" s="15">
        <f>AQ8-AP8</f>
        <v>-2376.8422568619608</v>
      </c>
      <c r="AT8" s="25"/>
      <c r="AU8" s="25"/>
    </row>
    <row r="9" spans="1:49" x14ac:dyDescent="0.3">
      <c r="A9" s="2">
        <v>5</v>
      </c>
      <c r="B9" s="12" t="s">
        <v>51</v>
      </c>
      <c r="C9" s="7">
        <v>1</v>
      </c>
      <c r="D9" s="7">
        <v>1</v>
      </c>
      <c r="E9" s="7">
        <v>1</v>
      </c>
      <c r="F9" s="7">
        <v>3</v>
      </c>
      <c r="G9" s="7">
        <v>3</v>
      </c>
      <c r="H9" s="7">
        <v>1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1</v>
      </c>
      <c r="S9" s="7">
        <v>1</v>
      </c>
      <c r="T9" s="7">
        <v>1</v>
      </c>
      <c r="U9" s="7">
        <v>1.5</v>
      </c>
      <c r="V9" s="7">
        <v>1.5</v>
      </c>
      <c r="W9" s="7">
        <v>1.5</v>
      </c>
      <c r="X9" s="7">
        <v>1.5</v>
      </c>
      <c r="Y9" s="7">
        <v>1.5</v>
      </c>
      <c r="Z9" s="7">
        <v>1.5</v>
      </c>
      <c r="AA9" s="7">
        <v>1.5</v>
      </c>
      <c r="AB9" s="7">
        <v>2.5</v>
      </c>
      <c r="AC9" s="7">
        <v>1</v>
      </c>
      <c r="AD9" s="7">
        <v>2.5</v>
      </c>
      <c r="AE9" s="7">
        <v>2.5</v>
      </c>
      <c r="AF9" s="7">
        <v>2.5</v>
      </c>
      <c r="AG9" s="7">
        <v>1.5</v>
      </c>
      <c r="AH9" s="7">
        <f t="shared" si="2"/>
        <v>36</v>
      </c>
      <c r="AJ9" s="15">
        <f>$AH$9*$E$1</f>
        <v>2065.7510729613732</v>
      </c>
      <c r="AK9" s="16">
        <f>AH19</f>
        <v>2305</v>
      </c>
      <c r="AL9" s="15">
        <f>AK9-AJ9</f>
        <v>239.24892703862679</v>
      </c>
      <c r="AM9" s="16">
        <f>N28</f>
        <v>3246.761904761905</v>
      </c>
      <c r="AN9" s="15">
        <f t="shared" si="6"/>
        <v>3007.5129777232783</v>
      </c>
      <c r="AO9" s="15">
        <f>'Meal April''21 &amp; Rent May (2)'!AS9+'Iftar accounts-2021'!AL9</f>
        <v>553.18773055591032</v>
      </c>
      <c r="AP9" s="15">
        <f t="shared" si="0"/>
        <v>2454.3252471673677</v>
      </c>
      <c r="AQ9" s="6">
        <f>120+2335</f>
        <v>2455</v>
      </c>
      <c r="AR9" s="17">
        <v>44365</v>
      </c>
      <c r="AS9" s="15">
        <f>AQ9-AP9</f>
        <v>0.67475283263229358</v>
      </c>
      <c r="AU9" s="25"/>
    </row>
    <row r="10" spans="1:49" x14ac:dyDescent="0.3">
      <c r="A10" s="2">
        <v>6</v>
      </c>
      <c r="B10" s="3" t="s">
        <v>7</v>
      </c>
      <c r="C10" s="7">
        <v>2</v>
      </c>
      <c r="D10" s="7">
        <v>2</v>
      </c>
      <c r="E10" s="7">
        <v>2</v>
      </c>
      <c r="F10" s="7">
        <v>1</v>
      </c>
      <c r="G10" s="7">
        <v>1</v>
      </c>
      <c r="H10" s="7">
        <v>2</v>
      </c>
      <c r="I10" s="7">
        <v>2</v>
      </c>
      <c r="J10" s="7">
        <v>2</v>
      </c>
      <c r="K10" s="7">
        <v>2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1</v>
      </c>
      <c r="S10" s="7">
        <v>1</v>
      </c>
      <c r="T10" s="7">
        <v>1</v>
      </c>
      <c r="U10" s="7">
        <v>1.5</v>
      </c>
      <c r="V10" s="7">
        <v>1.5</v>
      </c>
      <c r="W10" s="7">
        <v>0</v>
      </c>
      <c r="X10" s="7">
        <v>2.5</v>
      </c>
      <c r="Y10" s="7">
        <v>2.5</v>
      </c>
      <c r="Z10" s="7">
        <v>1.5</v>
      </c>
      <c r="AA10" s="7">
        <v>1.5</v>
      </c>
      <c r="AB10" s="7">
        <v>2.5</v>
      </c>
      <c r="AC10" s="7">
        <v>1.5</v>
      </c>
      <c r="AD10" s="7">
        <v>2.5</v>
      </c>
      <c r="AE10" s="7">
        <v>2.5</v>
      </c>
      <c r="AF10" s="7">
        <v>2.5</v>
      </c>
      <c r="AG10" s="7">
        <v>1.5</v>
      </c>
      <c r="AH10" s="7">
        <f t="shared" si="2"/>
        <v>43</v>
      </c>
      <c r="AJ10" s="15">
        <f>AH10*$E$1+150</f>
        <v>2617.4248927038625</v>
      </c>
      <c r="AK10" s="16">
        <f t="shared" ref="AK10" si="7">AH20</f>
        <v>2985</v>
      </c>
      <c r="AL10" s="15">
        <f t="shared" si="4"/>
        <v>367.5751072961375</v>
      </c>
      <c r="AM10" s="16">
        <f>N29</f>
        <v>4413.4285714285706</v>
      </c>
      <c r="AN10" s="15">
        <f t="shared" si="6"/>
        <v>4045.8534641324331</v>
      </c>
      <c r="AO10" s="15">
        <f>'Meal April''21 &amp; Rent May (2)'!AS10+'Iftar accounts-2021'!AL10</f>
        <v>387.64281423453394</v>
      </c>
      <c r="AP10" s="15">
        <f t="shared" si="0"/>
        <v>3658.2106498978992</v>
      </c>
      <c r="AQ10" s="6">
        <f>-500+4158.21</f>
        <v>3658.21</v>
      </c>
      <c r="AR10" s="17">
        <v>44362</v>
      </c>
      <c r="AS10" s="15">
        <f t="shared" si="1"/>
        <v>-6.4989789916580776E-4</v>
      </c>
    </row>
    <row r="11" spans="1:49" x14ac:dyDescent="0.3">
      <c r="A11" s="2">
        <v>7</v>
      </c>
      <c r="B11" s="3" t="s">
        <v>8</v>
      </c>
      <c r="C11" s="7">
        <v>1</v>
      </c>
      <c r="D11" s="7">
        <v>2</v>
      </c>
      <c r="E11" s="7">
        <v>2</v>
      </c>
      <c r="F11" s="7">
        <v>2</v>
      </c>
      <c r="G11" s="7">
        <v>1</v>
      </c>
      <c r="H11" s="7">
        <v>1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  <c r="S11" s="7">
        <v>1</v>
      </c>
      <c r="T11" s="7">
        <v>2</v>
      </c>
      <c r="U11" s="7">
        <v>2.5</v>
      </c>
      <c r="V11" s="7">
        <v>2.5</v>
      </c>
      <c r="W11" s="7">
        <v>2.5</v>
      </c>
      <c r="X11" s="7">
        <v>2.5</v>
      </c>
      <c r="Y11" s="7">
        <v>2.5</v>
      </c>
      <c r="Z11" s="7">
        <v>2.5</v>
      </c>
      <c r="AA11" s="7">
        <v>2.5</v>
      </c>
      <c r="AB11" s="7">
        <v>2.5</v>
      </c>
      <c r="AC11" s="7">
        <v>2.5</v>
      </c>
      <c r="AD11" s="7">
        <v>2.5</v>
      </c>
      <c r="AE11" s="7">
        <v>2.5</v>
      </c>
      <c r="AF11" s="7">
        <v>2</v>
      </c>
      <c r="AG11" s="7">
        <v>2</v>
      </c>
      <c r="AH11" s="7">
        <f t="shared" si="2"/>
        <v>43.5</v>
      </c>
      <c r="AJ11" s="15">
        <f t="shared" si="3"/>
        <v>2496.1158798283259</v>
      </c>
      <c r="AK11" s="16">
        <f>AH21+450</f>
        <v>3180</v>
      </c>
      <c r="AL11" s="15">
        <f t="shared" si="4"/>
        <v>683.88412017167411</v>
      </c>
      <c r="AM11" s="16">
        <f>N30</f>
        <v>4413.4285714285706</v>
      </c>
      <c r="AN11" s="15">
        <f t="shared" si="6"/>
        <v>3729.5444512568965</v>
      </c>
      <c r="AO11" s="15">
        <f>'Meal April''21 &amp; Rent May (2)'!AS11+'Iftar accounts-2021'!AL11</f>
        <v>625.37290039181562</v>
      </c>
      <c r="AP11" s="15">
        <f t="shared" si="0"/>
        <v>3104.1715508650809</v>
      </c>
      <c r="AQ11" s="6">
        <f>1000+2000</f>
        <v>3000</v>
      </c>
      <c r="AR11" s="17" t="s">
        <v>83</v>
      </c>
      <c r="AS11" s="15">
        <f>AQ11-AP11</f>
        <v>-104.17155086508092</v>
      </c>
    </row>
    <row r="12" spans="1:49" x14ac:dyDescent="0.3">
      <c r="A12" s="1"/>
      <c r="B12" s="1"/>
      <c r="C12" s="7">
        <f>SUM(C5:C11)</f>
        <v>12</v>
      </c>
      <c r="D12" s="7">
        <f t="shared" ref="D12:AG12" si="8">SUM(D5:D11)</f>
        <v>13</v>
      </c>
      <c r="E12" s="7">
        <f t="shared" si="8"/>
        <v>14</v>
      </c>
      <c r="F12" s="7">
        <f t="shared" si="8"/>
        <v>14</v>
      </c>
      <c r="G12" s="7">
        <f t="shared" si="8"/>
        <v>13</v>
      </c>
      <c r="H12" s="7">
        <f t="shared" si="8"/>
        <v>11</v>
      </c>
      <c r="I12" s="7">
        <f t="shared" si="8"/>
        <v>10</v>
      </c>
      <c r="J12" s="7">
        <f t="shared" si="8"/>
        <v>9</v>
      </c>
      <c r="K12" s="7">
        <f t="shared" si="8"/>
        <v>8</v>
      </c>
      <c r="L12" s="7">
        <f t="shared" si="8"/>
        <v>7</v>
      </c>
      <c r="M12" s="7">
        <f t="shared" si="8"/>
        <v>6</v>
      </c>
      <c r="N12" s="7">
        <f t="shared" si="8"/>
        <v>4</v>
      </c>
      <c r="O12" s="7">
        <f t="shared" si="8"/>
        <v>3</v>
      </c>
      <c r="P12" s="7">
        <f t="shared" si="8"/>
        <v>4</v>
      </c>
      <c r="Q12" s="7">
        <f t="shared" si="8"/>
        <v>4</v>
      </c>
      <c r="R12" s="7">
        <f t="shared" si="8"/>
        <v>7</v>
      </c>
      <c r="S12" s="7">
        <f t="shared" si="8"/>
        <v>9</v>
      </c>
      <c r="T12" s="7">
        <f t="shared" si="8"/>
        <v>12</v>
      </c>
      <c r="U12" s="7">
        <f t="shared" si="8"/>
        <v>16</v>
      </c>
      <c r="V12" s="7">
        <f t="shared" si="8"/>
        <v>17</v>
      </c>
      <c r="W12" s="7">
        <f t="shared" si="8"/>
        <v>13.5</v>
      </c>
      <c r="X12" s="7">
        <f t="shared" si="8"/>
        <v>16</v>
      </c>
      <c r="Y12" s="7">
        <f t="shared" si="8"/>
        <v>13.5</v>
      </c>
      <c r="Z12" s="7">
        <f t="shared" si="8"/>
        <v>15</v>
      </c>
      <c r="AA12" s="7">
        <f t="shared" si="8"/>
        <v>14.5</v>
      </c>
      <c r="AB12" s="7">
        <f t="shared" si="8"/>
        <v>13.5</v>
      </c>
      <c r="AC12" s="7">
        <f t="shared" si="8"/>
        <v>12.5</v>
      </c>
      <c r="AD12" s="7">
        <f t="shared" si="8"/>
        <v>15</v>
      </c>
      <c r="AE12" s="7">
        <f t="shared" si="8"/>
        <v>15</v>
      </c>
      <c r="AF12" s="7">
        <f t="shared" si="8"/>
        <v>15.5</v>
      </c>
      <c r="AG12" s="7">
        <f t="shared" si="8"/>
        <v>12.5</v>
      </c>
      <c r="AH12" s="7">
        <f>SUM(AH5:AH11)</f>
        <v>349.5</v>
      </c>
      <c r="AJ12" s="15">
        <f t="shared" ref="AJ12:AN12" si="9">SUM(AJ5:AJ11)</f>
        <v>20504.999999999996</v>
      </c>
      <c r="AK12" s="16">
        <f t="shared" si="9"/>
        <v>20505</v>
      </c>
      <c r="AL12" s="16">
        <f t="shared" si="9"/>
        <v>9.0949470177292824E-13</v>
      </c>
      <c r="AM12" s="16">
        <f>SUM(AM5:AM11)</f>
        <v>27394</v>
      </c>
      <c r="AN12" s="16">
        <f t="shared" si="9"/>
        <v>27394</v>
      </c>
      <c r="AO12" s="16">
        <f>SUM(AO5:AO11)</f>
        <v>-4074.8122826606891</v>
      </c>
      <c r="AP12" s="15">
        <f>AN12-AO12+$AU$4</f>
        <v>31468.812282660689</v>
      </c>
      <c r="AQ12" s="16">
        <f>SUM(AQ5:AQ11)</f>
        <v>21113.21</v>
      </c>
      <c r="AR12" s="16"/>
      <c r="AS12" s="16">
        <f>SUM(AS5:AS11)</f>
        <v>-10355.602282660686</v>
      </c>
      <c r="AT12" s="9">
        <f>AS12-3000</f>
        <v>-13355.602282660686</v>
      </c>
    </row>
    <row r="13" spans="1:49" x14ac:dyDescent="0.3">
      <c r="A13" s="36"/>
      <c r="B13" s="36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37"/>
      <c r="AF13" s="37"/>
      <c r="AG13" s="37"/>
      <c r="AH13" s="37"/>
      <c r="AJ13" s="38"/>
      <c r="AK13" s="39"/>
      <c r="AL13" s="39"/>
      <c r="AM13" s="39"/>
      <c r="AN13" s="39"/>
      <c r="AO13" s="39"/>
      <c r="AP13" s="38"/>
      <c r="AQ13" s="39"/>
      <c r="AR13" s="39"/>
      <c r="AS13" s="39"/>
      <c r="AT13">
        <f>23774</f>
        <v>23774</v>
      </c>
      <c r="AU13" s="9">
        <v>13420</v>
      </c>
      <c r="AV13" s="9">
        <f>AT13-AU13</f>
        <v>10354</v>
      </c>
      <c r="AW13" s="9"/>
    </row>
    <row r="14" spans="1:49" x14ac:dyDescent="0.3">
      <c r="B14" s="10" t="s">
        <v>80</v>
      </c>
      <c r="AT14" s="9">
        <f>SUM(AT12:AT13)</f>
        <v>10418.397717339314</v>
      </c>
    </row>
    <row r="15" spans="1:49" x14ac:dyDescent="0.3">
      <c r="A15" s="2">
        <v>1</v>
      </c>
      <c r="B15" s="3" t="s">
        <v>4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 s="8">
        <v>0</v>
      </c>
      <c r="V15" s="8">
        <v>0</v>
      </c>
      <c r="W15" s="8">
        <v>0</v>
      </c>
      <c r="X15" s="8">
        <v>0</v>
      </c>
      <c r="Y15" s="8">
        <v>0</v>
      </c>
      <c r="Z15" s="8">
        <v>0</v>
      </c>
      <c r="AA15" s="8">
        <v>0</v>
      </c>
      <c r="AB15" s="8">
        <v>0</v>
      </c>
      <c r="AC15" s="8">
        <v>0</v>
      </c>
      <c r="AD15" s="8">
        <v>0</v>
      </c>
      <c r="AE15" s="8">
        <v>2645</v>
      </c>
      <c r="AF15" s="8">
        <v>0</v>
      </c>
      <c r="AG15" s="8">
        <v>0</v>
      </c>
      <c r="AH15" s="8">
        <f>SUM(C15:AG15)</f>
        <v>2645</v>
      </c>
      <c r="AP15" s="25">
        <v>31545</v>
      </c>
      <c r="AR15" s="1"/>
      <c r="AS15" s="8"/>
      <c r="AT15">
        <v>2000</v>
      </c>
    </row>
    <row r="16" spans="1:49" x14ac:dyDescent="0.3">
      <c r="A16" s="2">
        <v>2</v>
      </c>
      <c r="B16" s="3" t="s">
        <v>5</v>
      </c>
      <c r="C16" s="8">
        <v>3975</v>
      </c>
      <c r="D16" s="8">
        <v>200</v>
      </c>
      <c r="E16" s="8">
        <v>0</v>
      </c>
      <c r="F16" s="8">
        <v>420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  <c r="U16" s="8">
        <v>0</v>
      </c>
      <c r="V16" s="8">
        <v>0</v>
      </c>
      <c r="W16" s="8">
        <v>0</v>
      </c>
      <c r="X16" s="8">
        <v>0</v>
      </c>
      <c r="Y16" s="8">
        <v>0</v>
      </c>
      <c r="Z16" s="8">
        <v>0</v>
      </c>
      <c r="AA16" s="8">
        <v>0</v>
      </c>
      <c r="AB16" s="8">
        <v>0</v>
      </c>
      <c r="AC16" s="8">
        <v>0</v>
      </c>
      <c r="AD16" s="8">
        <v>0</v>
      </c>
      <c r="AE16" s="8">
        <v>0</v>
      </c>
      <c r="AF16" s="8">
        <v>0</v>
      </c>
      <c r="AG16" s="8">
        <v>0</v>
      </c>
      <c r="AH16" s="8">
        <f t="shared" ref="AH16:AH21" si="10">SUM(C16:AG16)</f>
        <v>4595</v>
      </c>
      <c r="AP16">
        <v>18640</v>
      </c>
      <c r="AQ16">
        <v>6900</v>
      </c>
      <c r="AR16" s="1">
        <f>AP16+AQ16</f>
        <v>25540</v>
      </c>
      <c r="AS16" s="8"/>
      <c r="AT16" s="25">
        <f>AT14+AT15+AS20</f>
        <v>16576.607717339313</v>
      </c>
    </row>
    <row r="17" spans="1:46" x14ac:dyDescent="0.3">
      <c r="A17" s="2">
        <v>3</v>
      </c>
      <c r="B17" s="3" t="s">
        <v>6</v>
      </c>
      <c r="C17" s="8">
        <v>0</v>
      </c>
      <c r="D17" s="8">
        <v>0</v>
      </c>
      <c r="E17" s="8">
        <v>0</v>
      </c>
      <c r="F17" s="8">
        <f>10+40</f>
        <v>50</v>
      </c>
      <c r="G17" s="8">
        <v>0</v>
      </c>
      <c r="H17" s="8">
        <v>0</v>
      </c>
      <c r="I17" s="8">
        <v>0</v>
      </c>
      <c r="J17" s="8">
        <v>0</v>
      </c>
      <c r="K17" s="8">
        <v>325</v>
      </c>
      <c r="L17" s="8">
        <v>460</v>
      </c>
      <c r="M17" s="8">
        <v>50</v>
      </c>
      <c r="N17" s="8">
        <v>680</v>
      </c>
      <c r="O17" s="8">
        <v>0</v>
      </c>
      <c r="P17" s="8">
        <v>75</v>
      </c>
      <c r="Q17" s="8">
        <v>175</v>
      </c>
      <c r="R17" s="8">
        <v>520</v>
      </c>
      <c r="S17" s="8">
        <v>0</v>
      </c>
      <c r="T17" s="8">
        <v>0</v>
      </c>
      <c r="U17" s="8">
        <v>0</v>
      </c>
      <c r="V17" s="8">
        <v>0</v>
      </c>
      <c r="W17" s="8">
        <v>0</v>
      </c>
      <c r="X17" s="8">
        <v>0</v>
      </c>
      <c r="Y17" s="8">
        <v>0</v>
      </c>
      <c r="Z17" s="8">
        <v>0</v>
      </c>
      <c r="AA17" s="8">
        <v>0</v>
      </c>
      <c r="AB17" s="8">
        <v>0</v>
      </c>
      <c r="AC17" s="8">
        <v>0</v>
      </c>
      <c r="AD17" s="8">
        <v>0</v>
      </c>
      <c r="AE17" s="8">
        <v>0</v>
      </c>
      <c r="AF17" s="8">
        <v>0</v>
      </c>
      <c r="AG17" s="8">
        <v>0</v>
      </c>
      <c r="AH17" s="8">
        <f t="shared" si="10"/>
        <v>2335</v>
      </c>
      <c r="AP17" s="25">
        <f>AP15-AP16</f>
        <v>12905</v>
      </c>
      <c r="AR17" s="15">
        <f>AP15-AR16</f>
        <v>6005</v>
      </c>
      <c r="AS17" s="8"/>
      <c r="AT17" s="25"/>
    </row>
    <row r="18" spans="1:46" x14ac:dyDescent="0.3">
      <c r="A18" s="2">
        <v>4</v>
      </c>
      <c r="B18" s="3" t="s">
        <v>57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2120</v>
      </c>
      <c r="I18" s="8">
        <v>30</v>
      </c>
      <c r="J18" s="8">
        <v>210</v>
      </c>
      <c r="K18" s="8">
        <v>0</v>
      </c>
      <c r="L18" s="8">
        <v>0</v>
      </c>
      <c r="M18" s="8">
        <v>0</v>
      </c>
      <c r="N18" s="8">
        <v>0</v>
      </c>
      <c r="O18" s="8">
        <v>100</v>
      </c>
      <c r="P18" s="8">
        <v>0</v>
      </c>
      <c r="Q18" s="8">
        <v>0</v>
      </c>
      <c r="R18" s="8">
        <v>0</v>
      </c>
      <c r="S18" s="8">
        <v>0</v>
      </c>
      <c r="T18" s="8">
        <v>0</v>
      </c>
      <c r="U18" s="8">
        <v>0</v>
      </c>
      <c r="V18" s="8">
        <v>0</v>
      </c>
      <c r="W18" s="8">
        <v>0</v>
      </c>
      <c r="X18" s="8">
        <v>0</v>
      </c>
      <c r="Y18" s="8">
        <v>0</v>
      </c>
      <c r="Z18" s="8">
        <v>0</v>
      </c>
      <c r="AA18" s="8">
        <v>0</v>
      </c>
      <c r="AB18" s="8">
        <v>0</v>
      </c>
      <c r="AC18" s="8">
        <v>0</v>
      </c>
      <c r="AD18" s="8">
        <v>0</v>
      </c>
      <c r="AE18" s="8">
        <v>0</v>
      </c>
      <c r="AF18" s="8">
        <v>0</v>
      </c>
      <c r="AG18" s="8">
        <v>0</v>
      </c>
      <c r="AH18" s="8">
        <f t="shared" si="10"/>
        <v>2460</v>
      </c>
      <c r="AP18" s="25">
        <f>AP17+AO12</f>
        <v>8830.1877173393113</v>
      </c>
    </row>
    <row r="19" spans="1:46" x14ac:dyDescent="0.3">
      <c r="A19" s="2">
        <v>5</v>
      </c>
      <c r="B19" s="12" t="s">
        <v>51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0</v>
      </c>
      <c r="R19" s="8">
        <v>0</v>
      </c>
      <c r="S19" s="8">
        <v>1000</v>
      </c>
      <c r="T19" s="8">
        <v>430</v>
      </c>
      <c r="U19" s="8">
        <v>730</v>
      </c>
      <c r="V19" s="8">
        <v>145</v>
      </c>
      <c r="W19" s="8">
        <v>0</v>
      </c>
      <c r="X19" s="8">
        <v>0</v>
      </c>
      <c r="Y19" s="8">
        <v>0</v>
      </c>
      <c r="Z19" s="8">
        <v>0</v>
      </c>
      <c r="AA19" s="8">
        <v>0</v>
      </c>
      <c r="AB19" s="8">
        <v>0</v>
      </c>
      <c r="AC19" s="8">
        <v>0</v>
      </c>
      <c r="AD19" s="8">
        <v>0</v>
      </c>
      <c r="AE19" s="8">
        <v>0</v>
      </c>
      <c r="AF19" s="8">
        <v>0</v>
      </c>
      <c r="AG19" s="8">
        <v>0</v>
      </c>
      <c r="AH19" s="8">
        <f t="shared" si="10"/>
        <v>2305</v>
      </c>
    </row>
    <row r="20" spans="1:46" x14ac:dyDescent="0.3">
      <c r="A20" s="2">
        <v>6</v>
      </c>
      <c r="B20" s="3" t="s">
        <v>7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  <c r="S20" s="8">
        <v>0</v>
      </c>
      <c r="T20" s="8">
        <v>0</v>
      </c>
      <c r="U20" s="8">
        <v>0</v>
      </c>
      <c r="V20" s="8">
        <v>0</v>
      </c>
      <c r="W20" s="8">
        <v>0</v>
      </c>
      <c r="X20" s="8">
        <v>0</v>
      </c>
      <c r="Y20" s="8">
        <v>0</v>
      </c>
      <c r="Z20" s="8">
        <v>0</v>
      </c>
      <c r="AA20" s="8">
        <v>0</v>
      </c>
      <c r="AB20" s="8">
        <f>160+890</f>
        <v>1050</v>
      </c>
      <c r="AC20" s="8">
        <v>1935</v>
      </c>
      <c r="AD20" s="8">
        <v>0</v>
      </c>
      <c r="AE20" s="8">
        <v>0</v>
      </c>
      <c r="AF20" s="8">
        <v>0</v>
      </c>
      <c r="AG20" s="8">
        <v>0</v>
      </c>
      <c r="AH20" s="8">
        <f t="shared" si="10"/>
        <v>2985</v>
      </c>
      <c r="AS20">
        <f>4158.21</f>
        <v>4158.21</v>
      </c>
      <c r="AT20" s="25"/>
    </row>
    <row r="21" spans="1:46" x14ac:dyDescent="0.3">
      <c r="A21" s="2">
        <v>7</v>
      </c>
      <c r="B21" s="3" t="s">
        <v>8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8">
        <v>0</v>
      </c>
      <c r="T21" s="8">
        <v>0</v>
      </c>
      <c r="U21" s="8">
        <v>0</v>
      </c>
      <c r="V21" s="8">
        <v>0</v>
      </c>
      <c r="W21" s="8">
        <f>430+775</f>
        <v>1205</v>
      </c>
      <c r="X21" s="8">
        <v>815</v>
      </c>
      <c r="Y21" s="8">
        <v>0</v>
      </c>
      <c r="Z21" s="8">
        <v>600</v>
      </c>
      <c r="AA21" s="8">
        <v>110</v>
      </c>
      <c r="AB21" s="8">
        <v>0</v>
      </c>
      <c r="AC21" s="8">
        <v>0</v>
      </c>
      <c r="AD21" s="8">
        <v>0</v>
      </c>
      <c r="AE21" s="8">
        <v>0</v>
      </c>
      <c r="AF21" s="8">
        <v>0</v>
      </c>
      <c r="AG21" s="8">
        <v>0</v>
      </c>
      <c r="AH21" s="8">
        <f t="shared" si="10"/>
        <v>2730</v>
      </c>
    </row>
    <row r="22" spans="1:46" x14ac:dyDescent="0.3">
      <c r="AH22" s="9">
        <f>SUM(AH15:AH21)</f>
        <v>20055</v>
      </c>
    </row>
    <row r="23" spans="1:46" x14ac:dyDescent="0.3">
      <c r="A23" s="4"/>
      <c r="B23" s="13" t="s">
        <v>76</v>
      </c>
      <c r="C23" s="4" t="s">
        <v>11</v>
      </c>
      <c r="D23" s="4" t="s">
        <v>12</v>
      </c>
      <c r="E23" s="4" t="s">
        <v>13</v>
      </c>
      <c r="F23" s="4" t="s">
        <v>14</v>
      </c>
      <c r="G23" s="4" t="s">
        <v>15</v>
      </c>
      <c r="H23" s="4" t="s">
        <v>16</v>
      </c>
      <c r="I23" s="4" t="s">
        <v>17</v>
      </c>
      <c r="J23" s="4" t="s">
        <v>18</v>
      </c>
      <c r="K23" s="4" t="s">
        <v>19</v>
      </c>
      <c r="L23" s="4" t="s">
        <v>20</v>
      </c>
      <c r="M23" s="4" t="s">
        <v>21</v>
      </c>
      <c r="N23" s="4" t="s">
        <v>22</v>
      </c>
    </row>
    <row r="24" spans="1:46" x14ac:dyDescent="0.3">
      <c r="A24" s="2">
        <v>1</v>
      </c>
      <c r="B24" s="12" t="s">
        <v>4</v>
      </c>
      <c r="C24" s="8">
        <f>H34</f>
        <v>3142.8571428571427</v>
      </c>
      <c r="D24" s="8">
        <f>$D$31/7</f>
        <v>428.57142857142856</v>
      </c>
      <c r="E24" s="8">
        <f>$E$31/7</f>
        <v>0</v>
      </c>
      <c r="F24" s="8">
        <f>$F$31/7</f>
        <v>71.428571428571431</v>
      </c>
      <c r="G24" s="8">
        <f>$G$31/7</f>
        <v>139.28571428571428</v>
      </c>
      <c r="H24" s="8">
        <f>$H$31/7</f>
        <v>334.14285714285717</v>
      </c>
      <c r="I24" s="8">
        <f>$I$31/7</f>
        <v>244.28571428571428</v>
      </c>
      <c r="J24" s="8">
        <f>$J$31/7</f>
        <v>35.714285714285715</v>
      </c>
      <c r="K24" s="8">
        <f>$K$31/6</f>
        <v>0</v>
      </c>
      <c r="L24" s="8">
        <f>$L$31/7</f>
        <v>17.142857142857142</v>
      </c>
      <c r="M24" s="8">
        <f>$M$31/7</f>
        <v>0</v>
      </c>
      <c r="N24" s="8">
        <f t="shared" ref="N24:N30" si="11">SUM(C24:M24)</f>
        <v>4413.4285714285706</v>
      </c>
    </row>
    <row r="25" spans="1:46" x14ac:dyDescent="0.3">
      <c r="A25" s="2">
        <v>2</v>
      </c>
      <c r="B25" s="12" t="s">
        <v>5</v>
      </c>
      <c r="C25" s="8">
        <f>H35</f>
        <v>3142.8571428571427</v>
      </c>
      <c r="D25" s="8">
        <f t="shared" ref="D25:D30" si="12">$D$31/7</f>
        <v>428.57142857142856</v>
      </c>
      <c r="E25" s="8">
        <f>$E$31/7</f>
        <v>0</v>
      </c>
      <c r="F25" s="8">
        <f t="shared" ref="F25:F30" si="13">$F$31/7</f>
        <v>71.428571428571431</v>
      </c>
      <c r="G25" s="8">
        <f t="shared" ref="G25:G30" si="14">$G$31/7</f>
        <v>139.28571428571428</v>
      </c>
      <c r="H25" s="8">
        <f t="shared" ref="H25:H30" si="15">$H$31/7</f>
        <v>334.14285714285717</v>
      </c>
      <c r="I25" s="8">
        <f t="shared" ref="I25:I30" si="16">$I$31/7</f>
        <v>244.28571428571428</v>
      </c>
      <c r="J25" s="8">
        <f t="shared" ref="J25:J29" si="17">$J$31/7</f>
        <v>35.714285714285715</v>
      </c>
      <c r="K25" s="8">
        <f t="shared" ref="K25:K30" si="18">$K$31/6</f>
        <v>0</v>
      </c>
      <c r="L25" s="8">
        <f t="shared" ref="L25:L30" si="19">$L$31/7</f>
        <v>17.142857142857142</v>
      </c>
      <c r="M25" s="8">
        <f t="shared" ref="M25:M30" si="20">$M$31/7</f>
        <v>0</v>
      </c>
      <c r="N25" s="8">
        <f t="shared" si="11"/>
        <v>4413.4285714285706</v>
      </c>
    </row>
    <row r="26" spans="1:46" x14ac:dyDescent="0.3">
      <c r="A26" s="2">
        <v>3</v>
      </c>
      <c r="B26" s="12" t="s">
        <v>6</v>
      </c>
      <c r="C26" s="8">
        <f>H36</f>
        <v>1976.1904761904761</v>
      </c>
      <c r="D26" s="8">
        <f t="shared" si="12"/>
        <v>428.57142857142856</v>
      </c>
      <c r="E26" s="8">
        <f>$E$31/7</f>
        <v>0</v>
      </c>
      <c r="F26" s="8">
        <f t="shared" si="13"/>
        <v>71.428571428571431</v>
      </c>
      <c r="G26" s="8">
        <f t="shared" si="14"/>
        <v>139.28571428571428</v>
      </c>
      <c r="H26" s="8">
        <f t="shared" si="15"/>
        <v>334.14285714285717</v>
      </c>
      <c r="I26" s="8">
        <f t="shared" si="16"/>
        <v>244.28571428571428</v>
      </c>
      <c r="J26" s="8">
        <f t="shared" si="17"/>
        <v>35.714285714285715</v>
      </c>
      <c r="K26" s="8">
        <f t="shared" si="18"/>
        <v>0</v>
      </c>
      <c r="L26" s="8">
        <f t="shared" si="19"/>
        <v>17.142857142857142</v>
      </c>
      <c r="M26" s="8">
        <f t="shared" si="20"/>
        <v>0</v>
      </c>
      <c r="N26" s="8">
        <f t="shared" si="11"/>
        <v>3246.761904761905</v>
      </c>
    </row>
    <row r="27" spans="1:46" x14ac:dyDescent="0.3">
      <c r="A27" s="2">
        <v>4</v>
      </c>
      <c r="B27" s="12" t="s">
        <v>57</v>
      </c>
      <c r="C27" s="8">
        <f>H36</f>
        <v>1976.1904761904761</v>
      </c>
      <c r="D27" s="8">
        <f t="shared" si="12"/>
        <v>428.57142857142856</v>
      </c>
      <c r="E27" s="8">
        <f>$E$31/7</f>
        <v>0</v>
      </c>
      <c r="F27" s="8">
        <f t="shared" si="13"/>
        <v>71.428571428571431</v>
      </c>
      <c r="G27" s="8">
        <f t="shared" si="14"/>
        <v>139.28571428571428</v>
      </c>
      <c r="H27" s="8">
        <f t="shared" si="15"/>
        <v>334.14285714285717</v>
      </c>
      <c r="I27" s="8">
        <f t="shared" si="16"/>
        <v>244.28571428571428</v>
      </c>
      <c r="J27" s="8">
        <f t="shared" si="17"/>
        <v>35.714285714285715</v>
      </c>
      <c r="K27" s="8"/>
      <c r="L27" s="8">
        <f t="shared" si="19"/>
        <v>17.142857142857142</v>
      </c>
      <c r="M27" s="8">
        <f t="shared" si="20"/>
        <v>0</v>
      </c>
      <c r="N27" s="8">
        <f t="shared" si="11"/>
        <v>3246.761904761905</v>
      </c>
    </row>
    <row r="28" spans="1:46" x14ac:dyDescent="0.3">
      <c r="A28" s="2">
        <v>5</v>
      </c>
      <c r="B28" s="12" t="s">
        <v>51</v>
      </c>
      <c r="C28" s="8">
        <f>H36</f>
        <v>1976.1904761904761</v>
      </c>
      <c r="D28" s="8">
        <f t="shared" si="12"/>
        <v>428.57142857142856</v>
      </c>
      <c r="E28" s="8">
        <f t="shared" ref="E28:E30" si="21">$E$31/7</f>
        <v>0</v>
      </c>
      <c r="F28" s="8">
        <f t="shared" si="13"/>
        <v>71.428571428571431</v>
      </c>
      <c r="G28" s="8">
        <f t="shared" si="14"/>
        <v>139.28571428571428</v>
      </c>
      <c r="H28" s="8">
        <f t="shared" si="15"/>
        <v>334.14285714285717</v>
      </c>
      <c r="I28" s="8">
        <f t="shared" si="16"/>
        <v>244.28571428571428</v>
      </c>
      <c r="J28" s="8">
        <f t="shared" si="17"/>
        <v>35.714285714285715</v>
      </c>
      <c r="K28" s="8">
        <f t="shared" si="18"/>
        <v>0</v>
      </c>
      <c r="L28" s="8">
        <f t="shared" si="19"/>
        <v>17.142857142857142</v>
      </c>
      <c r="M28" s="8">
        <f t="shared" si="20"/>
        <v>0</v>
      </c>
      <c r="N28" s="8">
        <f t="shared" si="11"/>
        <v>3246.761904761905</v>
      </c>
    </row>
    <row r="29" spans="1:46" x14ac:dyDescent="0.3">
      <c r="A29" s="2">
        <v>6</v>
      </c>
      <c r="B29" s="12" t="s">
        <v>7</v>
      </c>
      <c r="C29" s="8">
        <f>H35</f>
        <v>3142.8571428571427</v>
      </c>
      <c r="D29" s="8">
        <f t="shared" si="12"/>
        <v>428.57142857142856</v>
      </c>
      <c r="E29" s="8">
        <f t="shared" si="21"/>
        <v>0</v>
      </c>
      <c r="F29" s="8">
        <f t="shared" si="13"/>
        <v>71.428571428571431</v>
      </c>
      <c r="G29" s="8">
        <f t="shared" si="14"/>
        <v>139.28571428571428</v>
      </c>
      <c r="H29" s="8">
        <f t="shared" si="15"/>
        <v>334.14285714285717</v>
      </c>
      <c r="I29" s="8">
        <f t="shared" si="16"/>
        <v>244.28571428571428</v>
      </c>
      <c r="J29" s="8">
        <f t="shared" si="17"/>
        <v>35.714285714285715</v>
      </c>
      <c r="K29" s="8">
        <f t="shared" si="18"/>
        <v>0</v>
      </c>
      <c r="L29" s="8">
        <f t="shared" si="19"/>
        <v>17.142857142857142</v>
      </c>
      <c r="M29" s="8">
        <f t="shared" si="20"/>
        <v>0</v>
      </c>
      <c r="N29" s="8">
        <f t="shared" si="11"/>
        <v>4413.4285714285706</v>
      </c>
    </row>
    <row r="30" spans="1:46" x14ac:dyDescent="0.3">
      <c r="A30" s="2">
        <v>7</v>
      </c>
      <c r="B30" s="12" t="s">
        <v>8</v>
      </c>
      <c r="C30" s="8">
        <f>H35</f>
        <v>3142.8571428571427</v>
      </c>
      <c r="D30" s="8">
        <f t="shared" si="12"/>
        <v>428.57142857142856</v>
      </c>
      <c r="E30" s="8">
        <f t="shared" si="21"/>
        <v>0</v>
      </c>
      <c r="F30" s="8">
        <f t="shared" si="13"/>
        <v>71.428571428571431</v>
      </c>
      <c r="G30" s="8">
        <f t="shared" si="14"/>
        <v>139.28571428571428</v>
      </c>
      <c r="H30" s="8">
        <f t="shared" si="15"/>
        <v>334.14285714285717</v>
      </c>
      <c r="I30" s="8">
        <f t="shared" si="16"/>
        <v>244.28571428571428</v>
      </c>
      <c r="J30" s="8">
        <f>$J$31/7</f>
        <v>35.714285714285715</v>
      </c>
      <c r="K30" s="8">
        <f t="shared" si="18"/>
        <v>0</v>
      </c>
      <c r="L30" s="8">
        <f t="shared" si="19"/>
        <v>17.142857142857142</v>
      </c>
      <c r="M30" s="8">
        <f t="shared" si="20"/>
        <v>0</v>
      </c>
      <c r="N30" s="8">
        <f t="shared" si="11"/>
        <v>4413.4285714285706</v>
      </c>
    </row>
    <row r="31" spans="1:46" x14ac:dyDescent="0.3">
      <c r="C31" s="8">
        <f>SUM(C24:C30)</f>
        <v>18500</v>
      </c>
      <c r="D31" s="40">
        <v>3000</v>
      </c>
      <c r="E31" s="8"/>
      <c r="F31" s="8">
        <f>500</f>
        <v>500</v>
      </c>
      <c r="G31" s="8">
        <f>975</f>
        <v>975</v>
      </c>
      <c r="H31" s="14">
        <v>2339</v>
      </c>
      <c r="I31" s="14">
        <v>1710</v>
      </c>
      <c r="J31" s="8">
        <f>250</f>
        <v>250</v>
      </c>
      <c r="K31" s="8">
        <f>0</f>
        <v>0</v>
      </c>
      <c r="L31" s="8">
        <f>120</f>
        <v>120</v>
      </c>
      <c r="M31" s="8"/>
      <c r="N31" s="8">
        <f>SUM(N24:N30)</f>
        <v>27394</v>
      </c>
      <c r="O31" s="9">
        <f>O38+O46</f>
        <v>27394</v>
      </c>
      <c r="P31" s="9">
        <f>N31-O31</f>
        <v>0</v>
      </c>
    </row>
    <row r="33" spans="4:16" x14ac:dyDescent="0.3">
      <c r="N33" t="s">
        <v>61</v>
      </c>
      <c r="O33" s="9">
        <f>C31</f>
        <v>18500</v>
      </c>
    </row>
    <row r="34" spans="4:16" x14ac:dyDescent="0.3">
      <c r="D34" s="1">
        <v>6000</v>
      </c>
      <c r="E34" s="1">
        <v>2</v>
      </c>
      <c r="F34" s="1">
        <f>D34/E34</f>
        <v>3000</v>
      </c>
      <c r="G34" s="1">
        <f>(500+500)/7</f>
        <v>142.85714285714286</v>
      </c>
      <c r="H34" s="11">
        <f>F34+G34</f>
        <v>3142.8571428571427</v>
      </c>
      <c r="I34" s="11">
        <f>H34*E34</f>
        <v>6285.7142857142853</v>
      </c>
      <c r="N34" t="s">
        <v>71</v>
      </c>
      <c r="O34" s="9">
        <f>G31</f>
        <v>975</v>
      </c>
    </row>
    <row r="35" spans="4:16" x14ac:dyDescent="0.3">
      <c r="D35" s="1">
        <v>6000</v>
      </c>
      <c r="E35" s="1">
        <v>2</v>
      </c>
      <c r="F35" s="1">
        <f t="shared" ref="F35:F36" si="22">D35/E35</f>
        <v>3000</v>
      </c>
      <c r="G35" s="1">
        <f t="shared" ref="G35:G36" si="23">(500+500)/7</f>
        <v>142.85714285714286</v>
      </c>
      <c r="H35" s="11">
        <f t="shared" ref="H35" si="24">F35+G35</f>
        <v>3142.8571428571427</v>
      </c>
      <c r="I35" s="11">
        <f t="shared" ref="I35:I36" si="25">H35*E35</f>
        <v>6285.7142857142853</v>
      </c>
      <c r="N35" t="s">
        <v>72</v>
      </c>
      <c r="O35" s="9">
        <f>I31</f>
        <v>1710</v>
      </c>
    </row>
    <row r="36" spans="4:16" x14ac:dyDescent="0.3">
      <c r="D36" s="1">
        <v>5500</v>
      </c>
      <c r="E36" s="1">
        <v>3</v>
      </c>
      <c r="F36" s="11">
        <f t="shared" si="22"/>
        <v>1833.3333333333333</v>
      </c>
      <c r="G36" s="1">
        <f t="shared" si="23"/>
        <v>142.85714285714286</v>
      </c>
      <c r="H36" s="11">
        <f>F36+G36</f>
        <v>1976.1904761904761</v>
      </c>
      <c r="I36" s="11">
        <f t="shared" si="25"/>
        <v>5928.5714285714284</v>
      </c>
      <c r="N36" t="s">
        <v>73</v>
      </c>
      <c r="O36" s="9">
        <f>H31</f>
        <v>2339</v>
      </c>
    </row>
    <row r="37" spans="4:16" x14ac:dyDescent="0.3">
      <c r="D37" s="1">
        <f>SUM(D34:D36)</f>
        <v>17500</v>
      </c>
      <c r="E37" s="1"/>
      <c r="F37" s="1"/>
      <c r="G37" s="1"/>
      <c r="H37" s="1"/>
      <c r="I37" s="11">
        <f>SUM(I34:I36)</f>
        <v>18500</v>
      </c>
      <c r="N37" t="s">
        <v>74</v>
      </c>
      <c r="O37" s="9">
        <f>J31</f>
        <v>250</v>
      </c>
    </row>
    <row r="38" spans="4:16" x14ac:dyDescent="0.3">
      <c r="O38" s="9">
        <f>SUM(O33:O37)</f>
        <v>23774</v>
      </c>
    </row>
    <row r="40" spans="4:16" x14ac:dyDescent="0.3">
      <c r="P40" s="9">
        <f>O38+O46</f>
        <v>27394</v>
      </c>
    </row>
    <row r="41" spans="4:16" x14ac:dyDescent="0.3">
      <c r="N41" t="s">
        <v>12</v>
      </c>
      <c r="O41" s="9">
        <f>D31</f>
        <v>3000</v>
      </c>
    </row>
    <row r="42" spans="4:16" x14ac:dyDescent="0.3">
      <c r="N42" t="s">
        <v>13</v>
      </c>
      <c r="O42" s="9">
        <f>E31</f>
        <v>0</v>
      </c>
    </row>
    <row r="43" spans="4:16" x14ac:dyDescent="0.3">
      <c r="N43" t="s">
        <v>14</v>
      </c>
      <c r="O43" s="9">
        <f>F31</f>
        <v>500</v>
      </c>
    </row>
    <row r="44" spans="4:16" x14ac:dyDescent="0.3">
      <c r="N44" t="s">
        <v>20</v>
      </c>
      <c r="O44" s="9">
        <f>L31</f>
        <v>120</v>
      </c>
    </row>
    <row r="45" spans="4:16" x14ac:dyDescent="0.3">
      <c r="N45" t="s">
        <v>21</v>
      </c>
      <c r="O45" s="9">
        <f>M31</f>
        <v>0</v>
      </c>
    </row>
    <row r="46" spans="4:16" x14ac:dyDescent="0.3">
      <c r="O46" s="9">
        <f>SUM(O41:O45)</f>
        <v>3620</v>
      </c>
    </row>
  </sheetData>
  <mergeCells count="2">
    <mergeCell ref="C1:D2"/>
    <mergeCell ref="E1:F2"/>
  </mergeCells>
  <pageMargins left="0.7" right="0.7" top="0.75" bottom="0.75" header="0.3" footer="0.3"/>
  <pageSetup orientation="portrait" horizontalDpi="1200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24</vt:i4>
      </vt:variant>
      <vt:variant>
        <vt:lpstr>Named Ranges</vt:lpstr>
      </vt:variant>
      <vt:variant>
        <vt:i4>1</vt:i4>
      </vt:variant>
    </vt:vector>
  </HeadingPairs>
  <TitlesOfParts>
    <vt:vector size="25" baseType="lpstr">
      <vt:lpstr>Advance</vt:lpstr>
      <vt:lpstr>Meal Nov'20 &amp; Rent December'20</vt:lpstr>
      <vt:lpstr>Meal Dec'20 &amp; Rent January'21</vt:lpstr>
      <vt:lpstr>Meal Jan'21 &amp; Rent February</vt:lpstr>
      <vt:lpstr>Meal Feb'21 &amp; Rent March</vt:lpstr>
      <vt:lpstr>Meal Mar'21 &amp; Rent April</vt:lpstr>
      <vt:lpstr>Meal April'21 &amp; Rent May (2)</vt:lpstr>
      <vt:lpstr>Iftar accounts-2021</vt:lpstr>
      <vt:lpstr>Meal May'21 &amp; Rent June 2021</vt:lpstr>
      <vt:lpstr>Meal June'21 &amp; Rent July 2021</vt:lpstr>
      <vt:lpstr>Meal July'21 &amp; Rent Augut</vt:lpstr>
      <vt:lpstr>Meal August'21 &amp; Rent Sept 21</vt:lpstr>
      <vt:lpstr>Meal August'21 &amp; Rent Sept  (2)</vt:lpstr>
      <vt:lpstr>Meal Septem'21 &amp; Rent October</vt:lpstr>
      <vt:lpstr>Meal October'21 &amp; Rent November</vt:lpstr>
      <vt:lpstr>Meal Nov'21 &amp; Rent Dec'21</vt:lpstr>
      <vt:lpstr>Meal Dec'21 &amp; Rent Jan'22</vt:lpstr>
      <vt:lpstr>Meal Dec'21 &amp; Rent Jan'22 v2</vt:lpstr>
      <vt:lpstr>Meal Jan'22 &amp; Rent Feb'22 </vt:lpstr>
      <vt:lpstr>Meal Feb 22 &amp; Rent Mar 22</vt:lpstr>
      <vt:lpstr>Meal Mar 22 &amp; Rent April 22</vt:lpstr>
      <vt:lpstr>Adjustment</vt:lpstr>
      <vt:lpstr>Adjustment (2)</vt:lpstr>
      <vt:lpstr>Meal June'21 &amp; Rent July 20 (2)</vt:lpstr>
      <vt:lpstr>Advance!Print_Area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MD. Abdul Latif</dc:creator>
  <cp:lastModifiedBy>Ahmed, Saklayen</cp:lastModifiedBy>
  <dcterms:created xsi:type="dcterms:W3CDTF">2015-06-05T18:17:20Z</dcterms:created>
  <dcterms:modified xsi:type="dcterms:W3CDTF">2022-04-14T09:58:04Z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2021-08-11T10:12:50Z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66ec9df0-30cd-45c2-a4dd-0859694bda7a</vt:lpwstr>
  </property>
  <property fmtid="{D5CDD505-2E9C-101B-9397-08002B2CF9AE}" pid="8" name="MSIP_Label_ea60d57e-af5b-4752-ac57-3e4f28ca11dc_ContentBits">
    <vt:lpwstr>0</vt:lpwstr>
  </property>
</Properties>
</file>