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hreadedComments/threadedComment2.xml" ContentType="application/vnd.ms-excel.threadedcomments+xml"/>
  <Override PartName="/xl/comments11.xml" ContentType="application/vnd.openxmlformats-officedocument.spreadsheetml.comments+xml"/>
  <Override PartName="/xl/threadedComments/threadedComment3.xml" ContentType="application/vnd.ms-excel.threadedcomments+xml"/>
  <Override PartName="/xl/comments12.xml" ContentType="application/vnd.openxmlformats-officedocument.spreadsheetml.comments+xml"/>
  <Override PartName="/xl/threadedComments/threadedComment4.xml" ContentType="application/vnd.ms-excel.threadedcomments+xml"/>
  <Override PartName="/xl/comments13.xml" ContentType="application/vnd.openxmlformats-officedocument.spreadsheetml.comments+xml"/>
  <Override PartName="/xl/threadedComments/threadedComment5.xml" ContentType="application/vnd.ms-excel.threadedcomments+xml"/>
  <Override PartName="/xl/comments14.xml" ContentType="application/vnd.openxmlformats-officedocument.spreadsheetml.comments+xml"/>
  <Override PartName="/xl/threadedComments/threadedComment6.xml" ContentType="application/vnd.ms-excel.threadedcomments+xml"/>
  <Override PartName="/xl/comments15.xml" ContentType="application/vnd.openxmlformats-officedocument.spreadsheetml.comments+xml"/>
  <Override PartName="/xl/threadedComments/threadedComment7.xml" ContentType="application/vnd.ms-excel.threadedcomments+xml"/>
  <Override PartName="/xl/comments16.xml" ContentType="application/vnd.openxmlformats-officedocument.spreadsheetml.comments+xml"/>
  <Override PartName="/xl/threadedComments/threadedComment8.xml" ContentType="application/vnd.ms-excel.threadedcomments+xml"/>
  <Override PartName="/xl/comments17.xml" ContentType="application/vnd.openxmlformats-officedocument.spreadsheetml.comments+xml"/>
  <Override PartName="/xl/threadedComments/threadedComment9.xml" ContentType="application/vnd.ms-excel.threadedcomments+xml"/>
  <Override PartName="/xl/comments18.xml" ContentType="application/vnd.openxmlformats-officedocument.spreadsheetml.comments+xml"/>
  <Override PartName="/xl/threadedComments/threadedComment10.xml" ContentType="application/vnd.ms-excel.threadedcomments+xml"/>
  <Override PartName="/xl/comments19.xml" ContentType="application/vnd.openxmlformats-officedocument.spreadsheetml.comments+xml"/>
  <Override PartName="/xl/threadedComments/threadedComment11.xml" ContentType="application/vnd.ms-excel.threadedcomments+xml"/>
  <Override PartName="/xl/comments20.xml" ContentType="application/vnd.openxmlformats-officedocument.spreadsheetml.comments+xml"/>
  <Override PartName="/xl/threadedComments/threadedComment12.xml" ContentType="application/vnd.ms-excel.threadedcomments+xml"/>
  <Override PartName="/xl/drawings/drawing1.xml" ContentType="application/vnd.openxmlformats-officedocument.drawing+xml"/>
  <Override PartName="/xl/comments2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klayen\Documents\App\MyPlace\Personal\"/>
    </mc:Choice>
  </mc:AlternateContent>
  <xr:revisionPtr revIDLastSave="0" documentId="13_ncr:1_{99C944C5-7C73-4A26-A403-4B999A1DE8B5}" xr6:coauthVersionLast="47" xr6:coauthVersionMax="47" xr10:uidLastSave="{00000000-0000-0000-0000-000000000000}"/>
  <bookViews>
    <workbookView xWindow="-108" yWindow="-108" windowWidth="23256" windowHeight="12576" firstSheet="24" activeTab="25" xr2:uid="{00000000-000D-0000-FFFF-FFFF00000000}"/>
  </bookViews>
  <sheets>
    <sheet name="Advance" sheetId="2" r:id="rId1"/>
    <sheet name="Meal Nov'20 &amp; Rent December'20" sheetId="1" r:id="rId2"/>
    <sheet name="Meal Dec'20 &amp; Rent January'21" sheetId="3" r:id="rId3"/>
    <sheet name="Meal Jan'21 &amp; Rent February" sheetId="4" r:id="rId4"/>
    <sheet name="Meal Feb'21 &amp; Rent March" sheetId="5" r:id="rId5"/>
    <sheet name="Meal Mar'21 &amp; Rent April" sheetId="6" r:id="rId6"/>
    <sheet name="Meal April'21 &amp; Rent May (2)" sheetId="7" r:id="rId7"/>
    <sheet name="Iftar accounts-2021" sheetId="8" r:id="rId8"/>
    <sheet name="Meal May'21 &amp; Rent June 2021" sheetId="9" r:id="rId9"/>
    <sheet name="Meal June'21 &amp; Rent July 2021" sheetId="10" r:id="rId10"/>
    <sheet name="Meal July'21 &amp; Rent Augut" sheetId="13" r:id="rId11"/>
    <sheet name="Meal August'21 &amp; Rent Sept 21" sheetId="12" r:id="rId12"/>
    <sheet name="Meal August'21 &amp; Rent Sept  (2)" sheetId="14" state="hidden" r:id="rId13"/>
    <sheet name="Meal Septem'21 &amp; Rent October" sheetId="15" r:id="rId14"/>
    <sheet name="Meal October'21 &amp; Rent November" sheetId="20" r:id="rId15"/>
    <sheet name="Meal Nov'21 &amp; Rent Dec'21" sheetId="21" r:id="rId16"/>
    <sheet name="Meal Dec'21 &amp; Rent Jan'22" sheetId="22" r:id="rId17"/>
    <sheet name="Meal Dec'21 &amp; Rent Jan'22 v2" sheetId="23" r:id="rId18"/>
    <sheet name="Meal Jan'22 &amp; Rent Feb'22 " sheetId="24" r:id="rId19"/>
    <sheet name="Meal Feb 22 &amp; Rent Mar 22" sheetId="25" r:id="rId20"/>
    <sheet name="Meal Mar 22 &amp; Rent April 22" sheetId="26" r:id="rId21"/>
    <sheet name="Meal Apr 22 &amp; Rent May 22" sheetId="27" r:id="rId22"/>
    <sheet name="Meal Apr 22 (Iftar)" sheetId="28" r:id="rId23"/>
    <sheet name="Meal May 22 &amp; Rent June 22" sheetId="29" r:id="rId24"/>
    <sheet name="Meal June 22 &amp; Rent July 22" sheetId="31" r:id="rId25"/>
    <sheet name="Meal July 22 &amp; Rent Aug 22" sheetId="33" r:id="rId26"/>
    <sheet name="Adjustment" sheetId="16" r:id="rId27"/>
    <sheet name="Adjustment (2)" sheetId="17" r:id="rId28"/>
    <sheet name="Print" sheetId="30" r:id="rId29"/>
    <sheet name="Correction" sheetId="32" r:id="rId30"/>
    <sheet name="Meal June'21 &amp; Rent July 20 (2)" sheetId="11" state="hidden" r:id="rId31"/>
  </sheets>
  <definedNames>
    <definedName name="_xlnm.Print_Area" localSheetId="0">Advance!$A$1:$F$21</definedName>
    <definedName name="_xlnm.Print_Area" localSheetId="29">Correction!$A:$T</definedName>
    <definedName name="_xlnm.Print_Area" localSheetId="21">'Meal Apr 22 &amp; Rent May 22'!$AJ$4:$AZ$12</definedName>
    <definedName name="_xlnm.Print_Area" localSheetId="28">Print!$B$4:$M$16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0" i="33" l="1"/>
  <c r="AQ7" i="33"/>
  <c r="AR7" i="33" s="1"/>
  <c r="AU7" i="33" s="1"/>
  <c r="AV15" i="31"/>
  <c r="BC15" i="31"/>
  <c r="AS12" i="33"/>
  <c r="AQ11" i="33"/>
  <c r="AQ9" i="33"/>
  <c r="AQ8" i="33"/>
  <c r="AQ6" i="33"/>
  <c r="AQ5" i="33"/>
  <c r="N47" i="33"/>
  <c r="N46" i="33"/>
  <c r="N43" i="33"/>
  <c r="N42" i="33"/>
  <c r="N38" i="33"/>
  <c r="D38" i="33"/>
  <c r="N37" i="33"/>
  <c r="G37" i="33"/>
  <c r="F37" i="33"/>
  <c r="N36" i="33"/>
  <c r="G36" i="33"/>
  <c r="F36" i="33"/>
  <c r="H36" i="33" s="1"/>
  <c r="G35" i="33"/>
  <c r="F35" i="33"/>
  <c r="L32" i="33"/>
  <c r="L29" i="33" s="1"/>
  <c r="J32" i="33"/>
  <c r="J28" i="33" s="1"/>
  <c r="F32" i="33"/>
  <c r="F29" i="33" s="1"/>
  <c r="M31" i="33"/>
  <c r="K31" i="33"/>
  <c r="I31" i="33"/>
  <c r="H31" i="33"/>
  <c r="G31" i="33"/>
  <c r="D31" i="33"/>
  <c r="M30" i="33"/>
  <c r="K30" i="33"/>
  <c r="I30" i="33"/>
  <c r="H30" i="33"/>
  <c r="G30" i="33"/>
  <c r="D30" i="33"/>
  <c r="M29" i="33"/>
  <c r="K29" i="33"/>
  <c r="I29" i="33"/>
  <c r="H29" i="33"/>
  <c r="G29" i="33"/>
  <c r="E29" i="33"/>
  <c r="D29" i="33"/>
  <c r="M28" i="33"/>
  <c r="K28" i="33"/>
  <c r="I28" i="33"/>
  <c r="H28" i="33"/>
  <c r="G28" i="33"/>
  <c r="E28" i="33"/>
  <c r="D28" i="33"/>
  <c r="M27" i="33"/>
  <c r="K27" i="33"/>
  <c r="I27" i="33"/>
  <c r="H27" i="33"/>
  <c r="G27" i="33"/>
  <c r="E27" i="33"/>
  <c r="D27" i="33"/>
  <c r="M26" i="33"/>
  <c r="K26" i="33"/>
  <c r="I26" i="33"/>
  <c r="H26" i="33"/>
  <c r="G26" i="33"/>
  <c r="E26" i="33"/>
  <c r="D26" i="33"/>
  <c r="M25" i="33"/>
  <c r="K25" i="33"/>
  <c r="I25" i="33"/>
  <c r="H25" i="33"/>
  <c r="G25" i="33"/>
  <c r="E25" i="33"/>
  <c r="D25" i="33"/>
  <c r="AH21" i="33"/>
  <c r="AM11" i="33" s="1"/>
  <c r="AH20" i="33"/>
  <c r="AM10" i="33" s="1"/>
  <c r="AH19" i="33"/>
  <c r="AH18" i="33"/>
  <c r="AH17" i="33"/>
  <c r="AM7" i="33" s="1"/>
  <c r="AH16" i="33"/>
  <c r="AM6" i="33" s="1"/>
  <c r="AH15" i="33"/>
  <c r="AM5" i="33" s="1"/>
  <c r="AV12" i="33"/>
  <c r="AV15" i="33" s="1"/>
  <c r="AG12" i="33"/>
  <c r="AF12" i="33"/>
  <c r="AE12" i="33"/>
  <c r="AD12" i="33"/>
  <c r="AC12" i="33"/>
  <c r="AB12" i="33"/>
  <c r="AA12" i="33"/>
  <c r="Z12" i="33"/>
  <c r="Y12" i="33"/>
  <c r="X12" i="33"/>
  <c r="W12" i="33"/>
  <c r="V12" i="33"/>
  <c r="U12" i="33"/>
  <c r="T12" i="33"/>
  <c r="S12" i="33"/>
  <c r="R12" i="33"/>
  <c r="Q12" i="33"/>
  <c r="P12" i="33"/>
  <c r="O12" i="33"/>
  <c r="N12" i="33"/>
  <c r="M12" i="33"/>
  <c r="L12" i="33"/>
  <c r="K12" i="33"/>
  <c r="J12" i="33"/>
  <c r="I12" i="33"/>
  <c r="H12" i="33"/>
  <c r="G12" i="33"/>
  <c r="F12" i="33"/>
  <c r="E12" i="33"/>
  <c r="D12" i="33"/>
  <c r="C12" i="33"/>
  <c r="AH11" i="33"/>
  <c r="AH10" i="33"/>
  <c r="AM9" i="33"/>
  <c r="AH9" i="33"/>
  <c r="AM8" i="33"/>
  <c r="AH8" i="33"/>
  <c r="AH7" i="33"/>
  <c r="AH6" i="33"/>
  <c r="AH5" i="33"/>
  <c r="AX17" i="31"/>
  <c r="AW6" i="31"/>
  <c r="AU6" i="31"/>
  <c r="AU9" i="31"/>
  <c r="AV9" i="31"/>
  <c r="AW9" i="31"/>
  <c r="BC10" i="31"/>
  <c r="AW7" i="31"/>
  <c r="AW5" i="31"/>
  <c r="AW4" i="31"/>
  <c r="AU7" i="31"/>
  <c r="AU5" i="31"/>
  <c r="AU4" i="31"/>
  <c r="L31" i="31"/>
  <c r="AX14" i="31"/>
  <c r="AU8" i="31"/>
  <c r="F29" i="31"/>
  <c r="F30" i="31"/>
  <c r="AU6" i="29"/>
  <c r="H37" i="33" l="1"/>
  <c r="L28" i="33"/>
  <c r="AQ12" i="33"/>
  <c r="AL22" i="33" s="1"/>
  <c r="AL23" i="33" s="1"/>
  <c r="F25" i="33"/>
  <c r="F26" i="33"/>
  <c r="F27" i="33"/>
  <c r="F30" i="33"/>
  <c r="F28" i="33"/>
  <c r="J31" i="33"/>
  <c r="L26" i="33"/>
  <c r="J27" i="33"/>
  <c r="J30" i="33"/>
  <c r="AH22" i="33"/>
  <c r="N44" i="33"/>
  <c r="AH12" i="33"/>
  <c r="F31" i="33"/>
  <c r="H35" i="33"/>
  <c r="C26" i="33" s="1"/>
  <c r="C29" i="33"/>
  <c r="C27" i="33"/>
  <c r="I36" i="33"/>
  <c r="C28" i="33"/>
  <c r="N28" i="33" s="1"/>
  <c r="AO8" i="33" s="1"/>
  <c r="C31" i="33"/>
  <c r="I37" i="33"/>
  <c r="C30" i="33"/>
  <c r="I35" i="33"/>
  <c r="AM12" i="33"/>
  <c r="L30" i="33"/>
  <c r="J25" i="33"/>
  <c r="N45" i="33"/>
  <c r="J29" i="33"/>
  <c r="L31" i="33"/>
  <c r="L25" i="33"/>
  <c r="L27" i="33"/>
  <c r="N39" i="33"/>
  <c r="J26" i="33"/>
  <c r="O46" i="31"/>
  <c r="O45" i="31"/>
  <c r="O44" i="31"/>
  <c r="O43" i="31"/>
  <c r="O42" i="31"/>
  <c r="O41" i="31"/>
  <c r="O38" i="31"/>
  <c r="O37" i="31"/>
  <c r="E37" i="31"/>
  <c r="O36" i="31"/>
  <c r="H36" i="31"/>
  <c r="G36" i="31"/>
  <c r="I36" i="31" s="1"/>
  <c r="O35" i="31"/>
  <c r="H35" i="31"/>
  <c r="I35" i="31" s="1"/>
  <c r="D27" i="31" s="1"/>
  <c r="G35" i="31"/>
  <c r="O34" i="31"/>
  <c r="H34" i="31"/>
  <c r="G34" i="31"/>
  <c r="I34" i="31" s="1"/>
  <c r="D24" i="31" s="1"/>
  <c r="N30" i="31"/>
  <c r="M30" i="31"/>
  <c r="L30" i="31"/>
  <c r="K30" i="31"/>
  <c r="J30" i="31"/>
  <c r="I30" i="31"/>
  <c r="H30" i="31"/>
  <c r="G30" i="31"/>
  <c r="E30" i="31"/>
  <c r="O30" i="31" s="1"/>
  <c r="N29" i="31"/>
  <c r="M29" i="31"/>
  <c r="L29" i="31"/>
  <c r="K29" i="31"/>
  <c r="J29" i="31"/>
  <c r="I29" i="31"/>
  <c r="H29" i="31"/>
  <c r="G29" i="31"/>
  <c r="E29" i="31"/>
  <c r="N28" i="31"/>
  <c r="M28" i="31"/>
  <c r="L28" i="31"/>
  <c r="K28" i="31"/>
  <c r="J28" i="31"/>
  <c r="I28" i="31"/>
  <c r="H28" i="31"/>
  <c r="G28" i="31"/>
  <c r="F28" i="31"/>
  <c r="E28" i="31"/>
  <c r="N27" i="31"/>
  <c r="M27" i="31"/>
  <c r="L27" i="31"/>
  <c r="K27" i="31"/>
  <c r="J27" i="31"/>
  <c r="I27" i="31"/>
  <c r="H27" i="31"/>
  <c r="G27" i="31"/>
  <c r="F27" i="31"/>
  <c r="E27" i="31"/>
  <c r="N26" i="31"/>
  <c r="M26" i="31"/>
  <c r="L26" i="31"/>
  <c r="K26" i="31"/>
  <c r="J26" i="31"/>
  <c r="I26" i="31"/>
  <c r="H26" i="31"/>
  <c r="G26" i="31"/>
  <c r="F26" i="31"/>
  <c r="E26" i="31"/>
  <c r="N25" i="31"/>
  <c r="M25" i="31"/>
  <c r="L25" i="31"/>
  <c r="K25" i="31"/>
  <c r="J25" i="31"/>
  <c r="I25" i="31"/>
  <c r="H25" i="31"/>
  <c r="G25" i="31"/>
  <c r="F25" i="31"/>
  <c r="E25" i="31"/>
  <c r="N24" i="31"/>
  <c r="M24" i="31"/>
  <c r="L24" i="31"/>
  <c r="K24" i="31"/>
  <c r="J24" i="31"/>
  <c r="I24" i="31"/>
  <c r="H24" i="31"/>
  <c r="G24" i="31"/>
  <c r="F24" i="31"/>
  <c r="E24" i="31"/>
  <c r="AI20" i="31"/>
  <c r="AO10" i="31" s="1"/>
  <c r="AI19" i="31"/>
  <c r="AO9" i="31" s="1"/>
  <c r="AI18" i="31"/>
  <c r="AO8" i="31" s="1"/>
  <c r="AU17" i="31"/>
  <c r="AI17" i="31"/>
  <c r="AI16" i="31"/>
  <c r="AI15" i="31"/>
  <c r="AI14" i="31"/>
  <c r="E13" i="31"/>
  <c r="B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Y10" i="31"/>
  <c r="AI10" i="31"/>
  <c r="AN10" i="31" s="1"/>
  <c r="AY9" i="31"/>
  <c r="AI9" i="31"/>
  <c r="AN9" i="31" s="1"/>
  <c r="AY8" i="31"/>
  <c r="AI8" i="31"/>
  <c r="AY7" i="31"/>
  <c r="AW11" i="31"/>
  <c r="AO7" i="31"/>
  <c r="AI7" i="31"/>
  <c r="AY6" i="31"/>
  <c r="AI6" i="31"/>
  <c r="AN6" i="31" s="1"/>
  <c r="AY5" i="31"/>
  <c r="AO5" i="31"/>
  <c r="AI5" i="31"/>
  <c r="AN5" i="31" s="1"/>
  <c r="AY4" i="31"/>
  <c r="AO4" i="31"/>
  <c r="AI4" i="31"/>
  <c r="AU9" i="29"/>
  <c r="AU8" i="29"/>
  <c r="BD12" i="29"/>
  <c r="BA13" i="27"/>
  <c r="BB14" i="27"/>
  <c r="AU10" i="29"/>
  <c r="AU7" i="29"/>
  <c r="AW9" i="29"/>
  <c r="AU5" i="29"/>
  <c r="AW7" i="29"/>
  <c r="AW6" i="29"/>
  <c r="AU4" i="29"/>
  <c r="AN11" i="29"/>
  <c r="AN10" i="29"/>
  <c r="AN9" i="29"/>
  <c r="AN8" i="29"/>
  <c r="AN7" i="29"/>
  <c r="AN6" i="29"/>
  <c r="AN5" i="29"/>
  <c r="AN4" i="29"/>
  <c r="AY4" i="29"/>
  <c r="AY10" i="29"/>
  <c r="AY9" i="29"/>
  <c r="AY8" i="29"/>
  <c r="AY7" i="29"/>
  <c r="AY6" i="29"/>
  <c r="AY5" i="29"/>
  <c r="E13" i="29"/>
  <c r="C25" i="33" l="1"/>
  <c r="N30" i="33"/>
  <c r="AO10" i="33" s="1"/>
  <c r="N48" i="33"/>
  <c r="E1" i="33"/>
  <c r="AL7" i="33" s="1"/>
  <c r="AN7" i="33" s="1"/>
  <c r="N29" i="33"/>
  <c r="AO9" i="33" s="1"/>
  <c r="N31" i="33"/>
  <c r="AO11" i="33" s="1"/>
  <c r="AL6" i="33"/>
  <c r="AN6" i="33" s="1"/>
  <c r="AL9" i="33"/>
  <c r="AN9" i="33" s="1"/>
  <c r="N27" i="33"/>
  <c r="AO7" i="33" s="1"/>
  <c r="N26" i="33"/>
  <c r="AO6" i="33" s="1"/>
  <c r="AL5" i="33"/>
  <c r="AL10" i="33"/>
  <c r="AN10" i="33" s="1"/>
  <c r="AP10" i="33" s="1"/>
  <c r="AR10" i="33" s="1"/>
  <c r="AU10" i="33" s="1"/>
  <c r="C32" i="33"/>
  <c r="N35" i="33" s="1"/>
  <c r="N40" i="33" s="1"/>
  <c r="N50" i="33" s="1"/>
  <c r="N25" i="33"/>
  <c r="I38" i="33"/>
  <c r="O47" i="31"/>
  <c r="O27" i="31"/>
  <c r="AQ7" i="31" s="1"/>
  <c r="O39" i="31"/>
  <c r="O24" i="31"/>
  <c r="AQ4" i="31" s="1"/>
  <c r="AI21" i="31"/>
  <c r="AY11" i="31"/>
  <c r="AI11" i="31"/>
  <c r="AN4" i="31"/>
  <c r="D30" i="31"/>
  <c r="AQ10" i="31" s="1"/>
  <c r="D29" i="31"/>
  <c r="J36" i="31"/>
  <c r="AN7" i="31"/>
  <c r="AU11" i="31"/>
  <c r="D26" i="31"/>
  <c r="O26" i="31" s="1"/>
  <c r="AQ6" i="31" s="1"/>
  <c r="D28" i="31"/>
  <c r="O28" i="31" s="1"/>
  <c r="AQ8" i="31" s="1"/>
  <c r="AN8" i="31"/>
  <c r="J35" i="31"/>
  <c r="AO6" i="31"/>
  <c r="D25" i="31"/>
  <c r="O25" i="31" s="1"/>
  <c r="AQ5" i="31" s="1"/>
  <c r="J34" i="31"/>
  <c r="AS5" i="29"/>
  <c r="AS6" i="29"/>
  <c r="AS7" i="29"/>
  <c r="AS8" i="29"/>
  <c r="AS9" i="29"/>
  <c r="AS10" i="29"/>
  <c r="AS4" i="29"/>
  <c r="O46" i="29"/>
  <c r="O45" i="29"/>
  <c r="O44" i="29"/>
  <c r="O43" i="29"/>
  <c r="O42" i="29"/>
  <c r="O41" i="29"/>
  <c r="O38" i="29"/>
  <c r="O37" i="29"/>
  <c r="E37" i="29"/>
  <c r="O36" i="29"/>
  <c r="H36" i="29"/>
  <c r="G36" i="29"/>
  <c r="O35" i="29"/>
  <c r="H35" i="29"/>
  <c r="G35" i="29"/>
  <c r="O34" i="29"/>
  <c r="H34" i="29"/>
  <c r="G34" i="29"/>
  <c r="N30" i="29"/>
  <c r="M30" i="29"/>
  <c r="L30" i="29"/>
  <c r="K30" i="29"/>
  <c r="J30" i="29"/>
  <c r="I30" i="29"/>
  <c r="H30" i="29"/>
  <c r="G30" i="29"/>
  <c r="E30" i="29"/>
  <c r="N29" i="29"/>
  <c r="M29" i="29"/>
  <c r="L29" i="29"/>
  <c r="K29" i="29"/>
  <c r="J29" i="29"/>
  <c r="I29" i="29"/>
  <c r="H29" i="29"/>
  <c r="G29" i="29"/>
  <c r="E29" i="29"/>
  <c r="N28" i="29"/>
  <c r="M28" i="29"/>
  <c r="L28" i="29"/>
  <c r="K28" i="29"/>
  <c r="J28" i="29"/>
  <c r="I28" i="29"/>
  <c r="H28" i="29"/>
  <c r="G28" i="29"/>
  <c r="F28" i="29"/>
  <c r="E28" i="29"/>
  <c r="N27" i="29"/>
  <c r="M27" i="29"/>
  <c r="L27" i="29"/>
  <c r="K27" i="29"/>
  <c r="J27" i="29"/>
  <c r="I27" i="29"/>
  <c r="H27" i="29"/>
  <c r="G27" i="29"/>
  <c r="F27" i="29"/>
  <c r="E27" i="29"/>
  <c r="N26" i="29"/>
  <c r="M26" i="29"/>
  <c r="L26" i="29"/>
  <c r="K26" i="29"/>
  <c r="J26" i="29"/>
  <c r="I26" i="29"/>
  <c r="H26" i="29"/>
  <c r="G26" i="29"/>
  <c r="F26" i="29"/>
  <c r="E26" i="29"/>
  <c r="N25" i="29"/>
  <c r="M25" i="29"/>
  <c r="L25" i="29"/>
  <c r="K25" i="29"/>
  <c r="J25" i="29"/>
  <c r="I25" i="29"/>
  <c r="H25" i="29"/>
  <c r="G25" i="29"/>
  <c r="F25" i="29"/>
  <c r="E25" i="29"/>
  <c r="N24" i="29"/>
  <c r="M24" i="29"/>
  <c r="L24" i="29"/>
  <c r="K24" i="29"/>
  <c r="J24" i="29"/>
  <c r="I24" i="29"/>
  <c r="H24" i="29"/>
  <c r="G24" i="29"/>
  <c r="F24" i="29"/>
  <c r="E24" i="29"/>
  <c r="AI20" i="29"/>
  <c r="AO10" i="29" s="1"/>
  <c r="AI19" i="29"/>
  <c r="AO9" i="29" s="1"/>
  <c r="AI18" i="29"/>
  <c r="AO8" i="29" s="1"/>
  <c r="AU17" i="29"/>
  <c r="AI17" i="29"/>
  <c r="AI16" i="29"/>
  <c r="AO6" i="29" s="1"/>
  <c r="AI15" i="29"/>
  <c r="AI14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I10" i="29"/>
  <c r="AI9" i="29"/>
  <c r="AI8" i="29"/>
  <c r="AO7" i="29"/>
  <c r="AI7" i="29"/>
  <c r="AI6" i="29"/>
  <c r="AW11" i="29"/>
  <c r="AI5" i="29"/>
  <c r="AU11" i="29"/>
  <c r="AI4" i="29"/>
  <c r="BA14" i="27"/>
  <c r="AX5" i="27"/>
  <c r="BA12" i="27"/>
  <c r="AX11" i="27"/>
  <c r="AX6" i="27"/>
  <c r="AR6" i="27"/>
  <c r="AW5" i="27"/>
  <c r="AX9" i="27"/>
  <c r="E30" i="27"/>
  <c r="E31" i="27"/>
  <c r="BD6" i="27"/>
  <c r="BD7" i="27"/>
  <c r="BD8" i="27"/>
  <c r="BD9" i="27"/>
  <c r="BD10" i="27"/>
  <c r="BD11" i="27"/>
  <c r="BD5" i="27"/>
  <c r="AU6" i="27"/>
  <c r="AU7" i="27"/>
  <c r="AU8" i="27"/>
  <c r="AU9" i="27"/>
  <c r="AU10" i="27"/>
  <c r="AU11" i="27"/>
  <c r="AU5" i="27"/>
  <c r="AM11" i="28"/>
  <c r="AL11" i="28"/>
  <c r="AL10" i="28"/>
  <c r="AL9" i="28"/>
  <c r="AL8" i="28"/>
  <c r="AL7" i="28"/>
  <c r="AL6" i="28"/>
  <c r="AL5" i="28"/>
  <c r="AO11" i="28"/>
  <c r="AO10" i="28"/>
  <c r="AO9" i="28"/>
  <c r="AO8" i="28"/>
  <c r="AO7" i="28"/>
  <c r="AO6" i="28"/>
  <c r="AO5" i="28"/>
  <c r="AH21" i="28"/>
  <c r="AH20" i="28"/>
  <c r="AS10" i="27" s="1"/>
  <c r="AH19" i="28"/>
  <c r="AS9" i="27" s="1"/>
  <c r="AH18" i="28"/>
  <c r="AS8" i="27" s="1"/>
  <c r="AH17" i="28"/>
  <c r="AS7" i="27" s="1"/>
  <c r="AH16" i="28"/>
  <c r="AS6" i="27" s="1"/>
  <c r="AH15" i="28"/>
  <c r="AS5" i="27" s="1"/>
  <c r="D14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AH11" i="28"/>
  <c r="AH10" i="28"/>
  <c r="AH9" i="28"/>
  <c r="AH8" i="28"/>
  <c r="AH7" i="28"/>
  <c r="AH6" i="28"/>
  <c r="AH5" i="28"/>
  <c r="AQ6" i="27"/>
  <c r="AQ7" i="27"/>
  <c r="AQ8" i="27"/>
  <c r="AQ9" i="27"/>
  <c r="AQ10" i="27"/>
  <c r="AQ11" i="27"/>
  <c r="AQ5" i="27"/>
  <c r="D14" i="27"/>
  <c r="AG12" i="27"/>
  <c r="AF12" i="27"/>
  <c r="AE12" i="27"/>
  <c r="AD12" i="27"/>
  <c r="AC12" i="27"/>
  <c r="AB12" i="27"/>
  <c r="AA12" i="27"/>
  <c r="Z12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J12" i="27"/>
  <c r="I12" i="27"/>
  <c r="H12" i="27"/>
  <c r="G12" i="27"/>
  <c r="F12" i="27"/>
  <c r="E12" i="27"/>
  <c r="D12" i="27"/>
  <c r="C12" i="27"/>
  <c r="N47" i="27"/>
  <c r="N46" i="27"/>
  <c r="N45" i="27"/>
  <c r="N44" i="27"/>
  <c r="N43" i="27"/>
  <c r="N42" i="27"/>
  <c r="N39" i="27"/>
  <c r="N38" i="27"/>
  <c r="D38" i="27"/>
  <c r="N37" i="27"/>
  <c r="G37" i="27"/>
  <c r="F37" i="27"/>
  <c r="N36" i="27"/>
  <c r="G36" i="27"/>
  <c r="F36" i="27"/>
  <c r="N35" i="27"/>
  <c r="G35" i="27"/>
  <c r="F35" i="27"/>
  <c r="M31" i="27"/>
  <c r="L31" i="27"/>
  <c r="K31" i="27"/>
  <c r="J31" i="27"/>
  <c r="I31" i="27"/>
  <c r="H31" i="27"/>
  <c r="G31" i="27"/>
  <c r="F31" i="27"/>
  <c r="D31" i="27"/>
  <c r="M30" i="27"/>
  <c r="L30" i="27"/>
  <c r="K30" i="27"/>
  <c r="J30" i="27"/>
  <c r="I30" i="27"/>
  <c r="H30" i="27"/>
  <c r="G30" i="27"/>
  <c r="F30" i="27"/>
  <c r="D30" i="27"/>
  <c r="M29" i="27"/>
  <c r="L29" i="27"/>
  <c r="K29" i="27"/>
  <c r="J29" i="27"/>
  <c r="I29" i="27"/>
  <c r="H29" i="27"/>
  <c r="G29" i="27"/>
  <c r="F29" i="27"/>
  <c r="E29" i="27"/>
  <c r="D29" i="27"/>
  <c r="M28" i="27"/>
  <c r="L28" i="27"/>
  <c r="K28" i="27"/>
  <c r="J28" i="27"/>
  <c r="I28" i="27"/>
  <c r="H28" i="27"/>
  <c r="G28" i="27"/>
  <c r="F28" i="27"/>
  <c r="E28" i="27"/>
  <c r="D28" i="27"/>
  <c r="M27" i="27"/>
  <c r="L27" i="27"/>
  <c r="K27" i="27"/>
  <c r="J27" i="27"/>
  <c r="I27" i="27"/>
  <c r="H27" i="27"/>
  <c r="G27" i="27"/>
  <c r="F27" i="27"/>
  <c r="E27" i="27"/>
  <c r="D27" i="27"/>
  <c r="M26" i="27"/>
  <c r="L26" i="27"/>
  <c r="K26" i="27"/>
  <c r="J26" i="27"/>
  <c r="I26" i="27"/>
  <c r="H26" i="27"/>
  <c r="G26" i="27"/>
  <c r="F26" i="27"/>
  <c r="E26" i="27"/>
  <c r="D26" i="27"/>
  <c r="M25" i="27"/>
  <c r="L25" i="27"/>
  <c r="K25" i="27"/>
  <c r="J25" i="27"/>
  <c r="I25" i="27"/>
  <c r="H25" i="27"/>
  <c r="G25" i="27"/>
  <c r="F25" i="27"/>
  <c r="E25" i="27"/>
  <c r="D25" i="27"/>
  <c r="AH21" i="27"/>
  <c r="AM11" i="27" s="1"/>
  <c r="AH20" i="27"/>
  <c r="AM10" i="27" s="1"/>
  <c r="AV10" i="27" s="1"/>
  <c r="AH19" i="27"/>
  <c r="AM9" i="27" s="1"/>
  <c r="AV9" i="27" s="1"/>
  <c r="AS18" i="27"/>
  <c r="AH18" i="27"/>
  <c r="AM8" i="27" s="1"/>
  <c r="AH17" i="27"/>
  <c r="AM7" i="27" s="1"/>
  <c r="AH16" i="27"/>
  <c r="AM6" i="27" s="1"/>
  <c r="AH15" i="27"/>
  <c r="AM5" i="27" s="1"/>
  <c r="BC11" i="27"/>
  <c r="AH11" i="27"/>
  <c r="BC10" i="27"/>
  <c r="AH10" i="27"/>
  <c r="BC9" i="27"/>
  <c r="AH9" i="27"/>
  <c r="BC8" i="27"/>
  <c r="AH8" i="27"/>
  <c r="BC7" i="27"/>
  <c r="AH7" i="27"/>
  <c r="BC6" i="27"/>
  <c r="AH6" i="27"/>
  <c r="BC5" i="27"/>
  <c r="AH5" i="27"/>
  <c r="AV14" i="26"/>
  <c r="AV12" i="26"/>
  <c r="AU9" i="26"/>
  <c r="AL17" i="26"/>
  <c r="AL22" i="26"/>
  <c r="AL21" i="26"/>
  <c r="AS9" i="26"/>
  <c r="AU6" i="26"/>
  <c r="AS18" i="26"/>
  <c r="AU7" i="26"/>
  <c r="AS7" i="26"/>
  <c r="AU8" i="26"/>
  <c r="AS8" i="26"/>
  <c r="AS5" i="26"/>
  <c r="AH11" i="26"/>
  <c r="AG12" i="26"/>
  <c r="AF12" i="26"/>
  <c r="AE12" i="26"/>
  <c r="AW6" i="26"/>
  <c r="AW7" i="26"/>
  <c r="AW8" i="26"/>
  <c r="AW9" i="26"/>
  <c r="AW10" i="26"/>
  <c r="AW11" i="26"/>
  <c r="AW5" i="26"/>
  <c r="AW12" i="26" s="1"/>
  <c r="D14" i="26"/>
  <c r="AQ6" i="26"/>
  <c r="AQ7" i="26"/>
  <c r="AQ8" i="26"/>
  <c r="AQ9" i="26"/>
  <c r="AQ10" i="26"/>
  <c r="AQ11" i="26"/>
  <c r="AQ5" i="26"/>
  <c r="N47" i="26"/>
  <c r="N46" i="26"/>
  <c r="N43" i="26"/>
  <c r="N42" i="26"/>
  <c r="N39" i="26"/>
  <c r="N38" i="26"/>
  <c r="D38" i="26"/>
  <c r="N37" i="26"/>
  <c r="G37" i="26"/>
  <c r="F37" i="26"/>
  <c r="G36" i="26"/>
  <c r="F36" i="26"/>
  <c r="H36" i="26" s="1"/>
  <c r="G35" i="26"/>
  <c r="F35" i="26"/>
  <c r="N45" i="26"/>
  <c r="N36" i="26"/>
  <c r="F27" i="26"/>
  <c r="M31" i="26"/>
  <c r="L31" i="26"/>
  <c r="K31" i="26"/>
  <c r="J31" i="26"/>
  <c r="I31" i="26"/>
  <c r="H31" i="26"/>
  <c r="G31" i="26"/>
  <c r="F31" i="26"/>
  <c r="D31" i="26"/>
  <c r="M30" i="26"/>
  <c r="L30" i="26"/>
  <c r="K30" i="26"/>
  <c r="J30" i="26"/>
  <c r="I30" i="26"/>
  <c r="H30" i="26"/>
  <c r="D30" i="26"/>
  <c r="M29" i="26"/>
  <c r="L29" i="26"/>
  <c r="K29" i="26"/>
  <c r="J29" i="26"/>
  <c r="I29" i="26"/>
  <c r="H29" i="26"/>
  <c r="G29" i="26"/>
  <c r="F29" i="26"/>
  <c r="E29" i="26"/>
  <c r="D29" i="26"/>
  <c r="M28" i="26"/>
  <c r="L28" i="26"/>
  <c r="K28" i="26"/>
  <c r="J28" i="26"/>
  <c r="I28" i="26"/>
  <c r="H28" i="26"/>
  <c r="G28" i="26"/>
  <c r="F28" i="26"/>
  <c r="E28" i="26"/>
  <c r="D28" i="26"/>
  <c r="M27" i="26"/>
  <c r="L27" i="26"/>
  <c r="K27" i="26"/>
  <c r="J27" i="26"/>
  <c r="I27" i="26"/>
  <c r="H27" i="26"/>
  <c r="G27" i="26"/>
  <c r="E27" i="26"/>
  <c r="D27" i="26"/>
  <c r="M26" i="26"/>
  <c r="L26" i="26"/>
  <c r="K26" i="26"/>
  <c r="J26" i="26"/>
  <c r="I26" i="26"/>
  <c r="H26" i="26"/>
  <c r="G26" i="26"/>
  <c r="F26" i="26"/>
  <c r="E26" i="26"/>
  <c r="D26" i="26"/>
  <c r="M25" i="26"/>
  <c r="L25" i="26"/>
  <c r="K25" i="26"/>
  <c r="J25" i="26"/>
  <c r="I25" i="26"/>
  <c r="H25" i="26"/>
  <c r="E25" i="26"/>
  <c r="D25" i="26"/>
  <c r="AH21" i="26"/>
  <c r="AM11" i="26" s="1"/>
  <c r="AH20" i="26"/>
  <c r="AM10" i="26" s="1"/>
  <c r="AH19" i="26"/>
  <c r="AM9" i="26" s="1"/>
  <c r="AH18" i="26"/>
  <c r="AM8" i="26" s="1"/>
  <c r="AH17" i="26"/>
  <c r="AM7" i="26" s="1"/>
  <c r="AH16" i="26"/>
  <c r="AM6" i="26" s="1"/>
  <c r="AH15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AH10" i="26"/>
  <c r="AH9" i="26"/>
  <c r="AH8" i="26"/>
  <c r="AH7" i="26"/>
  <c r="AH6" i="26"/>
  <c r="AH5" i="26"/>
  <c r="AL17" i="25"/>
  <c r="AL22" i="25"/>
  <c r="AT17" i="25"/>
  <c r="AT15" i="25"/>
  <c r="BA9" i="25"/>
  <c r="AS5" i="25"/>
  <c r="BA7" i="25"/>
  <c r="AZ7" i="25"/>
  <c r="AS7" i="25"/>
  <c r="AV12" i="25"/>
  <c r="AS8" i="25"/>
  <c r="AS6" i="25"/>
  <c r="AS11" i="25"/>
  <c r="R40" i="25"/>
  <c r="Q40" i="25"/>
  <c r="R28" i="25"/>
  <c r="AQ6" i="25"/>
  <c r="AQ12" i="25" s="1"/>
  <c r="AS9" i="25"/>
  <c r="N47" i="25"/>
  <c r="N46" i="25"/>
  <c r="N43" i="25"/>
  <c r="N42" i="25"/>
  <c r="N38" i="25"/>
  <c r="D38" i="25"/>
  <c r="N37" i="25"/>
  <c r="G37" i="25"/>
  <c r="F37" i="25"/>
  <c r="G36" i="25"/>
  <c r="F36" i="25"/>
  <c r="G35" i="25"/>
  <c r="F35" i="25"/>
  <c r="L32" i="25"/>
  <c r="L30" i="25" s="1"/>
  <c r="J32" i="25"/>
  <c r="J28" i="25" s="1"/>
  <c r="G32" i="25"/>
  <c r="N36" i="25" s="1"/>
  <c r="F32" i="25"/>
  <c r="N44" i="25" s="1"/>
  <c r="M31" i="25"/>
  <c r="R36" i="25" s="1"/>
  <c r="K31" i="25"/>
  <c r="R34" i="25" s="1"/>
  <c r="I31" i="25"/>
  <c r="R32" i="25" s="1"/>
  <c r="H31" i="25"/>
  <c r="R31" i="25" s="1"/>
  <c r="D31" i="25"/>
  <c r="R27" i="25" s="1"/>
  <c r="M30" i="25"/>
  <c r="K30" i="25"/>
  <c r="I30" i="25"/>
  <c r="H30" i="25"/>
  <c r="D30" i="25"/>
  <c r="M29" i="25"/>
  <c r="K29" i="25"/>
  <c r="I29" i="25"/>
  <c r="H29" i="25"/>
  <c r="E29" i="25"/>
  <c r="D29" i="25"/>
  <c r="M28" i="25"/>
  <c r="K28" i="25"/>
  <c r="I28" i="25"/>
  <c r="H28" i="25"/>
  <c r="E28" i="25"/>
  <c r="D28" i="25"/>
  <c r="M27" i="25"/>
  <c r="K27" i="25"/>
  <c r="I27" i="25"/>
  <c r="H27" i="25"/>
  <c r="E27" i="25"/>
  <c r="D27" i="25"/>
  <c r="M26" i="25"/>
  <c r="K26" i="25"/>
  <c r="I26" i="25"/>
  <c r="H26" i="25"/>
  <c r="E26" i="25"/>
  <c r="D26" i="25"/>
  <c r="M25" i="25"/>
  <c r="K25" i="25"/>
  <c r="I25" i="25"/>
  <c r="H25" i="25"/>
  <c r="E25" i="25"/>
  <c r="D25" i="25"/>
  <c r="AH21" i="25"/>
  <c r="AM11" i="25" s="1"/>
  <c r="AH20" i="25"/>
  <c r="AM10" i="25" s="1"/>
  <c r="AH19" i="25"/>
  <c r="AM9" i="25" s="1"/>
  <c r="AH18" i="25"/>
  <c r="AM8" i="25" s="1"/>
  <c r="AH17" i="25"/>
  <c r="AM7" i="25" s="1"/>
  <c r="AH16" i="25"/>
  <c r="AM6" i="25" s="1"/>
  <c r="AH15" i="25"/>
  <c r="AM5" i="25" s="1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H11" i="25"/>
  <c r="AH10" i="25"/>
  <c r="AH9" i="25"/>
  <c r="AH8" i="25"/>
  <c r="AH7" i="25"/>
  <c r="AH6" i="25"/>
  <c r="AH5" i="25"/>
  <c r="AY26" i="24"/>
  <c r="AY24" i="24"/>
  <c r="AY22" i="24"/>
  <c r="BE14" i="24"/>
  <c r="AR18" i="24"/>
  <c r="BD7" i="24"/>
  <c r="BC7" i="24"/>
  <c r="BA7" i="24"/>
  <c r="AY7" i="24"/>
  <c r="AV15" i="24"/>
  <c r="AS6" i="24"/>
  <c r="AX16" i="24"/>
  <c r="AS11" i="24"/>
  <c r="AS7" i="24"/>
  <c r="AS10" i="24"/>
  <c r="AS9" i="24"/>
  <c r="AS5" i="24"/>
  <c r="AS8" i="24"/>
  <c r="AS8" i="23"/>
  <c r="AS7" i="23"/>
  <c r="AS5" i="23"/>
  <c r="AG12" i="24"/>
  <c r="AH15" i="24"/>
  <c r="AH6" i="24"/>
  <c r="AL11" i="33" l="1"/>
  <c r="AN11" i="33" s="1"/>
  <c r="AP11" i="33" s="1"/>
  <c r="AR11" i="33" s="1"/>
  <c r="AU11" i="33" s="1"/>
  <c r="AL8" i="33"/>
  <c r="AN8" i="33" s="1"/>
  <c r="AP8" i="33" s="1"/>
  <c r="AR8" i="33" s="1"/>
  <c r="AU8" i="33" s="1"/>
  <c r="AP6" i="33"/>
  <c r="AR6" i="33" s="1"/>
  <c r="AU6" i="33" s="1"/>
  <c r="AP9" i="33"/>
  <c r="AR9" i="33" s="1"/>
  <c r="AU9" i="33" s="1"/>
  <c r="AO5" i="33"/>
  <c r="N32" i="33"/>
  <c r="N52" i="33" s="1"/>
  <c r="AN5" i="33"/>
  <c r="AN12" i="33" s="1"/>
  <c r="AP7" i="33"/>
  <c r="O49" i="31"/>
  <c r="O29" i="31"/>
  <c r="AQ9" i="31" s="1"/>
  <c r="AQ11" i="31" s="1"/>
  <c r="C1" i="31"/>
  <c r="AM9" i="31" s="1"/>
  <c r="AP9" i="31" s="1"/>
  <c r="AN11" i="31"/>
  <c r="AO11" i="31"/>
  <c r="J37" i="31"/>
  <c r="AO4" i="29"/>
  <c r="I35" i="29"/>
  <c r="D27" i="29" s="1"/>
  <c r="O27" i="29" s="1"/>
  <c r="AQ7" i="29" s="1"/>
  <c r="O47" i="29"/>
  <c r="AS11" i="29"/>
  <c r="I36" i="29"/>
  <c r="J36" i="29" s="1"/>
  <c r="I34" i="29"/>
  <c r="J34" i="29" s="1"/>
  <c r="AI11" i="29"/>
  <c r="O39" i="29"/>
  <c r="AY11" i="29"/>
  <c r="AI21" i="29"/>
  <c r="AO5" i="29"/>
  <c r="AO11" i="29" s="1"/>
  <c r="D29" i="29"/>
  <c r="O29" i="29" s="1"/>
  <c r="AQ9" i="29" s="1"/>
  <c r="AV5" i="27"/>
  <c r="AV8" i="27"/>
  <c r="AV6" i="27"/>
  <c r="AV7" i="27"/>
  <c r="BD12" i="27"/>
  <c r="AU12" i="27"/>
  <c r="N40" i="27"/>
  <c r="AM6" i="28"/>
  <c r="AS11" i="27"/>
  <c r="AS12" i="27" s="1"/>
  <c r="AO12" i="28"/>
  <c r="AM9" i="28"/>
  <c r="AM10" i="28"/>
  <c r="AM8" i="28"/>
  <c r="AM5" i="28"/>
  <c r="AM7" i="28"/>
  <c r="H36" i="27"/>
  <c r="C28" i="27" s="1"/>
  <c r="N28" i="27" s="1"/>
  <c r="AO8" i="27" s="1"/>
  <c r="H37" i="27"/>
  <c r="C30" i="27" s="1"/>
  <c r="N30" i="27" s="1"/>
  <c r="AO10" i="27" s="1"/>
  <c r="H35" i="27"/>
  <c r="I35" i="27" s="1"/>
  <c r="AX12" i="27"/>
  <c r="N48" i="27"/>
  <c r="AH12" i="28"/>
  <c r="AH22" i="28"/>
  <c r="AQ12" i="27"/>
  <c r="BC12" i="27"/>
  <c r="AH22" i="27"/>
  <c r="AH12" i="27"/>
  <c r="AM12" i="27"/>
  <c r="AU12" i="26"/>
  <c r="AS12" i="26"/>
  <c r="H37" i="26"/>
  <c r="H35" i="26"/>
  <c r="C26" i="26" s="1"/>
  <c r="N26" i="26" s="1"/>
  <c r="AO6" i="26" s="1"/>
  <c r="AH22" i="26"/>
  <c r="AQ12" i="26"/>
  <c r="C29" i="26"/>
  <c r="N29" i="26" s="1"/>
  <c r="AO9" i="26" s="1"/>
  <c r="I36" i="26"/>
  <c r="C27" i="26"/>
  <c r="N27" i="26" s="1"/>
  <c r="AO7" i="26" s="1"/>
  <c r="C28" i="26"/>
  <c r="N28" i="26" s="1"/>
  <c r="AO8" i="26" s="1"/>
  <c r="C31" i="26"/>
  <c r="I37" i="26"/>
  <c r="C30" i="26"/>
  <c r="AH12" i="26"/>
  <c r="F25" i="26"/>
  <c r="F30" i="26"/>
  <c r="N44" i="26"/>
  <c r="N48" i="26" s="1"/>
  <c r="G25" i="26"/>
  <c r="G30" i="26"/>
  <c r="AM5" i="26"/>
  <c r="F29" i="25"/>
  <c r="F31" i="25"/>
  <c r="R29" i="25" s="1"/>
  <c r="F26" i="25"/>
  <c r="H35" i="25"/>
  <c r="C26" i="25" s="1"/>
  <c r="F25" i="25"/>
  <c r="F28" i="25"/>
  <c r="F27" i="25"/>
  <c r="F30" i="25"/>
  <c r="H36" i="25"/>
  <c r="C27" i="25" s="1"/>
  <c r="G31" i="25"/>
  <c r="R30" i="25" s="1"/>
  <c r="G26" i="25"/>
  <c r="G28" i="25"/>
  <c r="G29" i="25"/>
  <c r="J31" i="25"/>
  <c r="R33" i="25" s="1"/>
  <c r="J25" i="25"/>
  <c r="G25" i="25"/>
  <c r="G30" i="25"/>
  <c r="G27" i="25"/>
  <c r="H37" i="25"/>
  <c r="C31" i="25" s="1"/>
  <c r="Q26" i="25" s="1"/>
  <c r="Q37" i="25" s="1"/>
  <c r="AS12" i="25"/>
  <c r="L25" i="25"/>
  <c r="L27" i="25"/>
  <c r="L28" i="25"/>
  <c r="L29" i="25"/>
  <c r="AH22" i="25"/>
  <c r="C28" i="25"/>
  <c r="J27" i="25"/>
  <c r="J29" i="25"/>
  <c r="L31" i="25"/>
  <c r="R35" i="25" s="1"/>
  <c r="N45" i="25"/>
  <c r="N48" i="25" s="1"/>
  <c r="AH12" i="25"/>
  <c r="AM12" i="25"/>
  <c r="J26" i="25"/>
  <c r="J30" i="25"/>
  <c r="N39" i="25"/>
  <c r="L26" i="25"/>
  <c r="AS12" i="24"/>
  <c r="N47" i="24"/>
  <c r="N43" i="24"/>
  <c r="N42" i="24"/>
  <c r="D38" i="24"/>
  <c r="N38" i="24"/>
  <c r="G37" i="24"/>
  <c r="F37" i="24"/>
  <c r="N37" i="24"/>
  <c r="G36" i="24"/>
  <c r="F36" i="24"/>
  <c r="G35" i="24"/>
  <c r="H35" i="24" s="1"/>
  <c r="F35" i="24"/>
  <c r="L32" i="24"/>
  <c r="L30" i="24" s="1"/>
  <c r="N46" i="24"/>
  <c r="J32" i="24"/>
  <c r="N39" i="24" s="1"/>
  <c r="G32" i="24"/>
  <c r="G27" i="24" s="1"/>
  <c r="F32" i="24"/>
  <c r="N44" i="24" s="1"/>
  <c r="M31" i="24"/>
  <c r="I31" i="24"/>
  <c r="H31" i="24"/>
  <c r="D31" i="24"/>
  <c r="M30" i="24"/>
  <c r="I30" i="24"/>
  <c r="H30" i="24"/>
  <c r="F30" i="24"/>
  <c r="D30" i="24"/>
  <c r="M29" i="24"/>
  <c r="I29" i="24"/>
  <c r="H29" i="24"/>
  <c r="G29" i="24"/>
  <c r="F29" i="24"/>
  <c r="E29" i="24"/>
  <c r="D29" i="24"/>
  <c r="M28" i="24"/>
  <c r="K28" i="24"/>
  <c r="I28" i="24"/>
  <c r="H28" i="24"/>
  <c r="G28" i="24"/>
  <c r="E28" i="24"/>
  <c r="D28" i="24"/>
  <c r="M27" i="24"/>
  <c r="K27" i="24"/>
  <c r="I27" i="24"/>
  <c r="H27" i="24"/>
  <c r="E27" i="24"/>
  <c r="D27" i="24"/>
  <c r="M26" i="24"/>
  <c r="K26" i="24"/>
  <c r="I26" i="24"/>
  <c r="H26" i="24"/>
  <c r="G26" i="24"/>
  <c r="E26" i="24"/>
  <c r="D26" i="24"/>
  <c r="M25" i="24"/>
  <c r="L25" i="24"/>
  <c r="K25" i="24"/>
  <c r="I25" i="24"/>
  <c r="H25" i="24"/>
  <c r="G25" i="24"/>
  <c r="E25" i="24"/>
  <c r="D25" i="24"/>
  <c r="AH21" i="24"/>
  <c r="AM11" i="24" s="1"/>
  <c r="AH20" i="24"/>
  <c r="AM10" i="24" s="1"/>
  <c r="AH19" i="24"/>
  <c r="AM9" i="24" s="1"/>
  <c r="AH18" i="24"/>
  <c r="AM8" i="24" s="1"/>
  <c r="AH17" i="24"/>
  <c r="AM7" i="24" s="1"/>
  <c r="AH16" i="24"/>
  <c r="AM6" i="24" s="1"/>
  <c r="AM5" i="24"/>
  <c r="AF12" i="24"/>
  <c r="AE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AH11" i="24"/>
  <c r="AH10" i="24"/>
  <c r="AH9" i="24"/>
  <c r="AH8" i="24"/>
  <c r="AH7" i="24"/>
  <c r="AH5" i="24"/>
  <c r="O47" i="23"/>
  <c r="O46" i="23"/>
  <c r="O44" i="23"/>
  <c r="O43" i="23"/>
  <c r="O42" i="23"/>
  <c r="O38" i="23"/>
  <c r="D38" i="23"/>
  <c r="O37" i="23"/>
  <c r="G37" i="23"/>
  <c r="F37" i="23"/>
  <c r="H37" i="23" s="1"/>
  <c r="C30" i="23" s="1"/>
  <c r="O36" i="23"/>
  <c r="G36" i="23"/>
  <c r="F36" i="23"/>
  <c r="H36" i="23" s="1"/>
  <c r="O35" i="23"/>
  <c r="G35" i="23"/>
  <c r="F35" i="23"/>
  <c r="H35" i="23" s="1"/>
  <c r="AY33" i="23"/>
  <c r="L32" i="23"/>
  <c r="L25" i="23" s="1"/>
  <c r="K32" i="23"/>
  <c r="J32" i="23"/>
  <c r="J29" i="23" s="1"/>
  <c r="G32" i="23"/>
  <c r="G26" i="23" s="1"/>
  <c r="F32" i="23"/>
  <c r="F30" i="23" s="1"/>
  <c r="M31" i="23"/>
  <c r="K31" i="23"/>
  <c r="J31" i="23"/>
  <c r="I31" i="23"/>
  <c r="H31" i="23"/>
  <c r="G31" i="23"/>
  <c r="F31" i="23"/>
  <c r="D31" i="23"/>
  <c r="M30" i="23"/>
  <c r="K30" i="23"/>
  <c r="J30" i="23"/>
  <c r="I30" i="23"/>
  <c r="H30" i="23"/>
  <c r="G30" i="23"/>
  <c r="D30" i="23"/>
  <c r="M29" i="23"/>
  <c r="L29" i="23"/>
  <c r="K29" i="23"/>
  <c r="I29" i="23"/>
  <c r="H29" i="23"/>
  <c r="G29" i="23"/>
  <c r="F29" i="23"/>
  <c r="E29" i="23"/>
  <c r="D29" i="23"/>
  <c r="C29" i="23"/>
  <c r="N29" i="23" s="1"/>
  <c r="AO10" i="23" s="1"/>
  <c r="M28" i="23"/>
  <c r="K28" i="23"/>
  <c r="J28" i="23"/>
  <c r="I28" i="23"/>
  <c r="H28" i="23"/>
  <c r="G28" i="23"/>
  <c r="E28" i="23"/>
  <c r="D28" i="23"/>
  <c r="AY27" i="23"/>
  <c r="AY29" i="23" s="1"/>
  <c r="M27" i="23"/>
  <c r="L27" i="23"/>
  <c r="K27" i="23"/>
  <c r="J27" i="23"/>
  <c r="I27" i="23"/>
  <c r="H27" i="23"/>
  <c r="G27" i="23"/>
  <c r="F27" i="23"/>
  <c r="E27" i="23"/>
  <c r="D27" i="23"/>
  <c r="M26" i="23"/>
  <c r="K26" i="23"/>
  <c r="J26" i="23"/>
  <c r="I26" i="23"/>
  <c r="H26" i="23"/>
  <c r="E26" i="23"/>
  <c r="D26" i="23"/>
  <c r="M25" i="23"/>
  <c r="K25" i="23"/>
  <c r="J25" i="23"/>
  <c r="I25" i="23"/>
  <c r="H25" i="23"/>
  <c r="G25" i="23"/>
  <c r="F25" i="23"/>
  <c r="E25" i="23"/>
  <c r="D25" i="23"/>
  <c r="BJ23" i="23"/>
  <c r="BJ22" i="23"/>
  <c r="BJ21" i="23"/>
  <c r="AH21" i="23"/>
  <c r="AM12" i="23" s="1"/>
  <c r="AH20" i="23"/>
  <c r="BJ19" i="23"/>
  <c r="AH19" i="23"/>
  <c r="AM10" i="23" s="1"/>
  <c r="AH18" i="23"/>
  <c r="AM9" i="23" s="1"/>
  <c r="BK17" i="23"/>
  <c r="BJ17" i="23"/>
  <c r="BJ20" i="23" s="1"/>
  <c r="Z17" i="23"/>
  <c r="AH17" i="23" s="1"/>
  <c r="AM8" i="23" s="1"/>
  <c r="AH16" i="23"/>
  <c r="AM6" i="23" s="1"/>
  <c r="AY15" i="23"/>
  <c r="AH15" i="23"/>
  <c r="AQ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AQ11" i="23"/>
  <c r="AM11" i="23"/>
  <c r="AH11" i="23"/>
  <c r="AQ10" i="23"/>
  <c r="AH10" i="23"/>
  <c r="AQ9" i="23"/>
  <c r="AH9" i="23"/>
  <c r="AQ8" i="23"/>
  <c r="AH8" i="23"/>
  <c r="AH7" i="23"/>
  <c r="AQ6" i="23"/>
  <c r="AH6" i="23"/>
  <c r="AS13" i="23"/>
  <c r="AQ5" i="23"/>
  <c r="AQ13" i="23" s="1"/>
  <c r="AY16" i="23" s="1"/>
  <c r="AH5" i="23"/>
  <c r="AH12" i="23" s="1"/>
  <c r="N32" i="22"/>
  <c r="K32" i="22"/>
  <c r="K26" i="22" s="1"/>
  <c r="Z17" i="22"/>
  <c r="AH17" i="22" s="1"/>
  <c r="AM8" i="22" s="1"/>
  <c r="AS10" i="22"/>
  <c r="AS5" i="22"/>
  <c r="AQ6" i="22"/>
  <c r="AQ8" i="22"/>
  <c r="AQ9" i="22"/>
  <c r="AQ10" i="22"/>
  <c r="AQ11" i="22"/>
  <c r="AQ12" i="22"/>
  <c r="AQ13" i="22" s="1"/>
  <c r="AY16" i="22" s="1"/>
  <c r="AY17" i="22" s="1"/>
  <c r="AQ5" i="22"/>
  <c r="C12" i="22"/>
  <c r="O47" i="22"/>
  <c r="O44" i="22"/>
  <c r="O43" i="22"/>
  <c r="O42" i="22"/>
  <c r="D38" i="22"/>
  <c r="O37" i="22"/>
  <c r="G37" i="22"/>
  <c r="F37" i="22"/>
  <c r="H37" i="22" s="1"/>
  <c r="O36" i="22"/>
  <c r="G36" i="22"/>
  <c r="F36" i="22"/>
  <c r="G35" i="22"/>
  <c r="H35" i="22" s="1"/>
  <c r="I35" i="22" s="1"/>
  <c r="F35" i="22"/>
  <c r="AY33" i="22"/>
  <c r="L32" i="22"/>
  <c r="L26" i="22" s="1"/>
  <c r="J32" i="22"/>
  <c r="O38" i="22" s="1"/>
  <c r="G32" i="22"/>
  <c r="G29" i="22" s="1"/>
  <c r="F32" i="22"/>
  <c r="F31" i="22" s="1"/>
  <c r="M31" i="22"/>
  <c r="K31" i="22"/>
  <c r="I31" i="22"/>
  <c r="H31" i="22"/>
  <c r="D31" i="22"/>
  <c r="M30" i="22"/>
  <c r="L30" i="22"/>
  <c r="K30" i="22"/>
  <c r="J30" i="22"/>
  <c r="I30" i="22"/>
  <c r="H30" i="22"/>
  <c r="D30" i="22"/>
  <c r="M29" i="22"/>
  <c r="J29" i="22"/>
  <c r="I29" i="22"/>
  <c r="H29" i="22"/>
  <c r="E29" i="22"/>
  <c r="D29" i="22"/>
  <c r="M28" i="22"/>
  <c r="L28" i="22"/>
  <c r="J28" i="22"/>
  <c r="I28" i="22"/>
  <c r="H28" i="22"/>
  <c r="E28" i="22"/>
  <c r="D28" i="22"/>
  <c r="AY27" i="22"/>
  <c r="AY29" i="22" s="1"/>
  <c r="M27" i="22"/>
  <c r="I27" i="22"/>
  <c r="H27" i="22"/>
  <c r="E27" i="22"/>
  <c r="D27" i="22"/>
  <c r="M26" i="22"/>
  <c r="I26" i="22"/>
  <c r="H26" i="22"/>
  <c r="E26" i="22"/>
  <c r="D26" i="22"/>
  <c r="M25" i="22"/>
  <c r="K25" i="22"/>
  <c r="J25" i="22"/>
  <c r="I25" i="22"/>
  <c r="H25" i="22"/>
  <c r="E25" i="22"/>
  <c r="D25" i="22"/>
  <c r="BJ23" i="22"/>
  <c r="AH21" i="22"/>
  <c r="AM12" i="22" s="1"/>
  <c r="AH20" i="22"/>
  <c r="AM11" i="22" s="1"/>
  <c r="AH19" i="22"/>
  <c r="AM10" i="22" s="1"/>
  <c r="AH18" i="22"/>
  <c r="AM9" i="22" s="1"/>
  <c r="BJ17" i="22"/>
  <c r="BJ22" i="22" s="1"/>
  <c r="AH16" i="22"/>
  <c r="AM6" i="22" s="1"/>
  <c r="AY15" i="22"/>
  <c r="BA19" i="22" s="1"/>
  <c r="AH15" i="22"/>
  <c r="AM5" i="22" s="1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H10" i="22"/>
  <c r="AH9" i="22"/>
  <c r="AH8" i="22"/>
  <c r="AH7" i="22"/>
  <c r="AH6" i="22"/>
  <c r="AH5" i="22"/>
  <c r="AS8" i="21"/>
  <c r="AS6" i="21"/>
  <c r="AS11" i="21"/>
  <c r="AS5" i="21"/>
  <c r="AQ6" i="21"/>
  <c r="AQ7" i="21"/>
  <c r="AQ8" i="21"/>
  <c r="AQ9" i="21"/>
  <c r="AQ10" i="21"/>
  <c r="AQ11" i="21"/>
  <c r="AQ5" i="21"/>
  <c r="AH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C12" i="21"/>
  <c r="AL12" i="33" l="1"/>
  <c r="AO12" i="33"/>
  <c r="AP5" i="33"/>
  <c r="O31" i="31"/>
  <c r="O51" i="31" s="1"/>
  <c r="AM5" i="31"/>
  <c r="AP5" i="31" s="1"/>
  <c r="AR5" i="31" s="1"/>
  <c r="AR9" i="31"/>
  <c r="AM8" i="31"/>
  <c r="AP8" i="31" s="1"/>
  <c r="AR8" i="31" s="1"/>
  <c r="AM7" i="31"/>
  <c r="AP7" i="31" s="1"/>
  <c r="AR7" i="31" s="1"/>
  <c r="AM10" i="31"/>
  <c r="AP10" i="31" s="1"/>
  <c r="AR10" i="31" s="1"/>
  <c r="AM4" i="31"/>
  <c r="AP4" i="31" s="1"/>
  <c r="AM6" i="31"/>
  <c r="AP6" i="31" s="1"/>
  <c r="AR6" i="31" s="1"/>
  <c r="O49" i="29"/>
  <c r="D30" i="29"/>
  <c r="O30" i="29" s="1"/>
  <c r="AQ10" i="29" s="1"/>
  <c r="C1" i="29"/>
  <c r="AM4" i="29" s="1"/>
  <c r="D26" i="29"/>
  <c r="O26" i="29" s="1"/>
  <c r="AQ6" i="29" s="1"/>
  <c r="D28" i="29"/>
  <c r="O28" i="29" s="1"/>
  <c r="AQ8" i="29" s="1"/>
  <c r="J35" i="29"/>
  <c r="J37" i="29" s="1"/>
  <c r="D25" i="29"/>
  <c r="O25" i="29" s="1"/>
  <c r="AQ5" i="29" s="1"/>
  <c r="D24" i="29"/>
  <c r="O24" i="29" s="1"/>
  <c r="AV11" i="27"/>
  <c r="AV12" i="27" s="1"/>
  <c r="C29" i="27"/>
  <c r="N29" i="27" s="1"/>
  <c r="AO9" i="27" s="1"/>
  <c r="C27" i="27"/>
  <c r="N27" i="27" s="1"/>
  <c r="AO7" i="27" s="1"/>
  <c r="I36" i="27"/>
  <c r="N50" i="27"/>
  <c r="I37" i="27"/>
  <c r="AM12" i="28"/>
  <c r="C31" i="27"/>
  <c r="N31" i="27" s="1"/>
  <c r="AO11" i="27" s="1"/>
  <c r="C25" i="27"/>
  <c r="N25" i="27" s="1"/>
  <c r="AO5" i="27" s="1"/>
  <c r="C26" i="27"/>
  <c r="N26" i="27" s="1"/>
  <c r="AO6" i="27" s="1"/>
  <c r="E1" i="28"/>
  <c r="E1" i="27"/>
  <c r="I35" i="26"/>
  <c r="I38" i="26"/>
  <c r="E1" i="26"/>
  <c r="AL7" i="26" s="1"/>
  <c r="AN7" i="26" s="1"/>
  <c r="AP7" i="26" s="1"/>
  <c r="AR7" i="26" s="1"/>
  <c r="AT7" i="26" s="1"/>
  <c r="C25" i="26"/>
  <c r="N25" i="26" s="1"/>
  <c r="N30" i="26"/>
  <c r="AO10" i="26" s="1"/>
  <c r="N31" i="26"/>
  <c r="AO11" i="26" s="1"/>
  <c r="N35" i="26"/>
  <c r="N40" i="26" s="1"/>
  <c r="AM12" i="26"/>
  <c r="C25" i="25"/>
  <c r="I35" i="25"/>
  <c r="Q42" i="25"/>
  <c r="Q43" i="25" s="1"/>
  <c r="I36" i="25"/>
  <c r="N28" i="25"/>
  <c r="AO8" i="25" s="1"/>
  <c r="R37" i="25"/>
  <c r="C29" i="25"/>
  <c r="N29" i="25" s="1"/>
  <c r="AO9" i="25" s="1"/>
  <c r="I37" i="25"/>
  <c r="C30" i="25"/>
  <c r="N30" i="25" s="1"/>
  <c r="AO10" i="25" s="1"/>
  <c r="E1" i="25"/>
  <c r="AL9" i="25" s="1"/>
  <c r="AN9" i="25" s="1"/>
  <c r="N25" i="25"/>
  <c r="N26" i="25"/>
  <c r="AO6" i="25" s="1"/>
  <c r="N27" i="25"/>
  <c r="AO7" i="25" s="1"/>
  <c r="N31" i="25"/>
  <c r="AO11" i="25" s="1"/>
  <c r="J27" i="24"/>
  <c r="J25" i="24"/>
  <c r="G31" i="24"/>
  <c r="J28" i="24"/>
  <c r="H37" i="24"/>
  <c r="C30" i="24" s="1"/>
  <c r="G30" i="24"/>
  <c r="H36" i="24"/>
  <c r="C29" i="24" s="1"/>
  <c r="AM12" i="24"/>
  <c r="L31" i="24"/>
  <c r="AH12" i="24"/>
  <c r="AH22" i="24"/>
  <c r="L27" i="24"/>
  <c r="F31" i="24"/>
  <c r="I35" i="24"/>
  <c r="C26" i="24"/>
  <c r="C25" i="24"/>
  <c r="F26" i="24"/>
  <c r="N36" i="24"/>
  <c r="F27" i="24"/>
  <c r="J29" i="24"/>
  <c r="J30" i="24"/>
  <c r="J31" i="24"/>
  <c r="J26" i="24"/>
  <c r="K29" i="24"/>
  <c r="K30" i="24"/>
  <c r="K31" i="24"/>
  <c r="F25" i="24"/>
  <c r="F28" i="24"/>
  <c r="C31" i="24"/>
  <c r="L29" i="24"/>
  <c r="N45" i="24"/>
  <c r="N48" i="24" s="1"/>
  <c r="L26" i="24"/>
  <c r="L28" i="24"/>
  <c r="C27" i="23"/>
  <c r="N27" i="23" s="1"/>
  <c r="AO8" i="23" s="1"/>
  <c r="I36" i="23"/>
  <c r="C28" i="23"/>
  <c r="AM5" i="23"/>
  <c r="AH22" i="23"/>
  <c r="E1" i="23" s="1"/>
  <c r="AL5" i="23" s="1"/>
  <c r="BJ24" i="23"/>
  <c r="AY17" i="23"/>
  <c r="BA19" i="23"/>
  <c r="L30" i="23"/>
  <c r="N30" i="23" s="1"/>
  <c r="AO11" i="23" s="1"/>
  <c r="L28" i="23"/>
  <c r="L26" i="23"/>
  <c r="O45" i="23"/>
  <c r="O48" i="23" s="1"/>
  <c r="C31" i="23"/>
  <c r="L31" i="23"/>
  <c r="I35" i="23"/>
  <c r="I38" i="23" s="1"/>
  <c r="C25" i="23"/>
  <c r="C26" i="23"/>
  <c r="I37" i="23"/>
  <c r="F26" i="23"/>
  <c r="F28" i="23"/>
  <c r="O46" i="22"/>
  <c r="K28" i="22"/>
  <c r="K29" i="22"/>
  <c r="K27" i="22"/>
  <c r="H36" i="22"/>
  <c r="F28" i="22"/>
  <c r="F30" i="22"/>
  <c r="F26" i="22"/>
  <c r="F29" i="22"/>
  <c r="J27" i="22"/>
  <c r="J31" i="22"/>
  <c r="AS13" i="22"/>
  <c r="AM13" i="22"/>
  <c r="AH22" i="22"/>
  <c r="AH12" i="22"/>
  <c r="C28" i="22"/>
  <c r="N28" i="22" s="1"/>
  <c r="AO9" i="22" s="1"/>
  <c r="I36" i="22"/>
  <c r="C29" i="22"/>
  <c r="C27" i="22"/>
  <c r="I37" i="22"/>
  <c r="C31" i="22"/>
  <c r="C30" i="22"/>
  <c r="N30" i="22" s="1"/>
  <c r="AO11" i="22" s="1"/>
  <c r="BJ20" i="22"/>
  <c r="C25" i="22"/>
  <c r="G26" i="22"/>
  <c r="O35" i="22"/>
  <c r="BK17" i="22"/>
  <c r="L25" i="22"/>
  <c r="L27" i="22"/>
  <c r="G28" i="22"/>
  <c r="G30" i="22"/>
  <c r="L31" i="22"/>
  <c r="BJ21" i="22"/>
  <c r="L29" i="22"/>
  <c r="O45" i="22"/>
  <c r="F25" i="22"/>
  <c r="J26" i="22"/>
  <c r="F27" i="22"/>
  <c r="G25" i="22"/>
  <c r="C26" i="22"/>
  <c r="G27" i="22"/>
  <c r="G31" i="22"/>
  <c r="BJ19" i="22"/>
  <c r="BJ24" i="22" s="1"/>
  <c r="O47" i="21"/>
  <c r="O46" i="21"/>
  <c r="O43" i="21"/>
  <c r="O42" i="21"/>
  <c r="O38" i="21"/>
  <c r="D38" i="21"/>
  <c r="O37" i="21"/>
  <c r="G37" i="21"/>
  <c r="F37" i="21"/>
  <c r="H37" i="21" s="1"/>
  <c r="O36" i="21"/>
  <c r="G36" i="21"/>
  <c r="F36" i="21"/>
  <c r="H36" i="21" s="1"/>
  <c r="G35" i="21"/>
  <c r="H35" i="21" s="1"/>
  <c r="F35" i="21"/>
  <c r="AY33" i="21"/>
  <c r="L32" i="21"/>
  <c r="O45" i="21" s="1"/>
  <c r="J32" i="21"/>
  <c r="J30" i="21" s="1"/>
  <c r="G32" i="21"/>
  <c r="G31" i="21" s="1"/>
  <c r="F32" i="21"/>
  <c r="F26" i="21" s="1"/>
  <c r="M31" i="21"/>
  <c r="L31" i="21"/>
  <c r="K31" i="21"/>
  <c r="J31" i="21"/>
  <c r="I31" i="21"/>
  <c r="H31" i="21"/>
  <c r="D31" i="21"/>
  <c r="M30" i="21"/>
  <c r="L30" i="21"/>
  <c r="K30" i="21"/>
  <c r="I30" i="21"/>
  <c r="H30" i="21"/>
  <c r="G30" i="21"/>
  <c r="D30" i="21"/>
  <c r="AY29" i="21"/>
  <c r="M29" i="21"/>
  <c r="L29" i="21"/>
  <c r="K29" i="21"/>
  <c r="I29" i="21"/>
  <c r="H29" i="21"/>
  <c r="G29" i="21"/>
  <c r="E29" i="21"/>
  <c r="D29" i="21"/>
  <c r="M28" i="21"/>
  <c r="L28" i="21"/>
  <c r="K28" i="21"/>
  <c r="I28" i="21"/>
  <c r="H28" i="21"/>
  <c r="G28" i="21"/>
  <c r="E28" i="21"/>
  <c r="D28" i="21"/>
  <c r="AY27" i="21"/>
  <c r="M27" i="21"/>
  <c r="L27" i="21"/>
  <c r="K27" i="21"/>
  <c r="J27" i="21"/>
  <c r="I27" i="21"/>
  <c r="H27" i="21"/>
  <c r="G27" i="21"/>
  <c r="E27" i="21"/>
  <c r="D27" i="21"/>
  <c r="M26" i="21"/>
  <c r="L26" i="21"/>
  <c r="K26" i="21"/>
  <c r="I26" i="21"/>
  <c r="H26" i="21"/>
  <c r="E26" i="21"/>
  <c r="D26" i="21"/>
  <c r="M25" i="21"/>
  <c r="L25" i="21"/>
  <c r="K25" i="21"/>
  <c r="J25" i="21"/>
  <c r="I25" i="21"/>
  <c r="H25" i="21"/>
  <c r="G25" i="21"/>
  <c r="E25" i="21"/>
  <c r="D25" i="21"/>
  <c r="BJ23" i="21"/>
  <c r="BJ22" i="21"/>
  <c r="BJ21" i="21"/>
  <c r="AH21" i="21"/>
  <c r="AM11" i="21" s="1"/>
  <c r="AH20" i="21"/>
  <c r="AM10" i="21" s="1"/>
  <c r="BJ19" i="21"/>
  <c r="BJ24" i="21" s="1"/>
  <c r="BA19" i="21"/>
  <c r="AH19" i="21"/>
  <c r="AM9" i="21" s="1"/>
  <c r="AH18" i="21"/>
  <c r="AM8" i="21" s="1"/>
  <c r="BK17" i="21"/>
  <c r="BJ17" i="21"/>
  <c r="BJ20" i="21" s="1"/>
  <c r="AH17" i="21"/>
  <c r="AM7" i="21" s="1"/>
  <c r="AH16" i="21"/>
  <c r="AM6" i="21" s="1"/>
  <c r="AY15" i="21"/>
  <c r="AH15" i="21"/>
  <c r="AH11" i="21"/>
  <c r="AH10" i="21"/>
  <c r="AH9" i="21"/>
  <c r="AH8" i="21"/>
  <c r="AH7" i="21"/>
  <c r="AH6" i="21"/>
  <c r="AQ12" i="21"/>
  <c r="AY16" i="21" s="1"/>
  <c r="AY17" i="21" s="1"/>
  <c r="AM5" i="21"/>
  <c r="AH5" i="21"/>
  <c r="AS5" i="20"/>
  <c r="AS6" i="20"/>
  <c r="AS8" i="20"/>
  <c r="F11" i="17"/>
  <c r="AS10" i="20"/>
  <c r="AS9" i="20"/>
  <c r="AR12" i="20"/>
  <c r="O48" i="20"/>
  <c r="O46" i="20"/>
  <c r="O38" i="20"/>
  <c r="O37" i="20"/>
  <c r="O39" i="20" s="1"/>
  <c r="O50" i="20" s="1"/>
  <c r="O36" i="20"/>
  <c r="O35" i="20"/>
  <c r="O34" i="20"/>
  <c r="K31" i="20"/>
  <c r="K30" i="20"/>
  <c r="K29" i="20"/>
  <c r="K28" i="20"/>
  <c r="K27" i="20"/>
  <c r="K26" i="20"/>
  <c r="K25" i="20"/>
  <c r="AQ11" i="20"/>
  <c r="AQ10" i="20"/>
  <c r="AQ9" i="20"/>
  <c r="AQ8" i="20"/>
  <c r="AQ7" i="20"/>
  <c r="AQ6" i="20"/>
  <c r="AQ5" i="20"/>
  <c r="O47" i="20"/>
  <c r="O43" i="20"/>
  <c r="O42" i="20"/>
  <c r="D38" i="20"/>
  <c r="H37" i="20"/>
  <c r="C30" i="20" s="1"/>
  <c r="G37" i="20"/>
  <c r="F37" i="20"/>
  <c r="G36" i="20"/>
  <c r="F36" i="20"/>
  <c r="H36" i="20" s="1"/>
  <c r="I35" i="20"/>
  <c r="H35" i="20"/>
  <c r="C26" i="20" s="1"/>
  <c r="G35" i="20"/>
  <c r="F35" i="20"/>
  <c r="AY33" i="20"/>
  <c r="L32" i="20"/>
  <c r="O45" i="20" s="1"/>
  <c r="J32" i="20"/>
  <c r="G32" i="20"/>
  <c r="F32" i="20"/>
  <c r="O44" i="20" s="1"/>
  <c r="M31" i="20"/>
  <c r="L31" i="20"/>
  <c r="J31" i="20"/>
  <c r="I31" i="20"/>
  <c r="H31" i="20"/>
  <c r="G31" i="20"/>
  <c r="F31" i="20"/>
  <c r="D31" i="20"/>
  <c r="C31" i="20"/>
  <c r="M30" i="20"/>
  <c r="I30" i="20"/>
  <c r="H30" i="20"/>
  <c r="G30" i="20"/>
  <c r="F30" i="20"/>
  <c r="D30" i="20"/>
  <c r="M29" i="20"/>
  <c r="J29" i="20"/>
  <c r="I29" i="20"/>
  <c r="H29" i="20"/>
  <c r="G29" i="20"/>
  <c r="F29" i="20"/>
  <c r="E29" i="20"/>
  <c r="D29" i="20"/>
  <c r="M28" i="20"/>
  <c r="I28" i="20"/>
  <c r="H28" i="20"/>
  <c r="G28" i="20"/>
  <c r="F28" i="20"/>
  <c r="E28" i="20"/>
  <c r="D28" i="20"/>
  <c r="AY27" i="20"/>
  <c r="AY29" i="20" s="1"/>
  <c r="M27" i="20"/>
  <c r="J27" i="20"/>
  <c r="I27" i="20"/>
  <c r="H27" i="20"/>
  <c r="G27" i="20"/>
  <c r="F27" i="20"/>
  <c r="E27" i="20"/>
  <c r="D27" i="20"/>
  <c r="M26" i="20"/>
  <c r="I26" i="20"/>
  <c r="H26" i="20"/>
  <c r="G26" i="20"/>
  <c r="F26" i="20"/>
  <c r="E26" i="20"/>
  <c r="D26" i="20"/>
  <c r="M25" i="20"/>
  <c r="J25" i="20"/>
  <c r="I25" i="20"/>
  <c r="H25" i="20"/>
  <c r="G25" i="20"/>
  <c r="F25" i="20"/>
  <c r="E25" i="20"/>
  <c r="D25" i="20"/>
  <c r="C25" i="20"/>
  <c r="AH21" i="20"/>
  <c r="AM11" i="20" s="1"/>
  <c r="AH20" i="20"/>
  <c r="AM10" i="20" s="1"/>
  <c r="AH19" i="20"/>
  <c r="AH18" i="20"/>
  <c r="BJ17" i="20"/>
  <c r="BJ23" i="20" s="1"/>
  <c r="AH17" i="20"/>
  <c r="AM7" i="20" s="1"/>
  <c r="AH16" i="20"/>
  <c r="AH22" i="20" s="1"/>
  <c r="E1" i="20" s="1"/>
  <c r="AH15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AH11" i="20"/>
  <c r="AH10" i="20"/>
  <c r="AM9" i="20"/>
  <c r="AH9" i="20"/>
  <c r="AM8" i="20"/>
  <c r="AH8" i="20"/>
  <c r="AH7" i="20"/>
  <c r="AL7" i="20" s="1"/>
  <c r="AM6" i="20"/>
  <c r="AH6" i="20"/>
  <c r="AM5" i="20"/>
  <c r="AH5" i="20"/>
  <c r="AR5" i="33" l="1"/>
  <c r="AP12" i="33"/>
  <c r="AR12" i="33" s="1"/>
  <c r="AM11" i="31"/>
  <c r="AP11" i="31"/>
  <c r="AR4" i="31"/>
  <c r="O31" i="29"/>
  <c r="O51" i="29" s="1"/>
  <c r="AM7" i="29"/>
  <c r="AP7" i="29" s="1"/>
  <c r="AR7" i="29" s="1"/>
  <c r="AT7" i="29" s="1"/>
  <c r="AV7" i="29" s="1"/>
  <c r="BA7" i="29" s="1"/>
  <c r="AM6" i="29"/>
  <c r="AP6" i="29" s="1"/>
  <c r="AM5" i="29"/>
  <c r="AP5" i="29" s="1"/>
  <c r="AR5" i="29" s="1"/>
  <c r="AT5" i="29" s="1"/>
  <c r="AV5" i="29" s="1"/>
  <c r="BA5" i="29" s="1"/>
  <c r="AP4" i="29"/>
  <c r="AM8" i="29"/>
  <c r="AP8" i="29" s="1"/>
  <c r="AR8" i="29" s="1"/>
  <c r="AT8" i="29" s="1"/>
  <c r="AV8" i="29" s="1"/>
  <c r="BA8" i="29" s="1"/>
  <c r="AM9" i="29"/>
  <c r="AP9" i="29" s="1"/>
  <c r="AR9" i="29" s="1"/>
  <c r="AT9" i="29" s="1"/>
  <c r="AM10" i="29"/>
  <c r="AP10" i="29" s="1"/>
  <c r="AR10" i="29" s="1"/>
  <c r="AT10" i="29" s="1"/>
  <c r="AV10" i="29" s="1"/>
  <c r="BA10" i="29" s="1"/>
  <c r="AQ4" i="29"/>
  <c r="AQ11" i="29" s="1"/>
  <c r="AR6" i="29"/>
  <c r="AT6" i="29" s="1"/>
  <c r="AV6" i="29" s="1"/>
  <c r="BA6" i="29" s="1"/>
  <c r="I38" i="27"/>
  <c r="AT5" i="27"/>
  <c r="AT6" i="27"/>
  <c r="AT7" i="27"/>
  <c r="AT11" i="27"/>
  <c r="AT8" i="27"/>
  <c r="AT9" i="27"/>
  <c r="AT10" i="27"/>
  <c r="AN9" i="28"/>
  <c r="AN10" i="28"/>
  <c r="AN8" i="28"/>
  <c r="AN11" i="28"/>
  <c r="AN6" i="28"/>
  <c r="AN7" i="28"/>
  <c r="N32" i="27"/>
  <c r="N52" i="27" s="1"/>
  <c r="AL8" i="27"/>
  <c r="AL10" i="27"/>
  <c r="AL5" i="27"/>
  <c r="AL7" i="27"/>
  <c r="AL9" i="27"/>
  <c r="AL11" i="27"/>
  <c r="AL6" i="27"/>
  <c r="AO12" i="27"/>
  <c r="N50" i="26"/>
  <c r="AL6" i="26"/>
  <c r="AN6" i="26" s="1"/>
  <c r="AP6" i="26" s="1"/>
  <c r="AR6" i="26" s="1"/>
  <c r="AT6" i="26" s="1"/>
  <c r="AL8" i="26"/>
  <c r="AN8" i="26" s="1"/>
  <c r="AP8" i="26" s="1"/>
  <c r="AR8" i="26" s="1"/>
  <c r="AT8" i="26" s="1"/>
  <c r="AL11" i="26"/>
  <c r="AN11" i="26" s="1"/>
  <c r="AP11" i="26" s="1"/>
  <c r="AR11" i="26" s="1"/>
  <c r="AT11" i="26" s="1"/>
  <c r="AL5" i="26"/>
  <c r="AN5" i="26" s="1"/>
  <c r="AL10" i="26"/>
  <c r="AN10" i="26" s="1"/>
  <c r="AP10" i="26" s="1"/>
  <c r="AR10" i="26" s="1"/>
  <c r="AT10" i="26" s="1"/>
  <c r="AL9" i="26"/>
  <c r="AN9" i="26" s="1"/>
  <c r="AP9" i="26" s="1"/>
  <c r="AR9" i="26" s="1"/>
  <c r="AT9" i="26" s="1"/>
  <c r="AO5" i="26"/>
  <c r="N32" i="26"/>
  <c r="N52" i="26" s="1"/>
  <c r="I38" i="25"/>
  <c r="C32" i="25"/>
  <c r="N35" i="25" s="1"/>
  <c r="N40" i="25" s="1"/>
  <c r="AP9" i="25"/>
  <c r="AR9" i="25" s="1"/>
  <c r="AU9" i="25" s="1"/>
  <c r="AL8" i="25"/>
  <c r="AN8" i="25" s="1"/>
  <c r="AP8" i="25" s="1"/>
  <c r="AR8" i="25" s="1"/>
  <c r="AU8" i="25" s="1"/>
  <c r="AL11" i="25"/>
  <c r="AL7" i="25"/>
  <c r="AN7" i="25" s="1"/>
  <c r="AP7" i="25" s="1"/>
  <c r="AR7" i="25" s="1"/>
  <c r="AU7" i="25" s="1"/>
  <c r="AL5" i="25"/>
  <c r="AL6" i="25"/>
  <c r="AN6" i="25" s="1"/>
  <c r="AP6" i="25" s="1"/>
  <c r="AR6" i="25" s="1"/>
  <c r="AU6" i="25" s="1"/>
  <c r="AL10" i="25"/>
  <c r="AN10" i="25" s="1"/>
  <c r="AP10" i="25" s="1"/>
  <c r="AR10" i="25" s="1"/>
  <c r="AU10" i="25" s="1"/>
  <c r="AO5" i="25"/>
  <c r="N32" i="25"/>
  <c r="I36" i="24"/>
  <c r="N25" i="24"/>
  <c r="C28" i="24"/>
  <c r="N28" i="24" s="1"/>
  <c r="AO8" i="24" s="1"/>
  <c r="C27" i="24"/>
  <c r="N27" i="24" s="1"/>
  <c r="AO7" i="24" s="1"/>
  <c r="I37" i="24"/>
  <c r="I38" i="24"/>
  <c r="N31" i="24"/>
  <c r="AO11" i="24" s="1"/>
  <c r="N30" i="24"/>
  <c r="AO10" i="24" s="1"/>
  <c r="E1" i="24"/>
  <c r="N29" i="24"/>
  <c r="AO9" i="24" s="1"/>
  <c r="N26" i="24"/>
  <c r="AO6" i="24" s="1"/>
  <c r="AO5" i="24"/>
  <c r="C32" i="24"/>
  <c r="N35" i="24" s="1"/>
  <c r="N40" i="24" s="1"/>
  <c r="AL16" i="24" s="1"/>
  <c r="N31" i="23"/>
  <c r="AO12" i="23" s="1"/>
  <c r="AL10" i="23"/>
  <c r="AN10" i="23" s="1"/>
  <c r="AP10" i="23" s="1"/>
  <c r="AR10" i="23" s="1"/>
  <c r="AU10" i="23" s="1"/>
  <c r="AL12" i="23"/>
  <c r="AN12" i="23" s="1"/>
  <c r="AP8" i="23"/>
  <c r="AR8" i="23" s="1"/>
  <c r="AU8" i="23" s="1"/>
  <c r="N28" i="23"/>
  <c r="AO9" i="23" s="1"/>
  <c r="N26" i="23"/>
  <c r="C32" i="23"/>
  <c r="O34" i="23" s="1"/>
  <c r="O39" i="23" s="1"/>
  <c r="O50" i="23" s="1"/>
  <c r="N25" i="23"/>
  <c r="AL8" i="23"/>
  <c r="AN8" i="23" s="1"/>
  <c r="AL11" i="23"/>
  <c r="AN11" i="23" s="1"/>
  <c r="AP11" i="23" s="1"/>
  <c r="AR11" i="23" s="1"/>
  <c r="AU11" i="23" s="1"/>
  <c r="AL9" i="23"/>
  <c r="AN9" i="23" s="1"/>
  <c r="AN5" i="23"/>
  <c r="AN13" i="23" s="1"/>
  <c r="AM13" i="23"/>
  <c r="AL6" i="23"/>
  <c r="AN6" i="23" s="1"/>
  <c r="O48" i="22"/>
  <c r="N27" i="22"/>
  <c r="AO8" i="22" s="1"/>
  <c r="I38" i="22"/>
  <c r="N26" i="22"/>
  <c r="E1" i="22"/>
  <c r="AL8" i="22" s="1"/>
  <c r="AN8" i="22" s="1"/>
  <c r="AP8" i="22" s="1"/>
  <c r="AR8" i="22" s="1"/>
  <c r="AU8" i="22" s="1"/>
  <c r="N31" i="22"/>
  <c r="AO12" i="22" s="1"/>
  <c r="N29" i="22"/>
  <c r="AO10" i="22" s="1"/>
  <c r="C32" i="22"/>
  <c r="O34" i="22" s="1"/>
  <c r="O39" i="22" s="1"/>
  <c r="N25" i="22"/>
  <c r="AH22" i="21"/>
  <c r="AM12" i="21"/>
  <c r="C30" i="21"/>
  <c r="N30" i="21" s="1"/>
  <c r="AO10" i="21" s="1"/>
  <c r="I37" i="21"/>
  <c r="C31" i="21"/>
  <c r="N31" i="21" s="1"/>
  <c r="AO11" i="21" s="1"/>
  <c r="I35" i="21"/>
  <c r="I38" i="21" s="1"/>
  <c r="C26" i="21"/>
  <c r="C25" i="21"/>
  <c r="C28" i="21"/>
  <c r="N28" i="21" s="1"/>
  <c r="AO8" i="21" s="1"/>
  <c r="I36" i="21"/>
  <c r="C29" i="21"/>
  <c r="C27" i="21"/>
  <c r="O48" i="21"/>
  <c r="AS12" i="21"/>
  <c r="G26" i="21"/>
  <c r="F28" i="21"/>
  <c r="J29" i="21"/>
  <c r="F30" i="21"/>
  <c r="O35" i="21"/>
  <c r="O44" i="21"/>
  <c r="F25" i="21"/>
  <c r="J26" i="21"/>
  <c r="F27" i="21"/>
  <c r="F31" i="21"/>
  <c r="J28" i="21"/>
  <c r="F29" i="21"/>
  <c r="AS12" i="20"/>
  <c r="N31" i="20"/>
  <c r="AO11" i="20" s="1"/>
  <c r="AQ12" i="20"/>
  <c r="AY16" i="20" s="1"/>
  <c r="AL8" i="20"/>
  <c r="AN8" i="20" s="1"/>
  <c r="AL9" i="20"/>
  <c r="AN7" i="20"/>
  <c r="AN9" i="20"/>
  <c r="AP9" i="20" s="1"/>
  <c r="AL5" i="20"/>
  <c r="AN5" i="20" s="1"/>
  <c r="AL10" i="20"/>
  <c r="AN10" i="20" s="1"/>
  <c r="AL6" i="20"/>
  <c r="AN6" i="20" s="1"/>
  <c r="AL11" i="20"/>
  <c r="AN11" i="20" s="1"/>
  <c r="C28" i="20"/>
  <c r="I36" i="20"/>
  <c r="I38" i="20" s="1"/>
  <c r="C29" i="20"/>
  <c r="C27" i="20"/>
  <c r="N27" i="20" s="1"/>
  <c r="AO7" i="20" s="1"/>
  <c r="AP7" i="20" s="1"/>
  <c r="AR7" i="20" s="1"/>
  <c r="AU7" i="20" s="1"/>
  <c r="BK17" i="20"/>
  <c r="L25" i="20"/>
  <c r="N25" i="20" s="1"/>
  <c r="L27" i="20"/>
  <c r="AM12" i="20"/>
  <c r="BJ21" i="20"/>
  <c r="J26" i="20"/>
  <c r="J30" i="20"/>
  <c r="N30" i="20" s="1"/>
  <c r="AO10" i="20" s="1"/>
  <c r="BJ20" i="20"/>
  <c r="N26" i="20"/>
  <c r="AO6" i="20" s="1"/>
  <c r="J28" i="20"/>
  <c r="L29" i="20"/>
  <c r="I37" i="20"/>
  <c r="BJ19" i="20"/>
  <c r="BJ22" i="20"/>
  <c r="L26" i="20"/>
  <c r="L28" i="20"/>
  <c r="L30" i="20"/>
  <c r="AS8" i="31" l="1"/>
  <c r="AT8" i="31" s="1"/>
  <c r="AV8" i="31" s="1"/>
  <c r="AS6" i="31"/>
  <c r="AT6" i="31" s="1"/>
  <c r="AV6" i="31" s="1"/>
  <c r="AS7" i="31"/>
  <c r="AT7" i="31" s="1"/>
  <c r="AV7" i="31" s="1"/>
  <c r="AS5" i="31"/>
  <c r="AT5" i="31" s="1"/>
  <c r="AV5" i="31" s="1"/>
  <c r="AS10" i="31"/>
  <c r="AT10" i="31" s="1"/>
  <c r="AV10" i="31" s="1"/>
  <c r="AR11" i="31"/>
  <c r="AV9" i="29"/>
  <c r="BA9" i="29" s="1"/>
  <c r="AR4" i="29"/>
  <c r="AT4" i="29" s="1"/>
  <c r="AM11" i="29"/>
  <c r="AP11" i="29"/>
  <c r="AN6" i="27"/>
  <c r="AP6" i="27" s="1"/>
  <c r="AY6" i="27" s="1"/>
  <c r="AZ6" i="27" s="1"/>
  <c r="AW6" i="27"/>
  <c r="AN9" i="27"/>
  <c r="AP9" i="27" s="1"/>
  <c r="AR9" i="27" s="1"/>
  <c r="AY9" i="27" s="1"/>
  <c r="AZ9" i="27" s="1"/>
  <c r="AW9" i="27"/>
  <c r="AN7" i="27"/>
  <c r="AP7" i="27" s="1"/>
  <c r="AR7" i="27" s="1"/>
  <c r="AY7" i="27" s="1"/>
  <c r="AZ7" i="27" s="1"/>
  <c r="AW7" i="27"/>
  <c r="AN11" i="27"/>
  <c r="AP11" i="27" s="1"/>
  <c r="AR11" i="27" s="1"/>
  <c r="AY11" i="27" s="1"/>
  <c r="AZ11" i="27" s="1"/>
  <c r="AW11" i="27"/>
  <c r="AN8" i="27"/>
  <c r="AP8" i="27" s="1"/>
  <c r="AR8" i="27" s="1"/>
  <c r="AY8" i="27" s="1"/>
  <c r="AZ8" i="27" s="1"/>
  <c r="AW8" i="27"/>
  <c r="AN10" i="27"/>
  <c r="AP10" i="27" s="1"/>
  <c r="AR10" i="27" s="1"/>
  <c r="AY10" i="27" s="1"/>
  <c r="AZ10" i="27" s="1"/>
  <c r="AW10" i="27"/>
  <c r="AL12" i="28"/>
  <c r="AN5" i="28"/>
  <c r="AT12" i="27"/>
  <c r="AN5" i="27"/>
  <c r="AL12" i="27"/>
  <c r="AL12" i="26"/>
  <c r="AN12" i="26"/>
  <c r="AO12" i="26"/>
  <c r="AP5" i="26"/>
  <c r="AN11" i="25"/>
  <c r="AP11" i="25" s="1"/>
  <c r="AR11" i="25" s="1"/>
  <c r="AU11" i="25" s="1"/>
  <c r="R41" i="25"/>
  <c r="R47" i="25" s="1"/>
  <c r="N50" i="25"/>
  <c r="N52" i="25" s="1"/>
  <c r="AL12" i="25"/>
  <c r="AN5" i="25"/>
  <c r="AN12" i="25" s="1"/>
  <c r="AO12" i="25"/>
  <c r="AL6" i="24"/>
  <c r="AN6" i="24" s="1"/>
  <c r="AL10" i="24"/>
  <c r="AL7" i="24"/>
  <c r="AL11" i="24"/>
  <c r="AN11" i="24" s="1"/>
  <c r="AP11" i="24" s="1"/>
  <c r="AL9" i="24"/>
  <c r="AL5" i="24"/>
  <c r="AN5" i="24" s="1"/>
  <c r="AL8" i="24"/>
  <c r="AN8" i="24" s="1"/>
  <c r="AP8" i="24" s="1"/>
  <c r="N50" i="24"/>
  <c r="AN7" i="24"/>
  <c r="AP7" i="24" s="1"/>
  <c r="AR7" i="24" s="1"/>
  <c r="AU7" i="24" s="1"/>
  <c r="AN10" i="24"/>
  <c r="AP10" i="24" s="1"/>
  <c r="AR10" i="24" s="1"/>
  <c r="AU10" i="24" s="1"/>
  <c r="N32" i="24"/>
  <c r="AP9" i="23"/>
  <c r="AR9" i="23" s="1"/>
  <c r="AU9" i="23" s="1"/>
  <c r="AP12" i="23"/>
  <c r="AR12" i="23" s="1"/>
  <c r="AU12" i="23" s="1"/>
  <c r="AO5" i="23"/>
  <c r="N32" i="23"/>
  <c r="O52" i="23" s="1"/>
  <c r="AL13" i="23"/>
  <c r="O50" i="22"/>
  <c r="AL11" i="22"/>
  <c r="AN11" i="22" s="1"/>
  <c r="AP11" i="22" s="1"/>
  <c r="AR11" i="22" s="1"/>
  <c r="AU11" i="22" s="1"/>
  <c r="AL9" i="22"/>
  <c r="AN9" i="22" s="1"/>
  <c r="AP9" i="22" s="1"/>
  <c r="AR9" i="22" s="1"/>
  <c r="AU9" i="22" s="1"/>
  <c r="AL10" i="22"/>
  <c r="AN10" i="22" s="1"/>
  <c r="AP10" i="22" s="1"/>
  <c r="AR10" i="22" s="1"/>
  <c r="AU10" i="22" s="1"/>
  <c r="AL5" i="22"/>
  <c r="AN5" i="22" s="1"/>
  <c r="AL6" i="22"/>
  <c r="AN6" i="22" s="1"/>
  <c r="AL12" i="22"/>
  <c r="AN12" i="22" s="1"/>
  <c r="AP12" i="22" s="1"/>
  <c r="AR12" i="22" s="1"/>
  <c r="AU12" i="22" s="1"/>
  <c r="AO5" i="22"/>
  <c r="O52" i="22"/>
  <c r="E1" i="21"/>
  <c r="AL11" i="21" s="1"/>
  <c r="AN11" i="21" s="1"/>
  <c r="AP11" i="21" s="1"/>
  <c r="AR11" i="21" s="1"/>
  <c r="AU11" i="21" s="1"/>
  <c r="AL10" i="21"/>
  <c r="AN10" i="21" s="1"/>
  <c r="AP10" i="21" s="1"/>
  <c r="AR10" i="21" s="1"/>
  <c r="AU10" i="21" s="1"/>
  <c r="AL5" i="21"/>
  <c r="AL9" i="21"/>
  <c r="AN9" i="21" s="1"/>
  <c r="AL6" i="21"/>
  <c r="AN6" i="21" s="1"/>
  <c r="AL8" i="21"/>
  <c r="AN8" i="21" s="1"/>
  <c r="AP8" i="21" s="1"/>
  <c r="AR8" i="21" s="1"/>
  <c r="AU8" i="21" s="1"/>
  <c r="N27" i="21"/>
  <c r="AO7" i="21" s="1"/>
  <c r="C32" i="21"/>
  <c r="O34" i="21" s="1"/>
  <c r="O39" i="21" s="1"/>
  <c r="O50" i="21" s="1"/>
  <c r="N25" i="21"/>
  <c r="N26" i="21"/>
  <c r="AO6" i="21" s="1"/>
  <c r="N29" i="21"/>
  <c r="AO9" i="21" s="1"/>
  <c r="AP10" i="20"/>
  <c r="AR10" i="20" s="1"/>
  <c r="AU10" i="20" s="1"/>
  <c r="AP6" i="20"/>
  <c r="AR6" i="20" s="1"/>
  <c r="AU6" i="20" s="1"/>
  <c r="AP11" i="20"/>
  <c r="AR11" i="20" s="1"/>
  <c r="AU11" i="20" s="1"/>
  <c r="AO5" i="20"/>
  <c r="AN12" i="20"/>
  <c r="BJ24" i="20"/>
  <c r="N29" i="20"/>
  <c r="AO9" i="20" s="1"/>
  <c r="AR9" i="20" s="1"/>
  <c r="AU9" i="20" s="1"/>
  <c r="N28" i="20"/>
  <c r="AO8" i="20" s="1"/>
  <c r="AP8" i="20" s="1"/>
  <c r="AR8" i="20" s="1"/>
  <c r="AU8" i="20" s="1"/>
  <c r="AL12" i="20"/>
  <c r="C32" i="20"/>
  <c r="AS9" i="31" l="1"/>
  <c r="AT9" i="31" s="1"/>
  <c r="AR11" i="29"/>
  <c r="AT11" i="29" s="1"/>
  <c r="AV4" i="29"/>
  <c r="BA4" i="29" s="1"/>
  <c r="AW12" i="27"/>
  <c r="AN12" i="28"/>
  <c r="AN12" i="27"/>
  <c r="AP5" i="27"/>
  <c r="AR5" i="26"/>
  <c r="AT5" i="26" s="1"/>
  <c r="AP12" i="26"/>
  <c r="AR12" i="26" s="1"/>
  <c r="R44" i="25"/>
  <c r="R42" i="25"/>
  <c r="AP5" i="25"/>
  <c r="AP12" i="25" s="1"/>
  <c r="AR12" i="25" s="1"/>
  <c r="N52" i="24"/>
  <c r="AR8" i="24"/>
  <c r="AU8" i="24" s="1"/>
  <c r="AR11" i="24"/>
  <c r="AU11" i="24" s="1"/>
  <c r="AN9" i="24"/>
  <c r="AN12" i="24" s="1"/>
  <c r="AL12" i="24"/>
  <c r="AP5" i="24"/>
  <c r="AP6" i="24"/>
  <c r="AP5" i="23"/>
  <c r="AO6" i="23"/>
  <c r="AP6" i="23" s="1"/>
  <c r="AR6" i="23" s="1"/>
  <c r="AU6" i="23" s="1"/>
  <c r="AO6" i="22"/>
  <c r="AO7" i="22" s="1"/>
  <c r="AN13" i="22"/>
  <c r="AL13" i="22"/>
  <c r="AP5" i="22"/>
  <c r="AL7" i="21"/>
  <c r="AN7" i="21" s="1"/>
  <c r="AP7" i="21" s="1"/>
  <c r="AR7" i="21" s="1"/>
  <c r="AU7" i="21" s="1"/>
  <c r="AP9" i="21"/>
  <c r="AR9" i="21" s="1"/>
  <c r="AU9" i="21" s="1"/>
  <c r="AP6" i="21"/>
  <c r="AR6" i="21" s="1"/>
  <c r="AU6" i="21" s="1"/>
  <c r="N32" i="21"/>
  <c r="O52" i="21" s="1"/>
  <c r="AO5" i="21"/>
  <c r="AL12" i="21"/>
  <c r="AN5" i="21"/>
  <c r="AN12" i="21" s="1"/>
  <c r="N32" i="20"/>
  <c r="O52" i="20" s="1"/>
  <c r="AP5" i="20"/>
  <c r="AO12" i="20"/>
  <c r="AY15" i="20"/>
  <c r="AU14" i="29" l="1"/>
  <c r="AS4" i="31"/>
  <c r="AV11" i="29"/>
  <c r="BA11" i="29" s="1"/>
  <c r="AU15" i="29"/>
  <c r="AP12" i="27"/>
  <c r="AR12" i="27" s="1"/>
  <c r="AR5" i="27"/>
  <c r="AY5" i="27" s="1"/>
  <c r="AZ5" i="27" s="1"/>
  <c r="AT12" i="26"/>
  <c r="AS16" i="26"/>
  <c r="AS17" i="26" s="1"/>
  <c r="AS15" i="26"/>
  <c r="AL18" i="26"/>
  <c r="R43" i="25"/>
  <c r="R46" i="25"/>
  <c r="R48" i="25" s="1"/>
  <c r="AR5" i="25"/>
  <c r="AU5" i="25" s="1"/>
  <c r="AP9" i="24"/>
  <c r="AR9" i="24" s="1"/>
  <c r="AU9" i="24" s="1"/>
  <c r="AO12" i="24"/>
  <c r="AO7" i="23"/>
  <c r="AP7" i="23" s="1"/>
  <c r="AR7" i="23" s="1"/>
  <c r="AU7" i="23" s="1"/>
  <c r="AO13" i="23"/>
  <c r="AP13" i="23"/>
  <c r="AR13" i="23" s="1"/>
  <c r="AR5" i="23"/>
  <c r="AU5" i="23" s="1"/>
  <c r="AP6" i="22"/>
  <c r="AR6" i="22" s="1"/>
  <c r="AU6" i="22" s="1"/>
  <c r="AP7" i="22"/>
  <c r="AR7" i="22" s="1"/>
  <c r="AU7" i="22" s="1"/>
  <c r="AO13" i="22"/>
  <c r="AR5" i="22"/>
  <c r="AU5" i="22" s="1"/>
  <c r="AO12" i="21"/>
  <c r="AP5" i="21"/>
  <c r="AY17" i="20"/>
  <c r="BA19" i="20"/>
  <c r="AR5" i="20"/>
  <c r="AU5" i="20" s="1"/>
  <c r="AU12" i="20" s="1"/>
  <c r="AY20" i="20" s="1"/>
  <c r="AY22" i="20" s="1"/>
  <c r="AP12" i="20"/>
  <c r="AM16" i="29" l="1"/>
  <c r="AM17" i="29" s="1"/>
  <c r="AU16" i="29"/>
  <c r="AT4" i="31"/>
  <c r="AS11" i="31"/>
  <c r="AT11" i="31" s="1"/>
  <c r="AM21" i="29"/>
  <c r="AM20" i="29"/>
  <c r="AS16" i="27"/>
  <c r="AS15" i="27"/>
  <c r="AL17" i="27" s="1"/>
  <c r="AL18" i="27" s="1"/>
  <c r="AZ12" i="27"/>
  <c r="AY12" i="27"/>
  <c r="AT14" i="26"/>
  <c r="AT15" i="26"/>
  <c r="AL23" i="26"/>
  <c r="AL25" i="26" s="1"/>
  <c r="AU12" i="25"/>
  <c r="AL18" i="25"/>
  <c r="AU13" i="23"/>
  <c r="AY20" i="23" s="1"/>
  <c r="AY22" i="23" s="1"/>
  <c r="AR5" i="24"/>
  <c r="AU5" i="24" s="1"/>
  <c r="AQ12" i="24"/>
  <c r="AL18" i="24" s="1"/>
  <c r="AR6" i="24"/>
  <c r="AU6" i="24" s="1"/>
  <c r="AP12" i="24"/>
  <c r="AP13" i="22"/>
  <c r="AR13" i="22" s="1"/>
  <c r="AU13" i="22"/>
  <c r="AY20" i="22" s="1"/>
  <c r="AY22" i="22" s="1"/>
  <c r="AP12" i="21"/>
  <c r="AR12" i="21" s="1"/>
  <c r="AR5" i="21"/>
  <c r="AU5" i="21" s="1"/>
  <c r="AU12" i="21" s="1"/>
  <c r="AY20" i="21" s="1"/>
  <c r="AY22" i="21" s="1"/>
  <c r="AS6" i="15"/>
  <c r="AS7" i="15"/>
  <c r="AV4" i="31" l="1"/>
  <c r="AM22" i="29"/>
  <c r="AM24" i="29" s="1"/>
  <c r="AS17" i="27"/>
  <c r="AL21" i="27"/>
  <c r="AL22" i="27"/>
  <c r="AQ18" i="24"/>
  <c r="AS18" i="24" s="1"/>
  <c r="AU12" i="24"/>
  <c r="AR12" i="24"/>
  <c r="F8" i="17"/>
  <c r="F7" i="17"/>
  <c r="F9" i="17" s="1"/>
  <c r="E5" i="17"/>
  <c r="C5" i="17"/>
  <c r="B5" i="17"/>
  <c r="D4" i="17"/>
  <c r="F4" i="17" s="1"/>
  <c r="D3" i="17"/>
  <c r="F3" i="17" s="1"/>
  <c r="D2" i="17"/>
  <c r="F2" i="17" s="1"/>
  <c r="K7" i="16"/>
  <c r="K5" i="16"/>
  <c r="AW15" i="15"/>
  <c r="AU11" i="15"/>
  <c r="AU12" i="15"/>
  <c r="AL14" i="12"/>
  <c r="AH28" i="15"/>
  <c r="AU15" i="31" l="1"/>
  <c r="AY14" i="31" s="1"/>
  <c r="AU14" i="31"/>
  <c r="AX15" i="31" s="1"/>
  <c r="AV11" i="31"/>
  <c r="B7" i="30" s="1" a="1"/>
  <c r="AL23" i="27"/>
  <c r="AL25" i="27" s="1"/>
  <c r="AL21" i="24"/>
  <c r="AL23" i="24" s="1"/>
  <c r="AL25" i="24" s="1"/>
  <c r="F5" i="17"/>
  <c r="D5" i="17"/>
  <c r="C5" i="16"/>
  <c r="D5" i="16"/>
  <c r="E5" i="16"/>
  <c r="F5" i="16"/>
  <c r="B5" i="16"/>
  <c r="D4" i="16"/>
  <c r="F4" i="16" s="1"/>
  <c r="D3" i="16"/>
  <c r="F3" i="16" s="1"/>
  <c r="D2" i="16"/>
  <c r="F2" i="16" s="1"/>
  <c r="AS13" i="12"/>
  <c r="F8" i="16"/>
  <c r="F7" i="16"/>
  <c r="F9" i="16" s="1"/>
  <c r="AR20" i="12"/>
  <c r="AR18" i="12"/>
  <c r="AS10" i="15"/>
  <c r="AS9" i="15"/>
  <c r="AO7" i="15"/>
  <c r="AM7" i="15"/>
  <c r="AQ13" i="15"/>
  <c r="AQ12" i="15"/>
  <c r="AQ11" i="15"/>
  <c r="AQ10" i="15"/>
  <c r="AQ9" i="15"/>
  <c r="AQ8" i="15"/>
  <c r="AQ6" i="15"/>
  <c r="AQ5" i="15"/>
  <c r="D31" i="15"/>
  <c r="N31" i="15" s="1"/>
  <c r="N41" i="15" s="1"/>
  <c r="O59" i="15" s="1"/>
  <c r="O58" i="15"/>
  <c r="N33" i="15"/>
  <c r="M33" i="15"/>
  <c r="F31" i="15"/>
  <c r="G31" i="15"/>
  <c r="H31" i="15"/>
  <c r="I31" i="15"/>
  <c r="J31" i="15"/>
  <c r="K31" i="15"/>
  <c r="C33" i="15"/>
  <c r="G44" i="15"/>
  <c r="G45" i="15"/>
  <c r="G46" i="15"/>
  <c r="AH27" i="15"/>
  <c r="AH14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C15" i="15"/>
  <c r="AY15" i="31" l="1"/>
  <c r="B7" i="30"/>
  <c r="D4" i="30"/>
  <c r="AU16" i="31"/>
  <c r="AL23" i="25"/>
  <c r="K5" i="17"/>
  <c r="K7" i="17" s="1"/>
  <c r="H5" i="17"/>
  <c r="H7" i="17" s="1"/>
  <c r="H5" i="16"/>
  <c r="H7" i="16" s="1"/>
  <c r="O55" i="15"/>
  <c r="O52" i="15"/>
  <c r="O51" i="15"/>
  <c r="D47" i="15"/>
  <c r="F46" i="15"/>
  <c r="H46" i="15" s="1"/>
  <c r="F45" i="15"/>
  <c r="H45" i="15" s="1"/>
  <c r="F44" i="15"/>
  <c r="H44" i="15" s="1"/>
  <c r="L41" i="15"/>
  <c r="L39" i="15" s="1"/>
  <c r="K41" i="15"/>
  <c r="K39" i="15" s="1"/>
  <c r="J41" i="15"/>
  <c r="O47" i="15" s="1"/>
  <c r="G41" i="15"/>
  <c r="G40" i="15" s="1"/>
  <c r="F41" i="15"/>
  <c r="O53" i="15" s="1"/>
  <c r="M40" i="15"/>
  <c r="K40" i="15"/>
  <c r="J40" i="15"/>
  <c r="I40" i="15"/>
  <c r="H40" i="15"/>
  <c r="D40" i="15"/>
  <c r="M39" i="15"/>
  <c r="J39" i="15"/>
  <c r="I39" i="15"/>
  <c r="H39" i="15"/>
  <c r="G39" i="15"/>
  <c r="D39" i="15"/>
  <c r="AY38" i="15"/>
  <c r="M38" i="15"/>
  <c r="L38" i="15"/>
  <c r="K38" i="15"/>
  <c r="J38" i="15"/>
  <c r="I38" i="15"/>
  <c r="H38" i="15"/>
  <c r="G38" i="15"/>
  <c r="F38" i="15"/>
  <c r="E38" i="15"/>
  <c r="M37" i="15"/>
  <c r="L37" i="15"/>
  <c r="K37" i="15"/>
  <c r="J37" i="15"/>
  <c r="I37" i="15"/>
  <c r="H37" i="15"/>
  <c r="G37" i="15"/>
  <c r="F37" i="15"/>
  <c r="E37" i="15"/>
  <c r="M36" i="15"/>
  <c r="K36" i="15"/>
  <c r="J36" i="15"/>
  <c r="I36" i="15"/>
  <c r="H36" i="15"/>
  <c r="G36" i="15"/>
  <c r="E36" i="15"/>
  <c r="D36" i="15"/>
  <c r="M35" i="15"/>
  <c r="J35" i="15"/>
  <c r="I35" i="15"/>
  <c r="H35" i="15"/>
  <c r="G35" i="15"/>
  <c r="E35" i="15"/>
  <c r="D35" i="15"/>
  <c r="AY34" i="15"/>
  <c r="M34" i="15"/>
  <c r="K34" i="15"/>
  <c r="J34" i="15"/>
  <c r="I34" i="15"/>
  <c r="H34" i="15"/>
  <c r="G34" i="15"/>
  <c r="F34" i="15"/>
  <c r="E34" i="15"/>
  <c r="D34" i="15"/>
  <c r="M32" i="15"/>
  <c r="K32" i="15"/>
  <c r="J32" i="15"/>
  <c r="I32" i="15"/>
  <c r="H32" i="15"/>
  <c r="G32" i="15"/>
  <c r="F32" i="15"/>
  <c r="E32" i="15"/>
  <c r="D32" i="15"/>
  <c r="AY31" i="15"/>
  <c r="E31" i="15"/>
  <c r="AH26" i="15"/>
  <c r="AM14" i="15" s="1"/>
  <c r="AH25" i="15"/>
  <c r="AM13" i="15" s="1"/>
  <c r="AH24" i="15"/>
  <c r="AM12" i="15" s="1"/>
  <c r="AH23" i="15"/>
  <c r="AM11" i="15" s="1"/>
  <c r="AH22" i="15"/>
  <c r="AH21" i="15"/>
  <c r="AM9" i="15" s="1"/>
  <c r="BK20" i="15"/>
  <c r="BJ20" i="15"/>
  <c r="BJ25" i="15" s="1"/>
  <c r="AH20" i="15"/>
  <c r="AH19" i="15"/>
  <c r="AM6" i="15" s="1"/>
  <c r="AH18" i="15"/>
  <c r="AM5" i="15" s="1"/>
  <c r="AH13" i="15"/>
  <c r="AH12" i="15"/>
  <c r="AH11" i="15"/>
  <c r="AH15" i="15" s="1"/>
  <c r="E1" i="15" s="1"/>
  <c r="AL7" i="15" s="1"/>
  <c r="AN7" i="15" s="1"/>
  <c r="AP7" i="15" s="1"/>
  <c r="AR7" i="15" s="1"/>
  <c r="AU7" i="15" s="1"/>
  <c r="AH10" i="15"/>
  <c r="AM10" i="15"/>
  <c r="AH9" i="15"/>
  <c r="AH8" i="15"/>
  <c r="AH7" i="15"/>
  <c r="AH6" i="15"/>
  <c r="AH5" i="15"/>
  <c r="O52" i="14"/>
  <c r="O49" i="14"/>
  <c r="O48" i="14"/>
  <c r="D44" i="14"/>
  <c r="O43" i="14"/>
  <c r="G43" i="14"/>
  <c r="F43" i="14"/>
  <c r="H43" i="14" s="1"/>
  <c r="O42" i="14"/>
  <c r="G42" i="14"/>
  <c r="F42" i="14"/>
  <c r="H42" i="14" s="1"/>
  <c r="G41" i="14"/>
  <c r="F41" i="14"/>
  <c r="H41" i="14" s="1"/>
  <c r="L38" i="14"/>
  <c r="L36" i="14" s="1"/>
  <c r="K38" i="14"/>
  <c r="J38" i="14"/>
  <c r="O44" i="14" s="1"/>
  <c r="G38" i="14"/>
  <c r="G30" i="14" s="1"/>
  <c r="F38" i="14"/>
  <c r="O50" i="14" s="1"/>
  <c r="M37" i="14"/>
  <c r="L37" i="14"/>
  <c r="K37" i="14"/>
  <c r="J37" i="14"/>
  <c r="I37" i="14"/>
  <c r="H37" i="14"/>
  <c r="F37" i="14"/>
  <c r="D37" i="14"/>
  <c r="M36" i="14"/>
  <c r="K36" i="14"/>
  <c r="I36" i="14"/>
  <c r="H36" i="14"/>
  <c r="G36" i="14"/>
  <c r="D36" i="14"/>
  <c r="AY35" i="14"/>
  <c r="M35" i="14"/>
  <c r="L35" i="14"/>
  <c r="K35" i="14"/>
  <c r="J35" i="14"/>
  <c r="I35" i="14"/>
  <c r="H35" i="14"/>
  <c r="G35" i="14"/>
  <c r="F35" i="14"/>
  <c r="E35" i="14"/>
  <c r="N35" i="14" s="1"/>
  <c r="AO11" i="14" s="1"/>
  <c r="M34" i="14"/>
  <c r="L34" i="14"/>
  <c r="K34" i="14"/>
  <c r="J34" i="14"/>
  <c r="I34" i="14"/>
  <c r="H34" i="14"/>
  <c r="G34" i="14"/>
  <c r="F34" i="14"/>
  <c r="E34" i="14"/>
  <c r="N34" i="14" s="1"/>
  <c r="AO10" i="14" s="1"/>
  <c r="M33" i="14"/>
  <c r="K33" i="14"/>
  <c r="J33" i="14"/>
  <c r="I33" i="14"/>
  <c r="H33" i="14"/>
  <c r="G33" i="14"/>
  <c r="F33" i="14"/>
  <c r="E33" i="14"/>
  <c r="D33" i="14"/>
  <c r="M32" i="14"/>
  <c r="J32" i="14"/>
  <c r="I32" i="14"/>
  <c r="H32" i="14"/>
  <c r="G32" i="14"/>
  <c r="F32" i="14"/>
  <c r="E32" i="14"/>
  <c r="D32" i="14"/>
  <c r="AY31" i="14"/>
  <c r="M31" i="14"/>
  <c r="K31" i="14"/>
  <c r="J31" i="14"/>
  <c r="I31" i="14"/>
  <c r="H31" i="14"/>
  <c r="G31" i="14"/>
  <c r="F31" i="14"/>
  <c r="E31" i="14"/>
  <c r="D31" i="14"/>
  <c r="M30" i="14"/>
  <c r="K30" i="14"/>
  <c r="J30" i="14"/>
  <c r="I30" i="14"/>
  <c r="H30" i="14"/>
  <c r="F30" i="14"/>
  <c r="E30" i="14"/>
  <c r="D30" i="14"/>
  <c r="AY29" i="14"/>
  <c r="M29" i="14"/>
  <c r="K29" i="14"/>
  <c r="J29" i="14"/>
  <c r="I29" i="14"/>
  <c r="H29" i="14"/>
  <c r="F29" i="14"/>
  <c r="E29" i="14"/>
  <c r="D29" i="14"/>
  <c r="BJ25" i="14"/>
  <c r="AH25" i="14"/>
  <c r="BJ24" i="14"/>
  <c r="AH24" i="14"/>
  <c r="BJ23" i="14"/>
  <c r="AH23" i="14"/>
  <c r="AH22" i="14"/>
  <c r="BJ21" i="14"/>
  <c r="BJ26" i="14" s="1"/>
  <c r="AH21" i="14"/>
  <c r="AH20" i="14"/>
  <c r="BK19" i="14"/>
  <c r="BJ19" i="14"/>
  <c r="BJ22" i="14" s="1"/>
  <c r="AH19" i="14"/>
  <c r="AH18" i="14"/>
  <c r="AH17" i="14"/>
  <c r="AH26" i="14" s="1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AQ13" i="14"/>
  <c r="AM13" i="14"/>
  <c r="AH13" i="14"/>
  <c r="AQ12" i="14"/>
  <c r="AM12" i="14"/>
  <c r="AH12" i="14"/>
  <c r="AQ11" i="14"/>
  <c r="AM11" i="14"/>
  <c r="AH11" i="14"/>
  <c r="AQ10" i="14"/>
  <c r="AM10" i="14"/>
  <c r="AH10" i="14"/>
  <c r="AS9" i="14"/>
  <c r="AQ9" i="14"/>
  <c r="AM9" i="14"/>
  <c r="AH9" i="14"/>
  <c r="AW8" i="14"/>
  <c r="AW14" i="14" s="1"/>
  <c r="AS8" i="14"/>
  <c r="AQ8" i="14"/>
  <c r="AM8" i="14"/>
  <c r="AH8" i="14"/>
  <c r="AW7" i="14"/>
  <c r="AS7" i="14"/>
  <c r="AQ7" i="14"/>
  <c r="AM7" i="14"/>
  <c r="AH7" i="14"/>
  <c r="AS6" i="14"/>
  <c r="AS14" i="14" s="1"/>
  <c r="AQ6" i="14"/>
  <c r="AM6" i="14"/>
  <c r="AH6" i="14"/>
  <c r="AQ5" i="14"/>
  <c r="AQ14" i="14" s="1"/>
  <c r="AY18" i="14" s="1"/>
  <c r="AM5" i="14"/>
  <c r="AH5" i="14"/>
  <c r="AH14" i="14" s="1"/>
  <c r="AL25" i="25" l="1"/>
  <c r="C32" i="15"/>
  <c r="AS16" i="15"/>
  <c r="BJ26" i="15"/>
  <c r="L40" i="15"/>
  <c r="F35" i="15"/>
  <c r="F36" i="15"/>
  <c r="F40" i="15"/>
  <c r="F39" i="15"/>
  <c r="N37" i="15"/>
  <c r="AO11" i="15" s="1"/>
  <c r="N38" i="15"/>
  <c r="AO12" i="15" s="1"/>
  <c r="I44" i="15"/>
  <c r="AM8" i="15"/>
  <c r="AM16" i="15" s="1"/>
  <c r="C40" i="15"/>
  <c r="N40" i="15" s="1"/>
  <c r="AO14" i="15" s="1"/>
  <c r="C39" i="15"/>
  <c r="N39" i="15" s="1"/>
  <c r="AO13" i="15" s="1"/>
  <c r="I46" i="15"/>
  <c r="N32" i="15"/>
  <c r="AO6" i="15" s="1"/>
  <c r="I45" i="15"/>
  <c r="C36" i="15"/>
  <c r="C34" i="15"/>
  <c r="C35" i="15"/>
  <c r="BJ23" i="15"/>
  <c r="L32" i="15"/>
  <c r="L35" i="15"/>
  <c r="O44" i="15"/>
  <c r="BJ24" i="15"/>
  <c r="L31" i="15"/>
  <c r="O54" i="15"/>
  <c r="O56" i="15" s="1"/>
  <c r="L34" i="15"/>
  <c r="L36" i="15"/>
  <c r="BJ22" i="15"/>
  <c r="BJ28" i="15" s="1"/>
  <c r="C36" i="14"/>
  <c r="I43" i="14"/>
  <c r="C37" i="14"/>
  <c r="AL11" i="14"/>
  <c r="AN11" i="14" s="1"/>
  <c r="AP11" i="14" s="1"/>
  <c r="AR11" i="14" s="1"/>
  <c r="AU11" i="14" s="1"/>
  <c r="C29" i="14"/>
  <c r="I41" i="14"/>
  <c r="C30" i="14"/>
  <c r="E1" i="14"/>
  <c r="AL13" i="14" s="1"/>
  <c r="AN13" i="14" s="1"/>
  <c r="AL9" i="14"/>
  <c r="AN9" i="14" s="1"/>
  <c r="I42" i="14"/>
  <c r="C33" i="14"/>
  <c r="N33" i="14" s="1"/>
  <c r="AO9" i="14" s="1"/>
  <c r="C31" i="14"/>
  <c r="N31" i="14" s="1"/>
  <c r="AO7" i="14" s="1"/>
  <c r="C32" i="14"/>
  <c r="N32" i="14" s="1"/>
  <c r="AO8" i="14" s="1"/>
  <c r="O53" i="14"/>
  <c r="G29" i="14"/>
  <c r="F36" i="14"/>
  <c r="AM14" i="14"/>
  <c r="L30" i="14"/>
  <c r="L32" i="14"/>
  <c r="O41" i="14"/>
  <c r="J36" i="14"/>
  <c r="G37" i="14"/>
  <c r="L29" i="14"/>
  <c r="O51" i="14"/>
  <c r="L31" i="14"/>
  <c r="L33" i="14"/>
  <c r="D17" i="2"/>
  <c r="D21" i="2"/>
  <c r="AW7" i="12"/>
  <c r="AW8" i="12"/>
  <c r="AS8" i="12"/>
  <c r="AS7" i="12"/>
  <c r="N36" i="15" l="1"/>
  <c r="AO10" i="15" s="1"/>
  <c r="AN12" i="15"/>
  <c r="AP12" i="15" s="1"/>
  <c r="AR12" i="15" s="1"/>
  <c r="I47" i="15"/>
  <c r="AL13" i="15"/>
  <c r="AN13" i="15" s="1"/>
  <c r="AP13" i="15" s="1"/>
  <c r="AR13" i="15" s="1"/>
  <c r="AL5" i="15"/>
  <c r="AO5" i="15"/>
  <c r="C41" i="15"/>
  <c r="O43" i="15" s="1"/>
  <c r="O48" i="15" s="1"/>
  <c r="N35" i="15"/>
  <c r="AO9" i="15" s="1"/>
  <c r="N34" i="15"/>
  <c r="AO8" i="15" s="1"/>
  <c r="AL11" i="15"/>
  <c r="AN11" i="15" s="1"/>
  <c r="AP11" i="15" s="1"/>
  <c r="AR11" i="15" s="1"/>
  <c r="AL8" i="15"/>
  <c r="AN8" i="15" s="1"/>
  <c r="AL10" i="15"/>
  <c r="AN10" i="15" s="1"/>
  <c r="AP10" i="15" s="1"/>
  <c r="AP9" i="14"/>
  <c r="AR9" i="14" s="1"/>
  <c r="AU9" i="14" s="1"/>
  <c r="N37" i="14"/>
  <c r="AO13" i="14" s="1"/>
  <c r="AP13" i="14" s="1"/>
  <c r="AR13" i="14" s="1"/>
  <c r="N36" i="14"/>
  <c r="AO12" i="14" s="1"/>
  <c r="AP12" i="14" s="1"/>
  <c r="AR12" i="14" s="1"/>
  <c r="N30" i="14"/>
  <c r="AO6" i="14" s="1"/>
  <c r="AP6" i="14" s="1"/>
  <c r="AR6" i="14" s="1"/>
  <c r="AU6" i="14" s="1"/>
  <c r="AP7" i="14"/>
  <c r="AR7" i="14" s="1"/>
  <c r="AU7" i="14" s="1"/>
  <c r="AL5" i="14"/>
  <c r="AL8" i="14"/>
  <c r="AN8" i="14" s="1"/>
  <c r="AP8" i="14" s="1"/>
  <c r="AR8" i="14" s="1"/>
  <c r="AU8" i="14" s="1"/>
  <c r="I44" i="14"/>
  <c r="AL12" i="14"/>
  <c r="AN12" i="14" s="1"/>
  <c r="AL6" i="14"/>
  <c r="AN6" i="14" s="1"/>
  <c r="AL7" i="14"/>
  <c r="AN7" i="14" s="1"/>
  <c r="N29" i="14"/>
  <c r="C38" i="14"/>
  <c r="O40" i="14" s="1"/>
  <c r="O45" i="14" s="1"/>
  <c r="AL10" i="14"/>
  <c r="AN10" i="14" s="1"/>
  <c r="AP10" i="14" s="1"/>
  <c r="AR10" i="14" s="1"/>
  <c r="AU10" i="14" s="1"/>
  <c r="AU17" i="12"/>
  <c r="AU16" i="12"/>
  <c r="AO12" i="12"/>
  <c r="AS6" i="12"/>
  <c r="AN5" i="15" l="1"/>
  <c r="AP5" i="15" s="1"/>
  <c r="AR10" i="15"/>
  <c r="AU10" i="15" s="1"/>
  <c r="AL9" i="15"/>
  <c r="AN9" i="15" s="1"/>
  <c r="AP9" i="15" s="1"/>
  <c r="AR9" i="15" s="1"/>
  <c r="AU9" i="15" s="1"/>
  <c r="AL14" i="15"/>
  <c r="AN14" i="15" s="1"/>
  <c r="AP14" i="15" s="1"/>
  <c r="AL6" i="15"/>
  <c r="AN6" i="15" s="1"/>
  <c r="AP6" i="15" s="1"/>
  <c r="AR6" i="15" s="1"/>
  <c r="AU6" i="15" s="1"/>
  <c r="AU13" i="15"/>
  <c r="AY18" i="15"/>
  <c r="O41" i="15"/>
  <c r="P50" i="15"/>
  <c r="AP8" i="15"/>
  <c r="AR8" i="15" s="1"/>
  <c r="AU8" i="15" s="1"/>
  <c r="AO16" i="15"/>
  <c r="AY17" i="14"/>
  <c r="O38" i="14"/>
  <c r="P47" i="14"/>
  <c r="AU12" i="14"/>
  <c r="AU16" i="14"/>
  <c r="AL14" i="14"/>
  <c r="AN5" i="14"/>
  <c r="AN14" i="14" s="1"/>
  <c r="AU13" i="14"/>
  <c r="AU17" i="14"/>
  <c r="AO5" i="14"/>
  <c r="N38" i="14"/>
  <c r="P38" i="14" s="1"/>
  <c r="AH5" i="12"/>
  <c r="C14" i="12"/>
  <c r="AQ14" i="12"/>
  <c r="AO14" i="12"/>
  <c r="AS9" i="12"/>
  <c r="AQ12" i="12"/>
  <c r="AQ13" i="12"/>
  <c r="AQ10" i="12"/>
  <c r="AQ11" i="12"/>
  <c r="AQ6" i="12"/>
  <c r="AQ7" i="12"/>
  <c r="AQ8" i="12"/>
  <c r="AQ9" i="12"/>
  <c r="AQ5" i="12"/>
  <c r="AO13" i="12"/>
  <c r="AM13" i="12"/>
  <c r="AM12" i="12"/>
  <c r="P38" i="12"/>
  <c r="N38" i="12"/>
  <c r="P47" i="12"/>
  <c r="L38" i="12"/>
  <c r="G38" i="12"/>
  <c r="F38" i="12"/>
  <c r="C38" i="12"/>
  <c r="G35" i="12"/>
  <c r="H35" i="12"/>
  <c r="I35" i="12"/>
  <c r="J35" i="12"/>
  <c r="K35" i="12"/>
  <c r="L35" i="12"/>
  <c r="M35" i="12"/>
  <c r="G34" i="12"/>
  <c r="H34" i="12"/>
  <c r="I34" i="12"/>
  <c r="J34" i="12"/>
  <c r="K34" i="12"/>
  <c r="L34" i="12"/>
  <c r="M34" i="12"/>
  <c r="F34" i="12"/>
  <c r="F35" i="12"/>
  <c r="AH26" i="12"/>
  <c r="AH22" i="12"/>
  <c r="AH23" i="12"/>
  <c r="AH24" i="12"/>
  <c r="AH25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2" i="12"/>
  <c r="AH13" i="12"/>
  <c r="O49" i="13"/>
  <c r="O46" i="13"/>
  <c r="O45" i="13"/>
  <c r="D41" i="13"/>
  <c r="O40" i="13"/>
  <c r="G40" i="13"/>
  <c r="F40" i="13"/>
  <c r="H40" i="13" s="1"/>
  <c r="O39" i="13"/>
  <c r="G39" i="13"/>
  <c r="F39" i="13"/>
  <c r="H39" i="13" s="1"/>
  <c r="O38" i="13"/>
  <c r="H38" i="13"/>
  <c r="I38" i="13" s="1"/>
  <c r="G38" i="13"/>
  <c r="F38" i="13"/>
  <c r="AY35" i="13"/>
  <c r="L35" i="13"/>
  <c r="L31" i="13" s="1"/>
  <c r="K35" i="13"/>
  <c r="K30" i="13" s="1"/>
  <c r="J35" i="13"/>
  <c r="O41" i="13" s="1"/>
  <c r="G35" i="13"/>
  <c r="F35" i="13"/>
  <c r="O47" i="13" s="1"/>
  <c r="M32" i="13"/>
  <c r="K32" i="13"/>
  <c r="J32" i="13"/>
  <c r="I32" i="13"/>
  <c r="H32" i="13"/>
  <c r="G32" i="13"/>
  <c r="F32" i="13"/>
  <c r="E32" i="13"/>
  <c r="D32" i="13"/>
  <c r="M31" i="13"/>
  <c r="K31" i="13"/>
  <c r="J31" i="13"/>
  <c r="I31" i="13"/>
  <c r="H31" i="13"/>
  <c r="G31" i="13"/>
  <c r="F31" i="13"/>
  <c r="E31" i="13"/>
  <c r="D31" i="13"/>
  <c r="M30" i="13"/>
  <c r="J30" i="13"/>
  <c r="I30" i="13"/>
  <c r="H30" i="13"/>
  <c r="G30" i="13"/>
  <c r="F30" i="13"/>
  <c r="E30" i="13"/>
  <c r="D30" i="13"/>
  <c r="AY29" i="13"/>
  <c r="AY31" i="13" s="1"/>
  <c r="M29" i="13"/>
  <c r="L29" i="13"/>
  <c r="I29" i="13"/>
  <c r="H29" i="13"/>
  <c r="G29" i="13"/>
  <c r="F29" i="13"/>
  <c r="E29" i="13"/>
  <c r="D29" i="13"/>
  <c r="M28" i="13"/>
  <c r="J28" i="13"/>
  <c r="I28" i="13"/>
  <c r="H28" i="13"/>
  <c r="G28" i="13"/>
  <c r="F28" i="13"/>
  <c r="E28" i="13"/>
  <c r="D28" i="13"/>
  <c r="M27" i="13"/>
  <c r="K27" i="13"/>
  <c r="I27" i="13"/>
  <c r="H27" i="13"/>
  <c r="G27" i="13"/>
  <c r="F27" i="13"/>
  <c r="E27" i="13"/>
  <c r="D27" i="13"/>
  <c r="C27" i="13"/>
  <c r="M26" i="13"/>
  <c r="K26" i="13"/>
  <c r="J26" i="13"/>
  <c r="I26" i="13"/>
  <c r="H26" i="13"/>
  <c r="G26" i="13"/>
  <c r="F26" i="13"/>
  <c r="E26" i="13"/>
  <c r="D26" i="13"/>
  <c r="BJ25" i="13"/>
  <c r="BJ24" i="13"/>
  <c r="BJ23" i="13"/>
  <c r="AH23" i="13"/>
  <c r="AH22" i="13"/>
  <c r="AM10" i="13" s="1"/>
  <c r="BJ21" i="13"/>
  <c r="AH21" i="13"/>
  <c r="AH20" i="13"/>
  <c r="BK19" i="13"/>
  <c r="BJ19" i="13"/>
  <c r="BJ22" i="13" s="1"/>
  <c r="AH19" i="13"/>
  <c r="AH18" i="13"/>
  <c r="AM6" i="13" s="1"/>
  <c r="AH17" i="13"/>
  <c r="AH24" i="13" s="1"/>
  <c r="E1" i="13" s="1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AQ11" i="13"/>
  <c r="AM11" i="13"/>
  <c r="AH11" i="13"/>
  <c r="AL11" i="13" s="1"/>
  <c r="AN11" i="13" s="1"/>
  <c r="AQ10" i="13"/>
  <c r="AH10" i="13"/>
  <c r="AS9" i="13"/>
  <c r="AQ9" i="13"/>
  <c r="AM9" i="13"/>
  <c r="AH9" i="13"/>
  <c r="AS8" i="13"/>
  <c r="AQ8" i="13"/>
  <c r="AM8" i="13"/>
  <c r="AH8" i="13"/>
  <c r="AL8" i="13" s="1"/>
  <c r="AQ7" i="13"/>
  <c r="AM7" i="13"/>
  <c r="AH7" i="13"/>
  <c r="AW6" i="13"/>
  <c r="AW14" i="13" s="1"/>
  <c r="AS6" i="13"/>
  <c r="AQ6" i="13"/>
  <c r="AQ14" i="13" s="1"/>
  <c r="AY18" i="13" s="1"/>
  <c r="AH6" i="13"/>
  <c r="AL6" i="13" s="1"/>
  <c r="AS5" i="13"/>
  <c r="AS14" i="13" s="1"/>
  <c r="AQ5" i="13"/>
  <c r="AM5" i="13"/>
  <c r="AH5" i="13"/>
  <c r="AH12" i="13" s="1"/>
  <c r="AL16" i="15" l="1"/>
  <c r="AN16" i="15"/>
  <c r="BA22" i="15"/>
  <c r="AP16" i="15"/>
  <c r="AR5" i="15"/>
  <c r="AU5" i="15" s="1"/>
  <c r="P41" i="15"/>
  <c r="BA21" i="14"/>
  <c r="AY19" i="14"/>
  <c r="AP5" i="14"/>
  <c r="AO14" i="14"/>
  <c r="C29" i="13"/>
  <c r="N29" i="13" s="1"/>
  <c r="AO8" i="13" s="1"/>
  <c r="AP8" i="13" s="1"/>
  <c r="AR8" i="13" s="1"/>
  <c r="AU8" i="13" s="1"/>
  <c r="I39" i="13"/>
  <c r="I41" i="13" s="1"/>
  <c r="C30" i="13"/>
  <c r="C28" i="13"/>
  <c r="AL7" i="13"/>
  <c r="AN7" i="13" s="1"/>
  <c r="AL10" i="13"/>
  <c r="AN10" i="13" s="1"/>
  <c r="N31" i="13"/>
  <c r="AO10" i="13" s="1"/>
  <c r="AN6" i="13"/>
  <c r="AN8" i="13"/>
  <c r="BJ26" i="13"/>
  <c r="C33" i="13"/>
  <c r="C34" i="13"/>
  <c r="I40" i="13"/>
  <c r="AL9" i="13"/>
  <c r="AN9" i="13" s="1"/>
  <c r="AM14" i="13"/>
  <c r="AL5" i="13"/>
  <c r="C26" i="13"/>
  <c r="L26" i="13"/>
  <c r="K28" i="13"/>
  <c r="L32" i="13"/>
  <c r="N32" i="13" s="1"/>
  <c r="AO11" i="13" s="1"/>
  <c r="AP11" i="13" s="1"/>
  <c r="AR11" i="13" s="1"/>
  <c r="AU11" i="13" s="1"/>
  <c r="L27" i="13"/>
  <c r="AN5" i="13"/>
  <c r="L28" i="13"/>
  <c r="L30" i="13"/>
  <c r="O48" i="13"/>
  <c r="O50" i="13" s="1"/>
  <c r="J27" i="13"/>
  <c r="N27" i="13" s="1"/>
  <c r="AO6" i="13" s="1"/>
  <c r="AP6" i="13" s="1"/>
  <c r="AR6" i="13" s="1"/>
  <c r="AU6" i="13" s="1"/>
  <c r="J29" i="13"/>
  <c r="AP14" i="14" l="1"/>
  <c r="AR14" i="14" s="1"/>
  <c r="AR5" i="14"/>
  <c r="AU5" i="14" s="1"/>
  <c r="AU14" i="14" s="1"/>
  <c r="AY22" i="14" s="1"/>
  <c r="AY24" i="14" s="1"/>
  <c r="N26" i="13"/>
  <c r="C35" i="13"/>
  <c r="O37" i="13" s="1"/>
  <c r="O42" i="13" s="1"/>
  <c r="AO13" i="13"/>
  <c r="AP13" i="13" s="1"/>
  <c r="AR13" i="13" s="1"/>
  <c r="AU13" i="13" s="1"/>
  <c r="N34" i="13"/>
  <c r="N33" i="13"/>
  <c r="AO12" i="13"/>
  <c r="AP12" i="13" s="1"/>
  <c r="AR12" i="13" s="1"/>
  <c r="AU12" i="13" s="1"/>
  <c r="AL14" i="13"/>
  <c r="AP10" i="13"/>
  <c r="AR10" i="13" s="1"/>
  <c r="AU10" i="13" s="1"/>
  <c r="N28" i="13"/>
  <c r="AO7" i="13" s="1"/>
  <c r="AP7" i="13" s="1"/>
  <c r="AR7" i="13" s="1"/>
  <c r="AU7" i="13" s="1"/>
  <c r="AN14" i="13"/>
  <c r="N30" i="13"/>
  <c r="AO9" i="13" s="1"/>
  <c r="AP9" i="13" s="1"/>
  <c r="AR9" i="13" s="1"/>
  <c r="AU9" i="13" s="1"/>
  <c r="AW14" i="12"/>
  <c r="AO5" i="13" l="1"/>
  <c r="N35" i="13"/>
  <c r="P35" i="13" s="1"/>
  <c r="AY17" i="13"/>
  <c r="O35" i="13"/>
  <c r="P44" i="13"/>
  <c r="AO14" i="13" l="1"/>
  <c r="AP5" i="13"/>
  <c r="BA21" i="13"/>
  <c r="AY19" i="13"/>
  <c r="AS14" i="12"/>
  <c r="AQ11" i="10"/>
  <c r="AQ6" i="10"/>
  <c r="L36" i="12"/>
  <c r="J38" i="12"/>
  <c r="C32" i="12"/>
  <c r="C31" i="12"/>
  <c r="O52" i="12"/>
  <c r="O50" i="12"/>
  <c r="O49" i="12"/>
  <c r="D44" i="12"/>
  <c r="O43" i="12"/>
  <c r="G43" i="12"/>
  <c r="H43" i="12" s="1"/>
  <c r="C37" i="12" s="1"/>
  <c r="F43" i="12"/>
  <c r="O42" i="12"/>
  <c r="G42" i="12"/>
  <c r="F42" i="12"/>
  <c r="H42" i="12" s="1"/>
  <c r="C33" i="12" s="1"/>
  <c r="O41" i="12"/>
  <c r="G41" i="12"/>
  <c r="F41" i="12"/>
  <c r="H41" i="12" s="1"/>
  <c r="C30" i="12" s="1"/>
  <c r="AY35" i="12"/>
  <c r="K38" i="12"/>
  <c r="K33" i="12" s="1"/>
  <c r="O44" i="12"/>
  <c r="F33" i="12"/>
  <c r="D37" i="12"/>
  <c r="M37" i="12"/>
  <c r="K37" i="12"/>
  <c r="I37" i="12"/>
  <c r="H37" i="12"/>
  <c r="G37" i="12"/>
  <c r="F37" i="12"/>
  <c r="E35" i="12"/>
  <c r="M36" i="12"/>
  <c r="K36" i="12"/>
  <c r="I36" i="12"/>
  <c r="H36" i="12"/>
  <c r="G36" i="12"/>
  <c r="F36" i="12"/>
  <c r="E34" i="12"/>
  <c r="M33" i="12"/>
  <c r="I33" i="12"/>
  <c r="H33" i="12"/>
  <c r="G33" i="12"/>
  <c r="E33" i="12"/>
  <c r="D33" i="12"/>
  <c r="AY29" i="12"/>
  <c r="AY31" i="12" s="1"/>
  <c r="M32" i="12"/>
  <c r="I32" i="12"/>
  <c r="H32" i="12"/>
  <c r="G32" i="12"/>
  <c r="F32" i="12"/>
  <c r="E32" i="12"/>
  <c r="D32" i="12"/>
  <c r="M31" i="12"/>
  <c r="K31" i="12"/>
  <c r="I31" i="12"/>
  <c r="H31" i="12"/>
  <c r="G31" i="12"/>
  <c r="E31" i="12"/>
  <c r="D31" i="12"/>
  <c r="M30" i="12"/>
  <c r="K30" i="12"/>
  <c r="I30" i="12"/>
  <c r="H30" i="12"/>
  <c r="G30" i="12"/>
  <c r="F30" i="12"/>
  <c r="E30" i="12"/>
  <c r="D30" i="12"/>
  <c r="M29" i="12"/>
  <c r="K29" i="12"/>
  <c r="I29" i="12"/>
  <c r="H29" i="12"/>
  <c r="G29" i="12"/>
  <c r="E29" i="12"/>
  <c r="D29" i="12"/>
  <c r="AM11" i="12"/>
  <c r="AM10" i="12"/>
  <c r="AH21" i="12"/>
  <c r="AM9" i="12" s="1"/>
  <c r="AH20" i="12"/>
  <c r="AH19" i="12"/>
  <c r="AM7" i="12" s="1"/>
  <c r="AH18" i="12"/>
  <c r="AM6" i="12" s="1"/>
  <c r="AH17" i="12"/>
  <c r="AH11" i="12"/>
  <c r="AH10" i="12"/>
  <c r="AH9" i="12"/>
  <c r="AH8" i="12"/>
  <c r="AH7" i="12"/>
  <c r="BJ19" i="12"/>
  <c r="BJ23" i="12" s="1"/>
  <c r="AH6" i="12"/>
  <c r="AU11" i="10"/>
  <c r="AM5" i="12" l="1"/>
  <c r="N37" i="12"/>
  <c r="C36" i="12"/>
  <c r="AH14" i="12"/>
  <c r="AR5" i="13"/>
  <c r="AU5" i="13" s="1"/>
  <c r="AU14" i="13" s="1"/>
  <c r="AY22" i="13" s="1"/>
  <c r="AY24" i="13" s="1"/>
  <c r="AP14" i="13"/>
  <c r="AR14" i="13" s="1"/>
  <c r="AY18" i="12"/>
  <c r="L37" i="12"/>
  <c r="L29" i="12"/>
  <c r="L30" i="12"/>
  <c r="L31" i="12"/>
  <c r="L32" i="12"/>
  <c r="L33" i="12"/>
  <c r="N33" i="12" s="1"/>
  <c r="AO9" i="12" s="1"/>
  <c r="I42" i="12"/>
  <c r="I43" i="12"/>
  <c r="C29" i="12"/>
  <c r="I41" i="12"/>
  <c r="BJ25" i="12"/>
  <c r="BK19" i="12"/>
  <c r="F29" i="12"/>
  <c r="J30" i="12"/>
  <c r="F31" i="12"/>
  <c r="J32" i="12"/>
  <c r="J36" i="12"/>
  <c r="D36" i="12"/>
  <c r="O48" i="12"/>
  <c r="AM8" i="12"/>
  <c r="BJ21" i="12"/>
  <c r="BJ24" i="12"/>
  <c r="J29" i="12"/>
  <c r="J31" i="12"/>
  <c r="J33" i="12"/>
  <c r="BJ22" i="12"/>
  <c r="J37" i="12"/>
  <c r="O51" i="12"/>
  <c r="AW31" i="10"/>
  <c r="AW29" i="10"/>
  <c r="AW27" i="10"/>
  <c r="AM14" i="12" l="1"/>
  <c r="I44" i="12"/>
  <c r="N36" i="12"/>
  <c r="BJ26" i="12"/>
  <c r="E1" i="12"/>
  <c r="O40" i="12"/>
  <c r="O45" i="12" s="1"/>
  <c r="AY17" i="12" s="1"/>
  <c r="BA21" i="12" s="1"/>
  <c r="N29" i="12"/>
  <c r="O53" i="12"/>
  <c r="N30" i="12"/>
  <c r="AO6" i="12" s="1"/>
  <c r="N32" i="12"/>
  <c r="AO8" i="12" s="1"/>
  <c r="N34" i="12"/>
  <c r="AO10" i="12" s="1"/>
  <c r="N35" i="12"/>
  <c r="AO11" i="12" s="1"/>
  <c r="N31" i="12"/>
  <c r="AO7" i="12" s="1"/>
  <c r="AQ8" i="10"/>
  <c r="AU12" i="10"/>
  <c r="AL12" i="12" l="1"/>
  <c r="AN12" i="12" s="1"/>
  <c r="AP12" i="12" s="1"/>
  <c r="AR12" i="12" s="1"/>
  <c r="AU12" i="12" s="1"/>
  <c r="AL13" i="12"/>
  <c r="AN13" i="12" s="1"/>
  <c r="AP13" i="12" s="1"/>
  <c r="AR13" i="12" s="1"/>
  <c r="AU13" i="12" s="1"/>
  <c r="AQ14" i="15" s="1"/>
  <c r="AL10" i="12"/>
  <c r="AN10" i="12" s="1"/>
  <c r="AL5" i="12"/>
  <c r="AL6" i="12"/>
  <c r="AN6" i="12" s="1"/>
  <c r="AL11" i="12"/>
  <c r="AN11" i="12" s="1"/>
  <c r="AL8" i="12"/>
  <c r="AN8" i="12" s="1"/>
  <c r="AL7" i="12"/>
  <c r="AN7" i="12" s="1"/>
  <c r="AL9" i="12"/>
  <c r="AN9" i="12" s="1"/>
  <c r="AO5" i="12"/>
  <c r="O38" i="12"/>
  <c r="AY19" i="12"/>
  <c r="L31" i="10"/>
  <c r="AQ16" i="15" l="1"/>
  <c r="AR14" i="15"/>
  <c r="AP7" i="12"/>
  <c r="AR7" i="12" s="1"/>
  <c r="AU7" i="12" s="1"/>
  <c r="AP6" i="12"/>
  <c r="AR6" i="12" s="1"/>
  <c r="AU6" i="12" s="1"/>
  <c r="AP11" i="12"/>
  <c r="AP9" i="12"/>
  <c r="AR9" i="12" s="1"/>
  <c r="AU9" i="12" s="1"/>
  <c r="AP8" i="12"/>
  <c r="AR8" i="12" s="1"/>
  <c r="AU8" i="12" s="1"/>
  <c r="AP10" i="12"/>
  <c r="AR10" i="12" s="1"/>
  <c r="AU10" i="12" s="1"/>
  <c r="AN5" i="12"/>
  <c r="AN14" i="12" s="1"/>
  <c r="O45" i="11"/>
  <c r="O44" i="11"/>
  <c r="O42" i="11"/>
  <c r="D37" i="11"/>
  <c r="O36" i="11"/>
  <c r="G36" i="11"/>
  <c r="F36" i="11"/>
  <c r="H36" i="11" s="1"/>
  <c r="O35" i="11"/>
  <c r="G35" i="11"/>
  <c r="F35" i="11"/>
  <c r="H35" i="11" s="1"/>
  <c r="H34" i="11"/>
  <c r="I34" i="11" s="1"/>
  <c r="G34" i="11"/>
  <c r="F34" i="11"/>
  <c r="L31" i="11"/>
  <c r="K31" i="11"/>
  <c r="K30" i="11" s="1"/>
  <c r="J31" i="11"/>
  <c r="O37" i="11" s="1"/>
  <c r="G31" i="11"/>
  <c r="O34" i="11" s="1"/>
  <c r="F31" i="11"/>
  <c r="F27" i="11" s="1"/>
  <c r="D31" i="11"/>
  <c r="O41" i="11" s="1"/>
  <c r="M30" i="11"/>
  <c r="L30" i="11"/>
  <c r="J30" i="11"/>
  <c r="I30" i="11"/>
  <c r="H30" i="11"/>
  <c r="G30" i="11"/>
  <c r="E30" i="11"/>
  <c r="D30" i="11"/>
  <c r="M29" i="11"/>
  <c r="L29" i="11"/>
  <c r="K29" i="11"/>
  <c r="J29" i="11"/>
  <c r="I29" i="11"/>
  <c r="H29" i="11"/>
  <c r="G29" i="11"/>
  <c r="E29" i="11"/>
  <c r="D29" i="11"/>
  <c r="M28" i="11"/>
  <c r="L28" i="11"/>
  <c r="J28" i="11"/>
  <c r="I28" i="11"/>
  <c r="H28" i="11"/>
  <c r="G28" i="11"/>
  <c r="E28" i="11"/>
  <c r="D28" i="11"/>
  <c r="M27" i="11"/>
  <c r="L27" i="11"/>
  <c r="J27" i="11"/>
  <c r="I27" i="11"/>
  <c r="H27" i="11"/>
  <c r="G27" i="11"/>
  <c r="E27" i="11"/>
  <c r="D27" i="11"/>
  <c r="M26" i="11"/>
  <c r="L26" i="11"/>
  <c r="K26" i="11"/>
  <c r="J26" i="11"/>
  <c r="I26" i="11"/>
  <c r="H26" i="11"/>
  <c r="G26" i="11"/>
  <c r="F26" i="11"/>
  <c r="E26" i="11"/>
  <c r="D26" i="11"/>
  <c r="M25" i="11"/>
  <c r="L25" i="11"/>
  <c r="J25" i="11"/>
  <c r="I25" i="11"/>
  <c r="H25" i="11"/>
  <c r="G25" i="11"/>
  <c r="E25" i="11"/>
  <c r="D25" i="11"/>
  <c r="M24" i="11"/>
  <c r="L24" i="11"/>
  <c r="K24" i="11"/>
  <c r="J24" i="11"/>
  <c r="I24" i="11"/>
  <c r="H24" i="11"/>
  <c r="G24" i="11"/>
  <c r="F24" i="11"/>
  <c r="N24" i="11" s="1"/>
  <c r="E24" i="11"/>
  <c r="D24" i="11"/>
  <c r="C24" i="11"/>
  <c r="AH21" i="11"/>
  <c r="AK11" i="11" s="1"/>
  <c r="AH20" i="11"/>
  <c r="AK10" i="11" s="1"/>
  <c r="AH19" i="11"/>
  <c r="AH18" i="11"/>
  <c r="AH17" i="11"/>
  <c r="AH16" i="11"/>
  <c r="AH15" i="11"/>
  <c r="AH22" i="11" s="1"/>
  <c r="E1" i="11" s="1"/>
  <c r="AJ7" i="11" s="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AQ11" i="11"/>
  <c r="AO11" i="11"/>
  <c r="AH11" i="11"/>
  <c r="AO10" i="11"/>
  <c r="AH10" i="11"/>
  <c r="AO9" i="11"/>
  <c r="AK9" i="11"/>
  <c r="AH9" i="11"/>
  <c r="AO8" i="11"/>
  <c r="AK8" i="11"/>
  <c r="AH8" i="11"/>
  <c r="AO7" i="11"/>
  <c r="AK7" i="11"/>
  <c r="AH7" i="11"/>
  <c r="BA6" i="11"/>
  <c r="BA11" i="11" s="1"/>
  <c r="AO6" i="11"/>
  <c r="AK6" i="11"/>
  <c r="AH6" i="11"/>
  <c r="AQ5" i="11"/>
  <c r="AQ12" i="11" s="1"/>
  <c r="AO5" i="11"/>
  <c r="AO12" i="11" s="1"/>
  <c r="AW16" i="11" s="1"/>
  <c r="AK5" i="11"/>
  <c r="AH5" i="11"/>
  <c r="AH12" i="11" s="1"/>
  <c r="AU14" i="15" l="1"/>
  <c r="AU16" i="15" s="1"/>
  <c r="AY23" i="15" s="1"/>
  <c r="AY25" i="15" s="1"/>
  <c r="AY19" i="15"/>
  <c r="AY20" i="15" s="1"/>
  <c r="AR16" i="15"/>
  <c r="AR11" i="12"/>
  <c r="AU11" i="12" s="1"/>
  <c r="AP5" i="12"/>
  <c r="AS11" i="11"/>
  <c r="C28" i="11"/>
  <c r="C27" i="11"/>
  <c r="N27" i="11" s="1"/>
  <c r="AM8" i="11" s="1"/>
  <c r="I36" i="11"/>
  <c r="C26" i="11"/>
  <c r="N26" i="11" s="1"/>
  <c r="AM7" i="11" s="1"/>
  <c r="AM5" i="11"/>
  <c r="AK12" i="11"/>
  <c r="AL7" i="11"/>
  <c r="AJ10" i="11"/>
  <c r="AL10" i="11"/>
  <c r="AJ9" i="11"/>
  <c r="AL9" i="11" s="1"/>
  <c r="AJ8" i="11"/>
  <c r="AL8" i="11" s="1"/>
  <c r="AJ11" i="11"/>
  <c r="AL11" i="11"/>
  <c r="C30" i="11"/>
  <c r="N30" i="11" s="1"/>
  <c r="AM11" i="11" s="1"/>
  <c r="AN11" i="11" s="1"/>
  <c r="AP11" i="11" s="1"/>
  <c r="I35" i="11"/>
  <c r="I37" i="11" s="1"/>
  <c r="C25" i="11"/>
  <c r="C29" i="11"/>
  <c r="N29" i="11" s="1"/>
  <c r="AM10" i="11" s="1"/>
  <c r="AN10" i="11" s="1"/>
  <c r="AP10" i="11" s="1"/>
  <c r="AS10" i="11" s="1"/>
  <c r="AJ6" i="11"/>
  <c r="AL6" i="11" s="1"/>
  <c r="BA8" i="11"/>
  <c r="BA12" i="11"/>
  <c r="BB6" i="11"/>
  <c r="AJ5" i="11"/>
  <c r="BA9" i="11"/>
  <c r="F28" i="11"/>
  <c r="F30" i="11"/>
  <c r="BA10" i="11"/>
  <c r="K25" i="11"/>
  <c r="O43" i="11"/>
  <c r="O46" i="11" s="1"/>
  <c r="F29" i="11"/>
  <c r="F25" i="11"/>
  <c r="K28" i="11"/>
  <c r="BA11" i="10"/>
  <c r="BA12" i="10"/>
  <c r="BA8" i="10"/>
  <c r="BB6" i="10"/>
  <c r="BA6" i="10"/>
  <c r="BA9" i="10" s="1"/>
  <c r="AH11" i="10"/>
  <c r="AQ5" i="10"/>
  <c r="D31" i="10"/>
  <c r="O41" i="10" s="1"/>
  <c r="O45" i="10"/>
  <c r="O42" i="10"/>
  <c r="D37" i="10"/>
  <c r="O36" i="10"/>
  <c r="G36" i="10"/>
  <c r="F36" i="10"/>
  <c r="H36" i="10" s="1"/>
  <c r="C27" i="10" s="1"/>
  <c r="O35" i="10"/>
  <c r="G35" i="10"/>
  <c r="F35" i="10"/>
  <c r="G34" i="10"/>
  <c r="F34" i="10"/>
  <c r="H34" i="10" s="1"/>
  <c r="O44" i="10"/>
  <c r="K31" i="10"/>
  <c r="K26" i="10" s="1"/>
  <c r="J31" i="10"/>
  <c r="G31" i="10"/>
  <c r="O34" i="10" s="1"/>
  <c r="F31" i="10"/>
  <c r="F25" i="10" s="1"/>
  <c r="M30" i="10"/>
  <c r="I30" i="10"/>
  <c r="H30" i="10"/>
  <c r="F30" i="10"/>
  <c r="E30" i="10"/>
  <c r="M29" i="10"/>
  <c r="I29" i="10"/>
  <c r="H29" i="10"/>
  <c r="F29" i="10"/>
  <c r="E29" i="10"/>
  <c r="M28" i="10"/>
  <c r="I28" i="10"/>
  <c r="H28" i="10"/>
  <c r="F28" i="10"/>
  <c r="E28" i="10"/>
  <c r="M27" i="10"/>
  <c r="I27" i="10"/>
  <c r="H27" i="10"/>
  <c r="F27" i="10"/>
  <c r="E27" i="10"/>
  <c r="M26" i="10"/>
  <c r="I26" i="10"/>
  <c r="H26" i="10"/>
  <c r="E26" i="10"/>
  <c r="M25" i="10"/>
  <c r="L25" i="10"/>
  <c r="I25" i="10"/>
  <c r="H25" i="10"/>
  <c r="E25" i="10"/>
  <c r="M24" i="10"/>
  <c r="L24" i="10"/>
  <c r="I24" i="10"/>
  <c r="H24" i="10"/>
  <c r="F24" i="10"/>
  <c r="E24" i="10"/>
  <c r="AH21" i="10"/>
  <c r="AK11" i="10" s="1"/>
  <c r="AH20" i="10"/>
  <c r="AK10" i="10" s="1"/>
  <c r="AH19" i="10"/>
  <c r="AK9" i="10" s="1"/>
  <c r="AH18" i="10"/>
  <c r="AK8" i="10" s="1"/>
  <c r="AH17" i="10"/>
  <c r="AK7" i="10" s="1"/>
  <c r="AH16" i="10"/>
  <c r="AK6" i="10" s="1"/>
  <c r="AH15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H10" i="10"/>
  <c r="AH9" i="10"/>
  <c r="AH8" i="10"/>
  <c r="AH7" i="10"/>
  <c r="AH6" i="10"/>
  <c r="AH5" i="10"/>
  <c r="AH12" i="10" s="1"/>
  <c r="AV13" i="9"/>
  <c r="AQ9" i="9"/>
  <c r="AQ10" i="9"/>
  <c r="AT13" i="9"/>
  <c r="AS20" i="9"/>
  <c r="AR16" i="9"/>
  <c r="AR17" i="9"/>
  <c r="AQ11" i="9"/>
  <c r="AQ12" i="9"/>
  <c r="AP17" i="9"/>
  <c r="AQ6" i="7"/>
  <c r="AQ8" i="7"/>
  <c r="AQ10" i="7"/>
  <c r="F17" i="9"/>
  <c r="AH17" i="9" s="1"/>
  <c r="AK7" i="9" s="1"/>
  <c r="AB20" i="9"/>
  <c r="AH20" i="9" s="1"/>
  <c r="AK10" i="9" s="1"/>
  <c r="W21" i="9"/>
  <c r="AH21" i="9" s="1"/>
  <c r="AK11" i="9" s="1"/>
  <c r="AH6" i="9"/>
  <c r="AH5" i="9"/>
  <c r="O42" i="9"/>
  <c r="O41" i="9"/>
  <c r="D37" i="9"/>
  <c r="O36" i="9"/>
  <c r="H36" i="9"/>
  <c r="C27" i="9" s="1"/>
  <c r="G36" i="9"/>
  <c r="F36" i="9"/>
  <c r="O35" i="9"/>
  <c r="G35" i="9"/>
  <c r="F35" i="9"/>
  <c r="H35" i="9" s="1"/>
  <c r="O34" i="9"/>
  <c r="G34" i="9"/>
  <c r="F34" i="9"/>
  <c r="O45" i="9"/>
  <c r="L31" i="9"/>
  <c r="O44" i="9" s="1"/>
  <c r="K31" i="9"/>
  <c r="K30" i="9" s="1"/>
  <c r="J31" i="9"/>
  <c r="O37" i="9" s="1"/>
  <c r="G31" i="9"/>
  <c r="G30" i="9" s="1"/>
  <c r="F31" i="9"/>
  <c r="M30" i="9"/>
  <c r="L30" i="9"/>
  <c r="I30" i="9"/>
  <c r="H30" i="9"/>
  <c r="E30" i="9"/>
  <c r="D30" i="9"/>
  <c r="M29" i="9"/>
  <c r="L29" i="9"/>
  <c r="K29" i="9"/>
  <c r="J29" i="9"/>
  <c r="I29" i="9"/>
  <c r="H29" i="9"/>
  <c r="G29" i="9"/>
  <c r="E29" i="9"/>
  <c r="D29" i="9"/>
  <c r="M28" i="9"/>
  <c r="L28" i="9"/>
  <c r="K28" i="9"/>
  <c r="J28" i="9"/>
  <c r="I28" i="9"/>
  <c r="H28" i="9"/>
  <c r="E28" i="9"/>
  <c r="D28" i="9"/>
  <c r="M27" i="9"/>
  <c r="L27" i="9"/>
  <c r="I27" i="9"/>
  <c r="H27" i="9"/>
  <c r="E27" i="9"/>
  <c r="D27" i="9"/>
  <c r="M26" i="9"/>
  <c r="L26" i="9"/>
  <c r="K26" i="9"/>
  <c r="I26" i="9"/>
  <c r="H26" i="9"/>
  <c r="E26" i="9"/>
  <c r="D26" i="9"/>
  <c r="M25" i="9"/>
  <c r="L25" i="9"/>
  <c r="I25" i="9"/>
  <c r="H25" i="9"/>
  <c r="F25" i="9"/>
  <c r="E25" i="9"/>
  <c r="D25" i="9"/>
  <c r="M24" i="9"/>
  <c r="L24" i="9"/>
  <c r="K24" i="9"/>
  <c r="I24" i="9"/>
  <c r="H24" i="9"/>
  <c r="G24" i="9"/>
  <c r="F24" i="9"/>
  <c r="E24" i="9"/>
  <c r="D24" i="9"/>
  <c r="AH19" i="9"/>
  <c r="AK9" i="9" s="1"/>
  <c r="AH18" i="9"/>
  <c r="AK8" i="9" s="1"/>
  <c r="AH16" i="9"/>
  <c r="AK6" i="9" s="1"/>
  <c r="AH15" i="9"/>
  <c r="AK5" i="9" s="1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AH11" i="9"/>
  <c r="AH10" i="9"/>
  <c r="AH12" i="9" s="1"/>
  <c r="AH9" i="9"/>
  <c r="AH8" i="9"/>
  <c r="AH7" i="9"/>
  <c r="T20" i="8"/>
  <c r="S21" i="8"/>
  <c r="AH21" i="8" s="1"/>
  <c r="AK11" i="8" s="1"/>
  <c r="S20" i="8"/>
  <c r="AH20" i="8" s="1"/>
  <c r="AK10" i="8" s="1"/>
  <c r="P18" i="8"/>
  <c r="AH18" i="8" s="1"/>
  <c r="AK8" i="8" s="1"/>
  <c r="N19" i="8"/>
  <c r="AH19" i="8" s="1"/>
  <c r="AK9" i="8" s="1"/>
  <c r="K19" i="8"/>
  <c r="O43" i="8"/>
  <c r="O42" i="8"/>
  <c r="O41" i="8"/>
  <c r="O37" i="8"/>
  <c r="D37" i="8"/>
  <c r="O36" i="8"/>
  <c r="G36" i="8"/>
  <c r="F36" i="8"/>
  <c r="O35" i="8"/>
  <c r="G35" i="8"/>
  <c r="F35" i="8"/>
  <c r="H35" i="8" s="1"/>
  <c r="G34" i="8"/>
  <c r="F34" i="8"/>
  <c r="O44" i="8"/>
  <c r="O34" i="8"/>
  <c r="AH17" i="8"/>
  <c r="AK7" i="8" s="1"/>
  <c r="AH16" i="8"/>
  <c r="AK6" i="8" s="1"/>
  <c r="AH15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H11" i="8"/>
  <c r="AH10" i="8"/>
  <c r="AH9" i="8"/>
  <c r="AH8" i="8"/>
  <c r="AH7" i="8"/>
  <c r="AO12" i="8"/>
  <c r="AH6" i="8"/>
  <c r="AQ12" i="8"/>
  <c r="AH5" i="8"/>
  <c r="AQ5" i="7"/>
  <c r="AQ12" i="7" s="1"/>
  <c r="AQ9" i="7"/>
  <c r="E28" i="7"/>
  <c r="E29" i="7"/>
  <c r="E30" i="7"/>
  <c r="E27" i="7"/>
  <c r="E26" i="7"/>
  <c r="E25" i="7"/>
  <c r="E24" i="7"/>
  <c r="J31" i="7"/>
  <c r="J25" i="7" s="1"/>
  <c r="O43" i="7"/>
  <c r="O42" i="7"/>
  <c r="O41" i="7"/>
  <c r="O36" i="7"/>
  <c r="O35" i="7"/>
  <c r="AQ11" i="7"/>
  <c r="M31" i="7"/>
  <c r="F20" i="7"/>
  <c r="AH20" i="7" s="1"/>
  <c r="AK10" i="7" s="1"/>
  <c r="D37" i="7"/>
  <c r="G36" i="7"/>
  <c r="H36" i="7" s="1"/>
  <c r="F36" i="7"/>
  <c r="G35" i="7"/>
  <c r="F35" i="7"/>
  <c r="G34" i="7"/>
  <c r="F34" i="7"/>
  <c r="L31" i="7"/>
  <c r="L26" i="7" s="1"/>
  <c r="K31" i="7"/>
  <c r="G31" i="7"/>
  <c r="G26" i="7" s="1"/>
  <c r="F31" i="7"/>
  <c r="I30" i="7"/>
  <c r="H30" i="7"/>
  <c r="G30" i="7"/>
  <c r="F30" i="7"/>
  <c r="D30" i="7"/>
  <c r="I29" i="7"/>
  <c r="H29" i="7"/>
  <c r="G29" i="7"/>
  <c r="F29" i="7"/>
  <c r="D29" i="7"/>
  <c r="I28" i="7"/>
  <c r="H28" i="7"/>
  <c r="G28" i="7"/>
  <c r="F28" i="7"/>
  <c r="D28" i="7"/>
  <c r="I27" i="7"/>
  <c r="H27" i="7"/>
  <c r="F27" i="7"/>
  <c r="D27" i="7"/>
  <c r="K26" i="7"/>
  <c r="I26" i="7"/>
  <c r="H26" i="7"/>
  <c r="F26" i="7"/>
  <c r="D26" i="7"/>
  <c r="M25" i="7"/>
  <c r="L25" i="7"/>
  <c r="I25" i="7"/>
  <c r="H25" i="7"/>
  <c r="G25" i="7"/>
  <c r="F25" i="7"/>
  <c r="D25" i="7"/>
  <c r="I24" i="7"/>
  <c r="H24" i="7"/>
  <c r="G24" i="7"/>
  <c r="F24" i="7"/>
  <c r="D24" i="7"/>
  <c r="AH21" i="7"/>
  <c r="AK11" i="7" s="1"/>
  <c r="AH19" i="7"/>
  <c r="AK9" i="7" s="1"/>
  <c r="AH18" i="7"/>
  <c r="AK8" i="7" s="1"/>
  <c r="AH17" i="7"/>
  <c r="AK7" i="7" s="1"/>
  <c r="AH16" i="7"/>
  <c r="AK6" i="7" s="1"/>
  <c r="AH15" i="7"/>
  <c r="AK5" i="7" s="1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H11" i="7"/>
  <c r="AH10" i="7"/>
  <c r="AH9" i="7"/>
  <c r="AH8" i="7"/>
  <c r="AH7" i="7"/>
  <c r="AH6" i="7"/>
  <c r="AH5" i="7"/>
  <c r="AQ10" i="6"/>
  <c r="AQ6" i="6"/>
  <c r="AQ5" i="6"/>
  <c r="AQ7" i="6"/>
  <c r="AQ11" i="6"/>
  <c r="AQ9" i="5"/>
  <c r="AH5" i="6"/>
  <c r="AG12" i="6"/>
  <c r="AQ11" i="5"/>
  <c r="D37" i="6"/>
  <c r="H36" i="6"/>
  <c r="G36" i="6"/>
  <c r="F36" i="6"/>
  <c r="G35" i="6"/>
  <c r="F35" i="6"/>
  <c r="H35" i="6" s="1"/>
  <c r="G34" i="6"/>
  <c r="F34" i="6"/>
  <c r="O33" i="6"/>
  <c r="O37" i="6" s="1"/>
  <c r="M30" i="6"/>
  <c r="L31" i="6"/>
  <c r="K31" i="6"/>
  <c r="J31" i="6"/>
  <c r="J30" i="6" s="1"/>
  <c r="G31" i="6"/>
  <c r="G27" i="6" s="1"/>
  <c r="F31" i="6"/>
  <c r="F29" i="6" s="1"/>
  <c r="E31" i="6"/>
  <c r="E24" i="6" s="1"/>
  <c r="L30" i="6"/>
  <c r="K30" i="6"/>
  <c r="I30" i="6"/>
  <c r="H30" i="6"/>
  <c r="E30" i="6"/>
  <c r="D30" i="6"/>
  <c r="C30" i="6"/>
  <c r="M29" i="6"/>
  <c r="L29" i="6"/>
  <c r="K29" i="6"/>
  <c r="I29" i="6"/>
  <c r="H29" i="6"/>
  <c r="G29" i="6"/>
  <c r="E29" i="6"/>
  <c r="D29" i="6"/>
  <c r="M28" i="6"/>
  <c r="L28" i="6"/>
  <c r="K28" i="6"/>
  <c r="I28" i="6"/>
  <c r="H28" i="6"/>
  <c r="G28" i="6"/>
  <c r="D28" i="6"/>
  <c r="M27" i="6"/>
  <c r="L27" i="6"/>
  <c r="J27" i="6"/>
  <c r="I27" i="6"/>
  <c r="H27" i="6"/>
  <c r="D27" i="6"/>
  <c r="M26" i="6"/>
  <c r="L26" i="6"/>
  <c r="K26" i="6"/>
  <c r="J26" i="6"/>
  <c r="I26" i="6"/>
  <c r="H26" i="6"/>
  <c r="D26" i="6"/>
  <c r="M25" i="6"/>
  <c r="L25" i="6"/>
  <c r="K25" i="6"/>
  <c r="J25" i="6"/>
  <c r="I25" i="6"/>
  <c r="H25" i="6"/>
  <c r="D25" i="6"/>
  <c r="M24" i="6"/>
  <c r="L24" i="6"/>
  <c r="K24" i="6"/>
  <c r="I24" i="6"/>
  <c r="H24" i="6"/>
  <c r="D24" i="6"/>
  <c r="AH21" i="6"/>
  <c r="AK11" i="6" s="1"/>
  <c r="AH20" i="6"/>
  <c r="AK10" i="6" s="1"/>
  <c r="AH19" i="6"/>
  <c r="AK9" i="6" s="1"/>
  <c r="AH18" i="6"/>
  <c r="AH17" i="6"/>
  <c r="AK7" i="6" s="1"/>
  <c r="AH16" i="6"/>
  <c r="AK6" i="6" s="1"/>
  <c r="AH15" i="6"/>
  <c r="AF12" i="6"/>
  <c r="AE12" i="6"/>
  <c r="AC12" i="6"/>
  <c r="AA12" i="6"/>
  <c r="Y12" i="6"/>
  <c r="W12" i="6"/>
  <c r="U12" i="6"/>
  <c r="S12" i="6"/>
  <c r="Q12" i="6"/>
  <c r="O12" i="6"/>
  <c r="M12" i="6"/>
  <c r="K12" i="6"/>
  <c r="I12" i="6"/>
  <c r="G12" i="6"/>
  <c r="E12" i="6"/>
  <c r="C12" i="6"/>
  <c r="AH11" i="6"/>
  <c r="AD12" i="6"/>
  <c r="AB12" i="6"/>
  <c r="Z12" i="6"/>
  <c r="X12" i="6"/>
  <c r="V12" i="6"/>
  <c r="T12" i="6"/>
  <c r="R12" i="6"/>
  <c r="P12" i="6"/>
  <c r="N12" i="6"/>
  <c r="L12" i="6"/>
  <c r="J12" i="6"/>
  <c r="H12" i="6"/>
  <c r="F12" i="6"/>
  <c r="D12" i="6"/>
  <c r="AH10" i="6"/>
  <c r="AH9" i="6"/>
  <c r="AH8" i="6"/>
  <c r="AH7" i="6"/>
  <c r="AH6" i="6"/>
  <c r="M25" i="5"/>
  <c r="M26" i="5"/>
  <c r="M27" i="5"/>
  <c r="M28" i="5"/>
  <c r="M29" i="5"/>
  <c r="M30" i="5"/>
  <c r="M24" i="5"/>
  <c r="M31" i="5"/>
  <c r="AQ8" i="5"/>
  <c r="AQ5" i="5"/>
  <c r="O33" i="5"/>
  <c r="O37" i="5" s="1"/>
  <c r="L25" i="5"/>
  <c r="L26" i="5"/>
  <c r="L27" i="5"/>
  <c r="L28" i="5"/>
  <c r="L24" i="5"/>
  <c r="J25" i="5"/>
  <c r="J26" i="5"/>
  <c r="J27" i="5"/>
  <c r="J28" i="5"/>
  <c r="J29" i="5"/>
  <c r="I25" i="5"/>
  <c r="I26" i="5"/>
  <c r="I27" i="5"/>
  <c r="I28" i="5"/>
  <c r="I29" i="5"/>
  <c r="I30" i="5"/>
  <c r="I24" i="5"/>
  <c r="H25" i="5"/>
  <c r="H26" i="5"/>
  <c r="H27" i="5"/>
  <c r="H28" i="5"/>
  <c r="H29" i="5"/>
  <c r="H30" i="5"/>
  <c r="H24" i="5"/>
  <c r="G29" i="5"/>
  <c r="G30" i="5"/>
  <c r="G24" i="5"/>
  <c r="F30" i="5"/>
  <c r="F31" i="5"/>
  <c r="D25" i="5"/>
  <c r="D26" i="5"/>
  <c r="D27" i="5"/>
  <c r="D28" i="5"/>
  <c r="D29" i="5"/>
  <c r="D30" i="5"/>
  <c r="D24" i="5"/>
  <c r="G35" i="5"/>
  <c r="G36" i="5"/>
  <c r="G34" i="5"/>
  <c r="AH11" i="5"/>
  <c r="AH9" i="5"/>
  <c r="AH8" i="5"/>
  <c r="AH7" i="5"/>
  <c r="AH6" i="5"/>
  <c r="AH5" i="5"/>
  <c r="AD10" i="5"/>
  <c r="AD12" i="5" s="1"/>
  <c r="AC10" i="5"/>
  <c r="AB10" i="5"/>
  <c r="AA10" i="5"/>
  <c r="Z10" i="5"/>
  <c r="Y10" i="5"/>
  <c r="X10" i="5"/>
  <c r="X12" i="5" s="1"/>
  <c r="W10" i="5"/>
  <c r="W12" i="5" s="1"/>
  <c r="V10" i="5"/>
  <c r="V12" i="5" s="1"/>
  <c r="U10" i="5"/>
  <c r="T10" i="5"/>
  <c r="S10" i="5"/>
  <c r="R10" i="5"/>
  <c r="Q10" i="5"/>
  <c r="Q12" i="5" s="1"/>
  <c r="P10" i="5"/>
  <c r="P12" i="5" s="1"/>
  <c r="O10" i="5"/>
  <c r="O12" i="5" s="1"/>
  <c r="N10" i="5"/>
  <c r="N12" i="5" s="1"/>
  <c r="M10" i="5"/>
  <c r="L10" i="5"/>
  <c r="K10" i="5"/>
  <c r="J10" i="5"/>
  <c r="I10" i="5"/>
  <c r="I12" i="5" s="1"/>
  <c r="H10" i="5"/>
  <c r="H12" i="5" s="1"/>
  <c r="G10" i="5"/>
  <c r="G12" i="5" s="1"/>
  <c r="F10" i="5"/>
  <c r="F12" i="5" s="1"/>
  <c r="E10" i="5"/>
  <c r="D10" i="5"/>
  <c r="C10" i="5"/>
  <c r="D37" i="5"/>
  <c r="F36" i="5"/>
  <c r="H36" i="5" s="1"/>
  <c r="F35" i="5"/>
  <c r="F34" i="5"/>
  <c r="L31" i="5"/>
  <c r="L29" i="5" s="1"/>
  <c r="K31" i="5"/>
  <c r="K30" i="5" s="1"/>
  <c r="J31" i="5"/>
  <c r="J30" i="5" s="1"/>
  <c r="G31" i="5"/>
  <c r="G25" i="5" s="1"/>
  <c r="E31" i="5"/>
  <c r="E30" i="5"/>
  <c r="K28" i="5"/>
  <c r="K26" i="5"/>
  <c r="K25" i="5"/>
  <c r="E25" i="5"/>
  <c r="K24" i="5"/>
  <c r="AH21" i="5"/>
  <c r="AK11" i="5" s="1"/>
  <c r="AH20" i="5"/>
  <c r="AK10" i="5" s="1"/>
  <c r="AH19" i="5"/>
  <c r="AK9" i="5" s="1"/>
  <c r="AH18" i="5"/>
  <c r="AK8" i="5" s="1"/>
  <c r="AH17" i="5"/>
  <c r="AK7" i="5" s="1"/>
  <c r="AH16" i="5"/>
  <c r="AK6" i="5" s="1"/>
  <c r="AH15" i="5"/>
  <c r="AF12" i="5"/>
  <c r="AE12" i="5"/>
  <c r="AC12" i="5"/>
  <c r="AB12" i="5"/>
  <c r="AA12" i="5"/>
  <c r="Z12" i="5"/>
  <c r="Y12" i="5"/>
  <c r="U12" i="5"/>
  <c r="T12" i="5"/>
  <c r="S12" i="5"/>
  <c r="R12" i="5"/>
  <c r="M12" i="5"/>
  <c r="L12" i="5"/>
  <c r="K12" i="5"/>
  <c r="J12" i="5"/>
  <c r="E12" i="5"/>
  <c r="D12" i="5"/>
  <c r="C12" i="5"/>
  <c r="AS16" i="4"/>
  <c r="AS17" i="4" s="1"/>
  <c r="AS15" i="4"/>
  <c r="AQ11" i="4"/>
  <c r="AU4" i="4"/>
  <c r="AQ13" i="4"/>
  <c r="AH13" i="4"/>
  <c r="AH13" i="3"/>
  <c r="AQ7" i="4"/>
  <c r="D31" i="4"/>
  <c r="D29" i="4"/>
  <c r="H28" i="4"/>
  <c r="I28" i="4"/>
  <c r="L28" i="4"/>
  <c r="M28" i="4"/>
  <c r="E28" i="4"/>
  <c r="D28" i="4"/>
  <c r="U21" i="4"/>
  <c r="AH21" i="4" s="1"/>
  <c r="AK11" i="4" s="1"/>
  <c r="J19" i="4"/>
  <c r="D37" i="4"/>
  <c r="G36" i="4"/>
  <c r="F36" i="4"/>
  <c r="G35" i="4"/>
  <c r="F35" i="4"/>
  <c r="G34" i="4"/>
  <c r="H34" i="4" s="1"/>
  <c r="F34" i="4"/>
  <c r="M31" i="4"/>
  <c r="M30" i="4" s="1"/>
  <c r="L31" i="4"/>
  <c r="L30" i="4" s="1"/>
  <c r="K31" i="4"/>
  <c r="K30" i="4" s="1"/>
  <c r="J31" i="4"/>
  <c r="G31" i="4"/>
  <c r="G29" i="4" s="1"/>
  <c r="F31" i="4"/>
  <c r="F26" i="4" s="1"/>
  <c r="E31" i="4"/>
  <c r="I30" i="4"/>
  <c r="H30" i="4"/>
  <c r="G30" i="4"/>
  <c r="E30" i="4"/>
  <c r="D30" i="4"/>
  <c r="I29" i="4"/>
  <c r="H29" i="4"/>
  <c r="E29" i="4"/>
  <c r="E27" i="4"/>
  <c r="I26" i="4"/>
  <c r="H26" i="4"/>
  <c r="G26" i="4"/>
  <c r="E26" i="4"/>
  <c r="D26" i="4"/>
  <c r="K25" i="4"/>
  <c r="I25" i="4"/>
  <c r="H25" i="4"/>
  <c r="E25" i="4"/>
  <c r="D25" i="4"/>
  <c r="K24" i="4"/>
  <c r="I24" i="4"/>
  <c r="H24" i="4"/>
  <c r="E24" i="4"/>
  <c r="D24" i="4"/>
  <c r="AH20" i="4"/>
  <c r="AK10" i="4" s="1"/>
  <c r="AH19" i="4"/>
  <c r="AK9" i="4" s="1"/>
  <c r="AH18" i="4"/>
  <c r="AH17" i="4"/>
  <c r="AK7" i="4" s="1"/>
  <c r="AH16" i="4"/>
  <c r="AK6" i="4" s="1"/>
  <c r="AH15" i="4"/>
  <c r="AK5" i="4" s="1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H11" i="4"/>
  <c r="AH10" i="4"/>
  <c r="AH9" i="4"/>
  <c r="AK8" i="4"/>
  <c r="AH8" i="4"/>
  <c r="AH7" i="4"/>
  <c r="AH6" i="4"/>
  <c r="AH5" i="4"/>
  <c r="AH12" i="4" s="1"/>
  <c r="AQ6" i="3"/>
  <c r="AQ5" i="3"/>
  <c r="AP8" i="1"/>
  <c r="AR5" i="12" l="1"/>
  <c r="AU5" i="12" s="1"/>
  <c r="AP14" i="12"/>
  <c r="AU14" i="12"/>
  <c r="AY22" i="12" s="1"/>
  <c r="AY24" i="12" s="1"/>
  <c r="AR14" i="12"/>
  <c r="AJ12" i="11"/>
  <c r="N25" i="11"/>
  <c r="C31" i="11"/>
  <c r="O33" i="11" s="1"/>
  <c r="O38" i="11" s="1"/>
  <c r="AN7" i="11"/>
  <c r="AP7" i="11" s="1"/>
  <c r="AS7" i="11" s="1"/>
  <c r="BA13" i="11"/>
  <c r="AN8" i="11"/>
  <c r="AP8" i="11" s="1"/>
  <c r="AS8" i="11" s="1"/>
  <c r="AL5" i="11"/>
  <c r="AL12" i="11" s="1"/>
  <c r="N28" i="11"/>
  <c r="AM9" i="11" s="1"/>
  <c r="AN9" i="11" s="1"/>
  <c r="AP9" i="11" s="1"/>
  <c r="AS9" i="11" s="1"/>
  <c r="C28" i="5"/>
  <c r="C26" i="5"/>
  <c r="C27" i="5"/>
  <c r="M27" i="7"/>
  <c r="O45" i="7"/>
  <c r="M28" i="7"/>
  <c r="F29" i="4"/>
  <c r="G28" i="4"/>
  <c r="E28" i="5"/>
  <c r="E26" i="5"/>
  <c r="E27" i="5"/>
  <c r="E24" i="5"/>
  <c r="F26" i="5"/>
  <c r="F28" i="5"/>
  <c r="F29" i="5"/>
  <c r="F27" i="5"/>
  <c r="F25" i="5"/>
  <c r="AK5" i="6"/>
  <c r="AH22" i="6"/>
  <c r="K29" i="7"/>
  <c r="K28" i="7"/>
  <c r="K24" i="7"/>
  <c r="K30" i="7"/>
  <c r="K25" i="7"/>
  <c r="AH22" i="8"/>
  <c r="F27" i="6"/>
  <c r="F25" i="6"/>
  <c r="F26" i="6"/>
  <c r="F30" i="6"/>
  <c r="N30" i="6" s="1"/>
  <c r="AM11" i="6" s="1"/>
  <c r="F24" i="6"/>
  <c r="F28" i="6"/>
  <c r="I35" i="6"/>
  <c r="C29" i="6"/>
  <c r="M24" i="7"/>
  <c r="I36" i="6"/>
  <c r="I37" i="6" s="1"/>
  <c r="C28" i="6"/>
  <c r="F28" i="4"/>
  <c r="AH10" i="5"/>
  <c r="AH12" i="5" s="1"/>
  <c r="F24" i="5"/>
  <c r="E28" i="6"/>
  <c r="E25" i="6"/>
  <c r="E27" i="6"/>
  <c r="E26" i="6"/>
  <c r="H34" i="6"/>
  <c r="I34" i="6" s="1"/>
  <c r="L30" i="7"/>
  <c r="O44" i="7"/>
  <c r="O46" i="7" s="1"/>
  <c r="L29" i="7"/>
  <c r="L28" i="7"/>
  <c r="L24" i="7"/>
  <c r="AH22" i="10"/>
  <c r="E1" i="10" s="1"/>
  <c r="AK5" i="10"/>
  <c r="N27" i="7"/>
  <c r="G24" i="4"/>
  <c r="G25" i="4"/>
  <c r="J25" i="4"/>
  <c r="J28" i="4"/>
  <c r="J30" i="4"/>
  <c r="J29" i="4"/>
  <c r="J26" i="4"/>
  <c r="J24" i="4"/>
  <c r="L27" i="7"/>
  <c r="I35" i="9"/>
  <c r="C29" i="9"/>
  <c r="N29" i="9" s="1"/>
  <c r="AM10" i="9" s="1"/>
  <c r="C30" i="9"/>
  <c r="N30" i="9" s="1"/>
  <c r="AM11" i="9" s="1"/>
  <c r="C25" i="9"/>
  <c r="J27" i="10"/>
  <c r="J30" i="10"/>
  <c r="J29" i="10"/>
  <c r="J28" i="10"/>
  <c r="H35" i="4"/>
  <c r="C25" i="4" s="1"/>
  <c r="O43" i="9"/>
  <c r="F27" i="9"/>
  <c r="F26" i="9"/>
  <c r="F28" i="9"/>
  <c r="F30" i="9"/>
  <c r="F29" i="9"/>
  <c r="F30" i="4"/>
  <c r="E29" i="5"/>
  <c r="H34" i="8"/>
  <c r="I34" i="8" s="1"/>
  <c r="I37" i="8" s="1"/>
  <c r="J26" i="7"/>
  <c r="J27" i="7"/>
  <c r="O37" i="7"/>
  <c r="H34" i="9"/>
  <c r="L26" i="10"/>
  <c r="O43" i="10"/>
  <c r="H34" i="7"/>
  <c r="K28" i="4"/>
  <c r="G27" i="5"/>
  <c r="N27" i="5" s="1"/>
  <c r="AM8" i="5" s="1"/>
  <c r="G27" i="7"/>
  <c r="O34" i="7"/>
  <c r="G26" i="9"/>
  <c r="F26" i="10"/>
  <c r="K28" i="10"/>
  <c r="K29" i="10"/>
  <c r="K30" i="10"/>
  <c r="BA10" i="10"/>
  <c r="BA13" i="10" s="1"/>
  <c r="G26" i="5"/>
  <c r="J24" i="5"/>
  <c r="L30" i="5"/>
  <c r="J24" i="7"/>
  <c r="H35" i="7"/>
  <c r="C30" i="7" s="1"/>
  <c r="G27" i="9"/>
  <c r="G28" i="9"/>
  <c r="J30" i="9"/>
  <c r="L27" i="10"/>
  <c r="L28" i="10"/>
  <c r="L29" i="10"/>
  <c r="L30" i="10"/>
  <c r="H36" i="4"/>
  <c r="G28" i="5"/>
  <c r="G25" i="9"/>
  <c r="G30" i="6"/>
  <c r="J30" i="7"/>
  <c r="K26" i="4"/>
  <c r="K29" i="4"/>
  <c r="J24" i="6"/>
  <c r="H36" i="8"/>
  <c r="I36" i="8" s="1"/>
  <c r="K25" i="9"/>
  <c r="H35" i="10"/>
  <c r="AQ12" i="10"/>
  <c r="D25" i="10"/>
  <c r="D24" i="10"/>
  <c r="D28" i="10"/>
  <c r="D27" i="10"/>
  <c r="D29" i="10"/>
  <c r="D26" i="10"/>
  <c r="D30" i="10"/>
  <c r="I34" i="10"/>
  <c r="C24" i="10"/>
  <c r="I35" i="10"/>
  <c r="C25" i="10"/>
  <c r="C30" i="10"/>
  <c r="C29" i="10"/>
  <c r="O46" i="10"/>
  <c r="AK12" i="10"/>
  <c r="I36" i="10"/>
  <c r="O37" i="10"/>
  <c r="J24" i="10"/>
  <c r="J25" i="10"/>
  <c r="J26" i="10"/>
  <c r="C28" i="10"/>
  <c r="G28" i="10"/>
  <c r="G29" i="10"/>
  <c r="G30" i="10"/>
  <c r="G24" i="10"/>
  <c r="K24" i="10"/>
  <c r="G25" i="10"/>
  <c r="K25" i="10"/>
  <c r="C26" i="10"/>
  <c r="G26" i="10"/>
  <c r="G27" i="10"/>
  <c r="AH22" i="9"/>
  <c r="E1" i="9" s="1"/>
  <c r="AK12" i="9"/>
  <c r="I34" i="9"/>
  <c r="C24" i="9"/>
  <c r="N27" i="9"/>
  <c r="AM8" i="9" s="1"/>
  <c r="O46" i="9"/>
  <c r="J24" i="9"/>
  <c r="J25" i="9"/>
  <c r="J26" i="9"/>
  <c r="J27" i="9"/>
  <c r="C28" i="9"/>
  <c r="I36" i="9"/>
  <c r="C26" i="9"/>
  <c r="AH12" i="8"/>
  <c r="N28" i="8"/>
  <c r="AM9" i="8" s="1"/>
  <c r="N27" i="8"/>
  <c r="AM8" i="8" s="1"/>
  <c r="N26" i="8"/>
  <c r="AM7" i="8" s="1"/>
  <c r="I35" i="8"/>
  <c r="N30" i="8"/>
  <c r="AM11" i="8" s="1"/>
  <c r="N29" i="8"/>
  <c r="AM10" i="8" s="1"/>
  <c r="AK5" i="8"/>
  <c r="O45" i="8"/>
  <c r="O46" i="8" s="1"/>
  <c r="M29" i="7"/>
  <c r="M30" i="7"/>
  <c r="M26" i="7"/>
  <c r="AK12" i="7"/>
  <c r="AH12" i="7"/>
  <c r="C29" i="7"/>
  <c r="N29" i="7" s="1"/>
  <c r="I34" i="7"/>
  <c r="C24" i="7"/>
  <c r="N24" i="7" s="1"/>
  <c r="C28" i="7"/>
  <c r="N28" i="7" s="1"/>
  <c r="I36" i="7"/>
  <c r="C27" i="7"/>
  <c r="C26" i="7"/>
  <c r="AH22" i="7"/>
  <c r="J28" i="7"/>
  <c r="J29" i="7"/>
  <c r="N29" i="6"/>
  <c r="AM10" i="6" s="1"/>
  <c r="AH12" i="6"/>
  <c r="AK8" i="6"/>
  <c r="AK12" i="6" s="1"/>
  <c r="C24" i="6"/>
  <c r="G24" i="6"/>
  <c r="C25" i="6"/>
  <c r="G25" i="6"/>
  <c r="C26" i="6"/>
  <c r="G26" i="6"/>
  <c r="C27" i="6"/>
  <c r="N27" i="6" s="1"/>
  <c r="AM8" i="6" s="1"/>
  <c r="J28" i="6"/>
  <c r="N28" i="6" s="1"/>
  <c r="AM9" i="6" s="1"/>
  <c r="J29" i="6"/>
  <c r="H34" i="5"/>
  <c r="H35" i="5"/>
  <c r="AH22" i="5"/>
  <c r="AK5" i="5"/>
  <c r="AK12" i="5"/>
  <c r="K29" i="5"/>
  <c r="C30" i="4"/>
  <c r="N30" i="4" s="1"/>
  <c r="AM11" i="4" s="1"/>
  <c r="C29" i="4"/>
  <c r="N29" i="4" s="1"/>
  <c r="AM10" i="4" s="1"/>
  <c r="AK12" i="4"/>
  <c r="AH22" i="4"/>
  <c r="N27" i="4"/>
  <c r="AM8" i="4" s="1"/>
  <c r="C24" i="4"/>
  <c r="I34" i="4"/>
  <c r="C28" i="4"/>
  <c r="N28" i="4" s="1"/>
  <c r="AM9" i="4" s="1"/>
  <c r="C26" i="4"/>
  <c r="I36" i="4"/>
  <c r="L24" i="4"/>
  <c r="L25" i="4"/>
  <c r="L26" i="4"/>
  <c r="M24" i="4"/>
  <c r="M25" i="4"/>
  <c r="M26" i="4"/>
  <c r="L29" i="4"/>
  <c r="F24" i="4"/>
  <c r="F25" i="4"/>
  <c r="M29" i="4"/>
  <c r="AQ9" i="3"/>
  <c r="D14" i="2"/>
  <c r="AW15" i="11" l="1"/>
  <c r="AW17" i="11" s="1"/>
  <c r="P40" i="11"/>
  <c r="O31" i="11"/>
  <c r="AM6" i="11"/>
  <c r="N31" i="11"/>
  <c r="P31" i="11" s="1"/>
  <c r="AN5" i="11"/>
  <c r="AJ11" i="10"/>
  <c r="AJ7" i="10"/>
  <c r="AJ10" i="10"/>
  <c r="AJ5" i="10"/>
  <c r="AJ12" i="10" s="1"/>
  <c r="AJ6" i="10"/>
  <c r="AJ9" i="10"/>
  <c r="AJ8" i="10"/>
  <c r="N30" i="7"/>
  <c r="AM11" i="7" s="1"/>
  <c r="I35" i="4"/>
  <c r="N25" i="6"/>
  <c r="AM6" i="6" s="1"/>
  <c r="I35" i="7"/>
  <c r="I37" i="7" s="1"/>
  <c r="N28" i="9"/>
  <c r="AM9" i="9" s="1"/>
  <c r="N26" i="7"/>
  <c r="AM7" i="7" s="1"/>
  <c r="C25" i="7"/>
  <c r="I35" i="5"/>
  <c r="C25" i="5"/>
  <c r="C29" i="5"/>
  <c r="C30" i="5"/>
  <c r="N30" i="5" s="1"/>
  <c r="AM11" i="5" s="1"/>
  <c r="I34" i="5"/>
  <c r="C24" i="5"/>
  <c r="AM8" i="7"/>
  <c r="N25" i="9"/>
  <c r="AM6" i="9" s="1"/>
  <c r="N30" i="10"/>
  <c r="AM11" i="10" s="1"/>
  <c r="N27" i="10"/>
  <c r="AM8" i="10" s="1"/>
  <c r="N29" i="10"/>
  <c r="AM10" i="10" s="1"/>
  <c r="N26" i="10"/>
  <c r="AM7" i="10" s="1"/>
  <c r="N28" i="10"/>
  <c r="AM9" i="10" s="1"/>
  <c r="N25" i="10"/>
  <c r="AM6" i="10" s="1"/>
  <c r="C31" i="10"/>
  <c r="O33" i="10" s="1"/>
  <c r="O38" i="10" s="1"/>
  <c r="AW15" i="10" s="1"/>
  <c r="N24" i="10"/>
  <c r="I37" i="10"/>
  <c r="AJ7" i="9"/>
  <c r="AL7" i="9" s="1"/>
  <c r="AJ5" i="9"/>
  <c r="AL5" i="9" s="1"/>
  <c r="AJ10" i="9"/>
  <c r="AJ6" i="9"/>
  <c r="AL6" i="9" s="1"/>
  <c r="AL10" i="9"/>
  <c r="AN10" i="9" s="1"/>
  <c r="AJ11" i="9"/>
  <c r="AL11" i="9" s="1"/>
  <c r="AN11" i="9" s="1"/>
  <c r="N26" i="9"/>
  <c r="AM7" i="9" s="1"/>
  <c r="AJ8" i="9"/>
  <c r="AL8" i="9" s="1"/>
  <c r="AN8" i="9" s="1"/>
  <c r="AJ9" i="9"/>
  <c r="AL9" i="9" s="1"/>
  <c r="AN9" i="9" s="1"/>
  <c r="C31" i="9"/>
  <c r="O33" i="9" s="1"/>
  <c r="O38" i="9" s="1"/>
  <c r="N24" i="9"/>
  <c r="I37" i="9"/>
  <c r="E1" i="8"/>
  <c r="AJ5" i="8" s="1"/>
  <c r="AL5" i="8" s="1"/>
  <c r="N25" i="8"/>
  <c r="AM6" i="8" s="1"/>
  <c r="AK12" i="8"/>
  <c r="O33" i="8"/>
  <c r="O38" i="8" s="1"/>
  <c r="O31" i="8" s="1"/>
  <c r="N24" i="8"/>
  <c r="E1" i="7"/>
  <c r="AJ5" i="7" s="1"/>
  <c r="AL5" i="7" s="1"/>
  <c r="AM9" i="7"/>
  <c r="C31" i="7"/>
  <c r="O33" i="7" s="1"/>
  <c r="O38" i="7" s="1"/>
  <c r="O31" i="7" s="1"/>
  <c r="AM10" i="7"/>
  <c r="E1" i="6"/>
  <c r="AJ7" i="6" s="1"/>
  <c r="AL7" i="6" s="1"/>
  <c r="C31" i="6"/>
  <c r="N24" i="6"/>
  <c r="N26" i="6"/>
  <c r="AM7" i="6" s="1"/>
  <c r="I36" i="5"/>
  <c r="N26" i="5"/>
  <c r="AM7" i="5" s="1"/>
  <c r="E1" i="5"/>
  <c r="AJ7" i="5" s="1"/>
  <c r="AL7" i="5" s="1"/>
  <c r="N29" i="5"/>
  <c r="AM10" i="5" s="1"/>
  <c r="N28" i="5"/>
  <c r="AM9" i="5" s="1"/>
  <c r="N25" i="5"/>
  <c r="AM6" i="5" s="1"/>
  <c r="N24" i="5"/>
  <c r="I37" i="5"/>
  <c r="N24" i="4"/>
  <c r="C31" i="4"/>
  <c r="N26" i="4"/>
  <c r="AM7" i="4" s="1"/>
  <c r="E1" i="4"/>
  <c r="AJ13" i="4" s="1"/>
  <c r="AL13" i="4" s="1"/>
  <c r="AN13" i="4" s="1"/>
  <c r="I37" i="4"/>
  <c r="N25" i="4"/>
  <c r="AM6" i="4" s="1"/>
  <c r="D12" i="2"/>
  <c r="D13" i="2"/>
  <c r="AH19" i="3"/>
  <c r="AK9" i="3" s="1"/>
  <c r="AH9" i="3"/>
  <c r="P21" i="3"/>
  <c r="AH16" i="3"/>
  <c r="AK6" i="3" s="1"/>
  <c r="AH17" i="3"/>
  <c r="AH18" i="3"/>
  <c r="AK8" i="3" s="1"/>
  <c r="AH20" i="3"/>
  <c r="AK10" i="3" s="1"/>
  <c r="AH21" i="3"/>
  <c r="AK11" i="3" s="1"/>
  <c r="AH15" i="3"/>
  <c r="AK5" i="3" s="1"/>
  <c r="AH6" i="3"/>
  <c r="AH7" i="3"/>
  <c r="AH8" i="3"/>
  <c r="AH10" i="3"/>
  <c r="AH11" i="3"/>
  <c r="AH12" i="3" s="1"/>
  <c r="AH5" i="3"/>
  <c r="D37" i="3"/>
  <c r="G36" i="3"/>
  <c r="F36" i="3"/>
  <c r="G35" i="3"/>
  <c r="F35" i="3"/>
  <c r="H35" i="3" s="1"/>
  <c r="G34" i="3"/>
  <c r="F34" i="3"/>
  <c r="H34" i="3" s="1"/>
  <c r="M31" i="3"/>
  <c r="M27" i="3" s="1"/>
  <c r="L31" i="3"/>
  <c r="L29" i="3" s="1"/>
  <c r="K31" i="3"/>
  <c r="K29" i="3" s="1"/>
  <c r="J31" i="3"/>
  <c r="G31" i="3"/>
  <c r="F31" i="3"/>
  <c r="E31" i="3"/>
  <c r="D31" i="3"/>
  <c r="D29" i="3" s="1"/>
  <c r="M30" i="3"/>
  <c r="L30" i="3"/>
  <c r="J30" i="3"/>
  <c r="I30" i="3"/>
  <c r="H30" i="3"/>
  <c r="G30" i="3"/>
  <c r="F30" i="3"/>
  <c r="E30" i="3"/>
  <c r="M29" i="3"/>
  <c r="J29" i="3"/>
  <c r="I29" i="3"/>
  <c r="H29" i="3"/>
  <c r="G29" i="3"/>
  <c r="F29" i="3"/>
  <c r="E29" i="3"/>
  <c r="L27" i="3"/>
  <c r="J27" i="3"/>
  <c r="I27" i="3"/>
  <c r="H27" i="3"/>
  <c r="G27" i="3"/>
  <c r="F27" i="3"/>
  <c r="E27" i="3"/>
  <c r="L26" i="3"/>
  <c r="J26" i="3"/>
  <c r="I26" i="3"/>
  <c r="H26" i="3"/>
  <c r="G26" i="3"/>
  <c r="F26" i="3"/>
  <c r="E26" i="3"/>
  <c r="D26" i="3"/>
  <c r="M25" i="3"/>
  <c r="L25" i="3"/>
  <c r="J25" i="3"/>
  <c r="I25" i="3"/>
  <c r="H25" i="3"/>
  <c r="G25" i="3"/>
  <c r="F25" i="3"/>
  <c r="E25" i="3"/>
  <c r="M24" i="3"/>
  <c r="L24" i="3"/>
  <c r="J24" i="3"/>
  <c r="I24" i="3"/>
  <c r="H24" i="3"/>
  <c r="G24" i="3"/>
  <c r="F24" i="3"/>
  <c r="E24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N6" i="11" l="1"/>
  <c r="AP6" i="11" s="1"/>
  <c r="AS6" i="11" s="1"/>
  <c r="AM12" i="11"/>
  <c r="AN12" i="11"/>
  <c r="AP12" i="11" s="1"/>
  <c r="AP5" i="11"/>
  <c r="AS5" i="11" s="1"/>
  <c r="AS12" i="11" s="1"/>
  <c r="AW20" i="11" s="1"/>
  <c r="AW22" i="11" s="1"/>
  <c r="D25" i="3"/>
  <c r="D30" i="3"/>
  <c r="K25" i="3"/>
  <c r="K30" i="3"/>
  <c r="K26" i="3"/>
  <c r="M26" i="3"/>
  <c r="K27" i="3"/>
  <c r="N27" i="3" s="1"/>
  <c r="AM8" i="3" s="1"/>
  <c r="O31" i="9"/>
  <c r="P40" i="9"/>
  <c r="D27" i="3"/>
  <c r="K24" i="3"/>
  <c r="D24" i="3"/>
  <c r="H36" i="3"/>
  <c r="C28" i="3" s="1"/>
  <c r="N28" i="3" s="1"/>
  <c r="AM9" i="3" s="1"/>
  <c r="AN6" i="9"/>
  <c r="AM6" i="7"/>
  <c r="N25" i="7"/>
  <c r="N31" i="7" s="1"/>
  <c r="P31" i="7" s="1"/>
  <c r="AL8" i="10"/>
  <c r="AN8" i="10" s="1"/>
  <c r="AL6" i="10"/>
  <c r="AN6" i="10" s="1"/>
  <c r="AL5" i="10"/>
  <c r="P40" i="10"/>
  <c r="O31" i="10"/>
  <c r="N31" i="10"/>
  <c r="AM5" i="10"/>
  <c r="AN7" i="9"/>
  <c r="AM5" i="9"/>
  <c r="N31" i="9"/>
  <c r="P31" i="9" s="1"/>
  <c r="AL12" i="9"/>
  <c r="AJ12" i="9"/>
  <c r="AJ6" i="8"/>
  <c r="AL6" i="8" s="1"/>
  <c r="AL12" i="8" s="1"/>
  <c r="AJ8" i="8"/>
  <c r="AL8" i="8" s="1"/>
  <c r="AP8" i="8" s="1"/>
  <c r="AS8" i="8" s="1"/>
  <c r="AJ10" i="8"/>
  <c r="AL10" i="8" s="1"/>
  <c r="AP10" i="8" s="1"/>
  <c r="AS10" i="8" s="1"/>
  <c r="AJ11" i="8"/>
  <c r="AL11" i="8" s="1"/>
  <c r="AP11" i="8" s="1"/>
  <c r="AS11" i="8" s="1"/>
  <c r="AJ7" i="8"/>
  <c r="AL7" i="8" s="1"/>
  <c r="AP7" i="8" s="1"/>
  <c r="AS7" i="8" s="1"/>
  <c r="AJ9" i="8"/>
  <c r="AL9" i="8" s="1"/>
  <c r="AP9" i="8" s="1"/>
  <c r="AS9" i="8" s="1"/>
  <c r="P31" i="8"/>
  <c r="AM5" i="8"/>
  <c r="AP6" i="8"/>
  <c r="AS6" i="8" s="1"/>
  <c r="AJ11" i="7"/>
  <c r="AL11" i="7" s="1"/>
  <c r="AN11" i="7" s="1"/>
  <c r="AJ8" i="7"/>
  <c r="AL8" i="7" s="1"/>
  <c r="AN8" i="7" s="1"/>
  <c r="AJ9" i="7"/>
  <c r="AL9" i="7" s="1"/>
  <c r="AN9" i="7" s="1"/>
  <c r="AJ6" i="7"/>
  <c r="AL6" i="7" s="1"/>
  <c r="AJ7" i="7"/>
  <c r="AL7" i="7" s="1"/>
  <c r="AN7" i="7" s="1"/>
  <c r="AJ10" i="7"/>
  <c r="AL10" i="7" s="1"/>
  <c r="AN10" i="7" s="1"/>
  <c r="AM5" i="7"/>
  <c r="AJ8" i="6"/>
  <c r="AL8" i="6" s="1"/>
  <c r="AN8" i="6" s="1"/>
  <c r="AJ9" i="6"/>
  <c r="AL9" i="6" s="1"/>
  <c r="AN9" i="6" s="1"/>
  <c r="AN7" i="6"/>
  <c r="AJ11" i="6"/>
  <c r="AL11" i="6" s="1"/>
  <c r="AN11" i="6" s="1"/>
  <c r="AJ6" i="6"/>
  <c r="AL6" i="6" s="1"/>
  <c r="AN6" i="6" s="1"/>
  <c r="AJ5" i="6"/>
  <c r="AL5" i="6" s="1"/>
  <c r="AJ10" i="6"/>
  <c r="AL10" i="6" s="1"/>
  <c r="AN10" i="6" s="1"/>
  <c r="AM5" i="6"/>
  <c r="N31" i="6"/>
  <c r="C31" i="5"/>
  <c r="AN7" i="5"/>
  <c r="AJ9" i="5"/>
  <c r="AL9" i="5" s="1"/>
  <c r="AN9" i="5" s="1"/>
  <c r="AJ11" i="5"/>
  <c r="AL11" i="5" s="1"/>
  <c r="AN11" i="5" s="1"/>
  <c r="AJ10" i="5"/>
  <c r="AL10" i="5" s="1"/>
  <c r="AN10" i="5" s="1"/>
  <c r="AJ6" i="5"/>
  <c r="AL6" i="5" s="1"/>
  <c r="AN6" i="5" s="1"/>
  <c r="AJ5" i="5"/>
  <c r="AJ8" i="5"/>
  <c r="AL8" i="5" s="1"/>
  <c r="AN8" i="5" s="1"/>
  <c r="AM5" i="5"/>
  <c r="AM12" i="5" s="1"/>
  <c r="N31" i="5"/>
  <c r="AJ9" i="4"/>
  <c r="AL9" i="4" s="1"/>
  <c r="AN9" i="4" s="1"/>
  <c r="AJ8" i="4"/>
  <c r="AL8" i="4" s="1"/>
  <c r="AN8" i="4" s="1"/>
  <c r="AS8" i="4" s="1"/>
  <c r="AJ7" i="4"/>
  <c r="AL7" i="4" s="1"/>
  <c r="AN7" i="4" s="1"/>
  <c r="AJ11" i="4"/>
  <c r="AL11" i="4" s="1"/>
  <c r="AN11" i="4" s="1"/>
  <c r="AJ10" i="4"/>
  <c r="AL10" i="4" s="1"/>
  <c r="AN10" i="4" s="1"/>
  <c r="AJ6" i="4"/>
  <c r="AL6" i="4" s="1"/>
  <c r="AN6" i="4" s="1"/>
  <c r="AJ5" i="4"/>
  <c r="AM5" i="4"/>
  <c r="N31" i="4"/>
  <c r="AH22" i="3"/>
  <c r="C30" i="3"/>
  <c r="N30" i="3" s="1"/>
  <c r="AM11" i="3" s="1"/>
  <c r="C29" i="3"/>
  <c r="N29" i="3" s="1"/>
  <c r="AM10" i="3" s="1"/>
  <c r="C25" i="3"/>
  <c r="N25" i="3" s="1"/>
  <c r="AM6" i="3" s="1"/>
  <c r="I35" i="3"/>
  <c r="C24" i="3"/>
  <c r="I34" i="3"/>
  <c r="AQ12" i="3"/>
  <c r="AK7" i="3"/>
  <c r="AK12" i="3" s="1"/>
  <c r="AP9" i="1"/>
  <c r="C26" i="3" l="1"/>
  <c r="N26" i="3" s="1"/>
  <c r="AM7" i="3" s="1"/>
  <c r="I36" i="3"/>
  <c r="AN6" i="7"/>
  <c r="AL10" i="10"/>
  <c r="AN10" i="10" s="1"/>
  <c r="AL7" i="10"/>
  <c r="AN7" i="10" s="1"/>
  <c r="AL9" i="10"/>
  <c r="AL11" i="10"/>
  <c r="AN11" i="10" s="1"/>
  <c r="P31" i="10"/>
  <c r="AN5" i="10"/>
  <c r="AM12" i="10"/>
  <c r="AM12" i="9"/>
  <c r="AN5" i="9"/>
  <c r="AJ12" i="8"/>
  <c r="AM12" i="8"/>
  <c r="AJ12" i="7"/>
  <c r="AL12" i="7"/>
  <c r="AN5" i="7"/>
  <c r="AM12" i="7"/>
  <c r="AJ12" i="6"/>
  <c r="AL12" i="6"/>
  <c r="AM12" i="6"/>
  <c r="AN5" i="6"/>
  <c r="AL5" i="5"/>
  <c r="AL12" i="5" s="1"/>
  <c r="AJ12" i="5"/>
  <c r="AM12" i="4"/>
  <c r="AL5" i="4"/>
  <c r="AL12" i="4" s="1"/>
  <c r="AJ12" i="4"/>
  <c r="E1" i="3"/>
  <c r="AJ13" i="3" s="1"/>
  <c r="AO13" i="4" s="1"/>
  <c r="AP13" i="4" s="1"/>
  <c r="AS13" i="4" s="1"/>
  <c r="I37" i="3"/>
  <c r="N24" i="3"/>
  <c r="N31" i="3" s="1"/>
  <c r="C31" i="3" l="1"/>
  <c r="AQ10" i="5"/>
  <c r="AO8" i="5"/>
  <c r="AP8" i="5" s="1"/>
  <c r="AS8" i="5" s="1"/>
  <c r="AO8" i="6" s="1"/>
  <c r="AP8" i="6" s="1"/>
  <c r="AS8" i="6" s="1"/>
  <c r="AO8" i="7" s="1"/>
  <c r="AP8" i="7" s="1"/>
  <c r="AS8" i="7" s="1"/>
  <c r="AO8" i="9" s="1"/>
  <c r="AP8" i="9" s="1"/>
  <c r="AS8" i="9" s="1"/>
  <c r="AO8" i="10" s="1"/>
  <c r="AP8" i="10" s="1"/>
  <c r="AS8" i="10" s="1"/>
  <c r="AL12" i="10"/>
  <c r="AN9" i="10"/>
  <c r="AN12" i="9"/>
  <c r="AN12" i="8"/>
  <c r="AP12" i="8" s="1"/>
  <c r="AP5" i="8"/>
  <c r="AS5" i="8" s="1"/>
  <c r="AS12" i="8" s="1"/>
  <c r="AN12" i="7"/>
  <c r="AN12" i="6"/>
  <c r="AN5" i="5"/>
  <c r="AN5" i="4"/>
  <c r="AJ7" i="3"/>
  <c r="AL7" i="3" s="1"/>
  <c r="AN7" i="3" s="1"/>
  <c r="AJ9" i="3"/>
  <c r="AL9" i="3" s="1"/>
  <c r="AN9" i="3" s="1"/>
  <c r="AP9" i="3" s="1"/>
  <c r="AS9" i="3" s="1"/>
  <c r="AO9" i="4" s="1"/>
  <c r="AP9" i="4" s="1"/>
  <c r="AS9" i="4" s="1"/>
  <c r="AO9" i="5" s="1"/>
  <c r="AP9" i="5" s="1"/>
  <c r="AS9" i="5" s="1"/>
  <c r="AO9" i="6" s="1"/>
  <c r="AP9" i="6" s="1"/>
  <c r="AS9" i="6" s="1"/>
  <c r="AO9" i="7" s="1"/>
  <c r="AP9" i="7" s="1"/>
  <c r="AS9" i="7" s="1"/>
  <c r="AO9" i="9" s="1"/>
  <c r="AP9" i="9" s="1"/>
  <c r="AS9" i="9" s="1"/>
  <c r="AO9" i="10" s="1"/>
  <c r="AJ8" i="3"/>
  <c r="AJ6" i="3"/>
  <c r="AL6" i="3" s="1"/>
  <c r="AN6" i="3" s="1"/>
  <c r="AJ5" i="3"/>
  <c r="AL5" i="3" s="1"/>
  <c r="AJ10" i="3"/>
  <c r="AL10" i="3" s="1"/>
  <c r="AN10" i="3" s="1"/>
  <c r="AL8" i="3"/>
  <c r="AJ11" i="3"/>
  <c r="AL11" i="3" s="1"/>
  <c r="AN11" i="3" s="1"/>
  <c r="AM5" i="3"/>
  <c r="AP7" i="1"/>
  <c r="AN8" i="3" l="1"/>
  <c r="AL15" i="3"/>
  <c r="AL16" i="3" s="1"/>
  <c r="AN12" i="4"/>
  <c r="AP9" i="10"/>
  <c r="AS9" i="10" s="1"/>
  <c r="AN12" i="10"/>
  <c r="AN12" i="5"/>
  <c r="AJ12" i="3"/>
  <c r="AL12" i="3"/>
  <c r="AN5" i="3"/>
  <c r="AM12" i="3"/>
  <c r="AN12" i="3" l="1"/>
  <c r="AP6" i="1"/>
  <c r="D16" i="2" l="1"/>
  <c r="D15" i="2"/>
  <c r="D11" i="2"/>
  <c r="F4" i="2"/>
  <c r="F5" i="2" s="1"/>
  <c r="D6" i="2" s="1"/>
  <c r="D8" i="2" l="1"/>
  <c r="D7" i="2"/>
  <c r="D9" i="2"/>
  <c r="AP5" i="1"/>
  <c r="H28" i="1"/>
  <c r="AP11" i="1" l="1"/>
  <c r="AN11" i="1"/>
  <c r="M28" i="1"/>
  <c r="M23" i="1" s="1"/>
  <c r="L28" i="1"/>
  <c r="L23" i="1" s="1"/>
  <c r="K23" i="1"/>
  <c r="K28" i="1"/>
  <c r="K24" i="1" s="1"/>
  <c r="J23" i="1"/>
  <c r="J24" i="1"/>
  <c r="J28" i="1"/>
  <c r="J25" i="1" s="1"/>
  <c r="I23" i="1"/>
  <c r="I24" i="1"/>
  <c r="I25" i="1"/>
  <c r="I28" i="1"/>
  <c r="I26" i="1" s="1"/>
  <c r="H23" i="1"/>
  <c r="H24" i="1"/>
  <c r="H25" i="1"/>
  <c r="H26" i="1"/>
  <c r="H27" i="1"/>
  <c r="H22" i="1"/>
  <c r="G23" i="1"/>
  <c r="G24" i="1"/>
  <c r="G25" i="1"/>
  <c r="G26" i="1"/>
  <c r="G27" i="1"/>
  <c r="G22" i="1"/>
  <c r="G28" i="1"/>
  <c r="F28" i="1"/>
  <c r="F25" i="1" s="1"/>
  <c r="E28" i="1"/>
  <c r="E23" i="1" s="1"/>
  <c r="D23" i="1"/>
  <c r="D28" i="1"/>
  <c r="D24" i="1" s="1"/>
  <c r="G32" i="1"/>
  <c r="G33" i="1"/>
  <c r="G31" i="1"/>
  <c r="D34" i="1"/>
  <c r="F33" i="1"/>
  <c r="F32" i="1"/>
  <c r="F31" i="1"/>
  <c r="F26" i="1" l="1"/>
  <c r="K22" i="1"/>
  <c r="L27" i="1"/>
  <c r="M26" i="1"/>
  <c r="M22" i="1"/>
  <c r="M27" i="1"/>
  <c r="D22" i="1"/>
  <c r="L26" i="1"/>
  <c r="M25" i="1"/>
  <c r="F27" i="1"/>
  <c r="E27" i="1"/>
  <c r="E26" i="1"/>
  <c r="J22" i="1"/>
  <c r="D26" i="1"/>
  <c r="I22" i="1"/>
  <c r="J27" i="1"/>
  <c r="K26" i="1"/>
  <c r="L25" i="1"/>
  <c r="M24" i="1"/>
  <c r="F22" i="1"/>
  <c r="L22" i="1"/>
  <c r="K27" i="1"/>
  <c r="F24" i="1"/>
  <c r="H33" i="1"/>
  <c r="D25" i="1"/>
  <c r="E24" i="1"/>
  <c r="F23" i="1"/>
  <c r="I27" i="1"/>
  <c r="J26" i="1"/>
  <c r="K25" i="1"/>
  <c r="L24" i="1"/>
  <c r="E22" i="1"/>
  <c r="D27" i="1"/>
  <c r="E25" i="1"/>
  <c r="H32" i="1"/>
  <c r="H31" i="1"/>
  <c r="I31" i="1" l="1"/>
  <c r="C22" i="1"/>
  <c r="I33" i="1"/>
  <c r="C25" i="1"/>
  <c r="N25" i="1" s="1"/>
  <c r="AL8" i="1" s="1"/>
  <c r="C24" i="1"/>
  <c r="N24" i="1" s="1"/>
  <c r="AL7" i="1" s="1"/>
  <c r="I32" i="1"/>
  <c r="C27" i="1"/>
  <c r="N27" i="1" s="1"/>
  <c r="AL10" i="1" s="1"/>
  <c r="C23" i="1"/>
  <c r="N23" i="1" s="1"/>
  <c r="AL6" i="1" s="1"/>
  <c r="C26" i="1"/>
  <c r="N26" i="1" s="1"/>
  <c r="AL9" i="1" s="1"/>
  <c r="C28" i="1" l="1"/>
  <c r="N22" i="1"/>
  <c r="I34" i="1"/>
  <c r="AG15" i="1"/>
  <c r="AJ6" i="1" s="1"/>
  <c r="AG16" i="1"/>
  <c r="AJ7" i="1" s="1"/>
  <c r="AG17" i="1"/>
  <c r="AJ8" i="1" s="1"/>
  <c r="AG18" i="1"/>
  <c r="AJ9" i="1" s="1"/>
  <c r="AG19" i="1"/>
  <c r="AJ10" i="1" s="1"/>
  <c r="AG14" i="1"/>
  <c r="AJ5" i="1" s="1"/>
  <c r="AG5" i="1"/>
  <c r="AL5" i="1" l="1"/>
  <c r="N28" i="1"/>
  <c r="AG20" i="1"/>
  <c r="AJ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C11" i="1"/>
  <c r="AG6" i="1"/>
  <c r="AG7" i="1"/>
  <c r="AG8" i="1"/>
  <c r="AG9" i="1"/>
  <c r="AG10" i="1"/>
  <c r="AL11" i="1" l="1"/>
  <c r="E1" i="1"/>
  <c r="AI5" i="1" s="1"/>
  <c r="AG11" i="1"/>
  <c r="AI9" i="1" l="1"/>
  <c r="AK9" i="1" s="1"/>
  <c r="AM9" i="1" s="1"/>
  <c r="AO9" i="1" s="1"/>
  <c r="AR9" i="1" s="1"/>
  <c r="AO10" i="3" s="1"/>
  <c r="AP10" i="3" s="1"/>
  <c r="AS10" i="3" s="1"/>
  <c r="AO10" i="4" s="1"/>
  <c r="AI6" i="1"/>
  <c r="AK6" i="1" s="1"/>
  <c r="AM6" i="1" s="1"/>
  <c r="AO6" i="1" s="1"/>
  <c r="AR6" i="1" s="1"/>
  <c r="AO6" i="3" s="1"/>
  <c r="AP6" i="3" s="1"/>
  <c r="AS6" i="3" s="1"/>
  <c r="AO6" i="4" s="1"/>
  <c r="AK5" i="1"/>
  <c r="AI8" i="1"/>
  <c r="AK8" i="1" s="1"/>
  <c r="AM8" i="1" s="1"/>
  <c r="AO8" i="1" s="1"/>
  <c r="AR8" i="1" s="1"/>
  <c r="AI7" i="1"/>
  <c r="AK7" i="1" s="1"/>
  <c r="AM7" i="1" s="1"/>
  <c r="AO7" i="1" s="1"/>
  <c r="AR7" i="1" s="1"/>
  <c r="AO7" i="3" s="1"/>
  <c r="AP7" i="3" s="1"/>
  <c r="AS7" i="3" s="1"/>
  <c r="AO7" i="4" s="1"/>
  <c r="AI10" i="1"/>
  <c r="AK10" i="1" s="1"/>
  <c r="AM10" i="1" s="1"/>
  <c r="AO10" i="1" s="1"/>
  <c r="AR10" i="1" s="1"/>
  <c r="AO11" i="3" s="1"/>
  <c r="AP11" i="3" s="1"/>
  <c r="AS11" i="3" s="1"/>
  <c r="AO11" i="4" s="1"/>
  <c r="AP11" i="4" s="1"/>
  <c r="AS11" i="4" s="1"/>
  <c r="AO11" i="5" s="1"/>
  <c r="AP11" i="5" s="1"/>
  <c r="AS11" i="5" s="1"/>
  <c r="AO11" i="6" s="1"/>
  <c r="AP11" i="6" s="1"/>
  <c r="AS11" i="6" s="1"/>
  <c r="AO11" i="7" s="1"/>
  <c r="AP11" i="7" s="1"/>
  <c r="AS11" i="7" s="1"/>
  <c r="AO11" i="9" s="1"/>
  <c r="AP11" i="9" s="1"/>
  <c r="AS11" i="9" s="1"/>
  <c r="AO11" i="10" s="1"/>
  <c r="AP11" i="10" s="1"/>
  <c r="AS11" i="10" s="1"/>
  <c r="AP7" i="4" l="1"/>
  <c r="AS7" i="4" s="1"/>
  <c r="AO7" i="5" s="1"/>
  <c r="AP7" i="5" s="1"/>
  <c r="AS7" i="5" s="1"/>
  <c r="AO7" i="6" s="1"/>
  <c r="AP7" i="6" s="1"/>
  <c r="AS7" i="6" s="1"/>
  <c r="AO7" i="7" s="1"/>
  <c r="AP7" i="7" s="1"/>
  <c r="AS7" i="7" s="1"/>
  <c r="AO7" i="9" s="1"/>
  <c r="AP7" i="9" s="1"/>
  <c r="AS7" i="9" s="1"/>
  <c r="AO7" i="10" s="1"/>
  <c r="AP7" i="10" s="1"/>
  <c r="AS7" i="10" s="1"/>
  <c r="AT8" i="1"/>
  <c r="AO8" i="3"/>
  <c r="AP8" i="3" s="1"/>
  <c r="AS8" i="3" s="1"/>
  <c r="AK11" i="1"/>
  <c r="AM5" i="1"/>
  <c r="AI11" i="1"/>
  <c r="AS6" i="4"/>
  <c r="AO6" i="5" s="1"/>
  <c r="AP6" i="5" s="1"/>
  <c r="AS6" i="5" s="1"/>
  <c r="AO6" i="6" s="1"/>
  <c r="AP6" i="6" s="1"/>
  <c r="AS6" i="6" s="1"/>
  <c r="AO6" i="7" s="1"/>
  <c r="AP6" i="7" s="1"/>
  <c r="AS6" i="7" s="1"/>
  <c r="AO6" i="9" s="1"/>
  <c r="AP6" i="9" s="1"/>
  <c r="AS6" i="9" s="1"/>
  <c r="AO6" i="10" s="1"/>
  <c r="AP6" i="10" s="1"/>
  <c r="AS6" i="10" s="1"/>
  <c r="AP6" i="4"/>
  <c r="AS10" i="4"/>
  <c r="AO10" i="5" s="1"/>
  <c r="AP10" i="5" s="1"/>
  <c r="AS10" i="5" s="1"/>
  <c r="AO10" i="6" s="1"/>
  <c r="AP10" i="6" s="1"/>
  <c r="AS10" i="6" s="1"/>
  <c r="AO10" i="7" s="1"/>
  <c r="AP10" i="7" s="1"/>
  <c r="AS10" i="7" s="1"/>
  <c r="AO10" i="9" s="1"/>
  <c r="AP10" i="9" s="1"/>
  <c r="AS10" i="9" s="1"/>
  <c r="AO10" i="10" s="1"/>
  <c r="AP10" i="10" s="1"/>
  <c r="AS10" i="10" s="1"/>
  <c r="AP10" i="4"/>
  <c r="AO5" i="1" l="1"/>
  <c r="AM11" i="1"/>
  <c r="AR5" i="1" l="1"/>
  <c r="AO11" i="1"/>
  <c r="AR11" i="1" l="1"/>
  <c r="AO5" i="3"/>
  <c r="AO12" i="3" l="1"/>
  <c r="AP5" i="3"/>
  <c r="AP12" i="3" l="1"/>
  <c r="AS5" i="3"/>
  <c r="AO5" i="4" l="1"/>
  <c r="AS12" i="3"/>
  <c r="AP5" i="4" l="1"/>
  <c r="AS5" i="4" s="1"/>
  <c r="AO12" i="4"/>
  <c r="AP12" i="4" s="1"/>
  <c r="AS12" i="4" l="1"/>
  <c r="AO5" i="5"/>
  <c r="AO12" i="5" l="1"/>
  <c r="AP12" i="5" s="1"/>
  <c r="AP5" i="5"/>
  <c r="AS5" i="5" s="1"/>
  <c r="AS12" i="5" l="1"/>
  <c r="AO5" i="6"/>
  <c r="AO12" i="6" l="1"/>
  <c r="AP12" i="6" s="1"/>
  <c r="AP5" i="6"/>
  <c r="AS5" i="6" s="1"/>
  <c r="AO5" i="7" l="1"/>
  <c r="AS12" i="6"/>
  <c r="AO12" i="7" l="1"/>
  <c r="AP12" i="7" s="1"/>
  <c r="AP5" i="7"/>
  <c r="AS5" i="7" s="1"/>
  <c r="AS12" i="7" l="1"/>
  <c r="AO5" i="9"/>
  <c r="AO12" i="9" l="1"/>
  <c r="AP5" i="9"/>
  <c r="AS5" i="9" s="1"/>
  <c r="AO5" i="10" l="1"/>
  <c r="AS12" i="9"/>
  <c r="AT12" i="9" s="1"/>
  <c r="AT14" i="9" s="1"/>
  <c r="AT16" i="9" s="1"/>
  <c r="AP18" i="9"/>
  <c r="AP12" i="9"/>
  <c r="AO12" i="10" l="1"/>
  <c r="AP5" i="10"/>
  <c r="AS5" i="10" s="1"/>
  <c r="AS12" i="10" s="1"/>
  <c r="AW20" i="10" s="1"/>
  <c r="AW22" i="10" s="1"/>
  <c r="AW16" i="10" l="1"/>
  <c r="AW17" i="10" s="1"/>
  <c r="AP12" i="10"/>
  <c r="AU5" i="33" l="1"/>
  <c r="AU12" i="33" s="1"/>
  <c r="AL17" i="33" s="1"/>
  <c r="AL18" i="33" s="1"/>
  <c r="AL25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tc={CA8E331F-ACD4-46CE-8561-69A7D50C2F7C}</author>
    <author>tc={00AA401D-899B-451D-A7A8-7CF6938DFAA1}</author>
    <author>tc={F44831A3-29E2-4C6C-9EE2-5BD63C13F094}</author>
  </authors>
  <commentList>
    <comment ref="D6" authorId="0" shapeId="0" xr:uid="{78F0732F-7D7A-45C1-A2B1-BC6732A50E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to Mithan 1000</t>
        </r>
      </text>
    </comment>
    <comment ref="D15" authorId="0" shapeId="0" xr:uid="{EB2C48B5-81CF-422B-8603-8C9EA04A81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to Mithan 1000</t>
        </r>
      </text>
    </comment>
    <comment ref="D16" authorId="0" shapeId="0" xr:uid="{88E4F0E6-6FE3-4C8A-83DF-A690E8A270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by latif and emran on August'2020</t>
        </r>
      </text>
    </comment>
    <comment ref="D17" authorId="1" shapeId="0" xr:uid="{CA8E331F-ACD4-46CE-8561-69A7D50C2F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Repaid 28-Sep-21</t>
      </text>
    </comment>
    <comment ref="E18" authorId="2" shapeId="0" xr:uid="{00AA401D-899B-451D-A7A8-7CF6938DFAA1}">
      <text>
        <t>[Threaded comment]
Your version of Excel allows you to read this threaded comment; however, any edits to it will get removed if the file is opened in a newer version of Excel. Learn more: https://go.microsoft.com/fwlink/?linkid=870924
Comment:
    28-sep-21</t>
      </text>
    </comment>
    <comment ref="D20" authorId="3" shapeId="0" xr:uid="{F44831A3-29E2-4C6C-9EE2-5BD63C13F094}">
      <text>
        <t>[Threaded comment]
Your version of Excel allows you to read this threaded comment; however, any edits to it will get removed if the file is opened in a newer version of Excel. Learn more: https://go.microsoft.com/fwlink/?linkid=870924
Comment:
    TK 3,000 (28-Sep-21)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P5" authorId="0" shapeId="0" xr:uid="{18F85804-8483-456B-83A2-5535DACACFC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Net bill paid 1000</t>
        </r>
      </text>
    </comment>
    <comment ref="AP6" authorId="0" shapeId="0" xr:uid="{3EF81E46-23C9-4AF4-874D-FA2C70448BA8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paid taka 2600 (15 Dec 2020)
dust bill 120 (14 Dec 2020)</t>
        </r>
      </text>
    </comment>
    <comment ref="AR8" authorId="0" shapeId="0" xr:uid="{0F8C7269-D05B-4BE0-8DA5-9726406D4F73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1390 approx utility bill for the Month of December, as the utility bill added with rent after uses. Taka 45 for previous month adjustment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8" authorId="0" shapeId="0" xr:uid="{11DA3A50-DC6C-45DF-AD8F-B9D97421CC0C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paid by Imran</t>
        </r>
      </text>
    </comment>
    <comment ref="AS8" authorId="0" shapeId="0" xr:uid="{FAF76913-BD97-4055-AAAE-66B4653229B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Others cost deducted taka 1300 previous month taken against 1246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U4" authorId="0" shapeId="0" xr:uid="{36007FFB-62E5-4A4B-A5F8-7BABDD425A4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birth day cake</t>
        </r>
      </text>
    </comment>
    <comment ref="AS9" authorId="0" shapeId="0" xr:uid="{5E4CE59D-C0B5-4F64-B2FD-835509BE518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1000 for freez</t>
        </r>
      </text>
    </comment>
    <comment ref="AQ11" authorId="0" shapeId="0" xr:uid="{DE0FFBF4-9D38-4591-90A8-F4F09F971D5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birth day cake taka 700</t>
        </r>
      </text>
    </comment>
    <comment ref="AR11" authorId="0" shapeId="0" xr:uid="{4B3329B0-9BBD-4795-B78D-558FC875FE8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9030 paid on 28 Feb'21</t>
        </r>
      </text>
    </comment>
    <comment ref="AS11" authorId="0" shapeId="0" xr:uid="{1A60E928-CD72-4D02-8042-050C5C27869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For sunny taka 800</t>
        </r>
      </text>
    </comment>
    <comment ref="AS13" authorId="0" shapeId="0" xr:uid="{C794D0C0-6F75-4A56-96D3-0A39C1A65D9C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400 for Jan'21
</t>
        </r>
      </text>
    </comment>
    <comment ref="D31" authorId="0" shapeId="0" xr:uid="{0884E6BD-74C8-4AC8-96C5-384B6F2B1BE3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400 taka for Mohidul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O8" authorId="0" shapeId="0" xr:uid="{8E4310AC-5325-463F-9D12-83BBD3053E5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This cost was included with Md. Abdul Latif meal</t>
        </r>
      </text>
    </comment>
    <comment ref="AQ9" authorId="0" shapeId="0" xr:uid="{31730BCB-BAC2-49FD-995A-1B1777153E75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Taka 320 (03 April 2021)</t>
        </r>
      </text>
    </comment>
    <comment ref="AQ10" authorId="0" shapeId="0" xr:uid="{498D0C36-E8DF-4BC4-8B5E-968FD40E79C4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Mohidul Islam meal cost was borne by Md. Abdul Latif (Feb'21 Meal) So It will due from Mohidul Islma and Deposited by Md. Abdul Latif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7" authorId="0" shapeId="0" xr:uid="{BB9032E6-2459-4EA7-8ACF-61FB8230028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Hand wash purchase taka 120</t>
        </r>
      </text>
    </comment>
    <comment ref="M31" authorId="0" shapeId="0" xr:uid="{27B59132-A711-4D21-825A-BA17CBFEE8B9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Hand wash by Bipul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5" authorId="0" shapeId="0" xr:uid="{8B617F89-A259-46F6-8F0F-6B9783D1B60B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 for April'21</t>
        </r>
      </text>
    </comment>
    <comment ref="AQ6" authorId="0" shapeId="0" xr:uid="{33D42179-425F-4029-9E62-05D5CA5E39EA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120 waste bill for March</t>
        </r>
      </text>
    </comment>
    <comment ref="M31" authorId="0" shapeId="0" xr:uid="{6D956960-A538-4CD8-B358-4BEFED620991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Jharu purchased by Emran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M31" authorId="0" shapeId="0" xr:uid="{5F371E44-95AA-4731-BAC1-F3D7FC9A542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Jharu purchased by Emran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J5" authorId="0" shapeId="0" xr:uid="{E6AA6139-56B8-4828-BAE6-A69FCADDBD6F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J6" authorId="0" shapeId="0" xr:uid="{5DF3EDA2-B346-45F0-B4B0-C9C6DEDC4F40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J10" authorId="0" shapeId="0" xr:uid="{C7C019AD-45A9-4A3C-A4D8-7F9634368792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 tk for iftar party</t>
        </r>
      </text>
    </comment>
    <comment ref="AK11" authorId="0" shapeId="0" xr:uid="{DFAB7874-61C5-4CC1-ABCB-9F33000480C0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150*3 tk for iftar party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tc={6E160DB1-1A41-4B00-9829-8E0761D754E6}</author>
    <author>MD. Abdul Latif</author>
  </authors>
  <commentList>
    <comment ref="AQ8" authorId="0" shapeId="0" xr:uid="{6E160DB1-1A41-4B00-9829-8E0761D754E6}">
      <text>
        <t>[Threaded comment]
Your version of Excel allows you to read this threaded comment; however, any edits to it will get removed if the file is opened in a newer version of Excel. Learn more: https://go.microsoft.com/fwlink/?linkid=870924
Comment:
    2000 Abdul Latif, 15 July 2021</t>
      </text>
    </comment>
    <comment ref="AQ9" authorId="1" shapeId="0" xr:uid="{0FA5610A-5C11-42D2-AD94-088CC081AEDE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for the Month of Jun'21</t>
        </r>
      </text>
    </comment>
    <comment ref="AQ11" authorId="1" shapeId="0" xr:uid="{F15D636A-0BA4-476C-BA19-C1F8CC73C5E7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tc={7ACC5E37-BA2F-44F2-9EE2-0E351BB5D236}</author>
    <author>tc={6E7EEA30-A5F4-45A8-B580-6128A02AD611}</author>
    <author>tc={3EF02456-075D-4BB0-A549-F75F9E92261D}</author>
  </authors>
  <commentList>
    <comment ref="AS5" authorId="0" shapeId="0" xr:uid="{7ACC5E37-BA2F-44F2-9EE2-0E351BB5D23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Internet bill Tk 500 (10-Aug-21)</t>
      </text>
    </comment>
    <comment ref="AS6" authorId="1" shapeId="0" xr:uid="{6E7EEA30-A5F4-45A8-B580-6128A02AD61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 bill (120+25)</t>
      </text>
    </comment>
    <comment ref="AS9" authorId="2" shapeId="0" xr:uid="{3EF02456-075D-4BB0-A549-F75F9E92261D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for the Month of July 21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tc={DC65E409-EE56-4D66-A75D-CE07BD9A3240}</author>
    <author>tc={EC753F09-D414-4C3F-BE4B-C89C6A12B1DF}</author>
    <author>tc={1FBBA863-62E2-4938-B48E-5E02AD2F559B}</author>
    <author>tc={E70CEEB4-E63C-4426-BB61-5239DCBAA99F}</author>
  </authors>
  <commentList>
    <comment ref="AS8" authorId="0" shapeId="0" xr:uid="{DC65E409-EE56-4D66-A75D-CE07BD9A3240}">
      <text>
        <t>[Threaded comment]
Your version of Excel allows you to read this threaded comment; however, any edits to it will get removed if the file is opened in a newer version of Excel. Learn more: https://go.microsoft.com/fwlink/?linkid=870924
Comment:
    17-Aug-21=3500</t>
      </text>
    </comment>
    <comment ref="AS9" authorId="1" shapeId="0" xr:uid="{EC753F09-D414-4C3F-BE4B-C89C6A12B1DF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and waste bill for the Month of August 21</t>
      </text>
    </comment>
    <comment ref="AS12" authorId="2" shapeId="0" xr:uid="{1FBBA863-62E2-4938-B48E-5E02AD2F559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3095+3750 (Advance+Fridge)=6845 (25-Sep-21)</t>
      </text>
    </comment>
    <comment ref="AS13" authorId="3" shapeId="0" xr:uid="{E70CEEB4-E63C-4426-BB61-5239DCBAA99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4000 (25-Sep-21)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tc={CCB0E3CF-E1C7-4846-B97F-2D5524C30410}</author>
    <author>tc={0A98EA7F-23E5-4553-A6E1-CD7D9E2D0893}</author>
    <author>tc={D43EE28B-0461-4794-BC5F-592D07985888}</author>
    <author>tc={86388A37-7C9C-4B03-B252-03E7B6D5C2BF}</author>
  </authors>
  <commentList>
    <comment ref="AS8" authorId="0" shapeId="0" xr:uid="{CCB0E3CF-E1C7-4846-B97F-2D5524C30410}">
      <text>
        <t>[Threaded comment]
Your version of Excel allows you to read this threaded comment; however, any edits to it will get removed if the file is opened in a newer version of Excel. Learn more: https://go.microsoft.com/fwlink/?linkid=870924
Comment:
    17-Aug-21=3500</t>
      </text>
    </comment>
    <comment ref="AS9" authorId="1" shapeId="0" xr:uid="{0A98EA7F-23E5-4553-A6E1-CD7D9E2D0893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and waste bill for the Month of August 21</t>
      </text>
    </comment>
    <comment ref="AS12" authorId="2" shapeId="0" xr:uid="{D43EE28B-0461-4794-BC5F-592D0798588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3095+3750 (Advance+Fridge)=6845 (25-Sep-21)</t>
      </text>
    </comment>
    <comment ref="AS13" authorId="3" shapeId="0" xr:uid="{86388A37-7C9C-4B03-B252-03E7B6D5C2B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4000 (25-Sep-21)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tc={609C2B21-E94D-4A93-8D97-631B7E2574E8}</author>
  </authors>
  <commentList>
    <comment ref="AS10" authorId="0" shapeId="0" xr:uid="{609C2B21-E94D-4A93-8D97-631B7E2574E8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for the Month of September 21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tc={F5DAD08D-8EC2-4719-BAA5-6E03CE2EDC83}</author>
    <author>tc={26325236-7452-4910-84D3-A4FE780D5BC4}</author>
    <author>tc={4A1C2BA8-F424-4AB3-983E-F8A8D37A3B99}</author>
    <author>tc={ADA15E40-CA79-4787-84B2-F40DAA27523D}</author>
    <author>tc={AE5D13FC-D339-4479-B00E-E7FB4DDF2F3D}</author>
  </authors>
  <commentList>
    <comment ref="AS5" authorId="0" shapeId="0" xr:uid="{F5DAD08D-8EC2-4719-BAA5-6E03CE2EDC83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Internet-500
Newspaper-625
Router-1000</t>
      </text>
    </comment>
    <comment ref="AS6" authorId="1" shapeId="0" xr:uid="{26325236-7452-4910-84D3-A4FE780D5BC4}">
      <text>
        <t>[Threaded comment]
Your version of Excel allows you to read this threaded comment; however, any edits to it will get removed if the file is opened in a newer version of Excel. Learn more: https://go.microsoft.com/fwlink/?linkid=870924
Comment:
    Router-500</t>
      </text>
    </comment>
    <comment ref="AS8" authorId="2" shapeId="0" xr:uid="{4A1C2BA8-F424-4AB3-983E-F8A8D37A3B9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 Bill 120</t>
      </text>
    </comment>
    <comment ref="AS9" authorId="3" shapeId="0" xr:uid="{ADA15E40-CA79-4787-84B2-F40DAA27523D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 - 3000
Others (Balb &amp; Harpic)- 200</t>
      </text>
    </comment>
    <comment ref="AS10" authorId="4" shapeId="0" xr:uid="{AE5D13FC-D339-4479-B00E-E7FB4DDF2F3D}">
      <text>
        <t>[Threaded comment]
Your version of Excel allows you to read this threaded comment; however, any edits to it will get removed if the file is opened in a newer version of Excel. Learn more: https://go.microsoft.com/fwlink/?linkid=870924
Comment:
    Router-950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tc={22F6F421-1376-4DED-8458-5237F3524CF4}</author>
  </authors>
  <commentList>
    <comment ref="B26" authorId="0" shapeId="0" xr:uid="{22F6F421-1376-4DED-8458-5237F3524CF4}">
      <text>
        <t>[Threaded comment]
Your version of Excel allows you to read this threaded comment; however, any edits to it will get removed if the file is opened in a newer version of Excel. Learn more: https://go.microsoft.com/fwlink/?linkid=870924
Comment:
    AnikDa-Rent 3,000 and Aman utilities and others</t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tc={48854F37-13AC-4A94-B608-BEBB201ACAC0}</author>
  </authors>
  <commentList>
    <comment ref="B26" authorId="0" shapeId="0" xr:uid="{48854F37-13AC-4A94-B608-BEBB201ACAC0}">
      <text>
        <t>[Threaded comment]
Your version of Excel allows you to read this threaded comment; however, any edits to it will get removed if the file is opened in a newer version of Excel. Learn more: https://go.microsoft.com/fwlink/?linkid=870924
Comment:
    AnikDa-Rent 3,000 and Aman utilities and others</t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tc={6F85C5B3-1B49-495B-9AD8-026D3687D1A2}</author>
    <author>tc={E22F92F5-1FC5-4C38-89F1-AD8E11850440}</author>
  </authors>
  <commentList>
    <comment ref="AS7" authorId="0" shapeId="0" xr:uid="{6F85C5B3-1B49-495B-9AD8-026D3687D1A2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Portion of newspaper bill</t>
      </text>
    </comment>
    <comment ref="AS10" authorId="1" shapeId="0" xr:uid="{E22F92F5-1FC5-4C38-89F1-AD8E11850440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Portion of newspaper bill</t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tc={ABA8C2FC-E041-4BA3-9A50-1AC675BEF436}</author>
    <author>tc={BCAECDB8-3BCA-4014-ABD7-D54A2ACBFA65}</author>
    <author>tc={A600B722-2813-4F29-A046-40260AA99417}</author>
    <author>tc={2310913A-8ED9-4F78-BB69-1BC28FED00B2}</author>
    <author>tc={762FEFAA-AC68-4DBF-9605-51F3E73DFBDC}</author>
    <author>tc={F70FF6E3-2B52-4DC5-857C-00D44EB24A54}</author>
    <author>tc={5B0989B7-61B2-4188-9A86-A621B8E963C6}</author>
    <author>tc={51EBF936-D3DA-4326-8F02-AB625E548CB3}</author>
  </authors>
  <commentList>
    <comment ref="AS5" authorId="0" shapeId="0" xr:uid="{ABA8C2FC-E041-4BA3-9A50-1AC675BEF43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Internet Bill
Reply:
    Rent 3000 TK for Mar 22
Reply:
    181+3=184 deduct for bipu da</t>
      </text>
    </comment>
    <comment ref="AS6" authorId="1" shapeId="0" xr:uid="{BCAECDB8-3BCA-4014-ABD7-D54A2ACBFA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Rent 4000 for Mar 22</t>
      </text>
    </comment>
    <comment ref="AS7" authorId="2" shapeId="0" xr:uid="{A600B722-2813-4F29-A046-40260AA994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Nayan 500-408=92
Reply:
    6400 Paid for Rent 5700 and 881 and 184 TK from Ranti da, Total 6581 TK</t>
      </text>
    </comment>
    <comment ref="AS8" authorId="3" shapeId="0" xr:uid="{2310913A-8ED9-4F78-BB69-1BC28FED00B2}">
      <text>
        <t>[Threaded comment]
Your version of Excel allows you to read this threaded comment; however, any edits to it will get removed if the file is opened in a newer version of Excel. Learn more: https://go.microsoft.com/fwlink/?linkid=870924
Comment:
    Dust Bill
Reply:
    Rent 3940 Paid</t>
      </text>
    </comment>
    <comment ref="AS9" authorId="4" shapeId="0" xr:uid="{762FEFAA-AC68-4DBF-9605-51F3E73DFBDC}">
      <text>
        <t>[Threaded comment]
Your version of Excel allows you to read this threaded comment; however, any edits to it will get removed if the file is opened in a newer version of Excel. Learn more: https://go.microsoft.com/fwlink/?linkid=870924
Comment:
    Maid Bill</t>
      </text>
    </comment>
    <comment ref="AS10" authorId="5" shapeId="0" xr:uid="{F70FF6E3-2B52-4DC5-857C-00D44EB24A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Rent 3300 for Mar 22</t>
      </text>
    </comment>
    <comment ref="AS11" authorId="6" shapeId="0" xr:uid="{5B0989B7-61B2-4188-9A86-A621B8E963C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of newspaper bill
Reply:
    Rent 3700 for Mar 22</t>
      </text>
    </comment>
    <comment ref="AL22" authorId="7" shapeId="0" xr:uid="{51EBF936-D3DA-4326-8F02-AB625E548CB3}">
      <text>
        <t>[Threaded comment]
Your version of Excel allows you to read this threaded comment; however, any edits to it will get removed if the file is opened in a newer version of Excel. Learn more: https://go.microsoft.com/fwlink/?linkid=870924
Comment:
    Bipul Da : 881 TK and Saklayen : 7700 TK
Reply:
    Mohidul Vai 3940
Reply:
    Ranti Da 3000 Paid
Reply:
    Anik Da 4000 Paid
Reply:
    Rent for Saklayen 3300 paid</t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tc={BCB14C1A-3A28-4A2A-BE9A-8357764FDC1C}</author>
    <author>tc={296C4934-A7C6-4D89-9484-6409196A5843}</author>
    <author>tc={28A908C1-7695-4B6E-B65B-ED5121C16F6F}</author>
    <author>tc={EAC2DF46-CC40-4659-96C5-A7B9E5CD7A6E}</author>
    <author>tc={E4E59CC2-10B9-4489-A8FE-12EB210791F8}</author>
    <author>tc={D59D2363-50CE-4B71-ADBC-3BC8D3B059E9}</author>
  </authors>
  <commentList>
    <comment ref="AS5" authorId="0" shapeId="0" xr:uid="{BCB14C1A-3A28-4A2A-BE9A-8357764FDC1C}">
      <text>
        <t>[Threaded comment]
Your version of Excel allows you to read this threaded comment; however, any edits to it will get removed if the file is opened in a newer version of Excel. Learn more: https://go.microsoft.com/fwlink/?linkid=870924
Comment:
    Tk 500 - Internet Bill
Reply:
    TK 5000 for Rent</t>
      </text>
    </comment>
    <comment ref="AU6" authorId="1" shapeId="0" xr:uid="{296C4934-A7C6-4D89-9484-6409196A5843}">
      <text>
        <t>[Threaded comment]
Your version of Excel allows you to read this threaded comment; however, any edits to it will get removed if the file is opened in a newer version of Excel. Learn more: https://go.microsoft.com/fwlink/?linkid=870924
Comment:
    TK 1000 Back to Anik Da</t>
      </text>
    </comment>
    <comment ref="AS7" authorId="2" shapeId="0" xr:uid="{28A908C1-7695-4B6E-B65B-ED5121C16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TK 400 -  Newspaper Bill</t>
      </text>
    </comment>
    <comment ref="AS8" authorId="3" shapeId="0" xr:uid="{EAC2DF46-CC40-4659-96C5-A7B9E5CD7A6E}">
      <text>
        <t>[Threaded comment]
Your version of Excel allows you to read this threaded comment; however, any edits to it will get removed if the file is opened in a newer version of Excel. Learn more: https://go.microsoft.com/fwlink/?linkid=870924
Comment:
    TK 120 - Dust Bill
Reply:
    Tk 4500 for Rent
Reply:
    Rest 500 TK for Rent</t>
      </text>
    </comment>
    <comment ref="AS9" authorId="4" shapeId="0" xr:uid="{E4E59CC2-10B9-4489-A8FE-12EB210791F8}">
      <text>
        <t>[Threaded comment]
Your version of Excel allows you to read this threaded comment; however, any edits to it will get removed if the file is opened in a newer version of Excel. Learn more: https://go.microsoft.com/fwlink/?linkid=870924
Comment:
    TK 3000 -  Maid Bill
Reply:
    Tk 2400 Back to Jishan Vai</t>
      </text>
    </comment>
    <comment ref="AU9" authorId="5" shapeId="0" xr:uid="{D59D2363-50CE-4B71-ADBC-3BC8D3B059E9}">
      <text>
        <t>[Threaded comment]
Your version of Excel allows you to read this threaded comment; however, any edits to it will get removed if the file is opened in a newer version of Excel. Learn more: https://go.microsoft.com/fwlink/?linkid=870924
Comment:
    TK 2400 Back to Jishan Vai</t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Abdul Latif</author>
  </authors>
  <commentList>
    <comment ref="AQ9" authorId="0" shapeId="0" xr:uid="{368B6F03-4341-40A9-BCF2-E0E09B68F58A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Maid bill for the Month of Jun'21</t>
        </r>
      </text>
    </comment>
    <comment ref="AQ11" authorId="0" shapeId="0" xr:uid="{742D9C1E-8309-43EC-9D11-598358D6A148}">
      <text>
        <r>
          <rPr>
            <b/>
            <sz val="9"/>
            <color indexed="81"/>
            <rFont val="Tahoma"/>
            <family val="2"/>
          </rPr>
          <t>MD. Abdul Latif:</t>
        </r>
        <r>
          <rPr>
            <sz val="9"/>
            <color indexed="81"/>
            <rFont val="Tahoma"/>
            <family val="2"/>
          </rPr>
          <t xml:space="preserve">
Wast bill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<sst xmlns="http://schemas.openxmlformats.org/spreadsheetml/2006/main" count="2141" uniqueCount="227">
  <si>
    <t>SL. No.</t>
  </si>
  <si>
    <t>Total meal</t>
  </si>
  <si>
    <t>Name</t>
  </si>
  <si>
    <t>Omar sany</t>
  </si>
  <si>
    <t>Chandra Shekhar Ganguly</t>
  </si>
  <si>
    <t>Ranti Saha</t>
  </si>
  <si>
    <t>Bipul Kumar</t>
  </si>
  <si>
    <t>Md. Abdul Latif</t>
  </si>
  <si>
    <t>Emranul Haque</t>
  </si>
  <si>
    <t>Rent for December'20</t>
  </si>
  <si>
    <t>Bazar for November'20</t>
  </si>
  <si>
    <t>Basic</t>
  </si>
  <si>
    <t>Maid bill</t>
  </si>
  <si>
    <t>Bonus</t>
  </si>
  <si>
    <t>Internet bill</t>
  </si>
  <si>
    <t>Gas bill</t>
  </si>
  <si>
    <t>Electricity bill</t>
  </si>
  <si>
    <t>Water bill</t>
  </si>
  <si>
    <t>Stair</t>
  </si>
  <si>
    <t>Newspaper bill</t>
  </si>
  <si>
    <t>Dust bill</t>
  </si>
  <si>
    <t xml:space="preserve">Others </t>
  </si>
  <si>
    <t>Total rent</t>
  </si>
  <si>
    <t>Total meal cost per head</t>
  </si>
  <si>
    <t>Total Bazar per head</t>
  </si>
  <si>
    <t>Rent per hear (Dec'20)</t>
  </si>
  <si>
    <t>Meal exp. Surplus/ (Deficit)</t>
  </si>
  <si>
    <t>Reqired payment amount</t>
  </si>
  <si>
    <t>Paid amount</t>
  </si>
  <si>
    <t>Payment date</t>
  </si>
  <si>
    <t>Previous month adjustment (if any)</t>
  </si>
  <si>
    <t>Rent exp. Surplus/ (Deficit)</t>
  </si>
  <si>
    <t>Reqired payment amount after adjustment of previous month</t>
  </si>
  <si>
    <t>Meal rate for Nov'20</t>
  </si>
  <si>
    <t>Advance to Land loard</t>
  </si>
  <si>
    <t>Per Room</t>
  </si>
  <si>
    <t>Per head</t>
  </si>
  <si>
    <t>Latif</t>
  </si>
  <si>
    <t>Bipul</t>
  </si>
  <si>
    <t>Zahid vai</t>
  </si>
  <si>
    <t>Ranti</t>
  </si>
  <si>
    <t>Rashidul</t>
  </si>
  <si>
    <t>Pritom</t>
  </si>
  <si>
    <t>Rono</t>
  </si>
  <si>
    <t>Omar Sunny</t>
  </si>
  <si>
    <t>Imran</t>
  </si>
  <si>
    <t>Mithun</t>
  </si>
  <si>
    <t>Total</t>
  </si>
  <si>
    <t>Zisan</t>
  </si>
  <si>
    <t>Shekhar</t>
  </si>
  <si>
    <t>Meal rate for Dec'20</t>
  </si>
  <si>
    <t>Sazayetul Islam Zisan</t>
  </si>
  <si>
    <t>Rent per hear (Jan'21)</t>
  </si>
  <si>
    <t>Mohidul</t>
  </si>
  <si>
    <t>Total as of Feb'21</t>
  </si>
  <si>
    <t>Diposit as on 01 Mar'21</t>
  </si>
  <si>
    <t>Due as of 01 Mar'21</t>
  </si>
  <si>
    <t>Md. Mohidul Islam</t>
  </si>
  <si>
    <t>Meal rate for Feb'21</t>
  </si>
  <si>
    <t>Bazar for Feb'21</t>
  </si>
  <si>
    <t>Rent for March'21</t>
  </si>
  <si>
    <t>Rent</t>
  </si>
  <si>
    <t>Maid</t>
  </si>
  <si>
    <t>Net</t>
  </si>
  <si>
    <t>Wast</t>
  </si>
  <si>
    <t>Meal rate for Mar'21</t>
  </si>
  <si>
    <t>Bazar for Mar'21</t>
  </si>
  <si>
    <t>Rent per hear (April'21)</t>
  </si>
  <si>
    <t>Rent per hear (Mar'21)</t>
  </si>
  <si>
    <t>Bazar for April'21</t>
  </si>
  <si>
    <t>Meal rate for April'21</t>
  </si>
  <si>
    <t>Gas</t>
  </si>
  <si>
    <t>Water</t>
  </si>
  <si>
    <t>Electricity</t>
  </si>
  <si>
    <t>C/C</t>
  </si>
  <si>
    <t>Rent per hear (May21)</t>
  </si>
  <si>
    <t>Rent for April'21</t>
  </si>
  <si>
    <t>Shariful Islam</t>
  </si>
  <si>
    <t>Bazar for April-May'21</t>
  </si>
  <si>
    <t>Meal rate for May'21</t>
  </si>
  <si>
    <t>Bazar for May'21</t>
  </si>
  <si>
    <t>Rent per hear (June-21)</t>
  </si>
  <si>
    <t>5/26/2021 and 04-Jun-21 and 10 June-2021</t>
  </si>
  <si>
    <t>14 &amp; 15 June-21</t>
  </si>
  <si>
    <t>Meal rate for June'21</t>
  </si>
  <si>
    <t>Rent per hear (July-21)</t>
  </si>
  <si>
    <t>Bazar for June'21</t>
  </si>
  <si>
    <t>Rent for July'21</t>
  </si>
  <si>
    <t>Balance sheet as of 10-Jul-2021</t>
  </si>
  <si>
    <t>Liability:</t>
  </si>
  <si>
    <t>Rent payable for July'21</t>
  </si>
  <si>
    <t>Accrued rent</t>
  </si>
  <si>
    <t>Assets</t>
  </si>
  <si>
    <t>Receivable from member</t>
  </si>
  <si>
    <t>Cash in hand</t>
  </si>
  <si>
    <t>Taka</t>
  </si>
  <si>
    <t>Personal due with Mess</t>
  </si>
  <si>
    <t>Total amount</t>
  </si>
  <si>
    <t>Emran</t>
  </si>
  <si>
    <t>Mithan</t>
  </si>
  <si>
    <t>Rent paid-July 2021</t>
  </si>
  <si>
    <t>Actual Rent paid</t>
  </si>
  <si>
    <t>Accrued rent as on July</t>
  </si>
  <si>
    <t>Paid by Bipu</t>
  </si>
  <si>
    <t>Saklayen Ahmed </t>
  </si>
  <si>
    <t>Imrul</t>
  </si>
  <si>
    <t>Rent per hear (Aug-21)</t>
  </si>
  <si>
    <t>Rent payable for August'21</t>
  </si>
  <si>
    <t>Meal rate for July'21</t>
  </si>
  <si>
    <t>Meal rate for August'21</t>
  </si>
  <si>
    <t>Saklayen</t>
  </si>
  <si>
    <t>Aman</t>
  </si>
  <si>
    <t>Fridge</t>
  </si>
  <si>
    <t>Bazar for Sep'21</t>
  </si>
  <si>
    <t>Meal rate for September'21</t>
  </si>
  <si>
    <t>Abdul Latif</t>
  </si>
  <si>
    <t>Advance</t>
  </si>
  <si>
    <t>Adjustment</t>
  </si>
  <si>
    <t>Emrol</t>
  </si>
  <si>
    <t>Meal rate for October'21</t>
  </si>
  <si>
    <t>Rent per hear (Nov-21)</t>
  </si>
  <si>
    <t>Bazar for October'21</t>
  </si>
  <si>
    <t>Rent for November'21</t>
  </si>
  <si>
    <t>Newspaper</t>
  </si>
  <si>
    <t xml:space="preserve">Total </t>
  </si>
  <si>
    <t>Difference</t>
  </si>
  <si>
    <t>Cash</t>
  </si>
  <si>
    <t>Meal rate for December'21</t>
  </si>
  <si>
    <t>Bazar for December'21</t>
  </si>
  <si>
    <t>Rent for January'22</t>
  </si>
  <si>
    <t>Rent per hear (Jan-22)</t>
  </si>
  <si>
    <t>Anik Das</t>
  </si>
  <si>
    <t>Rent for Dec'21</t>
  </si>
  <si>
    <t>Meal rate for Jan'22</t>
  </si>
  <si>
    <t>Bazar for Jan'22</t>
  </si>
  <si>
    <t>Rent for Feb'22</t>
  </si>
  <si>
    <t>Rent per hear (Feb-22)</t>
  </si>
  <si>
    <t>Rent payable for Feb'22</t>
  </si>
  <si>
    <t>Total Liabilities</t>
  </si>
  <si>
    <t>Total Assets</t>
  </si>
  <si>
    <t>Balance sheet as of 30 Jan-2022</t>
  </si>
  <si>
    <t>Cash in hand (Rocket)</t>
  </si>
  <si>
    <t>Bill Payable (NewsPaper)</t>
  </si>
  <si>
    <t>Bazar for Feb 22</t>
  </si>
  <si>
    <t>Rent for Mar 22</t>
  </si>
  <si>
    <t>Emrol/Nayan</t>
  </si>
  <si>
    <t>Rent per hear (Mar 22)</t>
  </si>
  <si>
    <t>Nayan</t>
  </si>
  <si>
    <t>Particulars</t>
  </si>
  <si>
    <t>For the month of March 22</t>
  </si>
  <si>
    <t>Total in Advance</t>
  </si>
  <si>
    <t>Total Rent</t>
  </si>
  <si>
    <t>Required Payment</t>
  </si>
  <si>
    <t>Total Meal Cost (Feb 22)</t>
  </si>
  <si>
    <t>Paid to Emrol By Nayan</t>
  </si>
  <si>
    <t>Paid to Saklayen By Nayan</t>
  </si>
  <si>
    <t>Required Payment for Nayan</t>
  </si>
  <si>
    <t>Total Required payment for Nayan</t>
  </si>
  <si>
    <t>Rent payable for Mar'22</t>
  </si>
  <si>
    <t>Meal rate for 
Feb 22</t>
  </si>
  <si>
    <t>Balance sheet as on 28 Feb 2022</t>
  </si>
  <si>
    <t>Liability</t>
  </si>
  <si>
    <t>Payable to Members</t>
  </si>
  <si>
    <t>Mohidul Vai</t>
  </si>
  <si>
    <t>Changes deduct from Ranti Da for Bipul Da</t>
  </si>
  <si>
    <t>Cash In Hand</t>
  </si>
  <si>
    <t>Receivable from member (Mahidul Vai)</t>
  </si>
  <si>
    <t>Bipul Da paid to Ranti Da</t>
  </si>
  <si>
    <t>Shortfall Deduct from Ranti Da for Bipul Da</t>
  </si>
  <si>
    <t>Bazar for Mar 22</t>
  </si>
  <si>
    <t>Meal rate for 
Mar 22</t>
  </si>
  <si>
    <t>Rent for April 22</t>
  </si>
  <si>
    <t>Rent per hear (April 22)</t>
  </si>
  <si>
    <t>Balance sheet as on Mar 31 2022</t>
  </si>
  <si>
    <t xml:space="preserve">Receivable from member </t>
  </si>
  <si>
    <t>Bazar Count</t>
  </si>
  <si>
    <t>Mahmudul  Hasan Nayan</t>
  </si>
  <si>
    <t>Rent payable for April'22</t>
  </si>
  <si>
    <t>Total Receivable</t>
  </si>
  <si>
    <t>Cash In Hand Mar 22</t>
  </si>
  <si>
    <t>Cash in Hand - Apr 22</t>
  </si>
  <si>
    <t>Actual</t>
  </si>
  <si>
    <t>Need For Rent</t>
  </si>
  <si>
    <t>My hand</t>
  </si>
  <si>
    <t>Cash in Hand</t>
  </si>
  <si>
    <t>Meal rate for 
Apr 22</t>
  </si>
  <si>
    <t>Bazar for Apr 22</t>
  </si>
  <si>
    <t>Rent for May 22</t>
  </si>
  <si>
    <t>Rent per hear (May 22)</t>
  </si>
  <si>
    <t>Meal rate for 
Iftar 22</t>
  </si>
  <si>
    <t>Bazar for Iftar 22</t>
  </si>
  <si>
    <t>Iftar Meal April 22</t>
  </si>
  <si>
    <t>Iftar Bazar April 22</t>
  </si>
  <si>
    <t>Total Required (Regular &amp; Iftar)</t>
  </si>
  <si>
    <t>Bazar Count (Iftar)</t>
  </si>
  <si>
    <t>Total Bazar Cost (Regular &amp; Iftar)</t>
  </si>
  <si>
    <t>Total Meal (Regular &amp; Iftar)</t>
  </si>
  <si>
    <t>Iftar
Surplus/ (Deficit)</t>
  </si>
  <si>
    <t>Bazar for May 22</t>
  </si>
  <si>
    <t>Rent per hear (June 22)</t>
  </si>
  <si>
    <t>Rent for June 22</t>
  </si>
  <si>
    <t>Balance sheet as on May 31 2022</t>
  </si>
  <si>
    <t>Meal Rate (May 22)</t>
  </si>
  <si>
    <t>Total Meal (May 22)</t>
  </si>
  <si>
    <t>Total Bazar per head (May 22)</t>
  </si>
  <si>
    <t>Total meal cost per head (May 22)</t>
  </si>
  <si>
    <t>Required Payment Details</t>
  </si>
  <si>
    <t>Meal Rate (June 22)</t>
  </si>
  <si>
    <t>Bazar for June 22</t>
  </si>
  <si>
    <t>Rent for July 22</t>
  </si>
  <si>
    <t>Total meal cost per head (June 22)</t>
  </si>
  <si>
    <t>Total Meal (June 22)</t>
  </si>
  <si>
    <t>Total Bazar per head (June 22)</t>
  </si>
  <si>
    <t>Rent per hear (July 22)</t>
  </si>
  <si>
    <t>Meal June 2022</t>
  </si>
  <si>
    <t>Rent July 2022</t>
  </si>
  <si>
    <t>Collection</t>
  </si>
  <si>
    <t>Total Cost</t>
  </si>
  <si>
    <t>Payable</t>
  </si>
  <si>
    <t>Meal May 22 and Rent June 22 : Right (Maid bill adjusted to TK 3500)</t>
  </si>
  <si>
    <t>Meal May 22 and Rent June 22 : (Maid bill wrongly added TK 3000)</t>
  </si>
  <si>
    <t>Meal June 22 and Rent July 22 :  (Maid bill wrongly added TK 3000)</t>
  </si>
  <si>
    <t>Meal June 22 and Rent July 22 : Right (Maid bill adjusted to TK 3500)</t>
  </si>
  <si>
    <t>Meal June 22 and Rent July 22</t>
  </si>
  <si>
    <t>Meal May 22 and Rent June 22</t>
  </si>
  <si>
    <t>bipul da</t>
  </si>
  <si>
    <t>300 amer dite hobe+500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</si>
</sst>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7" x14ac:knownFonts="1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b/>
      <sz val="14"/>
      <color theme="1"/>
      <name val="Vrinda"/>
      <family val="2"/>
      <scheme val="minor"/>
    </font>
    <font>
      <b/>
      <sz val="15"/>
      <color theme="1"/>
      <name val="Vrind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Vrinda"/>
      <family val="2"/>
      <scheme val="minor"/>
    </font>
    <font>
      <sz val="11"/>
      <name val="Vrinda"/>
      <family val="2"/>
      <scheme val="minor"/>
    </font>
    <font>
      <i/>
      <sz val="11"/>
      <color theme="1"/>
      <name val="Vrinda"/>
      <family val="2"/>
      <scheme val="minor"/>
    </font>
    <font>
      <b/>
      <sz val="11"/>
      <color rgb="FFFF0000"/>
      <name val="Vrinda"/>
      <family val="2"/>
      <scheme val="minor"/>
    </font>
    <font>
      <sz val="11"/>
      <color rgb="FFFF0000"/>
      <name val="Vrind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Vrinda"/>
      <family val="2"/>
      <scheme val="minor"/>
    </font>
    <font>
      <b/>
      <sz val="18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b/>
      <sz val="11"/>
      <name val="Open sans"/>
      <family val="2"/>
    </font>
    <font>
      <sz val="11"/>
      <color rgb="FF00B050"/>
      <name val="Vrinda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15" fontId="0" fillId="2" borderId="1" xfId="0" applyNumberFormat="1" applyFill="1" applyBorder="1"/>
    <xf numFmtId="43" fontId="0" fillId="0" borderId="1" xfId="1" applyFont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165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1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0" fillId="3" borderId="1" xfId="1" applyNumberFormat="1" applyFont="1" applyFill="1" applyBorder="1"/>
    <xf numFmtId="43" fontId="0" fillId="0" borderId="1" xfId="0" applyNumberFormat="1" applyBorder="1"/>
    <xf numFmtId="165" fontId="0" fillId="0" borderId="1" xfId="0" applyNumberFormat="1" applyBorder="1"/>
    <xf numFmtId="15" fontId="0" fillId="0" borderId="1" xfId="0" applyNumberFormat="1" applyBorder="1"/>
    <xf numFmtId="0" fontId="7" fillId="0" borderId="0" xfId="0" applyFont="1"/>
    <xf numFmtId="165" fontId="7" fillId="0" borderId="0" xfId="1" applyNumberFormat="1" applyFont="1"/>
    <xf numFmtId="0" fontId="7" fillId="0" borderId="1" xfId="0" applyFont="1" applyBorder="1"/>
    <xf numFmtId="165" fontId="7" fillId="0" borderId="1" xfId="1" applyNumberFormat="1" applyFont="1" applyBorder="1"/>
    <xf numFmtId="165" fontId="7" fillId="0" borderId="0" xfId="0" applyNumberFormat="1" applyFont="1"/>
    <xf numFmtId="0" fontId="8" fillId="0" borderId="1" xfId="0" applyFont="1" applyBorder="1"/>
    <xf numFmtId="165" fontId="8" fillId="0" borderId="1" xfId="1" applyNumberFormat="1" applyFont="1" applyBorder="1"/>
    <xf numFmtId="43" fontId="0" fillId="0" borderId="0" xfId="0" applyNumberFormat="1"/>
    <xf numFmtId="165" fontId="0" fillId="4" borderId="1" xfId="1" applyNumberFormat="1" applyFont="1" applyFill="1" applyBorder="1"/>
    <xf numFmtId="0" fontId="0" fillId="0" borderId="3" xfId="0" applyFill="1" applyBorder="1" applyAlignment="1">
      <alignment horizontal="left" vertical="center"/>
    </xf>
    <xf numFmtId="164" fontId="0" fillId="0" borderId="3" xfId="1" applyNumberFormat="1" applyFont="1" applyFill="1" applyBorder="1"/>
    <xf numFmtId="0" fontId="0" fillId="4" borderId="0" xfId="0" applyFill="1"/>
    <xf numFmtId="0" fontId="0" fillId="4" borderId="3" xfId="0" applyFill="1" applyBorder="1" applyAlignment="1">
      <alignment horizontal="left" vertical="center"/>
    </xf>
    <xf numFmtId="164" fontId="0" fillId="4" borderId="3" xfId="1" applyNumberFormat="1" applyFont="1" applyFill="1" applyBorder="1"/>
    <xf numFmtId="164" fontId="0" fillId="4" borderId="1" xfId="1" applyNumberFormat="1" applyFont="1" applyFill="1" applyBorder="1"/>
    <xf numFmtId="43" fontId="0" fillId="4" borderId="0" xfId="0" applyNumberFormat="1" applyFill="1"/>
    <xf numFmtId="43" fontId="0" fillId="4" borderId="1" xfId="0" applyNumberFormat="1" applyFill="1" applyBorder="1"/>
    <xf numFmtId="165" fontId="0" fillId="4" borderId="0" xfId="0" applyNumberFormat="1" applyFill="1"/>
    <xf numFmtId="0" fontId="0" fillId="0" borderId="0" xfId="0" applyBorder="1"/>
    <xf numFmtId="164" fontId="0" fillId="0" borderId="0" xfId="1" applyNumberFormat="1" applyFont="1" applyBorder="1"/>
    <xf numFmtId="43" fontId="0" fillId="0" borderId="0" xfId="0" applyNumberFormat="1" applyBorder="1"/>
    <xf numFmtId="165" fontId="0" fillId="0" borderId="0" xfId="0" applyNumberFormat="1" applyBorder="1"/>
    <xf numFmtId="165" fontId="0" fillId="0" borderId="1" xfId="1" applyNumberFormat="1" applyFont="1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Border="1"/>
    <xf numFmtId="165" fontId="2" fillId="0" borderId="0" xfId="0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165" fontId="0" fillId="0" borderId="0" xfId="1" applyNumberFormat="1" applyFont="1"/>
    <xf numFmtId="165" fontId="2" fillId="0" borderId="0" xfId="1" applyNumberFormat="1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/>
    </xf>
    <xf numFmtId="164" fontId="2" fillId="0" borderId="4" xfId="1" applyNumberFormat="1" applyFont="1" applyBorder="1"/>
    <xf numFmtId="164" fontId="2" fillId="0" borderId="1" xfId="1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3" fontId="0" fillId="0" borderId="0" xfId="1" applyFont="1"/>
    <xf numFmtId="43" fontId="2" fillId="0" borderId="0" xfId="1" applyFont="1"/>
    <xf numFmtId="165" fontId="0" fillId="4" borderId="1" xfId="0" applyNumberFormat="1" applyFill="1" applyBorder="1"/>
    <xf numFmtId="15" fontId="0" fillId="4" borderId="1" xfId="0" applyNumberFormat="1" applyFill="1" applyBorder="1"/>
    <xf numFmtId="165" fontId="2" fillId="4" borderId="1" xfId="0" applyNumberFormat="1" applyFont="1" applyFill="1" applyBorder="1"/>
    <xf numFmtId="0" fontId="2" fillId="0" borderId="0" xfId="0" applyFont="1" applyAlignment="1">
      <alignment horizontal="left" vertical="center"/>
    </xf>
    <xf numFmtId="165" fontId="2" fillId="0" borderId="1" xfId="1" applyNumberFormat="1" applyFont="1" applyBorder="1"/>
    <xf numFmtId="0" fontId="2" fillId="2" borderId="1" xfId="0" applyFont="1" applyFill="1" applyBorder="1"/>
    <xf numFmtId="165" fontId="2" fillId="0" borderId="1" xfId="1" applyNumberFormat="1" applyFont="1" applyFill="1" applyBorder="1"/>
    <xf numFmtId="165" fontId="0" fillId="0" borderId="1" xfId="0" applyNumberFormat="1" applyFill="1" applyBorder="1"/>
    <xf numFmtId="165" fontId="2" fillId="0" borderId="1" xfId="0" applyNumberFormat="1" applyFont="1" applyFill="1" applyBorder="1"/>
    <xf numFmtId="0" fontId="2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165" fontId="10" fillId="5" borderId="1" xfId="0" applyNumberFormat="1" applyFont="1" applyFill="1" applyBorder="1"/>
    <xf numFmtId="165" fontId="10" fillId="5" borderId="1" xfId="1" applyNumberFormat="1" applyFont="1" applyFill="1" applyBorder="1"/>
    <xf numFmtId="15" fontId="10" fillId="5" borderId="1" xfId="0" applyNumberFormat="1" applyFont="1" applyFill="1" applyBorder="1"/>
    <xf numFmtId="165" fontId="2" fillId="4" borderId="1" xfId="1" applyNumberFormat="1" applyFont="1" applyFill="1" applyBorder="1"/>
    <xf numFmtId="0" fontId="2" fillId="0" borderId="1" xfId="0" applyFont="1" applyBorder="1"/>
    <xf numFmtId="0" fontId="2" fillId="0" borderId="6" xfId="0" applyFont="1" applyBorder="1"/>
    <xf numFmtId="165" fontId="2" fillId="0" borderId="6" xfId="0" applyNumberFormat="1" applyFont="1" applyBorder="1"/>
    <xf numFmtId="165" fontId="2" fillId="2" borderId="1" xfId="1" applyNumberFormat="1" applyFont="1" applyFill="1" applyBorder="1" applyAlignment="1">
      <alignment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left" vertical="center"/>
    </xf>
    <xf numFmtId="165" fontId="0" fillId="0" borderId="2" xfId="1" applyNumberFormat="1" applyFont="1" applyBorder="1" applyAlignment="1">
      <alignment horizontal="left" vertical="center"/>
    </xf>
    <xf numFmtId="165" fontId="11" fillId="7" borderId="1" xfId="1" applyNumberFormat="1" applyFont="1" applyFill="1" applyBorder="1"/>
    <xf numFmtId="165" fontId="2" fillId="0" borderId="1" xfId="1" applyNumberFormat="1" applyFont="1" applyBorder="1" applyAlignment="1">
      <alignment horizontal="center" vertical="center"/>
    </xf>
    <xf numFmtId="165" fontId="0" fillId="6" borderId="1" xfId="1" applyNumberFormat="1" applyFont="1" applyFill="1" applyBorder="1"/>
    <xf numFmtId="165" fontId="2" fillId="0" borderId="7" xfId="1" applyNumberFormat="1" applyFont="1" applyFill="1" applyBorder="1"/>
    <xf numFmtId="165" fontId="2" fillId="0" borderId="7" xfId="1" applyNumberFormat="1" applyFont="1" applyBorder="1"/>
    <xf numFmtId="165" fontId="1" fillId="3" borderId="7" xfId="1" applyNumberFormat="1" applyFont="1" applyFill="1" applyBorder="1"/>
    <xf numFmtId="43" fontId="12" fillId="0" borderId="1" xfId="1" applyFont="1" applyBorder="1"/>
    <xf numFmtId="0" fontId="12" fillId="0" borderId="1" xfId="0" applyFont="1" applyBorder="1"/>
    <xf numFmtId="43" fontId="1" fillId="3" borderId="7" xfId="1" applyFont="1" applyFill="1" applyBorder="1"/>
    <xf numFmtId="165" fontId="2" fillId="8" borderId="1" xfId="1" applyNumberFormat="1" applyFont="1" applyFill="1" applyBorder="1" applyAlignment="1">
      <alignment horizontal="center" vertical="center" wrapText="1"/>
    </xf>
    <xf numFmtId="14" fontId="0" fillId="0" borderId="1" xfId="1" applyNumberFormat="1" applyFont="1" applyFill="1" applyBorder="1"/>
    <xf numFmtId="0" fontId="0" fillId="2" borderId="0" xfId="0" applyFill="1"/>
    <xf numFmtId="165" fontId="0" fillId="2" borderId="0" xfId="0" applyNumberFormat="1" applyFill="1"/>
    <xf numFmtId="165" fontId="0" fillId="9" borderId="0" xfId="0" applyNumberFormat="1" applyFill="1"/>
    <xf numFmtId="165" fontId="0" fillId="10" borderId="0" xfId="0" applyNumberForma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165" fontId="0" fillId="8" borderId="1" xfId="1" applyNumberFormat="1" applyFont="1" applyFill="1" applyBorder="1"/>
    <xf numFmtId="165" fontId="2" fillId="8" borderId="1" xfId="1" applyNumberFormat="1" applyFont="1" applyFill="1" applyBorder="1"/>
    <xf numFmtId="165" fontId="2" fillId="9" borderId="0" xfId="0" applyNumberFormat="1" applyFont="1" applyFill="1"/>
    <xf numFmtId="165" fontId="0" fillId="9" borderId="0" xfId="1" applyNumberFormat="1" applyFont="1" applyFill="1"/>
    <xf numFmtId="0" fontId="2" fillId="0" borderId="0" xfId="0" applyFont="1" applyBorder="1"/>
    <xf numFmtId="165" fontId="2" fillId="0" borderId="0" xfId="0" applyNumberFormat="1" applyFont="1" applyBorder="1"/>
    <xf numFmtId="165" fontId="0" fillId="9" borderId="1" xfId="0" applyNumberFormat="1" applyFill="1" applyBorder="1"/>
    <xf numFmtId="165" fontId="0" fillId="11" borderId="1" xfId="0" applyNumberFormat="1" applyFill="1" applyBorder="1"/>
    <xf numFmtId="0" fontId="0" fillId="5" borderId="1" xfId="0" applyFill="1" applyBorder="1"/>
    <xf numFmtId="165" fontId="2" fillId="5" borderId="1" xfId="0" applyNumberFormat="1" applyFont="1" applyFill="1" applyBorder="1"/>
    <xf numFmtId="165" fontId="2" fillId="8" borderId="0" xfId="0" applyNumberFormat="1" applyFont="1" applyFill="1"/>
    <xf numFmtId="165" fontId="13" fillId="0" borderId="0" xfId="1" applyNumberFormat="1" applyFont="1"/>
    <xf numFmtId="165" fontId="13" fillId="0" borderId="0" xfId="0" applyNumberFormat="1" applyFont="1"/>
    <xf numFmtId="14" fontId="0" fillId="0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2" fontId="9" fillId="6" borderId="10" xfId="0" applyNumberFormat="1" applyFont="1" applyFill="1" applyBorder="1" applyAlignment="1">
      <alignment vertical="center"/>
    </xf>
    <xf numFmtId="2" fontId="9" fillId="6" borderId="11" xfId="0" applyNumberFormat="1" applyFont="1" applyFill="1" applyBorder="1" applyAlignment="1">
      <alignment vertical="center"/>
    </xf>
    <xf numFmtId="2" fontId="9" fillId="6" borderId="12" xfId="0" applyNumberFormat="1" applyFont="1" applyFill="1" applyBorder="1" applyAlignment="1">
      <alignment vertical="center"/>
    </xf>
    <xf numFmtId="2" fontId="9" fillId="6" borderId="13" xfId="0" applyNumberFormat="1" applyFont="1" applyFill="1" applyBorder="1" applyAlignment="1">
      <alignment vertical="center"/>
    </xf>
    <xf numFmtId="2" fontId="0" fillId="0" borderId="0" xfId="0" applyNumberFormat="1"/>
    <xf numFmtId="0" fontId="14" fillId="0" borderId="0" xfId="0" applyFont="1"/>
    <xf numFmtId="165" fontId="14" fillId="0" borderId="0" xfId="1" applyNumberFormat="1" applyFont="1"/>
    <xf numFmtId="0" fontId="14" fillId="2" borderId="1" xfId="0" applyFont="1" applyFill="1" applyBorder="1" applyAlignment="1">
      <alignment vertical="center"/>
    </xf>
    <xf numFmtId="15" fontId="14" fillId="2" borderId="1" xfId="0" applyNumberFormat="1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165" fontId="15" fillId="2" borderId="1" xfId="1" applyNumberFormat="1" applyFont="1" applyFill="1" applyBorder="1" applyAlignment="1">
      <alignment horizontal="center" vertical="center"/>
    </xf>
    <xf numFmtId="165" fontId="15" fillId="2" borderId="1" xfId="1" applyNumberFormat="1" applyFont="1" applyFill="1" applyBorder="1" applyAlignment="1">
      <alignment horizontal="center" vertical="center" wrapText="1"/>
    </xf>
    <xf numFmtId="165" fontId="15" fillId="12" borderId="1" xfId="1" applyNumberFormat="1" applyFont="1" applyFill="1" applyBorder="1" applyAlignment="1">
      <alignment horizontal="center" vertical="center" wrapText="1"/>
    </xf>
    <xf numFmtId="165" fontId="15" fillId="8" borderId="1" xfId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64" fontId="14" fillId="0" borderId="1" xfId="1" applyNumberFormat="1" applyFont="1" applyBorder="1"/>
    <xf numFmtId="164" fontId="15" fillId="0" borderId="1" xfId="1" applyNumberFormat="1" applyFont="1" applyBorder="1"/>
    <xf numFmtId="165" fontId="14" fillId="0" borderId="1" xfId="1" applyNumberFormat="1" applyFont="1" applyBorder="1"/>
    <xf numFmtId="165" fontId="14" fillId="0" borderId="1" xfId="1" applyNumberFormat="1" applyFont="1" applyFill="1" applyBorder="1"/>
    <xf numFmtId="165" fontId="14" fillId="12" borderId="1" xfId="1" applyNumberFormat="1" applyFont="1" applyFill="1" applyBorder="1"/>
    <xf numFmtId="0" fontId="14" fillId="0" borderId="1" xfId="0" applyFont="1" applyBorder="1"/>
    <xf numFmtId="14" fontId="14" fillId="0" borderId="1" xfId="0" applyNumberFormat="1" applyFont="1" applyBorder="1"/>
    <xf numFmtId="0" fontId="14" fillId="0" borderId="2" xfId="0" applyFont="1" applyBorder="1" applyAlignment="1">
      <alignment horizontal="left" vertical="center"/>
    </xf>
    <xf numFmtId="164" fontId="15" fillId="0" borderId="4" xfId="1" applyNumberFormat="1" applyFont="1" applyBorder="1"/>
    <xf numFmtId="165" fontId="14" fillId="0" borderId="2" xfId="1" applyNumberFormat="1" applyFont="1" applyBorder="1" applyAlignment="1">
      <alignment horizontal="left" vertical="center"/>
    </xf>
    <xf numFmtId="165" fontId="15" fillId="0" borderId="1" xfId="1" applyNumberFormat="1" applyFont="1" applyBorder="1"/>
    <xf numFmtId="165" fontId="15" fillId="0" borderId="1" xfId="1" applyNumberFormat="1" applyFont="1" applyFill="1" applyBorder="1"/>
    <xf numFmtId="165" fontId="15" fillId="12" borderId="1" xfId="1" applyNumberFormat="1" applyFont="1" applyFill="1" applyBorder="1"/>
    <xf numFmtId="165" fontId="15" fillId="8" borderId="1" xfId="1" applyNumberFormat="1" applyFont="1" applyFill="1" applyBorder="1"/>
    <xf numFmtId="43" fontId="14" fillId="0" borderId="0" xfId="0" applyNumberFormat="1" applyFont="1"/>
    <xf numFmtId="165" fontId="14" fillId="0" borderId="0" xfId="0" applyNumberFormat="1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165" fontId="15" fillId="0" borderId="0" xfId="0" applyNumberFormat="1" applyFont="1"/>
    <xf numFmtId="0" fontId="15" fillId="0" borderId="1" xfId="0" applyFont="1" applyBorder="1"/>
    <xf numFmtId="0" fontId="15" fillId="0" borderId="0" xfId="0" applyFont="1" applyBorder="1"/>
    <xf numFmtId="165" fontId="14" fillId="9" borderId="1" xfId="0" applyNumberFormat="1" applyFont="1" applyFill="1" applyBorder="1"/>
    <xf numFmtId="165" fontId="14" fillId="0" borderId="1" xfId="0" applyNumberFormat="1" applyFont="1" applyBorder="1"/>
    <xf numFmtId="165" fontId="14" fillId="0" borderId="0" xfId="0" applyNumberFormat="1" applyFont="1" applyBorder="1"/>
    <xf numFmtId="0" fontId="14" fillId="0" borderId="9" xfId="0" applyFont="1" applyBorder="1"/>
    <xf numFmtId="165" fontId="14" fillId="11" borderId="1" xfId="0" applyNumberFormat="1" applyFont="1" applyFill="1" applyBorder="1"/>
    <xf numFmtId="165" fontId="14" fillId="0" borderId="1" xfId="0" applyNumberFormat="1" applyFont="1" applyFill="1" applyBorder="1"/>
    <xf numFmtId="165" fontId="15" fillId="0" borderId="1" xfId="0" applyNumberFormat="1" applyFont="1" applyBorder="1"/>
    <xf numFmtId="165" fontId="15" fillId="0" borderId="0" xfId="0" applyNumberFormat="1" applyFont="1" applyBorder="1"/>
    <xf numFmtId="0" fontId="14" fillId="5" borderId="1" xfId="0" applyFont="1" applyFill="1" applyBorder="1"/>
    <xf numFmtId="165" fontId="15" fillId="5" borderId="1" xfId="0" applyNumberFormat="1" applyFont="1" applyFill="1" applyBorder="1"/>
    <xf numFmtId="0" fontId="14" fillId="2" borderId="1" xfId="0" applyFont="1" applyFill="1" applyBorder="1"/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/>
    <xf numFmtId="165" fontId="14" fillId="4" borderId="1" xfId="1" applyNumberFormat="1" applyFont="1" applyFill="1" applyBorder="1"/>
    <xf numFmtId="165" fontId="15" fillId="4" borderId="1" xfId="1" applyNumberFormat="1" applyFont="1" applyFill="1" applyBorder="1"/>
    <xf numFmtId="1" fontId="14" fillId="0" borderId="1" xfId="0" applyNumberFormat="1" applyFont="1" applyBorder="1"/>
    <xf numFmtId="0" fontId="15" fillId="0" borderId="6" xfId="0" applyFont="1" applyBorder="1"/>
    <xf numFmtId="165" fontId="15" fillId="0" borderId="6" xfId="0" applyNumberFormat="1" applyFont="1" applyBorder="1"/>
    <xf numFmtId="165" fontId="16" fillId="9" borderId="0" xfId="0" applyNumberFormat="1" applyFont="1" applyFill="1"/>
    <xf numFmtId="43" fontId="2" fillId="0" borderId="1" xfId="1" applyFont="1" applyBorder="1"/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165" fontId="20" fillId="0" borderId="1" xfId="1" applyNumberFormat="1" applyFont="1" applyBorder="1"/>
    <xf numFmtId="43" fontId="20" fillId="0" borderId="1" xfId="1" applyNumberFormat="1" applyFont="1" applyBorder="1"/>
    <xf numFmtId="43" fontId="19" fillId="0" borderId="1" xfId="1" applyNumberFormat="1" applyFont="1" applyBorder="1"/>
    <xf numFmtId="165" fontId="20" fillId="0" borderId="0" xfId="0" applyNumberFormat="1" applyFont="1"/>
    <xf numFmtId="165" fontId="19" fillId="0" borderId="1" xfId="1" applyNumberFormat="1" applyFont="1" applyBorder="1"/>
    <xf numFmtId="0" fontId="19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43" fontId="0" fillId="0" borderId="1" xfId="1" applyNumberFormat="1" applyFont="1" applyBorder="1"/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9" borderId="0" xfId="0" applyNumberFormat="1" applyFill="1"/>
    <xf numFmtId="165" fontId="2" fillId="5" borderId="0" xfId="1" applyNumberFormat="1" applyFont="1" applyFill="1"/>
    <xf numFmtId="165" fontId="2" fillId="5" borderId="0" xfId="0" applyNumberFormat="1" applyFont="1" applyFill="1"/>
    <xf numFmtId="165" fontId="0" fillId="15" borderId="0" xfId="0" applyNumberFormat="1" applyFill="1"/>
    <xf numFmtId="0" fontId="23" fillId="0" borderId="0" xfId="0" applyFont="1"/>
    <xf numFmtId="0" fontId="23" fillId="5" borderId="0" xfId="0" applyFont="1" applyFill="1"/>
    <xf numFmtId="0" fontId="23" fillId="9" borderId="0" xfId="0" applyFont="1" applyFill="1"/>
    <xf numFmtId="0" fontId="24" fillId="9" borderId="0" xfId="0" applyFont="1" applyFill="1"/>
    <xf numFmtId="0" fontId="24" fillId="5" borderId="0" xfId="0" applyFont="1" applyFill="1" applyAlignment="1"/>
    <xf numFmtId="0" fontId="23" fillId="16" borderId="0" xfId="0" applyFont="1" applyFill="1"/>
    <xf numFmtId="165" fontId="13" fillId="4" borderId="0" xfId="1" applyNumberFormat="1" applyFont="1" applyFill="1"/>
    <xf numFmtId="0" fontId="0" fillId="0" borderId="2" xfId="0" applyBorder="1" applyAlignment="1">
      <alignment horizontal="left" vertical="center"/>
    </xf>
    <xf numFmtId="165" fontId="26" fillId="0" borderId="0" xfId="1" applyNumberFormat="1" applyFont="1"/>
    <xf numFmtId="43" fontId="2" fillId="0" borderId="0" xfId="0" applyNumberFormat="1" applyFont="1"/>
    <xf numFmtId="165" fontId="0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2" fontId="9" fillId="6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2" fontId="15" fillId="6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vertical="center"/>
    </xf>
    <xf numFmtId="165" fontId="2" fillId="0" borderId="1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2" borderId="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2" fontId="9" fillId="6" borderId="0" xfId="0" applyNumberFormat="1" applyFont="1" applyFill="1" applyBorder="1" applyAlignment="1">
      <alignment horizontal="center" vertical="center"/>
    </xf>
    <xf numFmtId="2" fontId="9" fillId="6" borderId="1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21" fillId="14" borderId="1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7" xfId="0" applyFont="1" applyFill="1" applyBorder="1" applyAlignment="1">
      <alignment horizontal="center" vertical="center" wrapText="1"/>
    </xf>
    <xf numFmtId="2" fontId="18" fillId="13" borderId="1" xfId="0" applyNumberFormat="1" applyFont="1" applyFill="1" applyBorder="1" applyAlignment="1">
      <alignment horizontal="center" vertical="center"/>
    </xf>
    <xf numFmtId="2" fontId="18" fillId="13" borderId="7" xfId="0" applyNumberFormat="1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4</xdr:row>
      <xdr:rowOff>102412</xdr:rowOff>
    </xdr:from>
    <xdr:to>
      <xdr:col>19</xdr:col>
      <xdr:colOff>267470</xdr:colOff>
      <xdr:row>15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A217D-DB55-43FF-8AB9-12E852173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300532"/>
          <a:ext cx="12924290" cy="2183588"/>
        </a:xfrm>
        <a:prstGeom prst="rect">
          <a:avLst/>
        </a:prstGeom>
      </xdr:spPr>
    </xdr:pic>
    <xdr:clientData/>
  </xdr:twoCellAnchor>
  <xdr:twoCellAnchor editAs="oneCell">
    <xdr:from>
      <xdr:col>0</xdr:col>
      <xdr:colOff>101692</xdr:colOff>
      <xdr:row>18</xdr:row>
      <xdr:rowOff>77198</xdr:rowOff>
    </xdr:from>
    <xdr:to>
      <xdr:col>19</xdr:col>
      <xdr:colOff>251459</xdr:colOff>
      <xdr:row>29</xdr:row>
      <xdr:rowOff>88682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E539A2-0CB9-4ED5-B0F5-33FBF56FB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92" y="3247118"/>
          <a:ext cx="12890407" cy="219080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49</xdr:row>
      <xdr:rowOff>17507</xdr:rowOff>
    </xdr:from>
    <xdr:to>
      <xdr:col>19</xdr:col>
      <xdr:colOff>274320</xdr:colOff>
      <xdr:row>60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3CF8F5-0AD1-440B-BF36-8AF7325FA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9725387"/>
          <a:ext cx="12938760" cy="228373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34</xdr:row>
      <xdr:rowOff>53880</xdr:rowOff>
    </xdr:from>
    <xdr:to>
      <xdr:col>19</xdr:col>
      <xdr:colOff>266700</xdr:colOff>
      <xdr:row>46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E4383E-6750-4484-8B53-D9CD55778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" y="6789960"/>
          <a:ext cx="12954000" cy="24302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ha, Ranti" id="{5506DF96-4A5E-47BE-AC1D-3F70DF35D86F}" userId="S::rantsaha@deloitte.com::5e4d3fb5-14e6-47b3-a08c-45a0113b56db" providerId="AD"/>
  <person displayName="Ahmed, Saklayen" id="{BC6F4F82-77A8-4284-9466-663C40C780E7}" userId="S::asaklayen@deloitte.com::421148cc-0c49-48ea-80b7-eb4e911cd7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1-09-28T18:07:38.96" personId="{5506DF96-4A5E-47BE-AC1D-3F70DF35D86F}" id="{CA8E331F-ACD4-46CE-8561-69A7D50C2F7C}">
    <text>Repaid 28-Sep-21</text>
  </threadedComment>
  <threadedComment ref="E18" dT="2021-09-28T18:14:50.02" personId="{5506DF96-4A5E-47BE-AC1D-3F70DF35D86F}" id="{00AA401D-899B-451D-A7A8-7CF6938DFAA1}">
    <text>28-sep-21</text>
  </threadedComment>
  <threadedComment ref="D20" dT="2021-09-28T18:05:29.87" personId="{5506DF96-4A5E-47BE-AC1D-3F70DF35D86F}" id="{F44831A3-29E2-4C6C-9EE2-5BD63C13F094}">
    <text>TK 3,000 (28-Sep-21)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8" dT="2021-07-16T16:50:05.94" personId="{5506DF96-4A5E-47BE-AC1D-3F70DF35D86F}" id="{6E160DB1-1A41-4B00-9829-8E0761D754E6}">
    <text>2000 Abdul Latif, 15 July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S5" dT="2021-08-11T11:21:29.27" personId="{5506DF96-4A5E-47BE-AC1D-3F70DF35D86F}" id="{7ACC5E37-BA2F-44F2-9EE2-0E351BB5D236}">
    <text>Internet bill Tk 500 (10-Aug-21)</text>
  </threadedComment>
  <threadedComment ref="AS6" dT="2021-08-11T11:21:58.53" personId="{5506DF96-4A5E-47BE-AC1D-3F70DF35D86F}" id="{6E7EEA30-A5F4-45A8-B580-6128A02AD611}">
    <text>Waste bill (120+25)</text>
  </threadedComment>
  <threadedComment ref="AS9" dT="2021-08-11T11:23:28.43" personId="{5506DF96-4A5E-47BE-AC1D-3F70DF35D86F}" id="{3EF02456-075D-4BB0-A549-F75F9E92261D}">
    <text>Maid bill for the Month of July 21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S8" dT="2021-09-17T19:00:52.50" personId="{5506DF96-4A5E-47BE-AC1D-3F70DF35D86F}" id="{DC65E409-EE56-4D66-A75D-CE07BD9A3240}">
    <text>17-Aug-21=3500</text>
  </threadedComment>
  <threadedComment ref="AS9" dT="2021-08-11T11:23:28.43" personId="{5506DF96-4A5E-47BE-AC1D-3F70DF35D86F}" id="{EC753F09-D414-4C3F-BE4B-C89C6A12B1DF}">
    <text>Maid bill and waste bill for the Month of August 21</text>
  </threadedComment>
  <threadedComment ref="AS12" dT="2021-09-28T17:38:18.78" personId="{5506DF96-4A5E-47BE-AC1D-3F70DF35D86F}" id="{1FBBA863-62E2-4938-B48E-5E02AD2F559B}">
    <text>Total 3095+3750 (Advance+Fridge)=6845 (25-Sep-21)</text>
  </threadedComment>
  <threadedComment ref="AS13" dT="2021-09-28T17:39:12.70" personId="{5506DF96-4A5E-47BE-AC1D-3F70DF35D86F}" id="{E70CEEB4-E63C-4426-BB61-5239DCBAA99F}">
    <text>Total 4000 (25-Sep-21)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S8" dT="2021-09-17T19:00:52.50" personId="{5506DF96-4A5E-47BE-AC1D-3F70DF35D86F}" id="{CCB0E3CF-E1C7-4846-B97F-2D5524C30410}">
    <text>17-Aug-21=3500</text>
  </threadedComment>
  <threadedComment ref="AS9" dT="2021-08-11T11:23:28.43" personId="{5506DF96-4A5E-47BE-AC1D-3F70DF35D86F}" id="{0A98EA7F-23E5-4553-A6E1-CD7D9E2D0893}">
    <text>Maid bill and waste bill for the Month of August 21</text>
  </threadedComment>
  <threadedComment ref="AS12" dT="2021-09-28T17:38:18.78" personId="{5506DF96-4A5E-47BE-AC1D-3F70DF35D86F}" id="{D43EE28B-0461-4794-BC5F-592D07985888}">
    <text>Total 3095+3750 (Advance+Fridge)=6845 (25-Sep-21)</text>
  </threadedComment>
  <threadedComment ref="AS13" dT="2021-09-28T17:39:12.70" personId="{5506DF96-4A5E-47BE-AC1D-3F70DF35D86F}" id="{86388A37-7C9C-4B03-B252-03E7B6D5C2BF}">
    <text>Total 4000 (25-Sep-21)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S10" dT="2021-08-11T11:23:28.43" personId="{5506DF96-4A5E-47BE-AC1D-3F70DF35D86F}" id="{609C2B21-E94D-4A93-8D97-631B7E2574E8}">
    <text>Maid bill for the Month of September 21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S5" dT="2021-11-30T16:39:04.00" personId="{5506DF96-4A5E-47BE-AC1D-3F70DF35D86F}" id="{F5DAD08D-8EC2-4719-BAA5-6E03CE2EDC83}">
    <text>Internet-500
Newspaper-625
Router-1000</text>
  </threadedComment>
  <threadedComment ref="AS6" dT="2021-11-30T16:39:29.81" personId="{5506DF96-4A5E-47BE-AC1D-3F70DF35D86F}" id="{26325236-7452-4910-84D3-A4FE780D5BC4}">
    <text>Router-500</text>
  </threadedComment>
  <threadedComment ref="AS8" dT="2021-11-30T16:42:12.73" personId="{5506DF96-4A5E-47BE-AC1D-3F70DF35D86F}" id="{4A1C2BA8-F424-4AB3-983E-F8A8D37A3B99}">
    <text>Waste Bill 120</text>
  </threadedComment>
  <threadedComment ref="AS9" dT="2021-11-30T16:40:15.49" personId="{5506DF96-4A5E-47BE-AC1D-3F70DF35D86F}" id="{ADA15E40-CA79-4787-84B2-F40DAA27523D}">
    <text>Maid Bill - 3000
Others (Balb &amp; Harpic)- 200</text>
  </threadedComment>
  <threadedComment ref="AS10" dT="2021-11-30T16:40:32.87" personId="{5506DF96-4A5E-47BE-AC1D-3F70DF35D86F}" id="{AE5D13FC-D339-4479-B00E-E7FB4DDF2F3D}">
    <text>Router-950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26" dT="2022-01-16T18:42:01.50" personId="{BC6F4F82-77A8-4284-9466-663C40C780E7}" id="{22F6F421-1376-4DED-8458-5237F3524CF4}">
    <text>AnikDa-Rent 3,000 and Aman utilities and others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26" dT="2022-01-16T18:42:01.50" personId="{BC6F4F82-77A8-4284-9466-663C40C780E7}" id="{48854F37-13AC-4A94-B608-BEBB201ACAC0}">
    <text>AnikDa-Rent 3,000 and Aman utilities and others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S7" dT="2022-02-20T16:56:36.91" personId="{BC6F4F82-77A8-4284-9466-663C40C780E7}" id="{6F85C5B3-1B49-495B-9AD8-026D3687D1A2}">
    <text>Portion of newspaper bill</text>
  </threadedComment>
  <threadedComment ref="AS10" dT="2022-02-20T16:56:50.56" personId="{BC6F4F82-77A8-4284-9466-663C40C780E7}" id="{E22F92F5-1FC5-4C38-89F1-AD8E11850440}">
    <text>Portion of newspaper bill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S5" dT="2022-03-17T16:08:01.24" personId="{BC6F4F82-77A8-4284-9466-663C40C780E7}" id="{ABA8C2FC-E041-4BA3-9A50-1AC675BEF436}">
    <text>Internet Bill</text>
  </threadedComment>
  <threadedComment ref="AS5" dT="2022-03-19T15:03:57.95" personId="{BC6F4F82-77A8-4284-9466-663C40C780E7}" id="{5731A627-44D7-4779-8D2E-F8B16E9DBE37}" parentId="{ABA8C2FC-E041-4BA3-9A50-1AC675BEF436}">
    <text>Rent 3000 TK for Mar 22</text>
  </threadedComment>
  <threadedComment ref="AS5" dT="2022-03-22T16:25:02.35" personId="{BC6F4F82-77A8-4284-9466-663C40C780E7}" id="{8670F63A-CFD6-40E4-A1A9-F4A20155D241}" parentId="{ABA8C2FC-E041-4BA3-9A50-1AC675BEF436}">
    <text>181+3=184 deduct for bipu da</text>
  </threadedComment>
  <threadedComment ref="AS6" dT="2022-03-19T14:57:30.09" personId="{BC6F4F82-77A8-4284-9466-663C40C780E7}" id="{BCAECDB8-3BCA-4014-ABD7-D54A2ACBFA65}">
    <text>Rent 4000 for Mar 22</text>
  </threadedComment>
  <threadedComment ref="AS7" dT="2022-03-17T17:22:35.36" personId="{BC6F4F82-77A8-4284-9466-663C40C780E7}" id="{A600B722-2813-4F29-A046-40260AA99417}">
    <text>From Nayan 500-408=92</text>
  </threadedComment>
  <threadedComment ref="AS7" dT="2022-03-22T16:31:18.13" personId="{BC6F4F82-77A8-4284-9466-663C40C780E7}" id="{D258E814-4B0C-407E-ADD4-905FBDCFE954}" parentId="{A600B722-2813-4F29-A046-40260AA99417}">
    <text>6400 Paid for Rent 5700 and 881 and 184 TK from Ranti da, Total 6581 TK</text>
  </threadedComment>
  <threadedComment ref="AS8" dT="2022-03-17T16:08:24.95" personId="{BC6F4F82-77A8-4284-9466-663C40C780E7}" id="{2310913A-8ED9-4F78-BB69-1BC28FED00B2}">
    <text>Dust Bill</text>
  </threadedComment>
  <threadedComment ref="AS8" dT="2022-03-20T15:06:24.58" personId="{BC6F4F82-77A8-4284-9466-663C40C780E7}" id="{8017CDE6-EAF0-4FED-ADCA-191FE4B11C73}" parentId="{2310913A-8ED9-4F78-BB69-1BC28FED00B2}">
    <text>Rent 3940 Paid</text>
  </threadedComment>
  <threadedComment ref="AS9" dT="2022-03-17T16:08:34.43" personId="{BC6F4F82-77A8-4284-9466-663C40C780E7}" id="{762FEFAA-AC68-4DBF-9605-51F3E73DFBDC}">
    <text>Maid Bill</text>
  </threadedComment>
  <threadedComment ref="AS10" dT="2022-03-21T15:02:12.76" personId="{BC6F4F82-77A8-4284-9466-663C40C780E7}" id="{F70FF6E3-2B52-4DC5-857C-00D44EB24A54}">
    <text>Rent 3300 for Mar 22</text>
  </threadedComment>
  <threadedComment ref="AS11" dT="2022-03-17T17:12:40.55" personId="{BC6F4F82-77A8-4284-9466-663C40C780E7}" id="{5B0989B7-61B2-4188-9A86-A621B8E963C6}">
    <text>part of newspaper bill</text>
  </threadedComment>
  <threadedComment ref="AS11" dT="2022-03-19T14:57:14.85" personId="{BC6F4F82-77A8-4284-9466-663C40C780E7}" id="{A2BE7CB3-C1D7-43DD-AE1B-4E5E55E0223D}" parentId="{5B0989B7-61B2-4188-9A86-A621B8E963C6}">
    <text>Rent 3700 for Mar 22</text>
  </threadedComment>
  <threadedComment ref="AL22" dT="2022-03-19T15:00:29.92" personId="{BC6F4F82-77A8-4284-9466-663C40C780E7}" id="{51EBF936-D3DA-4326-8F02-AB625E548CB3}">
    <text>Bipul Da : 881 TK and Saklayen : 7700 TK</text>
  </threadedComment>
  <threadedComment ref="AL22" dT="2022-03-20T15:07:24.12" personId="{BC6F4F82-77A8-4284-9466-663C40C780E7}" id="{1CA9490B-5622-4847-BB83-C96C0A74D033}" parentId="{51EBF936-D3DA-4326-8F02-AB625E548CB3}">
    <text>Mohidul Vai 3940</text>
  </threadedComment>
  <threadedComment ref="AL22" dT="2022-03-20T15:08:01.55" personId="{BC6F4F82-77A8-4284-9466-663C40C780E7}" id="{C4CD38D0-A28B-41F8-8140-A4A9DC9A401A}" parentId="{51EBF936-D3DA-4326-8F02-AB625E548CB3}">
    <text>Ranti Da 3000 Paid</text>
  </threadedComment>
  <threadedComment ref="AL22" dT="2022-03-20T15:08:09.93" personId="{BC6F4F82-77A8-4284-9466-663C40C780E7}" id="{4135B267-B6B2-4DD8-9DB3-92465C982CFA}" parentId="{51EBF936-D3DA-4326-8F02-AB625E548CB3}">
    <text>Anik Da 4000 Paid</text>
  </threadedComment>
  <threadedComment ref="AL22" dT="2022-03-21T15:01:24.14" personId="{BC6F4F82-77A8-4284-9466-663C40C780E7}" id="{3F81156A-EFE6-43C1-B67A-87F68F02C0E3}" parentId="{51EBF936-D3DA-4326-8F02-AB625E548CB3}">
    <text>Rent for Saklayen 3300 paid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S5" dT="2022-04-14T08:44:03.24" personId="{BC6F4F82-77A8-4284-9466-663C40C780E7}" id="{BCB14C1A-3A28-4A2A-BE9A-8357764FDC1C}">
    <text>Tk 500 - Internet Bill</text>
  </threadedComment>
  <threadedComment ref="AS5" dT="2022-04-19T15:24:25.35" personId="{BC6F4F82-77A8-4284-9466-663C40C780E7}" id="{0D87A530-C1EA-46B7-A20D-80467A81BE27}" parentId="{BCB14C1A-3A28-4A2A-BE9A-8357764FDC1C}">
    <text>TK 5000 for Rent</text>
  </threadedComment>
  <threadedComment ref="AU6" dT="2022-04-22T06:47:30.54" personId="{BC6F4F82-77A8-4284-9466-663C40C780E7}" id="{296C4934-A7C6-4D89-9484-6409196A5843}">
    <text>TK 1000 Back to Anik Da</text>
  </threadedComment>
  <threadedComment ref="AS7" dT="2022-04-14T08:50:56.15" personId="{BC6F4F82-77A8-4284-9466-663C40C780E7}" id="{28A908C1-7695-4B6E-B65B-ED5121C16F6F}">
    <text>TK 400 -  Newspaper Bill</text>
  </threadedComment>
  <threadedComment ref="AS8" dT="2022-04-14T08:44:56.70" personId="{BC6F4F82-77A8-4284-9466-663C40C780E7}" id="{EAC2DF46-CC40-4659-96C5-A7B9E5CD7A6E}">
    <text>TK 120 - Dust Bill</text>
  </threadedComment>
  <threadedComment ref="AS8" dT="2022-04-18T13:52:10.05" personId="{BC6F4F82-77A8-4284-9466-663C40C780E7}" id="{F1A15771-140A-40C4-A7AE-490C514C95D4}" parentId="{EAC2DF46-CC40-4659-96C5-A7B9E5CD7A6E}">
    <text>Tk 4500 for Rent</text>
  </threadedComment>
  <threadedComment ref="AS8" dT="2022-04-21T12:59:34.13" personId="{BC6F4F82-77A8-4284-9466-663C40C780E7}" id="{B72A873A-3229-4187-B090-320E3EABF5A6}" parentId="{EAC2DF46-CC40-4659-96C5-A7B9E5CD7A6E}">
    <text>Rest 500 TK for Rent</text>
  </threadedComment>
  <threadedComment ref="AS9" dT="2022-04-14T08:44:30.95" personId="{BC6F4F82-77A8-4284-9466-663C40C780E7}" id="{E4E59CC2-10B9-4489-A8FE-12EB210791F8}">
    <text>TK 3000 -  Maid Bill</text>
  </threadedComment>
  <threadedComment ref="AS9" dT="2022-04-22T06:48:00.11" personId="{BC6F4F82-77A8-4284-9466-663C40C780E7}" id="{448E8E11-E408-47C8-A98B-1067B477E9E5}" parentId="{E4E59CC2-10B9-4489-A8FE-12EB210791F8}">
    <text>Tk 2400 Back to Jishan Vai</text>
  </threadedComment>
  <threadedComment ref="AU9" dT="2022-04-22T07:01:25.40" personId="{BC6F4F82-77A8-4284-9466-663C40C780E7}" id="{D59D2363-50CE-4B71-ADBC-3BC8D3B059E9}">
    <text>TK 2400 Back to Jishan Vai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Relationship Id="rId4" Type="http://schemas.microsoft.com/office/2017/10/relationships/threadedComment" Target="../threadedComments/threadedComment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10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Relationship Id="rId4" Type="http://schemas.microsoft.com/office/2017/10/relationships/threadedComment" Target="../threadedComments/threadedComment1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Relationship Id="rId4" Type="http://schemas.microsoft.com/office/2017/10/relationships/threadedComment" Target="../threadedComments/threadedComment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E3AC-3C59-442C-829C-2AD1FCA70070}">
  <dimension ref="B4:H21"/>
  <sheetViews>
    <sheetView view="pageBreakPreview" zoomScaleSheetLayoutView="100" workbookViewId="0">
      <selection activeCell="C19" sqref="C19"/>
    </sheetView>
  </sheetViews>
  <sheetFormatPr defaultColWidth="9.19921875" defaultRowHeight="14.4" x14ac:dyDescent="0.3"/>
  <cols>
    <col min="1" max="1" width="9.19921875" style="18"/>
    <col min="2" max="2" width="22.796875" style="18" bestFit="1" customWidth="1"/>
    <col min="3" max="3" width="12.3984375" style="18" bestFit="1" customWidth="1"/>
    <col min="4" max="4" width="11.19921875" style="19" bestFit="1" customWidth="1"/>
    <col min="5" max="5" width="10.19921875" style="18" bestFit="1" customWidth="1"/>
    <col min="6" max="6" width="13.796875" style="18" bestFit="1" customWidth="1"/>
    <col min="7" max="16384" width="9.19921875" style="18"/>
  </cols>
  <sheetData>
    <row r="4" spans="2:6" x14ac:dyDescent="0.3">
      <c r="B4" s="18" t="s">
        <v>34</v>
      </c>
      <c r="D4" s="19">
        <v>17000</v>
      </c>
      <c r="E4" s="18" t="s">
        <v>35</v>
      </c>
      <c r="F4" s="18">
        <f>D4/3</f>
        <v>5666.666666666667</v>
      </c>
    </row>
    <row r="5" spans="2:6" x14ac:dyDescent="0.3">
      <c r="E5" s="18" t="s">
        <v>36</v>
      </c>
      <c r="F5" s="18">
        <f>F4/2</f>
        <v>2833.3333333333335</v>
      </c>
    </row>
    <row r="6" spans="2:6" x14ac:dyDescent="0.3">
      <c r="B6" s="20">
        <v>1</v>
      </c>
      <c r="C6" s="20" t="s">
        <v>37</v>
      </c>
      <c r="D6" s="21">
        <f>F5-1083+1000-167</f>
        <v>2583.3333333333335</v>
      </c>
    </row>
    <row r="7" spans="2:6" x14ac:dyDescent="0.3">
      <c r="B7" s="20">
        <v>2</v>
      </c>
      <c r="C7" s="20" t="s">
        <v>38</v>
      </c>
      <c r="D7" s="21">
        <f>F5</f>
        <v>2833.3333333333335</v>
      </c>
    </row>
    <row r="8" spans="2:6" x14ac:dyDescent="0.3">
      <c r="B8" s="20">
        <v>3</v>
      </c>
      <c r="C8" s="20" t="s">
        <v>39</v>
      </c>
      <c r="D8" s="21">
        <f>F5-2833</f>
        <v>0.33333333333348492</v>
      </c>
    </row>
    <row r="9" spans="2:6" x14ac:dyDescent="0.3">
      <c r="B9" s="20">
        <v>4</v>
      </c>
      <c r="C9" s="20" t="s">
        <v>40</v>
      </c>
      <c r="D9" s="21">
        <f>F5</f>
        <v>2833.3333333333335</v>
      </c>
    </row>
    <row r="10" spans="2:6" x14ac:dyDescent="0.3">
      <c r="B10" s="20">
        <v>5</v>
      </c>
      <c r="C10" s="20" t="s">
        <v>41</v>
      </c>
      <c r="D10" s="21">
        <v>0</v>
      </c>
    </row>
    <row r="11" spans="2:6" x14ac:dyDescent="0.3">
      <c r="B11" s="20">
        <v>6</v>
      </c>
      <c r="C11" s="20" t="s">
        <v>42</v>
      </c>
      <c r="D11" s="21">
        <f>2750-2750</f>
        <v>0</v>
      </c>
    </row>
    <row r="12" spans="2:6" x14ac:dyDescent="0.3">
      <c r="B12" s="20">
        <v>7</v>
      </c>
      <c r="C12" s="20" t="s">
        <v>43</v>
      </c>
      <c r="D12" s="21">
        <f>2750-D13-2750</f>
        <v>0</v>
      </c>
    </row>
    <row r="13" spans="2:6" x14ac:dyDescent="0.3">
      <c r="B13" s="20">
        <v>8</v>
      </c>
      <c r="C13" s="20" t="s">
        <v>44</v>
      </c>
      <c r="D13" s="21">
        <f>2750-2750</f>
        <v>0</v>
      </c>
    </row>
    <row r="14" spans="2:6" x14ac:dyDescent="0.3">
      <c r="B14" s="20">
        <v>9</v>
      </c>
      <c r="C14" s="20" t="s">
        <v>48</v>
      </c>
      <c r="D14" s="21">
        <f>3000-250</f>
        <v>2750</v>
      </c>
    </row>
    <row r="15" spans="2:6" x14ac:dyDescent="0.3">
      <c r="B15" s="20">
        <v>9</v>
      </c>
      <c r="C15" s="20" t="s">
        <v>45</v>
      </c>
      <c r="D15" s="21">
        <f>2000+1000</f>
        <v>3000</v>
      </c>
    </row>
    <row r="16" spans="2:6" x14ac:dyDescent="0.3">
      <c r="B16" s="20">
        <v>10</v>
      </c>
      <c r="C16" s="20" t="s">
        <v>46</v>
      </c>
      <c r="D16" s="21">
        <f>1083+917-2000</f>
        <v>0</v>
      </c>
      <c r="E16" s="22"/>
    </row>
    <row r="17" spans="2:8" x14ac:dyDescent="0.3">
      <c r="B17" s="20">
        <v>11</v>
      </c>
      <c r="C17" s="20" t="s">
        <v>49</v>
      </c>
      <c r="D17" s="21">
        <f>3000-3000</f>
        <v>0</v>
      </c>
      <c r="E17" s="22"/>
    </row>
    <row r="18" spans="2:8" x14ac:dyDescent="0.3">
      <c r="B18" s="20">
        <v>12</v>
      </c>
      <c r="C18" s="20" t="s">
        <v>110</v>
      </c>
      <c r="D18" s="21"/>
      <c r="E18" s="22">
        <v>2750</v>
      </c>
      <c r="F18" s="18">
        <v>1000</v>
      </c>
      <c r="G18" s="18">
        <v>1000</v>
      </c>
      <c r="H18" s="18" t="s">
        <v>112</v>
      </c>
    </row>
    <row r="19" spans="2:8" x14ac:dyDescent="0.3">
      <c r="B19" s="20">
        <v>13</v>
      </c>
      <c r="C19" s="20" t="s">
        <v>105</v>
      </c>
      <c r="D19" s="21"/>
      <c r="E19" s="22">
        <v>2750</v>
      </c>
      <c r="F19" s="18">
        <v>1000</v>
      </c>
    </row>
    <row r="20" spans="2:8" x14ac:dyDescent="0.3">
      <c r="B20" s="20">
        <v>14</v>
      </c>
      <c r="C20" s="20" t="s">
        <v>111</v>
      </c>
      <c r="D20" s="21">
        <v>3000</v>
      </c>
      <c r="E20" s="22"/>
    </row>
    <row r="21" spans="2:8" x14ac:dyDescent="0.3">
      <c r="B21" s="20"/>
      <c r="C21" s="23" t="s">
        <v>47</v>
      </c>
      <c r="D21" s="24">
        <f>SUM(D6:D20)</f>
        <v>17000.333333333336</v>
      </c>
      <c r="F21" s="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zoomScaleNormal="100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R8" sqref="AR8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bestFit="1" customWidth="1"/>
    <col min="4" max="4" width="9.59765625" bestFit="1" customWidth="1"/>
    <col min="5" max="5" width="9" bestFit="1" customWidth="1"/>
    <col min="6" max="6" width="11.59765625" bestFit="1" customWidth="1"/>
    <col min="7" max="7" width="9" bestFit="1" customWidth="1"/>
    <col min="8" max="8" width="13.19921875" bestFit="1" customWidth="1"/>
    <col min="9" max="9" width="9.796875" bestFit="1" customWidth="1"/>
    <col min="10" max="10" width="9" bestFit="1" customWidth="1"/>
    <col min="11" max="11" width="14.59765625" bestFit="1" customWidth="1"/>
    <col min="12" max="14" width="10" bestFit="1" customWidth="1"/>
    <col min="15" max="32" width="9.796875" bestFit="1" customWidth="1"/>
    <col min="33" max="33" width="10.19921875" bestFit="1" customWidth="1"/>
    <col min="35" max="35" width="23" bestFit="1" customWidth="1"/>
    <col min="36" max="36" width="19.19921875" bestFit="1" customWidth="1"/>
    <col min="37" max="37" width="25.796875" bestFit="1" customWidth="1"/>
    <col min="38" max="38" width="20.796875" bestFit="1" customWidth="1"/>
    <col min="39" max="39" width="24" bestFit="1" customWidth="1"/>
    <col min="40" max="40" width="33" bestFit="1" customWidth="1"/>
    <col min="41" max="41" width="33" customWidth="1"/>
    <col min="42" max="42" width="12.19921875" bestFit="1" customWidth="1"/>
    <col min="43" max="43" width="13.3984375" bestFit="1" customWidth="1"/>
    <col min="44" max="44" width="25.59765625" bestFit="1" customWidth="1"/>
    <col min="45" max="45" width="11.19921875" bestFit="1" customWidth="1"/>
    <col min="46" max="46" width="10.19921875" bestFit="1" customWidth="1"/>
  </cols>
  <sheetData>
    <row r="1" spans="1:46" x14ac:dyDescent="0.4">
      <c r="C1" s="204" t="s">
        <v>33</v>
      </c>
      <c r="D1" s="204"/>
      <c r="E1" s="203">
        <f>AG20/AG11</f>
        <v>48.710571923743501</v>
      </c>
      <c r="F1" s="203"/>
    </row>
    <row r="2" spans="1:46" ht="25.5" customHeight="1" x14ac:dyDescent="0.4">
      <c r="C2" s="204"/>
      <c r="D2" s="204"/>
      <c r="E2" s="203"/>
      <c r="F2" s="203"/>
    </row>
    <row r="4" spans="1:46" x14ac:dyDescent="0.4">
      <c r="A4" s="4" t="s">
        <v>0</v>
      </c>
      <c r="B4" s="4" t="s">
        <v>2</v>
      </c>
      <c r="C4" s="5">
        <v>44136</v>
      </c>
      <c r="D4" s="5">
        <v>44137</v>
      </c>
      <c r="E4" s="5">
        <v>44138</v>
      </c>
      <c r="F4" s="5">
        <v>44139</v>
      </c>
      <c r="G4" s="5">
        <v>44140</v>
      </c>
      <c r="H4" s="5">
        <v>44141</v>
      </c>
      <c r="I4" s="5">
        <v>44142</v>
      </c>
      <c r="J4" s="5">
        <v>44143</v>
      </c>
      <c r="K4" s="5">
        <v>44144</v>
      </c>
      <c r="L4" s="5">
        <v>44145</v>
      </c>
      <c r="M4" s="5">
        <v>44146</v>
      </c>
      <c r="N4" s="5">
        <v>44147</v>
      </c>
      <c r="O4" s="5">
        <v>44148</v>
      </c>
      <c r="P4" s="5">
        <v>44149</v>
      </c>
      <c r="Q4" s="5">
        <v>44150</v>
      </c>
      <c r="R4" s="5">
        <v>44151</v>
      </c>
      <c r="S4" s="5">
        <v>44152</v>
      </c>
      <c r="T4" s="5">
        <v>44153</v>
      </c>
      <c r="U4" s="5">
        <v>44154</v>
      </c>
      <c r="V4" s="5">
        <v>44155</v>
      </c>
      <c r="W4" s="5">
        <v>44156</v>
      </c>
      <c r="X4" s="5">
        <v>44157</v>
      </c>
      <c r="Y4" s="5">
        <v>44158</v>
      </c>
      <c r="Z4" s="5">
        <v>44159</v>
      </c>
      <c r="AA4" s="5">
        <v>44160</v>
      </c>
      <c r="AB4" s="5">
        <v>44161</v>
      </c>
      <c r="AC4" s="5">
        <v>44162</v>
      </c>
      <c r="AD4" s="5">
        <v>44163</v>
      </c>
      <c r="AE4" s="5">
        <v>44164</v>
      </c>
      <c r="AF4" s="5">
        <v>44165</v>
      </c>
      <c r="AG4" s="4" t="s">
        <v>1</v>
      </c>
      <c r="AI4" s="4" t="s">
        <v>23</v>
      </c>
      <c r="AJ4" s="4" t="s">
        <v>24</v>
      </c>
      <c r="AK4" s="4" t="s">
        <v>26</v>
      </c>
      <c r="AL4" s="4" t="s">
        <v>25</v>
      </c>
      <c r="AM4" s="4" t="s">
        <v>27</v>
      </c>
      <c r="AN4" s="4" t="s">
        <v>30</v>
      </c>
      <c r="AO4" s="4" t="s">
        <v>32</v>
      </c>
      <c r="AP4" s="4" t="s">
        <v>28</v>
      </c>
      <c r="AQ4" s="4" t="s">
        <v>29</v>
      </c>
      <c r="AR4" s="4" t="s">
        <v>31</v>
      </c>
    </row>
    <row r="5" spans="1:46" x14ac:dyDescent="0.4">
      <c r="A5" s="2">
        <v>1</v>
      </c>
      <c r="B5" s="3" t="s">
        <v>4</v>
      </c>
      <c r="C5" s="7">
        <v>0.5</v>
      </c>
      <c r="D5" s="7">
        <v>0.5</v>
      </c>
      <c r="E5" s="7">
        <v>1</v>
      </c>
      <c r="F5" s="7">
        <v>1</v>
      </c>
      <c r="G5" s="7">
        <v>2.5</v>
      </c>
      <c r="H5" s="7">
        <v>1.5</v>
      </c>
      <c r="I5" s="7">
        <v>2.5</v>
      </c>
      <c r="J5" s="7">
        <v>1.5</v>
      </c>
      <c r="K5" s="7">
        <v>2.5</v>
      </c>
      <c r="L5" s="7">
        <v>2.5</v>
      </c>
      <c r="M5" s="7">
        <v>1</v>
      </c>
      <c r="N5" s="7">
        <v>0</v>
      </c>
      <c r="O5" s="7">
        <v>0</v>
      </c>
      <c r="P5" s="7">
        <v>1</v>
      </c>
      <c r="Q5" s="7">
        <v>1.5</v>
      </c>
      <c r="R5" s="7">
        <v>1.5</v>
      </c>
      <c r="S5" s="7">
        <v>1</v>
      </c>
      <c r="T5" s="7">
        <v>2.5</v>
      </c>
      <c r="U5" s="7">
        <v>2.5</v>
      </c>
      <c r="V5" s="7">
        <v>2</v>
      </c>
      <c r="W5" s="7">
        <v>1</v>
      </c>
      <c r="X5" s="7">
        <v>2</v>
      </c>
      <c r="Y5" s="7">
        <v>1</v>
      </c>
      <c r="Z5" s="7">
        <v>1.5</v>
      </c>
      <c r="AA5" s="7">
        <v>1.5</v>
      </c>
      <c r="AB5" s="7">
        <v>2.5</v>
      </c>
      <c r="AC5" s="7">
        <v>1.5</v>
      </c>
      <c r="AD5" s="7">
        <v>1</v>
      </c>
      <c r="AE5" s="7">
        <v>1.5</v>
      </c>
      <c r="AF5" s="7">
        <v>2.5</v>
      </c>
      <c r="AG5" s="7">
        <f t="shared" ref="AG5:AG10" si="0">SUM(C5:AF5)</f>
        <v>45</v>
      </c>
      <c r="AI5" s="15">
        <f>AG5*$E$1</f>
        <v>2191.9757365684577</v>
      </c>
      <c r="AJ5" s="16">
        <f>AG14</f>
        <v>3773</v>
      </c>
      <c r="AK5" s="15">
        <f>AJ5-AI5</f>
        <v>1581.0242634315423</v>
      </c>
      <c r="AL5" s="16">
        <f>N22</f>
        <v>4557.5</v>
      </c>
      <c r="AM5" s="15">
        <f>AL5-AK5</f>
        <v>2976.4757365684577</v>
      </c>
      <c r="AN5" s="15">
        <v>4038.6373319419699</v>
      </c>
      <c r="AO5" s="15">
        <f>AM5-AN5</f>
        <v>-1062.1615953735122</v>
      </c>
      <c r="AP5" s="6">
        <f>1000+1000</f>
        <v>2000</v>
      </c>
      <c r="AQ5" s="17">
        <v>44171</v>
      </c>
      <c r="AR5" s="15">
        <f>AP5-AO5</f>
        <v>3062.1615953735122</v>
      </c>
    </row>
    <row r="6" spans="1:46" x14ac:dyDescent="0.4">
      <c r="A6" s="2">
        <v>2</v>
      </c>
      <c r="B6" s="3" t="s">
        <v>5</v>
      </c>
      <c r="C6" s="7">
        <v>1.5</v>
      </c>
      <c r="D6" s="7">
        <v>2</v>
      </c>
      <c r="E6" s="7">
        <v>1</v>
      </c>
      <c r="F6" s="7">
        <v>1</v>
      </c>
      <c r="G6" s="7">
        <v>1.5</v>
      </c>
      <c r="H6" s="7">
        <v>1.5</v>
      </c>
      <c r="I6" s="7">
        <v>1.5</v>
      </c>
      <c r="J6" s="7">
        <v>1.5</v>
      </c>
      <c r="K6" s="7">
        <v>1.5</v>
      </c>
      <c r="L6" s="7">
        <v>1.5</v>
      </c>
      <c r="M6" s="7">
        <v>0</v>
      </c>
      <c r="N6" s="7">
        <v>0</v>
      </c>
      <c r="O6" s="7">
        <v>0</v>
      </c>
      <c r="P6" s="7">
        <v>0</v>
      </c>
      <c r="Q6" s="7">
        <v>2</v>
      </c>
      <c r="R6" s="7">
        <v>2.5</v>
      </c>
      <c r="S6" s="7">
        <v>1.5</v>
      </c>
      <c r="T6" s="7">
        <v>2.5</v>
      </c>
      <c r="U6" s="7">
        <v>1.5</v>
      </c>
      <c r="V6" s="7">
        <v>0</v>
      </c>
      <c r="W6" s="7">
        <v>0</v>
      </c>
      <c r="X6" s="7">
        <v>1</v>
      </c>
      <c r="Y6" s="7">
        <v>3.5</v>
      </c>
      <c r="Z6" s="7">
        <v>2.5</v>
      </c>
      <c r="AA6" s="7">
        <v>0</v>
      </c>
      <c r="AB6" s="7">
        <v>2.5</v>
      </c>
      <c r="AC6" s="7">
        <v>2.5</v>
      </c>
      <c r="AD6" s="7">
        <v>2</v>
      </c>
      <c r="AE6" s="7">
        <v>2.5</v>
      </c>
      <c r="AF6" s="7">
        <v>2.5</v>
      </c>
      <c r="AG6" s="7">
        <f t="shared" si="0"/>
        <v>43.5</v>
      </c>
      <c r="AI6" s="15">
        <f t="shared" ref="AI6:AI10" si="1">AG6*$E$1</f>
        <v>2118.9098786828422</v>
      </c>
      <c r="AJ6" s="16">
        <f t="shared" ref="AJ6:AJ10" si="2">AG15</f>
        <v>5200</v>
      </c>
      <c r="AK6" s="15">
        <f>AJ6-AI6</f>
        <v>3081.0901213171578</v>
      </c>
      <c r="AL6" s="16">
        <f t="shared" ref="AL6:AL10" si="3">N23</f>
        <v>4557.5</v>
      </c>
      <c r="AM6" s="15">
        <f t="shared" ref="AM6:AM10" si="4">AL6-AK6</f>
        <v>1476.4098786828422</v>
      </c>
      <c r="AN6" s="15">
        <v>-20.486919176676601</v>
      </c>
      <c r="AO6" s="15">
        <f t="shared" ref="AO6:AO10" si="5">AM6-AN6</f>
        <v>1496.8967978595188</v>
      </c>
      <c r="AP6" s="6">
        <f>2600+120</f>
        <v>2720</v>
      </c>
      <c r="AQ6" s="17">
        <v>44180</v>
      </c>
      <c r="AR6" s="15">
        <f t="shared" ref="AR6:AR10" si="6">AP6-AO6</f>
        <v>1223.1032021404812</v>
      </c>
    </row>
    <row r="7" spans="1:46" x14ac:dyDescent="0.4">
      <c r="A7" s="2">
        <v>3</v>
      </c>
      <c r="B7" s="3" t="s">
        <v>6</v>
      </c>
      <c r="C7" s="7">
        <v>0.5</v>
      </c>
      <c r="D7" s="7">
        <v>1</v>
      </c>
      <c r="E7" s="7">
        <v>1</v>
      </c>
      <c r="F7" s="7">
        <v>1</v>
      </c>
      <c r="G7" s="7">
        <v>1.5</v>
      </c>
      <c r="H7" s="7">
        <v>2.5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1.5</v>
      </c>
      <c r="O7" s="7">
        <v>2.5</v>
      </c>
      <c r="P7" s="7">
        <v>1.5</v>
      </c>
      <c r="Q7" s="7">
        <v>1.5</v>
      </c>
      <c r="R7" s="7">
        <v>1.5</v>
      </c>
      <c r="S7" s="7">
        <v>1.5</v>
      </c>
      <c r="T7" s="7">
        <v>1.5</v>
      </c>
      <c r="U7" s="7">
        <v>1.5</v>
      </c>
      <c r="V7" s="7">
        <v>2.5</v>
      </c>
      <c r="W7" s="7">
        <v>0</v>
      </c>
      <c r="X7" s="7">
        <v>1.5</v>
      </c>
      <c r="Y7" s="7">
        <v>1.5</v>
      </c>
      <c r="Z7" s="7">
        <v>1.5</v>
      </c>
      <c r="AA7" s="7">
        <v>1.5</v>
      </c>
      <c r="AB7" s="7">
        <v>2.5</v>
      </c>
      <c r="AC7" s="7">
        <v>1.5</v>
      </c>
      <c r="AD7" s="7">
        <v>1.5</v>
      </c>
      <c r="AE7" s="7">
        <v>1.5</v>
      </c>
      <c r="AF7" s="7">
        <v>1.5</v>
      </c>
      <c r="AG7" s="7">
        <f t="shared" si="0"/>
        <v>45</v>
      </c>
      <c r="AI7" s="15">
        <f t="shared" si="1"/>
        <v>2191.9757365684577</v>
      </c>
      <c r="AJ7" s="16">
        <f t="shared" si="2"/>
        <v>0</v>
      </c>
      <c r="AK7" s="15">
        <f t="shared" ref="AK7:AK10" si="7">AJ7-AI7</f>
        <v>-2191.9757365684577</v>
      </c>
      <c r="AL7" s="16">
        <f t="shared" si="3"/>
        <v>4307.5</v>
      </c>
      <c r="AM7" s="15">
        <f t="shared" si="4"/>
        <v>6499.4757365684582</v>
      </c>
      <c r="AN7" s="15">
        <v>-4285.9775676320696</v>
      </c>
      <c r="AO7" s="15">
        <f t="shared" si="5"/>
        <v>10785.453304200528</v>
      </c>
      <c r="AP7" s="6">
        <f>6500</f>
        <v>6500</v>
      </c>
      <c r="AQ7" s="17">
        <v>44187</v>
      </c>
      <c r="AR7" s="15">
        <f t="shared" si="6"/>
        <v>-4285.4533042005278</v>
      </c>
    </row>
    <row r="8" spans="1:46" x14ac:dyDescent="0.4">
      <c r="A8" s="2">
        <v>4</v>
      </c>
      <c r="B8" s="3" t="s">
        <v>3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1.5</v>
      </c>
      <c r="L8" s="7">
        <v>2</v>
      </c>
      <c r="M8" s="7">
        <v>1.5</v>
      </c>
      <c r="N8" s="7">
        <v>1</v>
      </c>
      <c r="O8" s="7">
        <v>0</v>
      </c>
      <c r="P8" s="7">
        <v>0</v>
      </c>
      <c r="Q8" s="7">
        <v>2</v>
      </c>
      <c r="R8" s="7">
        <v>3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1.5</v>
      </c>
      <c r="Z8" s="7">
        <v>1</v>
      </c>
      <c r="AA8" s="7">
        <v>1</v>
      </c>
      <c r="AB8" s="7">
        <v>0</v>
      </c>
      <c r="AC8" s="7">
        <v>0</v>
      </c>
      <c r="AD8" s="7">
        <v>1</v>
      </c>
      <c r="AE8" s="7">
        <v>1.5</v>
      </c>
      <c r="AF8" s="7">
        <v>1.5</v>
      </c>
      <c r="AG8" s="7">
        <f t="shared" si="0"/>
        <v>22.5</v>
      </c>
      <c r="AI8" s="15">
        <f t="shared" si="1"/>
        <v>1095.9878682842289</v>
      </c>
      <c r="AJ8" s="16">
        <f t="shared" si="2"/>
        <v>1965</v>
      </c>
      <c r="AK8" s="15">
        <f t="shared" si="7"/>
        <v>869.01213171577115</v>
      </c>
      <c r="AL8" s="16">
        <f t="shared" si="3"/>
        <v>4307.5</v>
      </c>
      <c r="AM8" s="15">
        <f t="shared" si="4"/>
        <v>3438.4878682842291</v>
      </c>
      <c r="AN8" s="15">
        <v>-44.579435489804801</v>
      </c>
      <c r="AO8" s="15">
        <f t="shared" si="5"/>
        <v>3483.0673037740339</v>
      </c>
      <c r="AP8" s="6">
        <f>4000</f>
        <v>4000</v>
      </c>
      <c r="AQ8" s="17">
        <v>44201</v>
      </c>
      <c r="AR8" s="15">
        <f>AP8-AO8-1390-45</f>
        <v>-918.06730377403392</v>
      </c>
      <c r="AT8" s="25">
        <f>AR8+1390+45</f>
        <v>516.93269622596608</v>
      </c>
    </row>
    <row r="9" spans="1:46" x14ac:dyDescent="0.4">
      <c r="A9" s="2">
        <v>5</v>
      </c>
      <c r="B9" s="3" t="s">
        <v>7</v>
      </c>
      <c r="C9" s="7">
        <v>0.5</v>
      </c>
      <c r="D9" s="7">
        <v>1</v>
      </c>
      <c r="E9" s="7">
        <v>1</v>
      </c>
      <c r="F9" s="7">
        <v>1</v>
      </c>
      <c r="G9" s="7">
        <v>1.5</v>
      </c>
      <c r="H9" s="7">
        <v>2.5</v>
      </c>
      <c r="I9" s="7">
        <v>1.5</v>
      </c>
      <c r="J9" s="7">
        <v>1.5</v>
      </c>
      <c r="K9" s="7">
        <v>1.5</v>
      </c>
      <c r="L9" s="7">
        <v>1.5</v>
      </c>
      <c r="M9" s="7">
        <v>1.5</v>
      </c>
      <c r="N9" s="7">
        <v>1.5</v>
      </c>
      <c r="O9" s="7">
        <v>2.5</v>
      </c>
      <c r="P9" s="7">
        <v>2.5</v>
      </c>
      <c r="Q9" s="7">
        <v>1.5</v>
      </c>
      <c r="R9" s="7">
        <v>0.5</v>
      </c>
      <c r="S9" s="7">
        <v>1</v>
      </c>
      <c r="T9" s="7">
        <v>1.5</v>
      </c>
      <c r="U9" s="7">
        <v>1.5</v>
      </c>
      <c r="V9" s="7">
        <v>2.5</v>
      </c>
      <c r="W9" s="7">
        <v>0</v>
      </c>
      <c r="X9" s="7">
        <v>1.5</v>
      </c>
      <c r="Y9" s="7">
        <v>2.5</v>
      </c>
      <c r="Z9" s="7">
        <v>2.5</v>
      </c>
      <c r="AA9" s="7">
        <v>3.5</v>
      </c>
      <c r="AB9" s="7">
        <v>3</v>
      </c>
      <c r="AC9" s="7">
        <v>2.5</v>
      </c>
      <c r="AD9" s="7">
        <v>3.5</v>
      </c>
      <c r="AE9" s="7">
        <v>1.5</v>
      </c>
      <c r="AF9" s="7">
        <v>1.5</v>
      </c>
      <c r="AG9" s="7">
        <f t="shared" si="0"/>
        <v>52</v>
      </c>
      <c r="AI9" s="15">
        <f t="shared" si="1"/>
        <v>2532.9497400346622</v>
      </c>
      <c r="AJ9" s="16">
        <f t="shared" si="2"/>
        <v>1000</v>
      </c>
      <c r="AK9" s="15">
        <f t="shared" si="7"/>
        <v>-1532.9497400346622</v>
      </c>
      <c r="AL9" s="16">
        <f t="shared" si="3"/>
        <v>4557.5</v>
      </c>
      <c r="AM9" s="15">
        <f t="shared" si="4"/>
        <v>6090.4497400346627</v>
      </c>
      <c r="AN9" s="15">
        <v>237.69945093533499</v>
      </c>
      <c r="AO9" s="15">
        <f t="shared" si="5"/>
        <v>5852.7502890993273</v>
      </c>
      <c r="AP9" s="6">
        <f>5000</f>
        <v>5000</v>
      </c>
      <c r="AQ9" s="17">
        <v>44188</v>
      </c>
      <c r="AR9" s="15">
        <f t="shared" si="6"/>
        <v>-852.75028909932735</v>
      </c>
    </row>
    <row r="10" spans="1:46" x14ac:dyDescent="0.4">
      <c r="A10" s="2">
        <v>6</v>
      </c>
      <c r="B10" s="3" t="s">
        <v>8</v>
      </c>
      <c r="C10" s="7">
        <v>1.5</v>
      </c>
      <c r="D10" s="7">
        <v>2</v>
      </c>
      <c r="E10" s="7">
        <v>1</v>
      </c>
      <c r="F10" s="7">
        <v>1</v>
      </c>
      <c r="G10" s="7">
        <v>2.5</v>
      </c>
      <c r="H10" s="7">
        <v>2.5</v>
      </c>
      <c r="I10" s="7">
        <v>2.5</v>
      </c>
      <c r="J10" s="7">
        <v>2</v>
      </c>
      <c r="K10" s="7">
        <v>2.5</v>
      </c>
      <c r="L10" s="7">
        <v>2.5</v>
      </c>
      <c r="M10" s="7">
        <v>2.5</v>
      </c>
      <c r="N10" s="7">
        <v>4.5</v>
      </c>
      <c r="O10" s="7">
        <v>2.5</v>
      </c>
      <c r="P10" s="7">
        <v>4.5</v>
      </c>
      <c r="Q10" s="7">
        <v>5.5</v>
      </c>
      <c r="R10" s="7">
        <v>4.5</v>
      </c>
      <c r="S10" s="7">
        <v>3.5</v>
      </c>
      <c r="T10" s="7">
        <v>2.5</v>
      </c>
      <c r="U10" s="7">
        <v>2.5</v>
      </c>
      <c r="V10" s="7">
        <v>2.5</v>
      </c>
      <c r="W10" s="7">
        <v>1</v>
      </c>
      <c r="X10" s="7">
        <v>2.5</v>
      </c>
      <c r="Y10" s="7">
        <v>2.5</v>
      </c>
      <c r="Z10" s="7">
        <v>2.5</v>
      </c>
      <c r="AA10" s="7">
        <v>2.5</v>
      </c>
      <c r="AB10" s="7">
        <v>2.5</v>
      </c>
      <c r="AC10" s="7">
        <v>2</v>
      </c>
      <c r="AD10" s="7">
        <v>2</v>
      </c>
      <c r="AE10" s="7">
        <v>5.5</v>
      </c>
      <c r="AF10" s="7">
        <v>2.5</v>
      </c>
      <c r="AG10" s="7">
        <f t="shared" si="0"/>
        <v>80.5</v>
      </c>
      <c r="AI10" s="15">
        <f t="shared" si="1"/>
        <v>3921.201039861352</v>
      </c>
      <c r="AJ10" s="16">
        <f t="shared" si="2"/>
        <v>2115</v>
      </c>
      <c r="AK10" s="15">
        <f t="shared" si="7"/>
        <v>-1806.201039861352</v>
      </c>
      <c r="AL10" s="16">
        <f t="shared" si="3"/>
        <v>4557.5</v>
      </c>
      <c r="AM10" s="15">
        <f t="shared" si="4"/>
        <v>6363.701039861352</v>
      </c>
      <c r="AN10" s="15">
        <v>229</v>
      </c>
      <c r="AO10" s="15">
        <f t="shared" si="5"/>
        <v>6134.701039861352</v>
      </c>
      <c r="AP10" s="6">
        <v>6000</v>
      </c>
      <c r="AQ10" s="17">
        <v>44215</v>
      </c>
      <c r="AR10" s="15">
        <f t="shared" si="6"/>
        <v>-134.701039861352</v>
      </c>
    </row>
    <row r="11" spans="1:46" x14ac:dyDescent="0.4">
      <c r="A11" s="1"/>
      <c r="B11" s="1"/>
      <c r="C11" s="7">
        <f>SUM(C5:C10)</f>
        <v>4.5</v>
      </c>
      <c r="D11" s="7">
        <f t="shared" ref="D11:AF11" si="8">SUM(D5:D10)</f>
        <v>6.5</v>
      </c>
      <c r="E11" s="7">
        <f t="shared" si="8"/>
        <v>5</v>
      </c>
      <c r="F11" s="7">
        <f t="shared" si="8"/>
        <v>5</v>
      </c>
      <c r="G11" s="7">
        <f t="shared" si="8"/>
        <v>9.5</v>
      </c>
      <c r="H11" s="7">
        <f t="shared" si="8"/>
        <v>10.5</v>
      </c>
      <c r="I11" s="7">
        <f t="shared" si="8"/>
        <v>9.5</v>
      </c>
      <c r="J11" s="7">
        <f t="shared" si="8"/>
        <v>9</v>
      </c>
      <c r="K11" s="7">
        <f t="shared" si="8"/>
        <v>11</v>
      </c>
      <c r="L11" s="7">
        <f t="shared" si="8"/>
        <v>11.5</v>
      </c>
      <c r="M11" s="7">
        <f t="shared" si="8"/>
        <v>8</v>
      </c>
      <c r="N11" s="7">
        <f t="shared" si="8"/>
        <v>8.5</v>
      </c>
      <c r="O11" s="7">
        <f t="shared" si="8"/>
        <v>7.5</v>
      </c>
      <c r="P11" s="7">
        <f t="shared" si="8"/>
        <v>9.5</v>
      </c>
      <c r="Q11" s="7">
        <f t="shared" si="8"/>
        <v>14</v>
      </c>
      <c r="R11" s="7">
        <f t="shared" si="8"/>
        <v>13.5</v>
      </c>
      <c r="S11" s="7">
        <f t="shared" si="8"/>
        <v>9.5</v>
      </c>
      <c r="T11" s="7">
        <f t="shared" si="8"/>
        <v>11.5</v>
      </c>
      <c r="U11" s="7">
        <f t="shared" si="8"/>
        <v>9.5</v>
      </c>
      <c r="V11" s="7">
        <f t="shared" si="8"/>
        <v>9.5</v>
      </c>
      <c r="W11" s="7">
        <f t="shared" si="8"/>
        <v>2</v>
      </c>
      <c r="X11" s="7">
        <f t="shared" si="8"/>
        <v>9.5</v>
      </c>
      <c r="Y11" s="7">
        <f t="shared" si="8"/>
        <v>12.5</v>
      </c>
      <c r="Z11" s="7">
        <f t="shared" si="8"/>
        <v>11.5</v>
      </c>
      <c r="AA11" s="7">
        <f t="shared" si="8"/>
        <v>10</v>
      </c>
      <c r="AB11" s="7">
        <f t="shared" si="8"/>
        <v>13</v>
      </c>
      <c r="AC11" s="7">
        <f t="shared" si="8"/>
        <v>10</v>
      </c>
      <c r="AD11" s="7">
        <f t="shared" si="8"/>
        <v>11</v>
      </c>
      <c r="AE11" s="7">
        <f t="shared" si="8"/>
        <v>14</v>
      </c>
      <c r="AF11" s="7">
        <f t="shared" si="8"/>
        <v>12</v>
      </c>
      <c r="AG11" s="7">
        <f>SUM(AG5:AG10)</f>
        <v>288.5</v>
      </c>
      <c r="AI11" s="15">
        <f t="shared" ref="AI11:AP11" si="9">SUM(AI5:AI10)</f>
        <v>14053</v>
      </c>
      <c r="AJ11" s="16">
        <f t="shared" si="9"/>
        <v>14053</v>
      </c>
      <c r="AK11" s="16">
        <f t="shared" si="9"/>
        <v>0</v>
      </c>
      <c r="AL11" s="16">
        <f t="shared" si="9"/>
        <v>26845</v>
      </c>
      <c r="AM11" s="16">
        <f t="shared" si="9"/>
        <v>26845.000000000004</v>
      </c>
      <c r="AN11" s="16">
        <f t="shared" si="9"/>
        <v>154.29286057875396</v>
      </c>
      <c r="AO11" s="16">
        <f t="shared" si="9"/>
        <v>26690.707139421251</v>
      </c>
      <c r="AP11" s="16">
        <f t="shared" si="9"/>
        <v>26220</v>
      </c>
      <c r="AQ11" s="16"/>
      <c r="AR11" s="16">
        <f>SUM(AR5:AR10)</f>
        <v>-1905.7071394212476</v>
      </c>
    </row>
    <row r="13" spans="1:46" x14ac:dyDescent="0.4">
      <c r="B13" s="10" t="s">
        <v>10</v>
      </c>
    </row>
    <row r="14" spans="1:46" x14ac:dyDescent="0.4">
      <c r="A14" s="2">
        <v>1</v>
      </c>
      <c r="B14" s="3" t="s">
        <v>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3510</v>
      </c>
      <c r="Q14" s="8">
        <v>0</v>
      </c>
      <c r="R14" s="8">
        <v>0</v>
      </c>
      <c r="S14" s="8">
        <v>263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f>SUM(C14:AF14)</f>
        <v>3773</v>
      </c>
      <c r="AO14" s="25"/>
    </row>
    <row r="15" spans="1:46" x14ac:dyDescent="0.4">
      <c r="A15" s="2">
        <v>2</v>
      </c>
      <c r="B15" s="3" t="s">
        <v>5</v>
      </c>
      <c r="C15" s="8">
        <v>2650</v>
      </c>
      <c r="D15" s="8">
        <v>0</v>
      </c>
      <c r="E15" s="8">
        <v>0</v>
      </c>
      <c r="F15" s="8">
        <v>0</v>
      </c>
      <c r="G15" s="8">
        <v>390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1380</v>
      </c>
      <c r="AB15" s="8">
        <v>510</v>
      </c>
      <c r="AC15" s="8">
        <v>0</v>
      </c>
      <c r="AD15" s="8">
        <v>270</v>
      </c>
      <c r="AE15" s="8">
        <v>0</v>
      </c>
      <c r="AF15" s="8">
        <v>0</v>
      </c>
      <c r="AG15" s="8">
        <f t="shared" ref="AG15:AG19" si="10">SUM(C15:AF15)</f>
        <v>5200</v>
      </c>
      <c r="AR15" s="25"/>
      <c r="AS15" s="25"/>
    </row>
    <row r="16" spans="1:46" x14ac:dyDescent="0.4">
      <c r="A16" s="2">
        <v>3</v>
      </c>
      <c r="B16" s="3" t="s">
        <v>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f t="shared" si="10"/>
        <v>0</v>
      </c>
      <c r="AO16" s="25"/>
      <c r="AR16" s="25"/>
      <c r="AS16" s="25"/>
    </row>
    <row r="17" spans="1:45" x14ac:dyDescent="0.4">
      <c r="A17" s="2">
        <v>4</v>
      </c>
      <c r="B17" s="3" t="s">
        <v>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360</v>
      </c>
      <c r="K17" s="8">
        <v>900</v>
      </c>
      <c r="L17" s="8">
        <v>285</v>
      </c>
      <c r="M17" s="8">
        <v>420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f t="shared" si="10"/>
        <v>1965</v>
      </c>
    </row>
    <row r="18" spans="1:45" x14ac:dyDescent="0.4">
      <c r="A18" s="2">
        <v>5</v>
      </c>
      <c r="B18" s="3" t="s">
        <v>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1000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f t="shared" si="10"/>
        <v>1000</v>
      </c>
      <c r="AS18" s="25"/>
    </row>
    <row r="19" spans="1:45" x14ac:dyDescent="0.4">
      <c r="A19" s="2">
        <v>6</v>
      </c>
      <c r="B19" s="3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655</v>
      </c>
      <c r="R19" s="8">
        <v>30</v>
      </c>
      <c r="S19" s="8">
        <v>0</v>
      </c>
      <c r="T19" s="8">
        <v>0</v>
      </c>
      <c r="U19" s="8">
        <v>1150</v>
      </c>
      <c r="V19" s="8">
        <v>90</v>
      </c>
      <c r="W19" s="8">
        <v>0</v>
      </c>
      <c r="X19" s="8">
        <v>190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f t="shared" si="10"/>
        <v>2115</v>
      </c>
    </row>
    <row r="20" spans="1:45" x14ac:dyDescent="0.4">
      <c r="AG20" s="9">
        <f>SUM(AG14:AG19)</f>
        <v>14053</v>
      </c>
    </row>
    <row r="21" spans="1:45" x14ac:dyDescent="0.4">
      <c r="A21" s="4"/>
      <c r="B21" s="13" t="s">
        <v>9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20</v>
      </c>
      <c r="M21" s="4" t="s">
        <v>21</v>
      </c>
      <c r="N21" s="4" t="s">
        <v>22</v>
      </c>
    </row>
    <row r="22" spans="1:45" x14ac:dyDescent="0.4">
      <c r="A22" s="2">
        <v>1</v>
      </c>
      <c r="B22" s="12" t="s">
        <v>4</v>
      </c>
      <c r="C22" s="8">
        <f>H31</f>
        <v>3166.6666666666665</v>
      </c>
      <c r="D22" s="8">
        <f>$D$28/6</f>
        <v>433.33333333333331</v>
      </c>
      <c r="E22" s="8">
        <f>$E$28/6</f>
        <v>0</v>
      </c>
      <c r="F22" s="8">
        <f>$F$28/6</f>
        <v>166.66666666666666</v>
      </c>
      <c r="G22" s="8">
        <f>$G$28/6</f>
        <v>162.5</v>
      </c>
      <c r="H22" s="8">
        <f>$H$28/6</f>
        <v>300</v>
      </c>
      <c r="I22" s="8">
        <f>$I$28/6</f>
        <v>266.66666666666669</v>
      </c>
      <c r="J22" s="8">
        <f>$J$28/6</f>
        <v>41.666666666666664</v>
      </c>
      <c r="K22" s="8">
        <f>$K$28/6</f>
        <v>0</v>
      </c>
      <c r="L22" s="8">
        <f>$L$28/6</f>
        <v>20</v>
      </c>
      <c r="M22" s="8">
        <f>$M$28/6</f>
        <v>0</v>
      </c>
      <c r="N22" s="8">
        <f>SUM(C22:M22)</f>
        <v>4557.5</v>
      </c>
    </row>
    <row r="23" spans="1:45" x14ac:dyDescent="0.4">
      <c r="A23" s="2">
        <v>2</v>
      </c>
      <c r="B23" s="12" t="s">
        <v>5</v>
      </c>
      <c r="C23" s="8">
        <f>H32</f>
        <v>3166.6666666666665</v>
      </c>
      <c r="D23" s="8">
        <f t="shared" ref="D23:D27" si="11">$D$28/6</f>
        <v>433.33333333333331</v>
      </c>
      <c r="E23" s="8">
        <f t="shared" ref="E23:E27" si="12">$E$28/6</f>
        <v>0</v>
      </c>
      <c r="F23" s="8">
        <f t="shared" ref="F23:F27" si="13">$F$28/6</f>
        <v>166.66666666666666</v>
      </c>
      <c r="G23" s="8">
        <f t="shared" ref="G23:G27" si="14">$G$28/6</f>
        <v>162.5</v>
      </c>
      <c r="H23" s="8">
        <f t="shared" ref="H23:H27" si="15">$H$28/6</f>
        <v>300</v>
      </c>
      <c r="I23" s="8">
        <f t="shared" ref="I23:I27" si="16">$I$28/6</f>
        <v>266.66666666666669</v>
      </c>
      <c r="J23" s="8">
        <f t="shared" ref="J23:J27" si="17">$J$28/6</f>
        <v>41.666666666666664</v>
      </c>
      <c r="K23" s="8">
        <f t="shared" ref="K23:K27" si="18">$K$28/6</f>
        <v>0</v>
      </c>
      <c r="L23" s="8">
        <f t="shared" ref="L23:L27" si="19">$L$28/6</f>
        <v>20</v>
      </c>
      <c r="M23" s="8">
        <f t="shared" ref="M23:M27" si="20">$M$28/6</f>
        <v>0</v>
      </c>
      <c r="N23" s="8">
        <f t="shared" ref="N23:N27" si="21">SUM(C23:M23)</f>
        <v>4557.5</v>
      </c>
    </row>
    <row r="24" spans="1:45" x14ac:dyDescent="0.4">
      <c r="A24" s="2">
        <v>3</v>
      </c>
      <c r="B24" s="12" t="s">
        <v>6</v>
      </c>
      <c r="C24" s="8">
        <f>H33</f>
        <v>2916.6666666666665</v>
      </c>
      <c r="D24" s="8">
        <f t="shared" si="11"/>
        <v>433.33333333333331</v>
      </c>
      <c r="E24" s="8">
        <f t="shared" si="12"/>
        <v>0</v>
      </c>
      <c r="F24" s="8">
        <f t="shared" si="13"/>
        <v>166.66666666666666</v>
      </c>
      <c r="G24" s="8">
        <f t="shared" si="14"/>
        <v>162.5</v>
      </c>
      <c r="H24" s="8">
        <f t="shared" si="15"/>
        <v>300</v>
      </c>
      <c r="I24" s="8">
        <f t="shared" si="16"/>
        <v>266.66666666666669</v>
      </c>
      <c r="J24" s="8">
        <f t="shared" si="17"/>
        <v>41.666666666666664</v>
      </c>
      <c r="K24" s="8">
        <f t="shared" si="18"/>
        <v>0</v>
      </c>
      <c r="L24" s="8">
        <f t="shared" si="19"/>
        <v>20</v>
      </c>
      <c r="M24" s="8">
        <f t="shared" si="20"/>
        <v>0</v>
      </c>
      <c r="N24" s="8">
        <f t="shared" si="21"/>
        <v>4307.5</v>
      </c>
    </row>
    <row r="25" spans="1:45" x14ac:dyDescent="0.4">
      <c r="A25" s="2">
        <v>4</v>
      </c>
      <c r="B25" s="12" t="s">
        <v>3</v>
      </c>
      <c r="C25" s="8">
        <f>H33</f>
        <v>2916.6666666666665</v>
      </c>
      <c r="D25" s="8">
        <f t="shared" si="11"/>
        <v>433.33333333333331</v>
      </c>
      <c r="E25" s="8">
        <f t="shared" si="12"/>
        <v>0</v>
      </c>
      <c r="F25" s="8">
        <f t="shared" si="13"/>
        <v>166.66666666666666</v>
      </c>
      <c r="G25" s="8">
        <f t="shared" si="14"/>
        <v>162.5</v>
      </c>
      <c r="H25" s="8">
        <f t="shared" si="15"/>
        <v>300</v>
      </c>
      <c r="I25" s="8">
        <f t="shared" si="16"/>
        <v>266.66666666666669</v>
      </c>
      <c r="J25" s="8">
        <f t="shared" si="17"/>
        <v>41.666666666666664</v>
      </c>
      <c r="K25" s="8">
        <f t="shared" si="18"/>
        <v>0</v>
      </c>
      <c r="L25" s="8">
        <f t="shared" si="19"/>
        <v>20</v>
      </c>
      <c r="M25" s="8">
        <f t="shared" si="20"/>
        <v>0</v>
      </c>
      <c r="N25" s="8">
        <f t="shared" si="21"/>
        <v>4307.5</v>
      </c>
    </row>
    <row r="26" spans="1:45" x14ac:dyDescent="0.4">
      <c r="A26" s="2">
        <v>5</v>
      </c>
      <c r="B26" s="12" t="s">
        <v>7</v>
      </c>
      <c r="C26" s="8">
        <f>H32</f>
        <v>3166.6666666666665</v>
      </c>
      <c r="D26" s="8">
        <f t="shared" si="11"/>
        <v>433.33333333333331</v>
      </c>
      <c r="E26" s="8">
        <f t="shared" si="12"/>
        <v>0</v>
      </c>
      <c r="F26" s="8">
        <f t="shared" si="13"/>
        <v>166.66666666666666</v>
      </c>
      <c r="G26" s="8">
        <f t="shared" si="14"/>
        <v>162.5</v>
      </c>
      <c r="H26" s="8">
        <f t="shared" si="15"/>
        <v>300</v>
      </c>
      <c r="I26" s="8">
        <f t="shared" si="16"/>
        <v>266.66666666666669</v>
      </c>
      <c r="J26" s="8">
        <f t="shared" si="17"/>
        <v>41.666666666666664</v>
      </c>
      <c r="K26" s="8">
        <f t="shared" si="18"/>
        <v>0</v>
      </c>
      <c r="L26" s="8">
        <f t="shared" si="19"/>
        <v>20</v>
      </c>
      <c r="M26" s="8">
        <f t="shared" si="20"/>
        <v>0</v>
      </c>
      <c r="N26" s="8">
        <f t="shared" si="21"/>
        <v>4557.5</v>
      </c>
    </row>
    <row r="27" spans="1:45" x14ac:dyDescent="0.4">
      <c r="A27" s="2">
        <v>6</v>
      </c>
      <c r="B27" s="12" t="s">
        <v>8</v>
      </c>
      <c r="C27" s="8">
        <f>H32</f>
        <v>3166.6666666666665</v>
      </c>
      <c r="D27" s="8">
        <f t="shared" si="11"/>
        <v>433.33333333333331</v>
      </c>
      <c r="E27" s="8">
        <f t="shared" si="12"/>
        <v>0</v>
      </c>
      <c r="F27" s="8">
        <f t="shared" si="13"/>
        <v>166.66666666666666</v>
      </c>
      <c r="G27" s="8">
        <f t="shared" si="14"/>
        <v>162.5</v>
      </c>
      <c r="H27" s="8">
        <f t="shared" si="15"/>
        <v>300</v>
      </c>
      <c r="I27" s="8">
        <f t="shared" si="16"/>
        <v>266.66666666666669</v>
      </c>
      <c r="J27" s="8">
        <f t="shared" si="17"/>
        <v>41.666666666666664</v>
      </c>
      <c r="K27" s="8">
        <f t="shared" si="18"/>
        <v>0</v>
      </c>
      <c r="L27" s="8">
        <f t="shared" si="19"/>
        <v>20</v>
      </c>
      <c r="M27" s="8">
        <f t="shared" si="20"/>
        <v>0</v>
      </c>
      <c r="N27" s="8">
        <f t="shared" si="21"/>
        <v>4557.5</v>
      </c>
    </row>
    <row r="28" spans="1:45" x14ac:dyDescent="0.4">
      <c r="C28" s="8">
        <f>SUM(C22:C27)</f>
        <v>18500</v>
      </c>
      <c r="D28" s="8">
        <f>2600</f>
        <v>2600</v>
      </c>
      <c r="E28" s="8">
        <f>0</f>
        <v>0</v>
      </c>
      <c r="F28" s="8">
        <f>1000</f>
        <v>1000</v>
      </c>
      <c r="G28" s="8">
        <f>975</f>
        <v>975</v>
      </c>
      <c r="H28" s="14">
        <f>1800</f>
        <v>1800</v>
      </c>
      <c r="I28" s="14">
        <f>1600</f>
        <v>1600</v>
      </c>
      <c r="J28" s="8">
        <f>250</f>
        <v>250</v>
      </c>
      <c r="K28" s="8">
        <f>0</f>
        <v>0</v>
      </c>
      <c r="L28" s="8">
        <f>120</f>
        <v>120</v>
      </c>
      <c r="M28" s="8">
        <f>0</f>
        <v>0</v>
      </c>
      <c r="N28" s="8">
        <f>SUM(N22:N27)</f>
        <v>26845</v>
      </c>
    </row>
    <row r="31" spans="1:45" x14ac:dyDescent="0.4">
      <c r="D31" s="1">
        <v>6000</v>
      </c>
      <c r="E31" s="1">
        <v>2</v>
      </c>
      <c r="F31" s="1">
        <f>D31/E31</f>
        <v>3000</v>
      </c>
      <c r="G31" s="1">
        <f>(500+500)/6</f>
        <v>166.66666666666666</v>
      </c>
      <c r="H31" s="11">
        <f>F31+G31</f>
        <v>3166.6666666666665</v>
      </c>
      <c r="I31" s="11">
        <f>H31*E31</f>
        <v>6333.333333333333</v>
      </c>
    </row>
    <row r="32" spans="1:45" x14ac:dyDescent="0.4">
      <c r="D32" s="1">
        <v>6000</v>
      </c>
      <c r="E32" s="1">
        <v>2</v>
      </c>
      <c r="F32" s="1">
        <f t="shared" ref="F32:F33" si="22">D32/E32</f>
        <v>3000</v>
      </c>
      <c r="G32" s="1">
        <f t="shared" ref="G32:G33" si="23">(500+500)/6</f>
        <v>166.66666666666666</v>
      </c>
      <c r="H32" s="11">
        <f t="shared" ref="H32:H33" si="24">F32+G32</f>
        <v>3166.6666666666665</v>
      </c>
      <c r="I32" s="11">
        <f t="shared" ref="I32:I33" si="25">H32*E32</f>
        <v>6333.333333333333</v>
      </c>
    </row>
    <row r="33" spans="4:9" x14ac:dyDescent="0.4">
      <c r="D33" s="1">
        <v>5500</v>
      </c>
      <c r="E33" s="1">
        <v>2</v>
      </c>
      <c r="F33" s="1">
        <f t="shared" si="22"/>
        <v>2750</v>
      </c>
      <c r="G33" s="1">
        <f t="shared" si="23"/>
        <v>166.66666666666666</v>
      </c>
      <c r="H33" s="11">
        <f t="shared" si="24"/>
        <v>2916.6666666666665</v>
      </c>
      <c r="I33" s="11">
        <f t="shared" si="25"/>
        <v>5833.333333333333</v>
      </c>
    </row>
    <row r="34" spans="4:9" x14ac:dyDescent="0.4">
      <c r="D34" s="1">
        <f>SUM(D31:D33)</f>
        <v>17500</v>
      </c>
      <c r="E34" s="1"/>
      <c r="F34" s="1"/>
      <c r="G34" s="1"/>
      <c r="H34" s="1"/>
      <c r="I34" s="11">
        <f>SUM(I31:I33)</f>
        <v>18500</v>
      </c>
    </row>
  </sheetData>
  <mergeCells count="2">
    <mergeCell ref="E1:F2"/>
    <mergeCell ref="C1:D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B36A-64BB-4895-A9D4-B8AD93B4911D}">
  <dimension ref="A1:AU37"/>
  <sheetViews>
    <sheetView zoomScaleNormal="100" workbookViewId="0">
      <pane xSplit="2" ySplit="4" topLeftCell="C18" activePane="bottomRight" state="frozen"/>
      <selection pane="topRight" activeCell="C1" sqref="C1"/>
      <selection pane="bottomLeft" activeCell="A5" sqref="A5"/>
      <selection pane="bottomRight" activeCell="A35" sqref="A35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bestFit="1" customWidth="1"/>
    <col min="4" max="4" width="9.59765625" bestFit="1" customWidth="1"/>
    <col min="5" max="5" width="9" bestFit="1" customWidth="1"/>
    <col min="6" max="6" width="11.59765625" bestFit="1" customWidth="1"/>
    <col min="7" max="7" width="9" bestFit="1" customWidth="1"/>
    <col min="8" max="8" width="13.19921875" bestFit="1" customWidth="1"/>
    <col min="9" max="9" width="9.796875" bestFit="1" customWidth="1"/>
    <col min="10" max="10" width="9" bestFit="1" customWidth="1"/>
    <col min="11" max="11" width="14.59765625" bestFit="1" customWidth="1"/>
    <col min="12" max="14" width="10" bestFit="1" customWidth="1"/>
    <col min="15" max="32" width="9.796875" bestFit="1" customWidth="1"/>
    <col min="33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50</v>
      </c>
      <c r="D1" s="204"/>
      <c r="E1" s="203">
        <f>AH22/AH12</f>
        <v>46.982658959537574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44166</v>
      </c>
      <c r="D4" s="5">
        <v>44167</v>
      </c>
      <c r="E4" s="5">
        <v>44168</v>
      </c>
      <c r="F4" s="5">
        <v>44169</v>
      </c>
      <c r="G4" s="5">
        <v>44170</v>
      </c>
      <c r="H4" s="5">
        <v>44171</v>
      </c>
      <c r="I4" s="5">
        <v>44172</v>
      </c>
      <c r="J4" s="5">
        <v>44173</v>
      </c>
      <c r="K4" s="5">
        <v>44174</v>
      </c>
      <c r="L4" s="5">
        <v>44175</v>
      </c>
      <c r="M4" s="5">
        <v>44176</v>
      </c>
      <c r="N4" s="5">
        <v>44177</v>
      </c>
      <c r="O4" s="5">
        <v>44178</v>
      </c>
      <c r="P4" s="5">
        <v>44179</v>
      </c>
      <c r="Q4" s="5">
        <v>44180</v>
      </c>
      <c r="R4" s="5">
        <v>44181</v>
      </c>
      <c r="S4" s="5">
        <v>44182</v>
      </c>
      <c r="T4" s="5">
        <v>44183</v>
      </c>
      <c r="U4" s="5">
        <v>44184</v>
      </c>
      <c r="V4" s="5">
        <v>44185</v>
      </c>
      <c r="W4" s="5">
        <v>44186</v>
      </c>
      <c r="X4" s="5">
        <v>44187</v>
      </c>
      <c r="Y4" s="5">
        <v>44188</v>
      </c>
      <c r="Z4" s="5">
        <v>44189</v>
      </c>
      <c r="AA4" s="5">
        <v>44190</v>
      </c>
      <c r="AB4" s="5">
        <v>44191</v>
      </c>
      <c r="AC4" s="5">
        <v>44192</v>
      </c>
      <c r="AD4" s="5">
        <v>44193</v>
      </c>
      <c r="AE4" s="5">
        <v>44194</v>
      </c>
      <c r="AF4" s="5">
        <v>44195</v>
      </c>
      <c r="AG4" s="5">
        <v>44196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52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4">
      <c r="A5" s="2">
        <v>1</v>
      </c>
      <c r="B5" s="3" t="s">
        <v>4</v>
      </c>
      <c r="C5" s="7">
        <v>2</v>
      </c>
      <c r="D5" s="7">
        <v>1</v>
      </c>
      <c r="E5" s="7">
        <v>2</v>
      </c>
      <c r="F5" s="7">
        <v>2.5</v>
      </c>
      <c r="G5" s="7">
        <v>1</v>
      </c>
      <c r="H5" s="7">
        <v>2</v>
      </c>
      <c r="I5" s="7">
        <v>0</v>
      </c>
      <c r="J5" s="7">
        <v>1</v>
      </c>
      <c r="K5" s="7">
        <v>2.5</v>
      </c>
      <c r="L5" s="7">
        <v>1.5</v>
      </c>
      <c r="M5" s="7">
        <v>2</v>
      </c>
      <c r="N5" s="7">
        <v>2.5</v>
      </c>
      <c r="O5" s="7">
        <v>1</v>
      </c>
      <c r="P5" s="7">
        <v>1</v>
      </c>
      <c r="Q5" s="7">
        <v>1.5</v>
      </c>
      <c r="R5" s="7">
        <v>2</v>
      </c>
      <c r="S5" s="7">
        <v>0.5</v>
      </c>
      <c r="T5" s="7">
        <v>2</v>
      </c>
      <c r="U5" s="7">
        <v>2.5</v>
      </c>
      <c r="V5" s="7">
        <v>2.5</v>
      </c>
      <c r="W5" s="7">
        <v>1</v>
      </c>
      <c r="X5" s="7">
        <v>1</v>
      </c>
      <c r="Y5" s="7">
        <v>1</v>
      </c>
      <c r="Z5" s="7">
        <v>0</v>
      </c>
      <c r="AA5" s="7">
        <v>0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f>SUM(C5:AG5)</f>
        <v>42</v>
      </c>
      <c r="AJ5" s="15">
        <f>AH5*$E$1</f>
        <v>1973.2716763005781</v>
      </c>
      <c r="AK5" s="16">
        <f>AH15</f>
        <v>3360</v>
      </c>
      <c r="AL5" s="15">
        <f>AK5-AJ5</f>
        <v>1386.7283236994219</v>
      </c>
      <c r="AM5" s="16">
        <f>N24</f>
        <v>4412.5</v>
      </c>
      <c r="AN5" s="15">
        <f>AM5-AL5</f>
        <v>3025.7716763005783</v>
      </c>
      <c r="AO5" s="15">
        <f>'Meal Nov''20 &amp; Rent December''20'!AR5</f>
        <v>3062.1615953735122</v>
      </c>
      <c r="AP5" s="15">
        <f>AN5-AO5</f>
        <v>-36.389919072933935</v>
      </c>
      <c r="AQ5" s="6">
        <f>2500+500</f>
        <v>3000</v>
      </c>
      <c r="AR5" s="17">
        <v>44207</v>
      </c>
      <c r="AS5" s="15">
        <f>AQ5-AP5</f>
        <v>3036.3899190729339</v>
      </c>
    </row>
    <row r="6" spans="1:47" x14ac:dyDescent="0.4">
      <c r="A6" s="2">
        <v>2</v>
      </c>
      <c r="B6" s="3" t="s">
        <v>5</v>
      </c>
      <c r="C6" s="7">
        <v>2.5</v>
      </c>
      <c r="D6" s="7">
        <v>1</v>
      </c>
      <c r="E6" s="7">
        <v>2.5</v>
      </c>
      <c r="F6" s="7">
        <v>2.5</v>
      </c>
      <c r="G6" s="7">
        <v>2</v>
      </c>
      <c r="H6" s="7">
        <v>2.5</v>
      </c>
      <c r="I6" s="7">
        <v>2</v>
      </c>
      <c r="J6" s="7">
        <v>2.5</v>
      </c>
      <c r="K6" s="7">
        <v>2.5</v>
      </c>
      <c r="L6" s="7">
        <v>1.5</v>
      </c>
      <c r="M6" s="7">
        <v>0</v>
      </c>
      <c r="N6" s="7">
        <v>0</v>
      </c>
      <c r="O6" s="7">
        <v>1</v>
      </c>
      <c r="P6" s="7">
        <v>2.5</v>
      </c>
      <c r="Q6" s="7">
        <v>3.5</v>
      </c>
      <c r="R6" s="7">
        <v>2.5</v>
      </c>
      <c r="S6" s="7">
        <v>2.5</v>
      </c>
      <c r="T6" s="7">
        <v>1.5</v>
      </c>
      <c r="U6" s="7">
        <v>2.5</v>
      </c>
      <c r="V6" s="7">
        <v>1.5</v>
      </c>
      <c r="W6" s="7">
        <v>1</v>
      </c>
      <c r="X6" s="7">
        <v>2</v>
      </c>
      <c r="Y6" s="7">
        <v>2.5</v>
      </c>
      <c r="Z6" s="7">
        <v>3</v>
      </c>
      <c r="AA6" s="7">
        <v>0</v>
      </c>
      <c r="AB6" s="7">
        <v>1.5</v>
      </c>
      <c r="AC6" s="7">
        <v>2.5</v>
      </c>
      <c r="AD6" s="7">
        <v>2.5</v>
      </c>
      <c r="AE6" s="7">
        <v>2.5</v>
      </c>
      <c r="AF6" s="7">
        <v>1.5</v>
      </c>
      <c r="AG6" s="7">
        <v>2.5</v>
      </c>
      <c r="AH6" s="7">
        <f t="shared" ref="AH6:AH13" si="0">SUM(C6:AG6)</f>
        <v>60.5</v>
      </c>
      <c r="AJ6" s="15">
        <f t="shared" ref="AJ6:AJ11" si="1">AH6*$E$1</f>
        <v>2842.4508670520231</v>
      </c>
      <c r="AK6" s="16">
        <f>AH16</f>
        <v>2780</v>
      </c>
      <c r="AL6" s="15">
        <f>AK6-AJ6</f>
        <v>-62.450867052023114</v>
      </c>
      <c r="AM6" s="16">
        <f t="shared" ref="AM6:AM7" si="2">N25</f>
        <v>4412.5</v>
      </c>
      <c r="AN6" s="15">
        <f t="shared" ref="AN6:AN11" si="3">AM6-AL6</f>
        <v>4474.9508670520227</v>
      </c>
      <c r="AO6" s="15">
        <f>'Meal Nov''20 &amp; Rent December''20'!AR6</f>
        <v>1223.1032021404812</v>
      </c>
      <c r="AP6" s="15">
        <f t="shared" ref="AP6:AP11" si="4">AN6-AO6</f>
        <v>3251.8476649115414</v>
      </c>
      <c r="AQ6" s="6">
        <f>3000</f>
        <v>3000</v>
      </c>
      <c r="AR6" s="17">
        <v>44209</v>
      </c>
      <c r="AS6" s="15">
        <f t="shared" ref="AS6:AS11" si="5">AQ6-AP6</f>
        <v>-251.84766491154141</v>
      </c>
    </row>
    <row r="7" spans="1:47" x14ac:dyDescent="0.4">
      <c r="A7" s="2">
        <v>3</v>
      </c>
      <c r="B7" s="3" t="s">
        <v>6</v>
      </c>
      <c r="C7" s="7">
        <v>1.5</v>
      </c>
      <c r="D7" s="7">
        <v>1</v>
      </c>
      <c r="E7" s="7">
        <v>1.5</v>
      </c>
      <c r="F7" s="7">
        <v>2.5</v>
      </c>
      <c r="G7" s="7">
        <v>1.5</v>
      </c>
      <c r="H7" s="7">
        <v>1.5</v>
      </c>
      <c r="I7" s="7">
        <v>1</v>
      </c>
      <c r="J7" s="7">
        <v>1.5</v>
      </c>
      <c r="K7" s="7">
        <v>1.5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2.5</v>
      </c>
      <c r="S7" s="7">
        <v>1.5</v>
      </c>
      <c r="T7" s="7">
        <v>2.5</v>
      </c>
      <c r="U7" s="7">
        <v>1.5</v>
      </c>
      <c r="V7" s="7">
        <v>1.5</v>
      </c>
      <c r="W7" s="7">
        <v>1</v>
      </c>
      <c r="X7" s="7">
        <v>1</v>
      </c>
      <c r="Y7" s="7">
        <v>1.5</v>
      </c>
      <c r="Z7" s="7">
        <v>1.5</v>
      </c>
      <c r="AA7" s="7">
        <v>2.5</v>
      </c>
      <c r="AB7" s="7">
        <v>1.5</v>
      </c>
      <c r="AC7" s="7">
        <v>1.5</v>
      </c>
      <c r="AD7" s="7">
        <v>1.5</v>
      </c>
      <c r="AE7" s="7">
        <v>1.5</v>
      </c>
      <c r="AF7" s="7">
        <v>1.5</v>
      </c>
      <c r="AG7" s="7">
        <v>1.5</v>
      </c>
      <c r="AH7" s="7">
        <f t="shared" si="0"/>
        <v>40.5</v>
      </c>
      <c r="AJ7" s="15">
        <f t="shared" si="1"/>
        <v>1902.7976878612717</v>
      </c>
      <c r="AK7" s="16">
        <f>AH17</f>
        <v>2410</v>
      </c>
      <c r="AL7" s="15">
        <f t="shared" ref="AL7:AL11" si="6">AK7-AJ7</f>
        <v>507.2023121387283</v>
      </c>
      <c r="AM7" s="16">
        <f t="shared" si="2"/>
        <v>4162.5</v>
      </c>
      <c r="AN7" s="15">
        <f t="shared" si="3"/>
        <v>3655.2976878612717</v>
      </c>
      <c r="AO7" s="15">
        <f>'Meal Nov''20 &amp; Rent December''20'!AR7</f>
        <v>-4285.4533042005278</v>
      </c>
      <c r="AP7" s="15">
        <f t="shared" si="4"/>
        <v>7940.7509920617995</v>
      </c>
      <c r="AQ7" s="6"/>
      <c r="AR7" s="17"/>
      <c r="AS7" s="15">
        <f t="shared" si="5"/>
        <v>-7940.7509920617995</v>
      </c>
    </row>
    <row r="8" spans="1:47" x14ac:dyDescent="0.4">
      <c r="A8" s="2">
        <v>4</v>
      </c>
      <c r="B8" s="3" t="s">
        <v>3</v>
      </c>
      <c r="C8" s="7">
        <v>1.5</v>
      </c>
      <c r="D8" s="7">
        <v>1</v>
      </c>
      <c r="E8" s="7">
        <v>0.5</v>
      </c>
      <c r="F8" s="7">
        <v>0</v>
      </c>
      <c r="G8" s="7">
        <v>1</v>
      </c>
      <c r="H8" s="7">
        <v>1.5</v>
      </c>
      <c r="I8" s="7">
        <v>1.5</v>
      </c>
      <c r="J8" s="7">
        <v>0.5</v>
      </c>
      <c r="K8" s="7">
        <v>1</v>
      </c>
      <c r="L8" s="7">
        <v>1.5</v>
      </c>
      <c r="M8" s="7">
        <v>2.5</v>
      </c>
      <c r="N8" s="7">
        <v>0.5</v>
      </c>
      <c r="O8" s="7">
        <v>1</v>
      </c>
      <c r="P8" s="7">
        <v>1.5</v>
      </c>
      <c r="Q8" s="7">
        <v>1</v>
      </c>
      <c r="R8" s="7">
        <v>0</v>
      </c>
      <c r="S8" s="7">
        <v>0</v>
      </c>
      <c r="T8" s="7">
        <v>1</v>
      </c>
      <c r="U8" s="7">
        <v>2.5</v>
      </c>
      <c r="V8" s="7">
        <v>4</v>
      </c>
      <c r="W8" s="7">
        <v>2</v>
      </c>
      <c r="X8" s="7">
        <v>2</v>
      </c>
      <c r="Y8" s="7">
        <v>6</v>
      </c>
      <c r="Z8" s="7">
        <v>3</v>
      </c>
      <c r="AA8" s="7">
        <v>3.5</v>
      </c>
      <c r="AB8" s="7">
        <v>2.5</v>
      </c>
      <c r="AC8" s="7">
        <v>4</v>
      </c>
      <c r="AD8" s="7">
        <v>4</v>
      </c>
      <c r="AE8" s="7">
        <v>4</v>
      </c>
      <c r="AF8" s="7">
        <v>3</v>
      </c>
      <c r="AG8" s="7">
        <v>0</v>
      </c>
      <c r="AH8" s="7">
        <f t="shared" si="0"/>
        <v>58</v>
      </c>
      <c r="AJ8" s="15">
        <f>AH8*$E$1</f>
        <v>2724.9942196531792</v>
      </c>
      <c r="AK8" s="16">
        <f>AH18</f>
        <v>1940</v>
      </c>
      <c r="AL8" s="15">
        <f t="shared" si="6"/>
        <v>-784.99421965317924</v>
      </c>
      <c r="AM8" s="16">
        <f>N27</f>
        <v>1245.8333333333335</v>
      </c>
      <c r="AN8" s="15">
        <f t="shared" si="3"/>
        <v>2030.8275529865127</v>
      </c>
      <c r="AO8" s="15">
        <f>'Meal Nov''20 &amp; Rent December''20'!AR8</f>
        <v>-918.06730377403392</v>
      </c>
      <c r="AP8" s="15">
        <f t="shared" si="4"/>
        <v>2948.8948567605466</v>
      </c>
      <c r="AQ8" s="6">
        <v>800</v>
      </c>
      <c r="AR8" s="1"/>
      <c r="AS8" s="15">
        <f>AQ8-AP8+1300</f>
        <v>-848.89485676054665</v>
      </c>
      <c r="AU8" s="25"/>
    </row>
    <row r="9" spans="1:47" x14ac:dyDescent="0.4">
      <c r="A9" s="2">
        <v>5</v>
      </c>
      <c r="B9" s="12" t="s">
        <v>51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>
        <f t="shared" si="0"/>
        <v>0</v>
      </c>
      <c r="AJ9" s="15">
        <f>$AH$9*$E$1</f>
        <v>0</v>
      </c>
      <c r="AK9" s="16">
        <f>AH19</f>
        <v>0</v>
      </c>
      <c r="AL9" s="15">
        <f>AK9-AJ9</f>
        <v>0</v>
      </c>
      <c r="AM9" s="16">
        <f>N28</f>
        <v>2916.6666666666665</v>
      </c>
      <c r="AN9" s="15">
        <f t="shared" si="3"/>
        <v>2916.6666666666665</v>
      </c>
      <c r="AO9" s="15"/>
      <c r="AP9" s="15">
        <f t="shared" si="4"/>
        <v>2916.6666666666665</v>
      </c>
      <c r="AQ9" s="6">
        <f>250+2667</f>
        <v>2917</v>
      </c>
      <c r="AR9" s="17">
        <v>44201</v>
      </c>
      <c r="AS9" s="15">
        <f>AQ9-AP9</f>
        <v>0.33333333333348492</v>
      </c>
      <c r="AU9" s="25"/>
    </row>
    <row r="10" spans="1:47" x14ac:dyDescent="0.4">
      <c r="A10" s="2">
        <v>6</v>
      </c>
      <c r="B10" s="3" t="s">
        <v>7</v>
      </c>
      <c r="C10" s="7">
        <v>1.5</v>
      </c>
      <c r="D10" s="7">
        <v>1</v>
      </c>
      <c r="E10" s="7">
        <v>1.5</v>
      </c>
      <c r="F10" s="7">
        <v>2.5</v>
      </c>
      <c r="G10" s="7">
        <v>2.5</v>
      </c>
      <c r="H10" s="7">
        <v>1.5</v>
      </c>
      <c r="I10" s="7">
        <v>1</v>
      </c>
      <c r="J10" s="7">
        <v>0.5</v>
      </c>
      <c r="K10" s="7">
        <v>0</v>
      </c>
      <c r="L10" s="7">
        <v>0</v>
      </c>
      <c r="M10" s="7">
        <v>0</v>
      </c>
      <c r="N10" s="7">
        <v>1</v>
      </c>
      <c r="O10" s="7">
        <v>1.5</v>
      </c>
      <c r="P10" s="7">
        <v>1.5</v>
      </c>
      <c r="Q10" s="7">
        <v>1.5</v>
      </c>
      <c r="R10" s="7">
        <v>2.5</v>
      </c>
      <c r="S10" s="7">
        <v>1.5</v>
      </c>
      <c r="T10" s="7">
        <v>2.5</v>
      </c>
      <c r="U10" s="7">
        <v>2.5</v>
      </c>
      <c r="V10" s="7">
        <v>1.5</v>
      </c>
      <c r="W10" s="7">
        <v>1</v>
      </c>
      <c r="X10" s="7">
        <v>2</v>
      </c>
      <c r="Y10" s="7">
        <v>5</v>
      </c>
      <c r="Z10" s="7">
        <v>4.5</v>
      </c>
      <c r="AA10" s="7">
        <v>5</v>
      </c>
      <c r="AB10" s="7">
        <v>5</v>
      </c>
      <c r="AC10" s="7">
        <v>4</v>
      </c>
      <c r="AD10" s="7">
        <v>4</v>
      </c>
      <c r="AE10" s="7">
        <v>4</v>
      </c>
      <c r="AF10" s="7">
        <v>5</v>
      </c>
      <c r="AG10" s="7">
        <v>5</v>
      </c>
      <c r="AH10" s="7">
        <f t="shared" si="0"/>
        <v>72.5</v>
      </c>
      <c r="AJ10" s="15">
        <f t="shared" si="1"/>
        <v>3406.2427745664741</v>
      </c>
      <c r="AK10" s="16">
        <f t="shared" ref="AK10:AK11" si="7">AH20</f>
        <v>2207</v>
      </c>
      <c r="AL10" s="15">
        <f t="shared" si="6"/>
        <v>-1199.2427745664741</v>
      </c>
      <c r="AM10" s="16">
        <f>N29</f>
        <v>4412.5</v>
      </c>
      <c r="AN10" s="15">
        <f t="shared" si="3"/>
        <v>5611.7427745664736</v>
      </c>
      <c r="AO10" s="15">
        <f>'Meal Nov''20 &amp; Rent December''20'!AR9</f>
        <v>-852.75028909932735</v>
      </c>
      <c r="AP10" s="15">
        <f t="shared" si="4"/>
        <v>6464.4930636658009</v>
      </c>
      <c r="AQ10" s="6"/>
      <c r="AR10" s="17"/>
      <c r="AS10" s="15">
        <f t="shared" si="5"/>
        <v>-6464.4930636658009</v>
      </c>
    </row>
    <row r="11" spans="1:47" x14ac:dyDescent="0.4">
      <c r="A11" s="2">
        <v>7</v>
      </c>
      <c r="B11" s="3" t="s">
        <v>8</v>
      </c>
      <c r="C11" s="7">
        <v>2.5</v>
      </c>
      <c r="D11" s="7">
        <v>1</v>
      </c>
      <c r="E11" s="7">
        <v>0</v>
      </c>
      <c r="F11" s="7">
        <v>0</v>
      </c>
      <c r="G11" s="7">
        <v>3.5</v>
      </c>
      <c r="H11" s="7">
        <v>3.5</v>
      </c>
      <c r="I11" s="7">
        <v>3</v>
      </c>
      <c r="J11" s="7">
        <v>4</v>
      </c>
      <c r="K11" s="7">
        <v>4</v>
      </c>
      <c r="L11" s="7">
        <v>4</v>
      </c>
      <c r="M11" s="7">
        <v>5</v>
      </c>
      <c r="N11" s="7">
        <v>5</v>
      </c>
      <c r="O11" s="7">
        <v>4</v>
      </c>
      <c r="P11" s="7">
        <v>4</v>
      </c>
      <c r="Q11" s="7">
        <v>4</v>
      </c>
      <c r="R11" s="7">
        <v>5</v>
      </c>
      <c r="S11" s="7">
        <v>3</v>
      </c>
      <c r="T11" s="7">
        <v>0</v>
      </c>
      <c r="U11" s="7">
        <v>1</v>
      </c>
      <c r="V11" s="7">
        <v>1.5</v>
      </c>
      <c r="W11" s="7">
        <v>1</v>
      </c>
      <c r="X11" s="7">
        <v>1</v>
      </c>
      <c r="Y11" s="7">
        <v>1.5</v>
      </c>
      <c r="Z11" s="7">
        <v>1.5</v>
      </c>
      <c r="AA11" s="7">
        <v>0</v>
      </c>
      <c r="AB11" s="7">
        <v>2</v>
      </c>
      <c r="AC11" s="7">
        <v>1.5</v>
      </c>
      <c r="AD11" s="7">
        <v>1.5</v>
      </c>
      <c r="AE11" s="7">
        <v>1.5</v>
      </c>
      <c r="AF11" s="7">
        <v>1.5</v>
      </c>
      <c r="AG11" s="7">
        <v>1.5</v>
      </c>
      <c r="AH11" s="7">
        <f t="shared" si="0"/>
        <v>72.5</v>
      </c>
      <c r="AJ11" s="15">
        <f t="shared" si="1"/>
        <v>3406.2427745664741</v>
      </c>
      <c r="AK11" s="16">
        <f t="shared" si="7"/>
        <v>3559</v>
      </c>
      <c r="AL11" s="15">
        <f t="shared" si="6"/>
        <v>152.75722543352595</v>
      </c>
      <c r="AM11" s="16">
        <f>N30</f>
        <v>4412.5</v>
      </c>
      <c r="AN11" s="15">
        <f t="shared" si="3"/>
        <v>4259.7427745664736</v>
      </c>
      <c r="AO11" s="15">
        <f>'Meal Nov''20 &amp; Rent December''20'!AR10</f>
        <v>-134.701039861352</v>
      </c>
      <c r="AP11" s="15">
        <f t="shared" si="4"/>
        <v>4394.4438144278256</v>
      </c>
      <c r="AQ11" s="6"/>
      <c r="AR11" s="1"/>
      <c r="AS11" s="15">
        <f t="shared" si="5"/>
        <v>-4394.4438144278256</v>
      </c>
    </row>
    <row r="12" spans="1:47" x14ac:dyDescent="0.4">
      <c r="A12" s="1"/>
      <c r="B12" s="1"/>
      <c r="C12" s="7">
        <f>SUM(C5:C11)</f>
        <v>11.5</v>
      </c>
      <c r="D12" s="7">
        <f t="shared" ref="D12:AF12" si="8">SUM(D5:D11)</f>
        <v>6</v>
      </c>
      <c r="E12" s="7">
        <f t="shared" si="8"/>
        <v>8</v>
      </c>
      <c r="F12" s="7">
        <f t="shared" si="8"/>
        <v>10</v>
      </c>
      <c r="G12" s="7">
        <f t="shared" si="8"/>
        <v>11.5</v>
      </c>
      <c r="H12" s="7">
        <f t="shared" si="8"/>
        <v>12.5</v>
      </c>
      <c r="I12" s="7">
        <f t="shared" si="8"/>
        <v>8.5</v>
      </c>
      <c r="J12" s="7">
        <f t="shared" si="8"/>
        <v>10</v>
      </c>
      <c r="K12" s="7">
        <f t="shared" si="8"/>
        <v>11.5</v>
      </c>
      <c r="L12" s="7">
        <f t="shared" si="8"/>
        <v>8.5</v>
      </c>
      <c r="M12" s="7">
        <f t="shared" si="8"/>
        <v>9.5</v>
      </c>
      <c r="N12" s="7">
        <f t="shared" si="8"/>
        <v>9</v>
      </c>
      <c r="O12" s="7">
        <f t="shared" si="8"/>
        <v>8.5</v>
      </c>
      <c r="P12" s="7">
        <f t="shared" si="8"/>
        <v>10.5</v>
      </c>
      <c r="Q12" s="7">
        <f t="shared" si="8"/>
        <v>12.5</v>
      </c>
      <c r="R12" s="7">
        <f t="shared" si="8"/>
        <v>14.5</v>
      </c>
      <c r="S12" s="7">
        <f t="shared" si="8"/>
        <v>9</v>
      </c>
      <c r="T12" s="7">
        <f t="shared" si="8"/>
        <v>9.5</v>
      </c>
      <c r="U12" s="7">
        <f t="shared" si="8"/>
        <v>12.5</v>
      </c>
      <c r="V12" s="7">
        <f t="shared" si="8"/>
        <v>12.5</v>
      </c>
      <c r="W12" s="7">
        <f t="shared" si="8"/>
        <v>7</v>
      </c>
      <c r="X12" s="7">
        <f t="shared" si="8"/>
        <v>9</v>
      </c>
      <c r="Y12" s="7">
        <f t="shared" si="8"/>
        <v>17.5</v>
      </c>
      <c r="Z12" s="7">
        <f t="shared" si="8"/>
        <v>13.5</v>
      </c>
      <c r="AA12" s="7">
        <f t="shared" si="8"/>
        <v>11</v>
      </c>
      <c r="AB12" s="7">
        <f t="shared" si="8"/>
        <v>13.5</v>
      </c>
      <c r="AC12" s="7">
        <f t="shared" si="8"/>
        <v>14.5</v>
      </c>
      <c r="AD12" s="7">
        <f t="shared" si="8"/>
        <v>14.5</v>
      </c>
      <c r="AE12" s="7">
        <f t="shared" si="8"/>
        <v>14.5</v>
      </c>
      <c r="AF12" s="7">
        <f t="shared" si="8"/>
        <v>13.5</v>
      </c>
      <c r="AG12" s="7"/>
      <c r="AH12" s="7">
        <f>SUM(AH5:AH11)</f>
        <v>346</v>
      </c>
      <c r="AJ12" s="15">
        <f t="shared" ref="AJ12:AQ12" si="9">SUM(AJ5:AJ11)</f>
        <v>16256</v>
      </c>
      <c r="AK12" s="16">
        <f t="shared" si="9"/>
        <v>16256</v>
      </c>
      <c r="AL12" s="16">
        <f t="shared" si="9"/>
        <v>-2.2737367544323206E-13</v>
      </c>
      <c r="AM12" s="16">
        <f t="shared" si="9"/>
        <v>25975</v>
      </c>
      <c r="AN12" s="16">
        <f t="shared" si="9"/>
        <v>25975</v>
      </c>
      <c r="AO12" s="16">
        <f t="shared" si="9"/>
        <v>-1905.7071394212476</v>
      </c>
      <c r="AP12" s="16">
        <f t="shared" si="9"/>
        <v>27880.707139421247</v>
      </c>
      <c r="AQ12" s="16">
        <f t="shared" si="9"/>
        <v>9717</v>
      </c>
      <c r="AR12" s="16"/>
      <c r="AS12" s="16">
        <f>SUM(AS5:AS11)</f>
        <v>-16863.707139421247</v>
      </c>
    </row>
    <row r="13" spans="1:47" x14ac:dyDescent="0.4">
      <c r="B13" s="27" t="s">
        <v>53</v>
      </c>
      <c r="Y13" s="28">
        <v>2.5</v>
      </c>
      <c r="Z13" s="28">
        <v>2.5</v>
      </c>
      <c r="AA13" s="28">
        <v>2.5</v>
      </c>
      <c r="AB13" s="28">
        <v>2.5</v>
      </c>
      <c r="AC13" s="28">
        <v>2.5</v>
      </c>
      <c r="AD13" s="28">
        <v>2.5</v>
      </c>
      <c r="AE13" s="28">
        <v>2.5</v>
      </c>
      <c r="AF13" s="28">
        <v>2.5</v>
      </c>
      <c r="AG13" s="28">
        <v>2.5</v>
      </c>
      <c r="AH13" s="7">
        <f t="shared" si="0"/>
        <v>22.5</v>
      </c>
      <c r="AJ13" s="25">
        <f>-E1*AH13</f>
        <v>-1057.1098265895955</v>
      </c>
    </row>
    <row r="14" spans="1:47" x14ac:dyDescent="0.4">
      <c r="B14" s="10" t="s">
        <v>10</v>
      </c>
      <c r="AM14" s="25"/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2390</v>
      </c>
      <c r="U15" s="8">
        <v>700</v>
      </c>
      <c r="V15" s="8">
        <v>270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3360</v>
      </c>
      <c r="AL15" s="25">
        <f>AL8-918</f>
        <v>-1702.9942196531792</v>
      </c>
      <c r="AP15" s="25"/>
    </row>
    <row r="16" spans="1:47" x14ac:dyDescent="0.4">
      <c r="A16" s="2">
        <v>2</v>
      </c>
      <c r="B16" s="3" t="s">
        <v>5</v>
      </c>
      <c r="C16" s="8">
        <v>1160</v>
      </c>
      <c r="D16" s="8">
        <v>910</v>
      </c>
      <c r="E16" s="8">
        <v>190</v>
      </c>
      <c r="F16" s="8">
        <v>0</v>
      </c>
      <c r="G16" s="8">
        <v>170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350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2780</v>
      </c>
      <c r="AL16" s="25">
        <f>AL15+54</f>
        <v>-1648.9942196531792</v>
      </c>
      <c r="AS16" s="25"/>
      <c r="AT16" s="25"/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95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1135</v>
      </c>
      <c r="AD17" s="8">
        <v>160</v>
      </c>
      <c r="AE17" s="8">
        <v>1020</v>
      </c>
      <c r="AF17" s="8">
        <v>0</v>
      </c>
      <c r="AG17" s="8">
        <v>0</v>
      </c>
      <c r="AH17" s="8">
        <f t="shared" si="10"/>
        <v>2410</v>
      </c>
      <c r="AP17" s="25"/>
      <c r="AS17" s="25"/>
      <c r="AT17" s="25"/>
    </row>
    <row r="18" spans="1:46" x14ac:dyDescent="0.4">
      <c r="A18" s="2">
        <v>4</v>
      </c>
      <c r="B18" s="3" t="s">
        <v>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1645</v>
      </c>
      <c r="S18" s="8">
        <v>100</v>
      </c>
      <c r="T18" s="8">
        <v>0</v>
      </c>
      <c r="U18" s="8">
        <v>0</v>
      </c>
      <c r="V18" s="8">
        <v>0</v>
      </c>
      <c r="W18" s="8">
        <v>0</v>
      </c>
      <c r="X18" s="8">
        <v>95</v>
      </c>
      <c r="Y18" s="8">
        <v>0</v>
      </c>
      <c r="Z18" s="8">
        <v>0</v>
      </c>
      <c r="AA18" s="8">
        <v>100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1940</v>
      </c>
    </row>
    <row r="19" spans="1:46" x14ac:dyDescent="0.4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f t="shared" si="10"/>
        <v>0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590</v>
      </c>
      <c r="Z20" s="8">
        <v>977</v>
      </c>
      <c r="AA20" s="8">
        <v>0</v>
      </c>
      <c r="AB20" s="8">
        <v>640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2207</v>
      </c>
      <c r="AT20" s="25"/>
    </row>
    <row r="21" spans="1:46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1620</v>
      </c>
      <c r="J21" s="8">
        <v>134</v>
      </c>
      <c r="K21" s="8">
        <v>60</v>
      </c>
      <c r="L21" s="8">
        <v>180</v>
      </c>
      <c r="M21" s="8">
        <v>230</v>
      </c>
      <c r="N21" s="8">
        <v>115</v>
      </c>
      <c r="O21" s="8">
        <v>780</v>
      </c>
      <c r="P21" s="8">
        <f>70</f>
        <v>70</v>
      </c>
      <c r="Q21" s="8">
        <v>370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3559</v>
      </c>
    </row>
    <row r="22" spans="1:46" x14ac:dyDescent="0.4">
      <c r="AH22" s="9">
        <f>SUM(AH15:AH21)</f>
        <v>16256</v>
      </c>
    </row>
    <row r="23" spans="1:46" x14ac:dyDescent="0.4">
      <c r="A23" s="4"/>
      <c r="B23" s="13" t="s">
        <v>9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3166.6666666666665</v>
      </c>
      <c r="D24" s="8">
        <f>$D$31/6</f>
        <v>433.33333333333331</v>
      </c>
      <c r="E24" s="8">
        <f>$E$31/6</f>
        <v>0</v>
      </c>
      <c r="F24" s="8">
        <f>$F$31/6</f>
        <v>166.66666666666666</v>
      </c>
      <c r="G24" s="8">
        <f>$G$31/6</f>
        <v>162.5</v>
      </c>
      <c r="H24" s="8">
        <f>$H$31/6</f>
        <v>112.5</v>
      </c>
      <c r="I24" s="8">
        <f>$I$31/6</f>
        <v>309.16666666666669</v>
      </c>
      <c r="J24" s="8">
        <f>$J$31/6</f>
        <v>41.666666666666664</v>
      </c>
      <c r="K24" s="8">
        <f>$K$31/6</f>
        <v>0</v>
      </c>
      <c r="L24" s="8">
        <f>$L$31/6</f>
        <v>20</v>
      </c>
      <c r="M24" s="8">
        <f>$M$31/6</f>
        <v>0</v>
      </c>
      <c r="N24" s="8">
        <f>SUM(C24:M24)</f>
        <v>4412.5</v>
      </c>
    </row>
    <row r="25" spans="1:46" x14ac:dyDescent="0.4">
      <c r="A25" s="2">
        <v>2</v>
      </c>
      <c r="B25" s="12" t="s">
        <v>5</v>
      </c>
      <c r="C25" s="8">
        <f>H35</f>
        <v>3166.6666666666665</v>
      </c>
      <c r="D25" s="8">
        <f t="shared" ref="D25:D30" si="11">$D$31/6</f>
        <v>433.33333333333331</v>
      </c>
      <c r="E25" s="8">
        <f t="shared" ref="E25:E30" si="12">$E$31/6</f>
        <v>0</v>
      </c>
      <c r="F25" s="8">
        <f t="shared" ref="F25:F30" si="13">$F$31/6</f>
        <v>166.66666666666666</v>
      </c>
      <c r="G25" s="8">
        <f t="shared" ref="G25:G30" si="14">$G$31/6</f>
        <v>162.5</v>
      </c>
      <c r="H25" s="8">
        <f t="shared" ref="H25:H30" si="15">$H$31/6</f>
        <v>112.5</v>
      </c>
      <c r="I25" s="8">
        <f t="shared" ref="I25:I30" si="16">$I$31/6</f>
        <v>309.16666666666669</v>
      </c>
      <c r="J25" s="8">
        <f t="shared" ref="J25:J30" si="17">$J$31/6</f>
        <v>41.666666666666664</v>
      </c>
      <c r="K25" s="8">
        <f t="shared" ref="K25:K30" si="18">$K$31/6</f>
        <v>0</v>
      </c>
      <c r="L25" s="8">
        <f t="shared" ref="L25:L30" si="19">$L$31/6</f>
        <v>20</v>
      </c>
      <c r="M25" s="8">
        <f t="shared" ref="M25:M30" si="20">$M$31/6</f>
        <v>0</v>
      </c>
      <c r="N25" s="8">
        <f t="shared" ref="N25:N30" si="21">SUM(C25:M25)</f>
        <v>4412.5</v>
      </c>
    </row>
    <row r="26" spans="1:46" x14ac:dyDescent="0.4">
      <c r="A26" s="2">
        <v>3</v>
      </c>
      <c r="B26" s="12" t="s">
        <v>6</v>
      </c>
      <c r="C26" s="8">
        <f>H36</f>
        <v>2916.6666666666665</v>
      </c>
      <c r="D26" s="8">
        <f t="shared" si="11"/>
        <v>433.33333333333331</v>
      </c>
      <c r="E26" s="8">
        <f t="shared" si="12"/>
        <v>0</v>
      </c>
      <c r="F26" s="8">
        <f t="shared" si="13"/>
        <v>166.66666666666666</v>
      </c>
      <c r="G26" s="8">
        <f t="shared" si="14"/>
        <v>162.5</v>
      </c>
      <c r="H26" s="8">
        <f t="shared" si="15"/>
        <v>112.5</v>
      </c>
      <c r="I26" s="8">
        <f t="shared" si="16"/>
        <v>309.16666666666669</v>
      </c>
      <c r="J26" s="8">
        <f t="shared" si="17"/>
        <v>41.666666666666664</v>
      </c>
      <c r="K26" s="8">
        <f t="shared" si="18"/>
        <v>0</v>
      </c>
      <c r="L26" s="8">
        <f t="shared" si="19"/>
        <v>20</v>
      </c>
      <c r="M26" s="8">
        <f t="shared" si="20"/>
        <v>0</v>
      </c>
      <c r="N26" s="8">
        <f t="shared" si="21"/>
        <v>4162.5</v>
      </c>
    </row>
    <row r="27" spans="1:46" x14ac:dyDescent="0.4">
      <c r="A27" s="2">
        <v>4</v>
      </c>
      <c r="B27" s="12" t="s">
        <v>3</v>
      </c>
      <c r="C27" s="8">
        <v>0</v>
      </c>
      <c r="D27" s="8">
        <f t="shared" si="11"/>
        <v>433.33333333333331</v>
      </c>
      <c r="E27" s="8">
        <f t="shared" si="12"/>
        <v>0</v>
      </c>
      <c r="F27" s="8">
        <f t="shared" si="13"/>
        <v>166.66666666666666</v>
      </c>
      <c r="G27" s="8">
        <f t="shared" si="14"/>
        <v>162.5</v>
      </c>
      <c r="H27" s="8">
        <f t="shared" si="15"/>
        <v>112.5</v>
      </c>
      <c r="I27" s="8">
        <f t="shared" si="16"/>
        <v>309.16666666666669</v>
      </c>
      <c r="J27" s="8">
        <f t="shared" si="17"/>
        <v>41.666666666666664</v>
      </c>
      <c r="K27" s="8">
        <f t="shared" si="18"/>
        <v>0</v>
      </c>
      <c r="L27" s="8">
        <f t="shared" si="19"/>
        <v>20</v>
      </c>
      <c r="M27" s="8">
        <f t="shared" si="20"/>
        <v>0</v>
      </c>
      <c r="N27" s="8">
        <f t="shared" si="21"/>
        <v>1245.8333333333335</v>
      </c>
    </row>
    <row r="28" spans="1:46" x14ac:dyDescent="0.4">
      <c r="A28" s="2">
        <v>5</v>
      </c>
      <c r="B28" s="12" t="s">
        <v>51</v>
      </c>
      <c r="C28" s="8">
        <f>H36</f>
        <v>2916.6666666666665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f t="shared" si="21"/>
        <v>2916.6666666666665</v>
      </c>
    </row>
    <row r="29" spans="1:46" x14ac:dyDescent="0.4">
      <c r="A29" s="2">
        <v>6</v>
      </c>
      <c r="B29" s="12" t="s">
        <v>7</v>
      </c>
      <c r="C29" s="8">
        <f>H35</f>
        <v>3166.6666666666665</v>
      </c>
      <c r="D29" s="8">
        <f t="shared" si="11"/>
        <v>433.33333333333331</v>
      </c>
      <c r="E29" s="8">
        <f t="shared" si="12"/>
        <v>0</v>
      </c>
      <c r="F29" s="8">
        <f t="shared" si="13"/>
        <v>166.66666666666666</v>
      </c>
      <c r="G29" s="8">
        <f t="shared" si="14"/>
        <v>162.5</v>
      </c>
      <c r="H29" s="8">
        <f t="shared" si="15"/>
        <v>112.5</v>
      </c>
      <c r="I29" s="8">
        <f t="shared" si="16"/>
        <v>309.16666666666669</v>
      </c>
      <c r="J29" s="8">
        <f t="shared" si="17"/>
        <v>41.666666666666664</v>
      </c>
      <c r="K29" s="8">
        <f t="shared" si="18"/>
        <v>0</v>
      </c>
      <c r="L29" s="8">
        <f t="shared" si="19"/>
        <v>20</v>
      </c>
      <c r="M29" s="8">
        <f t="shared" si="20"/>
        <v>0</v>
      </c>
      <c r="N29" s="8">
        <f t="shared" si="21"/>
        <v>4412.5</v>
      </c>
    </row>
    <row r="30" spans="1:46" x14ac:dyDescent="0.4">
      <c r="A30" s="2">
        <v>7</v>
      </c>
      <c r="B30" s="12" t="s">
        <v>8</v>
      </c>
      <c r="C30" s="8">
        <f>H35</f>
        <v>3166.6666666666665</v>
      </c>
      <c r="D30" s="8">
        <f t="shared" si="11"/>
        <v>433.33333333333331</v>
      </c>
      <c r="E30" s="8">
        <f t="shared" si="12"/>
        <v>0</v>
      </c>
      <c r="F30" s="8">
        <f t="shared" si="13"/>
        <v>166.66666666666666</v>
      </c>
      <c r="G30" s="8">
        <f t="shared" si="14"/>
        <v>162.5</v>
      </c>
      <c r="H30" s="8">
        <f t="shared" si="15"/>
        <v>112.5</v>
      </c>
      <c r="I30" s="8">
        <f t="shared" si="16"/>
        <v>309.16666666666669</v>
      </c>
      <c r="J30" s="8">
        <f t="shared" si="17"/>
        <v>41.666666666666664</v>
      </c>
      <c r="K30" s="8">
        <f t="shared" si="18"/>
        <v>0</v>
      </c>
      <c r="L30" s="8">
        <f t="shared" si="19"/>
        <v>20</v>
      </c>
      <c r="M30" s="8">
        <f t="shared" si="20"/>
        <v>0</v>
      </c>
      <c r="N30" s="8">
        <f t="shared" si="21"/>
        <v>4412.5</v>
      </c>
    </row>
    <row r="31" spans="1:46" x14ac:dyDescent="0.4">
      <c r="C31" s="8">
        <f>SUM(C24:C30)</f>
        <v>18500</v>
      </c>
      <c r="D31" s="8">
        <f>2600</f>
        <v>2600</v>
      </c>
      <c r="E31" s="8">
        <f>0</f>
        <v>0</v>
      </c>
      <c r="F31" s="8">
        <f>1000</f>
        <v>1000</v>
      </c>
      <c r="G31" s="8">
        <f>975</f>
        <v>975</v>
      </c>
      <c r="H31" s="14">
        <v>675</v>
      </c>
      <c r="I31" s="14">
        <v>1855</v>
      </c>
      <c r="J31" s="8">
        <f>250</f>
        <v>250</v>
      </c>
      <c r="K31" s="8">
        <f>0</f>
        <v>0</v>
      </c>
      <c r="L31" s="8">
        <f>120</f>
        <v>120</v>
      </c>
      <c r="M31" s="8">
        <f>0</f>
        <v>0</v>
      </c>
      <c r="N31" s="8">
        <f>SUM(N24:N30)</f>
        <v>25975</v>
      </c>
    </row>
    <row r="34" spans="4:9" x14ac:dyDescent="0.4">
      <c r="D34" s="1">
        <v>6000</v>
      </c>
      <c r="E34" s="1">
        <v>2</v>
      </c>
      <c r="F34" s="1">
        <f>D34/E34</f>
        <v>3000</v>
      </c>
      <c r="G34" s="1">
        <f>(500+500)/6</f>
        <v>166.66666666666666</v>
      </c>
      <c r="H34" s="11">
        <f>F34+G34</f>
        <v>3166.6666666666665</v>
      </c>
      <c r="I34" s="11">
        <f>H34*E34</f>
        <v>6333.333333333333</v>
      </c>
    </row>
    <row r="35" spans="4:9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(500+500)/6</f>
        <v>166.66666666666666</v>
      </c>
      <c r="H35" s="11">
        <f t="shared" ref="H35:H36" si="24">F35+G35</f>
        <v>3166.6666666666665</v>
      </c>
      <c r="I35" s="11">
        <f t="shared" ref="I35:I36" si="25">H35*E35</f>
        <v>6333.333333333333</v>
      </c>
    </row>
    <row r="36" spans="4:9" x14ac:dyDescent="0.4">
      <c r="D36" s="1">
        <v>5500</v>
      </c>
      <c r="E36" s="1">
        <v>2</v>
      </c>
      <c r="F36" s="1">
        <f t="shared" si="22"/>
        <v>2750</v>
      </c>
      <c r="G36" s="1">
        <f t="shared" si="23"/>
        <v>166.66666666666666</v>
      </c>
      <c r="H36" s="11">
        <f t="shared" si="24"/>
        <v>2916.6666666666665</v>
      </c>
      <c r="I36" s="11">
        <f t="shared" si="25"/>
        <v>5833.333333333333</v>
      </c>
    </row>
    <row r="37" spans="4:9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5C30-A6DE-45DD-B4BE-D394617C0EEE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S8" sqref="AS8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bestFit="1" customWidth="1"/>
    <col min="4" max="4" width="9.59765625" bestFit="1" customWidth="1"/>
    <col min="5" max="5" width="9" bestFit="1" customWidth="1"/>
    <col min="6" max="6" width="11.59765625" bestFit="1" customWidth="1"/>
    <col min="7" max="7" width="9" bestFit="1" customWidth="1"/>
    <col min="8" max="8" width="13.19921875" bestFit="1" customWidth="1"/>
    <col min="9" max="9" width="9.796875" bestFit="1" customWidth="1"/>
    <col min="10" max="10" width="9" bestFit="1" customWidth="1"/>
    <col min="11" max="11" width="14.59765625" bestFit="1" customWidth="1"/>
    <col min="12" max="14" width="10" bestFit="1" customWidth="1"/>
    <col min="15" max="32" width="9.796875" bestFit="1" customWidth="1"/>
    <col min="33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50</v>
      </c>
      <c r="D1" s="204"/>
      <c r="E1" s="203">
        <f>AH22/AH12</f>
        <v>45.245901639344261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44197</v>
      </c>
      <c r="D4" s="5">
        <v>44198</v>
      </c>
      <c r="E4" s="5">
        <v>44199</v>
      </c>
      <c r="F4" s="5">
        <v>44200</v>
      </c>
      <c r="G4" s="5">
        <v>44201</v>
      </c>
      <c r="H4" s="5">
        <v>44202</v>
      </c>
      <c r="I4" s="5">
        <v>44203</v>
      </c>
      <c r="J4" s="5">
        <v>44204</v>
      </c>
      <c r="K4" s="5">
        <v>44205</v>
      </c>
      <c r="L4" s="5">
        <v>44206</v>
      </c>
      <c r="M4" s="5">
        <v>44207</v>
      </c>
      <c r="N4" s="5">
        <v>44208</v>
      </c>
      <c r="O4" s="5">
        <v>44209</v>
      </c>
      <c r="P4" s="5">
        <v>44210</v>
      </c>
      <c r="Q4" s="5">
        <v>44211</v>
      </c>
      <c r="R4" s="5">
        <v>44212</v>
      </c>
      <c r="S4" s="5">
        <v>44213</v>
      </c>
      <c r="T4" s="5">
        <v>44214</v>
      </c>
      <c r="U4" s="5">
        <v>44215</v>
      </c>
      <c r="V4" s="5">
        <v>44216</v>
      </c>
      <c r="W4" s="5">
        <v>44217</v>
      </c>
      <c r="X4" s="5">
        <v>44218</v>
      </c>
      <c r="Y4" s="5">
        <v>44219</v>
      </c>
      <c r="Z4" s="5">
        <v>44220</v>
      </c>
      <c r="AA4" s="5">
        <v>44221</v>
      </c>
      <c r="AB4" s="5">
        <v>44222</v>
      </c>
      <c r="AC4" s="5">
        <v>44223</v>
      </c>
      <c r="AD4" s="5">
        <v>44224</v>
      </c>
      <c r="AE4" s="5">
        <v>44225</v>
      </c>
      <c r="AF4" s="5">
        <v>44226</v>
      </c>
      <c r="AG4" s="5">
        <v>44227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52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  <c r="AU4">
        <f>700/6</f>
        <v>116.66666666666667</v>
      </c>
    </row>
    <row r="5" spans="1:47" x14ac:dyDescent="0.4">
      <c r="A5" s="2">
        <v>1</v>
      </c>
      <c r="B5" s="3" t="s">
        <v>4</v>
      </c>
      <c r="C5" s="7">
        <v>1.5</v>
      </c>
      <c r="D5" s="7">
        <v>1.5</v>
      </c>
      <c r="E5" s="7">
        <v>1</v>
      </c>
      <c r="F5" s="7">
        <v>1</v>
      </c>
      <c r="G5" s="7">
        <v>1</v>
      </c>
      <c r="H5" s="7">
        <v>0.5</v>
      </c>
      <c r="I5" s="7">
        <v>1.5</v>
      </c>
      <c r="J5" s="7">
        <v>0</v>
      </c>
      <c r="K5" s="7">
        <v>0</v>
      </c>
      <c r="L5" s="7">
        <v>2</v>
      </c>
      <c r="M5" s="7">
        <v>1</v>
      </c>
      <c r="N5" s="7">
        <v>1</v>
      </c>
      <c r="O5" s="7">
        <v>1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1</v>
      </c>
      <c r="V5" s="7">
        <v>1</v>
      </c>
      <c r="W5" s="7">
        <v>1</v>
      </c>
      <c r="X5" s="7">
        <v>0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2.5</v>
      </c>
      <c r="AF5" s="7">
        <v>0</v>
      </c>
      <c r="AG5" s="7"/>
      <c r="AH5" s="7">
        <f>SUM(C5:AG5)</f>
        <v>26.5</v>
      </c>
      <c r="AJ5" s="15">
        <f>AH5*$E$1</f>
        <v>1199.016393442623</v>
      </c>
      <c r="AK5" s="16">
        <f>AH15</f>
        <v>3015</v>
      </c>
      <c r="AL5" s="15">
        <f>AK5-AJ5</f>
        <v>1815.983606557377</v>
      </c>
      <c r="AM5" s="16">
        <f>N24</f>
        <v>4373.666666666667</v>
      </c>
      <c r="AN5" s="15">
        <f>AM5-AL5</f>
        <v>2557.6830601092897</v>
      </c>
      <c r="AO5" s="15">
        <f>'Meal Dec''20 &amp; Rent January''21'!AS5</f>
        <v>3036.3899190729339</v>
      </c>
      <c r="AP5" s="15">
        <f>AN5-AO5+$AU$4</f>
        <v>-362.04019229697752</v>
      </c>
      <c r="AQ5" s="6">
        <v>1500</v>
      </c>
      <c r="AR5" s="17">
        <v>44245</v>
      </c>
      <c r="AS5" s="15">
        <f>AQ5-AP5</f>
        <v>1862.0401922969775</v>
      </c>
    </row>
    <row r="6" spans="1:47" x14ac:dyDescent="0.4">
      <c r="A6" s="2">
        <v>2</v>
      </c>
      <c r="B6" s="3" t="s">
        <v>5</v>
      </c>
      <c r="C6" s="7">
        <v>3.5</v>
      </c>
      <c r="D6" s="7">
        <v>2.5</v>
      </c>
      <c r="E6" s="7">
        <v>2.5</v>
      </c>
      <c r="F6" s="7">
        <v>2.5</v>
      </c>
      <c r="G6" s="7">
        <v>1.5</v>
      </c>
      <c r="H6" s="7">
        <v>2.5</v>
      </c>
      <c r="I6" s="7">
        <v>1.5</v>
      </c>
      <c r="J6" s="7">
        <v>2.5</v>
      </c>
      <c r="K6" s="7">
        <v>0</v>
      </c>
      <c r="L6" s="7">
        <v>2.5</v>
      </c>
      <c r="M6" s="7">
        <v>1.5</v>
      </c>
      <c r="N6" s="7">
        <v>3</v>
      </c>
      <c r="O6" s="7">
        <v>2.5</v>
      </c>
      <c r="P6" s="7">
        <v>3.5</v>
      </c>
      <c r="Q6" s="7">
        <v>1.5</v>
      </c>
      <c r="R6" s="7">
        <v>1.5</v>
      </c>
      <c r="S6" s="7">
        <v>3</v>
      </c>
      <c r="T6" s="7">
        <v>1.5</v>
      </c>
      <c r="U6" s="7">
        <v>3.5</v>
      </c>
      <c r="V6" s="7">
        <v>3.5</v>
      </c>
      <c r="W6" s="7">
        <v>1</v>
      </c>
      <c r="X6" s="7">
        <v>1</v>
      </c>
      <c r="Y6" s="7">
        <v>1</v>
      </c>
      <c r="Z6" s="7">
        <v>0</v>
      </c>
      <c r="AA6" s="7">
        <v>0</v>
      </c>
      <c r="AB6" s="7">
        <v>0</v>
      </c>
      <c r="AC6" s="7">
        <v>1</v>
      </c>
      <c r="AD6" s="7">
        <v>1.5</v>
      </c>
      <c r="AE6" s="7">
        <v>1.5</v>
      </c>
      <c r="AF6" s="7">
        <v>1.5</v>
      </c>
      <c r="AG6" s="7"/>
      <c r="AH6" s="7">
        <f t="shared" ref="AH6:AH13" si="0">SUM(C6:AG6)</f>
        <v>55</v>
      </c>
      <c r="AJ6" s="15">
        <f t="shared" ref="AJ6:AJ11" si="1">AH6*$E$1</f>
        <v>2488.5245901639341</v>
      </c>
      <c r="AK6" s="16">
        <f>AH16</f>
        <v>3390</v>
      </c>
      <c r="AL6" s="15">
        <f>AK6-AJ6</f>
        <v>901.47540983606586</v>
      </c>
      <c r="AM6" s="16">
        <f t="shared" ref="AM6:AM8" si="2">N25</f>
        <v>4373.666666666667</v>
      </c>
      <c r="AN6" s="15">
        <f t="shared" ref="AN6:AN13" si="3">AM6-AL6</f>
        <v>3472.1912568306011</v>
      </c>
      <c r="AO6" s="15">
        <f>'Meal Dec''20 &amp; Rent January''21'!AS6</f>
        <v>-251.84766491154141</v>
      </c>
      <c r="AP6" s="15">
        <f t="shared" ref="AP6:AP11" si="4">AN6-AO6+$AU$4</f>
        <v>3840.705588408809</v>
      </c>
      <c r="AQ6" s="6">
        <v>4000</v>
      </c>
      <c r="AR6" s="17">
        <v>44245</v>
      </c>
      <c r="AS6" s="15">
        <f t="shared" ref="AS6:AS10" si="5">AQ6-AP6</f>
        <v>159.29441159119096</v>
      </c>
    </row>
    <row r="7" spans="1:47" x14ac:dyDescent="0.4">
      <c r="A7" s="2">
        <v>3</v>
      </c>
      <c r="B7" s="3" t="s">
        <v>6</v>
      </c>
      <c r="C7" s="7">
        <v>2.5</v>
      </c>
      <c r="D7" s="7">
        <v>1.5</v>
      </c>
      <c r="E7" s="7">
        <v>1.5</v>
      </c>
      <c r="F7" s="7">
        <v>1.5</v>
      </c>
      <c r="G7" s="7">
        <v>1.5</v>
      </c>
      <c r="H7" s="7">
        <v>1.5</v>
      </c>
      <c r="I7" s="7">
        <v>1.5</v>
      </c>
      <c r="J7" s="7">
        <v>1.5</v>
      </c>
      <c r="K7" s="7">
        <v>1</v>
      </c>
      <c r="L7" s="7">
        <v>1.5</v>
      </c>
      <c r="M7" s="7">
        <v>1.5</v>
      </c>
      <c r="N7" s="7">
        <v>1.5</v>
      </c>
      <c r="O7" s="7">
        <v>1.5</v>
      </c>
      <c r="P7" s="7">
        <v>0.5</v>
      </c>
      <c r="Q7" s="7">
        <v>2.5</v>
      </c>
      <c r="R7" s="7">
        <v>1.5</v>
      </c>
      <c r="S7" s="7">
        <v>1.5</v>
      </c>
      <c r="T7" s="7">
        <v>1.5</v>
      </c>
      <c r="U7" s="7">
        <v>1.5</v>
      </c>
      <c r="V7" s="7">
        <v>1</v>
      </c>
      <c r="W7" s="7">
        <v>1</v>
      </c>
      <c r="X7" s="7">
        <v>2</v>
      </c>
      <c r="Y7" s="7">
        <v>1</v>
      </c>
      <c r="Z7" s="7">
        <v>1.5</v>
      </c>
      <c r="AA7" s="7">
        <v>1.5</v>
      </c>
      <c r="AB7" s="7">
        <v>1.5</v>
      </c>
      <c r="AC7" s="7">
        <v>1</v>
      </c>
      <c r="AD7" s="7">
        <v>1.5</v>
      </c>
      <c r="AE7" s="7">
        <v>2.5</v>
      </c>
      <c r="AF7" s="7">
        <v>1.5</v>
      </c>
      <c r="AG7" s="7"/>
      <c r="AH7" s="7">
        <f t="shared" si="0"/>
        <v>45</v>
      </c>
      <c r="AJ7" s="15">
        <f t="shared" si="1"/>
        <v>2036.0655737704917</v>
      </c>
      <c r="AK7" s="16">
        <f>AH17</f>
        <v>2030</v>
      </c>
      <c r="AL7" s="15">
        <f t="shared" ref="AL7:AL13" si="6">AK7-AJ7</f>
        <v>-6.0655737704917101</v>
      </c>
      <c r="AM7" s="16">
        <f t="shared" si="2"/>
        <v>4123.6666666666661</v>
      </c>
      <c r="AN7" s="15">
        <f t="shared" si="3"/>
        <v>4129.732240437158</v>
      </c>
      <c r="AO7" s="15">
        <f>'Meal Dec''20 &amp; Rent January''21'!AS7</f>
        <v>-7940.7509920617995</v>
      </c>
      <c r="AP7" s="15">
        <f t="shared" si="4"/>
        <v>12187.149899165624</v>
      </c>
      <c r="AQ7" s="6">
        <f>8000</f>
        <v>8000</v>
      </c>
      <c r="AR7" s="17">
        <v>44239</v>
      </c>
      <c r="AS7" s="15">
        <f t="shared" si="5"/>
        <v>-4187.1498991656244</v>
      </c>
    </row>
    <row r="8" spans="1:47" x14ac:dyDescent="0.4">
      <c r="A8" s="2">
        <v>4</v>
      </c>
      <c r="B8" s="3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>
        <f t="shared" si="0"/>
        <v>0</v>
      </c>
      <c r="AJ8" s="15">
        <f>AH8*$E$1</f>
        <v>0</v>
      </c>
      <c r="AK8" s="16">
        <f>AH18</f>
        <v>0</v>
      </c>
      <c r="AL8" s="15">
        <f t="shared" si="6"/>
        <v>0</v>
      </c>
      <c r="AM8" s="16">
        <f t="shared" si="2"/>
        <v>0</v>
      </c>
      <c r="AN8" s="15">
        <f t="shared" si="3"/>
        <v>0</v>
      </c>
      <c r="AO8" s="15">
        <v>0</v>
      </c>
      <c r="AP8" s="15"/>
      <c r="AQ8" s="6"/>
      <c r="AR8" s="1"/>
      <c r="AS8" s="15">
        <f>AQ8-AP8</f>
        <v>0</v>
      </c>
      <c r="AU8" s="25"/>
    </row>
    <row r="9" spans="1:47" x14ac:dyDescent="0.4">
      <c r="A9" s="2">
        <v>5</v>
      </c>
      <c r="B9" s="12" t="s">
        <v>51</v>
      </c>
      <c r="C9" s="7">
        <v>1.5</v>
      </c>
      <c r="D9" s="7">
        <v>2.5</v>
      </c>
      <c r="E9" s="7">
        <v>3</v>
      </c>
      <c r="F9" s="7">
        <v>3</v>
      </c>
      <c r="G9" s="7">
        <v>3</v>
      </c>
      <c r="H9" s="7">
        <v>3</v>
      </c>
      <c r="I9" s="7">
        <v>1.5</v>
      </c>
      <c r="J9" s="7">
        <v>2.5</v>
      </c>
      <c r="K9" s="7">
        <v>3</v>
      </c>
      <c r="L9" s="7">
        <v>1.5</v>
      </c>
      <c r="M9" s="7">
        <v>1.5</v>
      </c>
      <c r="N9" s="7">
        <v>1.5</v>
      </c>
      <c r="O9" s="7">
        <v>1.5</v>
      </c>
      <c r="P9" s="7">
        <v>1.5</v>
      </c>
      <c r="Q9" s="7">
        <v>1.5</v>
      </c>
      <c r="R9" s="7">
        <v>1.5</v>
      </c>
      <c r="S9" s="7">
        <v>1.5</v>
      </c>
      <c r="T9" s="7">
        <v>1.5</v>
      </c>
      <c r="U9" s="7">
        <v>1.5</v>
      </c>
      <c r="V9" s="7">
        <v>1.5</v>
      </c>
      <c r="W9" s="7">
        <v>1</v>
      </c>
      <c r="X9" s="7">
        <v>0</v>
      </c>
      <c r="Y9" s="7">
        <v>2</v>
      </c>
      <c r="Z9" s="7">
        <v>1.5</v>
      </c>
      <c r="AA9" s="7">
        <v>1.5</v>
      </c>
      <c r="AB9" s="7">
        <v>1.5</v>
      </c>
      <c r="AC9" s="7">
        <v>1.5</v>
      </c>
      <c r="AD9" s="7">
        <v>1.5</v>
      </c>
      <c r="AE9" s="7">
        <v>2</v>
      </c>
      <c r="AF9" s="7">
        <v>2.5</v>
      </c>
      <c r="AG9" s="7"/>
      <c r="AH9" s="7">
        <f t="shared" si="0"/>
        <v>54.5</v>
      </c>
      <c r="AJ9" s="15">
        <f>$AH$9*$E$1</f>
        <v>2465.9016393442621</v>
      </c>
      <c r="AK9" s="16">
        <f>AH19</f>
        <v>2675</v>
      </c>
      <c r="AL9" s="15">
        <f>AK9-AJ9</f>
        <v>209.09836065573791</v>
      </c>
      <c r="AM9" s="16">
        <f>N28</f>
        <v>4123.6666666666661</v>
      </c>
      <c r="AN9" s="15">
        <f t="shared" si="3"/>
        <v>3914.5683060109282</v>
      </c>
      <c r="AO9" s="15">
        <f>'Meal Dec''20 &amp; Rent January''21'!AS9</f>
        <v>0.33333333333348492</v>
      </c>
      <c r="AP9" s="15">
        <f t="shared" si="4"/>
        <v>4030.9016393442612</v>
      </c>
      <c r="AQ9" s="6">
        <v>4000</v>
      </c>
      <c r="AR9" s="17">
        <v>44245</v>
      </c>
      <c r="AS9" s="15">
        <f>AQ9-AP9-1000</f>
        <v>-1030.9016393442612</v>
      </c>
      <c r="AU9" s="25"/>
    </row>
    <row r="10" spans="1:47" x14ac:dyDescent="0.4">
      <c r="A10" s="2">
        <v>6</v>
      </c>
      <c r="B10" s="3" t="s">
        <v>7</v>
      </c>
      <c r="C10" s="7">
        <v>7.5</v>
      </c>
      <c r="D10" s="7">
        <v>5</v>
      </c>
      <c r="E10" s="7">
        <v>4</v>
      </c>
      <c r="F10" s="7">
        <v>4</v>
      </c>
      <c r="G10" s="7">
        <v>4</v>
      </c>
      <c r="H10" s="7">
        <v>4</v>
      </c>
      <c r="I10" s="7">
        <v>3</v>
      </c>
      <c r="J10" s="7">
        <v>3.5</v>
      </c>
      <c r="K10" s="7">
        <v>2</v>
      </c>
      <c r="L10" s="7">
        <v>3.5</v>
      </c>
      <c r="M10" s="7">
        <v>4</v>
      </c>
      <c r="N10" s="7">
        <v>4</v>
      </c>
      <c r="O10" s="7">
        <v>4</v>
      </c>
      <c r="P10" s="7">
        <v>4</v>
      </c>
      <c r="Q10" s="7">
        <v>5</v>
      </c>
      <c r="R10" s="7">
        <v>5</v>
      </c>
      <c r="S10" s="7">
        <v>4</v>
      </c>
      <c r="T10" s="7">
        <v>4</v>
      </c>
      <c r="U10" s="7">
        <v>4</v>
      </c>
      <c r="V10" s="7">
        <v>4</v>
      </c>
      <c r="W10" s="7">
        <v>3</v>
      </c>
      <c r="X10" s="7">
        <v>4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5</v>
      </c>
      <c r="AE10" s="7">
        <v>5.5</v>
      </c>
      <c r="AF10" s="7">
        <v>5</v>
      </c>
      <c r="AG10" s="7"/>
      <c r="AH10" s="7">
        <f t="shared" si="0"/>
        <v>125</v>
      </c>
      <c r="AJ10" s="15">
        <f t="shared" si="1"/>
        <v>5655.7377049180323</v>
      </c>
      <c r="AK10" s="16">
        <f t="shared" ref="AK10:AK11" si="7">AH20</f>
        <v>2780</v>
      </c>
      <c r="AL10" s="15">
        <f t="shared" si="6"/>
        <v>-2875.7377049180323</v>
      </c>
      <c r="AM10" s="16">
        <f>N29</f>
        <v>4773.6666666666679</v>
      </c>
      <c r="AN10" s="15">
        <f t="shared" si="3"/>
        <v>7649.4043715847001</v>
      </c>
      <c r="AO10" s="15">
        <f>'Meal Dec''20 &amp; Rent January''21'!AS10</f>
        <v>-6464.4930636658009</v>
      </c>
      <c r="AP10" s="15">
        <f t="shared" si="4"/>
        <v>14230.564101917167</v>
      </c>
      <c r="AQ10" s="6">
        <v>10000</v>
      </c>
      <c r="AR10" s="17">
        <v>44255</v>
      </c>
      <c r="AS10" s="15">
        <f t="shared" si="5"/>
        <v>-4230.5641019171671</v>
      </c>
    </row>
    <row r="11" spans="1:47" x14ac:dyDescent="0.4">
      <c r="A11" s="2">
        <v>7</v>
      </c>
      <c r="B11" s="3" t="s">
        <v>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1.5</v>
      </c>
      <c r="I11" s="7">
        <v>1.5</v>
      </c>
      <c r="J11" s="7">
        <v>3</v>
      </c>
      <c r="K11" s="7">
        <v>3</v>
      </c>
      <c r="L11" s="7">
        <v>2.5</v>
      </c>
      <c r="M11" s="7">
        <v>2.5</v>
      </c>
      <c r="N11" s="7">
        <v>1.5</v>
      </c>
      <c r="O11" s="7">
        <v>2.5</v>
      </c>
      <c r="P11" s="7">
        <v>2.5</v>
      </c>
      <c r="Q11" s="7">
        <v>2.5</v>
      </c>
      <c r="R11" s="7">
        <v>2</v>
      </c>
      <c r="S11" s="7">
        <v>2.5</v>
      </c>
      <c r="T11" s="7">
        <v>2.5</v>
      </c>
      <c r="U11" s="7">
        <v>2.5</v>
      </c>
      <c r="V11" s="7">
        <v>1.5</v>
      </c>
      <c r="W11" s="7">
        <v>1</v>
      </c>
      <c r="X11" s="7">
        <v>5</v>
      </c>
      <c r="Y11" s="7">
        <v>3</v>
      </c>
      <c r="Z11" s="7">
        <v>3</v>
      </c>
      <c r="AA11" s="7">
        <v>2.5</v>
      </c>
      <c r="AB11" s="7">
        <v>2.5</v>
      </c>
      <c r="AC11" s="7">
        <v>2</v>
      </c>
      <c r="AD11" s="7">
        <v>2.5</v>
      </c>
      <c r="AE11" s="7">
        <v>2</v>
      </c>
      <c r="AF11" s="7">
        <v>2.5</v>
      </c>
      <c r="AG11" s="7"/>
      <c r="AH11" s="7">
        <f t="shared" si="0"/>
        <v>60</v>
      </c>
      <c r="AJ11" s="15">
        <f t="shared" si="1"/>
        <v>2714.7540983606555</v>
      </c>
      <c r="AK11" s="16">
        <f t="shared" si="7"/>
        <v>2670</v>
      </c>
      <c r="AL11" s="15">
        <f t="shared" si="6"/>
        <v>-44.754098360655462</v>
      </c>
      <c r="AM11" s="16">
        <f>N30</f>
        <v>4373.666666666667</v>
      </c>
      <c r="AN11" s="15">
        <f t="shared" si="3"/>
        <v>4418.420765027322</v>
      </c>
      <c r="AO11" s="15">
        <f>'Meal Dec''20 &amp; Rent January''21'!AS11</f>
        <v>-4394.4438144278256</v>
      </c>
      <c r="AP11" s="15">
        <f t="shared" si="4"/>
        <v>8929.5312461218145</v>
      </c>
      <c r="AQ11" s="6">
        <f>700+9030</f>
        <v>9730</v>
      </c>
      <c r="AR11" s="17">
        <v>44255</v>
      </c>
      <c r="AS11" s="15">
        <f>AQ11-AP11-800</f>
        <v>0.46875387818545278</v>
      </c>
    </row>
    <row r="12" spans="1:47" x14ac:dyDescent="0.4">
      <c r="A12" s="1"/>
      <c r="B12" s="1"/>
      <c r="C12" s="7">
        <f>SUM(C5:C11)</f>
        <v>16.5</v>
      </c>
      <c r="D12" s="7">
        <f t="shared" ref="D12:AF12" si="8">SUM(D5:D11)</f>
        <v>13</v>
      </c>
      <c r="E12" s="7">
        <f t="shared" si="8"/>
        <v>12</v>
      </c>
      <c r="F12" s="7">
        <f t="shared" si="8"/>
        <v>12</v>
      </c>
      <c r="G12" s="7">
        <f t="shared" si="8"/>
        <v>11</v>
      </c>
      <c r="H12" s="7">
        <f t="shared" si="8"/>
        <v>13</v>
      </c>
      <c r="I12" s="7">
        <f t="shared" si="8"/>
        <v>10.5</v>
      </c>
      <c r="J12" s="7">
        <f t="shared" si="8"/>
        <v>13</v>
      </c>
      <c r="K12" s="7">
        <f t="shared" si="8"/>
        <v>9</v>
      </c>
      <c r="L12" s="7">
        <f t="shared" si="8"/>
        <v>13.5</v>
      </c>
      <c r="M12" s="7">
        <f t="shared" si="8"/>
        <v>12</v>
      </c>
      <c r="N12" s="7">
        <f t="shared" si="8"/>
        <v>12.5</v>
      </c>
      <c r="O12" s="7">
        <f t="shared" si="8"/>
        <v>13</v>
      </c>
      <c r="P12" s="7">
        <f t="shared" si="8"/>
        <v>12</v>
      </c>
      <c r="Q12" s="7">
        <f t="shared" si="8"/>
        <v>13</v>
      </c>
      <c r="R12" s="7">
        <f t="shared" si="8"/>
        <v>12.5</v>
      </c>
      <c r="S12" s="7">
        <f t="shared" si="8"/>
        <v>13.5</v>
      </c>
      <c r="T12" s="7">
        <f t="shared" si="8"/>
        <v>11</v>
      </c>
      <c r="U12" s="7">
        <f t="shared" si="8"/>
        <v>14</v>
      </c>
      <c r="V12" s="7">
        <f t="shared" si="8"/>
        <v>12.5</v>
      </c>
      <c r="W12" s="7">
        <f t="shared" si="8"/>
        <v>8</v>
      </c>
      <c r="X12" s="7">
        <f t="shared" si="8"/>
        <v>12</v>
      </c>
      <c r="Y12" s="7">
        <f t="shared" si="8"/>
        <v>12</v>
      </c>
      <c r="Z12" s="7">
        <f t="shared" si="8"/>
        <v>11</v>
      </c>
      <c r="AA12" s="7">
        <f t="shared" si="8"/>
        <v>10.5</v>
      </c>
      <c r="AB12" s="7">
        <f t="shared" si="8"/>
        <v>10.5</v>
      </c>
      <c r="AC12" s="7">
        <f t="shared" si="8"/>
        <v>10.5</v>
      </c>
      <c r="AD12" s="7">
        <f t="shared" si="8"/>
        <v>13</v>
      </c>
      <c r="AE12" s="7">
        <f t="shared" si="8"/>
        <v>16</v>
      </c>
      <c r="AF12" s="7">
        <f t="shared" si="8"/>
        <v>13</v>
      </c>
      <c r="AG12" s="7"/>
      <c r="AH12" s="7">
        <f>SUM(AH5:AH11)</f>
        <v>366</v>
      </c>
      <c r="AJ12" s="15">
        <f t="shared" ref="AJ12:AO12" si="9">SUM(AJ5:AJ11)</f>
        <v>16560</v>
      </c>
      <c r="AK12" s="16">
        <f t="shared" si="9"/>
        <v>16560</v>
      </c>
      <c r="AL12" s="16">
        <f t="shared" si="9"/>
        <v>9.0949470177292824E-13</v>
      </c>
      <c r="AM12" s="16">
        <f t="shared" si="9"/>
        <v>26142</v>
      </c>
      <c r="AN12" s="16">
        <f t="shared" si="9"/>
        <v>26142</v>
      </c>
      <c r="AO12" s="16">
        <f t="shared" si="9"/>
        <v>-16014.8122826607</v>
      </c>
      <c r="AP12" s="15">
        <f>AN12-AO12+$AU$4</f>
        <v>42273.478949327364</v>
      </c>
      <c r="AQ12" s="16"/>
      <c r="AR12" s="16"/>
      <c r="AS12" s="16">
        <f>SUM(AS5:AS11)</f>
        <v>-7426.8122826606996</v>
      </c>
    </row>
    <row r="13" spans="1:47" s="29" customFormat="1" x14ac:dyDescent="0.4">
      <c r="B13" s="30" t="s">
        <v>53</v>
      </c>
      <c r="C13" s="31">
        <v>2.5</v>
      </c>
      <c r="D13" s="31">
        <v>2.5</v>
      </c>
      <c r="E13" s="31">
        <v>2.5</v>
      </c>
      <c r="F13" s="31">
        <v>2.5</v>
      </c>
      <c r="G13" s="31">
        <v>2.5</v>
      </c>
      <c r="H13" s="31">
        <v>2.5</v>
      </c>
      <c r="I13" s="31">
        <v>2</v>
      </c>
      <c r="J13" s="31">
        <v>2.5</v>
      </c>
      <c r="K13" s="31">
        <v>2</v>
      </c>
      <c r="L13" s="31">
        <v>2.5</v>
      </c>
      <c r="M13" s="31">
        <v>2.5</v>
      </c>
      <c r="N13" s="31">
        <v>2.5</v>
      </c>
      <c r="O13" s="31">
        <v>2.5</v>
      </c>
      <c r="P13" s="31">
        <v>2.5</v>
      </c>
      <c r="Q13" s="31">
        <v>2.5</v>
      </c>
      <c r="R13" s="31">
        <v>2.5</v>
      </c>
      <c r="S13" s="31">
        <v>2.5</v>
      </c>
      <c r="T13" s="31">
        <v>2.5</v>
      </c>
      <c r="U13" s="31">
        <v>2.5</v>
      </c>
      <c r="V13" s="31">
        <v>2.5</v>
      </c>
      <c r="W13" s="31">
        <v>2</v>
      </c>
      <c r="X13" s="31">
        <v>2.5</v>
      </c>
      <c r="Y13" s="31">
        <v>2.5</v>
      </c>
      <c r="Z13" s="31">
        <v>2.5</v>
      </c>
      <c r="AA13" s="31">
        <v>2.5</v>
      </c>
      <c r="AB13" s="31">
        <v>2.5</v>
      </c>
      <c r="AC13" s="31">
        <v>2.5</v>
      </c>
      <c r="AD13" s="31">
        <v>2.5</v>
      </c>
      <c r="AE13" s="31">
        <v>2.5</v>
      </c>
      <c r="AF13" s="31">
        <v>2.5</v>
      </c>
      <c r="AG13" s="31"/>
      <c r="AH13" s="32">
        <f t="shared" si="0"/>
        <v>73.5</v>
      </c>
      <c r="AJ13" s="33">
        <f>E1*AH13</f>
        <v>3325.5737704918033</v>
      </c>
      <c r="AL13" s="34">
        <f t="shared" si="6"/>
        <v>-3325.5737704918033</v>
      </c>
      <c r="AN13" s="34">
        <f t="shared" si="3"/>
        <v>3325.5737704918033</v>
      </c>
      <c r="AO13" s="33">
        <f>'Meal Dec''20 &amp; Rent January''21'!AJ13</f>
        <v>-1057.1098265895955</v>
      </c>
      <c r="AP13" s="34">
        <f t="shared" ref="AP13" si="10">AN13-AO13</f>
        <v>4382.6835970813991</v>
      </c>
      <c r="AQ13" s="35">
        <f>W20+P20</f>
        <v>2150</v>
      </c>
      <c r="AS13" s="34">
        <f>AQ13-AP13-400</f>
        <v>-2632.6835970813991</v>
      </c>
    </row>
    <row r="14" spans="1:47" x14ac:dyDescent="0.4">
      <c r="B14" s="10" t="s">
        <v>10</v>
      </c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110</v>
      </c>
      <c r="AA15" s="8">
        <v>2555</v>
      </c>
      <c r="AB15" s="8">
        <v>0</v>
      </c>
      <c r="AC15" s="8">
        <v>0</v>
      </c>
      <c r="AD15" s="8">
        <v>0</v>
      </c>
      <c r="AE15" s="8">
        <v>350</v>
      </c>
      <c r="AF15" s="8">
        <v>0</v>
      </c>
      <c r="AG15" s="8">
        <v>0</v>
      </c>
      <c r="AH15" s="8">
        <f>SUM(C15:AG15)</f>
        <v>3015</v>
      </c>
      <c r="AP15" s="25"/>
      <c r="AR15" s="1" t="s">
        <v>54</v>
      </c>
      <c r="AS15" s="8">
        <f>20330+21522</f>
        <v>41852</v>
      </c>
    </row>
    <row r="16" spans="1:47" x14ac:dyDescent="0.4">
      <c r="A16" s="2">
        <v>2</v>
      </c>
      <c r="B16" s="3" t="s">
        <v>5</v>
      </c>
      <c r="C16" s="8">
        <v>2905</v>
      </c>
      <c r="D16" s="8">
        <v>0</v>
      </c>
      <c r="E16" s="8">
        <v>155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80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170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80</v>
      </c>
      <c r="AE16" s="8">
        <v>0</v>
      </c>
      <c r="AF16" s="8">
        <v>0</v>
      </c>
      <c r="AG16" s="8">
        <v>0</v>
      </c>
      <c r="AH16" s="8">
        <f t="shared" ref="AH16:AH21" si="11">SUM(C16:AG16)</f>
        <v>3390</v>
      </c>
      <c r="AR16" s="1" t="s">
        <v>55</v>
      </c>
      <c r="AS16" s="8">
        <f>32500</f>
        <v>32500</v>
      </c>
      <c r="AT16" s="25"/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1970</v>
      </c>
      <c r="P17" s="8">
        <v>0</v>
      </c>
      <c r="Q17" s="8">
        <v>0</v>
      </c>
      <c r="R17" s="8">
        <v>60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1"/>
        <v>2030</v>
      </c>
      <c r="AP17" s="25"/>
      <c r="AR17" s="1" t="s">
        <v>56</v>
      </c>
      <c r="AS17" s="8">
        <f>AS15-AS16</f>
        <v>9352</v>
      </c>
      <c r="AT17" s="25"/>
    </row>
    <row r="18" spans="1:46" x14ac:dyDescent="0.4">
      <c r="A18" s="2">
        <v>4</v>
      </c>
      <c r="B18" s="3" t="s">
        <v>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1"/>
        <v>0</v>
      </c>
    </row>
    <row r="19" spans="1:46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250</v>
      </c>
      <c r="G19" s="8">
        <v>0</v>
      </c>
      <c r="H19" s="8">
        <v>0</v>
      </c>
      <c r="I19" s="8">
        <v>1795</v>
      </c>
      <c r="J19" s="8">
        <f>55+70</f>
        <v>125</v>
      </c>
      <c r="K19" s="8">
        <v>235</v>
      </c>
      <c r="L19" s="8">
        <v>270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1"/>
        <v>2675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1100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1050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630</v>
      </c>
      <c r="AG20" s="8">
        <v>0</v>
      </c>
      <c r="AH20" s="8">
        <f t="shared" si="11"/>
        <v>2780</v>
      </c>
      <c r="AT20" s="25"/>
    </row>
    <row r="21" spans="1:46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100</v>
      </c>
      <c r="N21" s="8">
        <v>0</v>
      </c>
      <c r="O21" s="8">
        <v>0</v>
      </c>
      <c r="P21" s="8">
        <v>0</v>
      </c>
      <c r="Q21" s="8">
        <v>0</v>
      </c>
      <c r="R21" s="8">
        <v>340</v>
      </c>
      <c r="S21" s="8">
        <v>720</v>
      </c>
      <c r="T21" s="8">
        <v>0</v>
      </c>
      <c r="U21" s="8">
        <f>420+90</f>
        <v>510</v>
      </c>
      <c r="V21" s="8">
        <v>725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275</v>
      </c>
      <c r="AH21" s="8">
        <f t="shared" si="11"/>
        <v>2670</v>
      </c>
    </row>
    <row r="22" spans="1:46" x14ac:dyDescent="0.4">
      <c r="AH22" s="9">
        <f>SUM(AH15:AH21)</f>
        <v>16560</v>
      </c>
    </row>
    <row r="23" spans="1:46" x14ac:dyDescent="0.4">
      <c r="A23" s="4"/>
      <c r="B23" s="13" t="s">
        <v>9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3166.6666666666665</v>
      </c>
      <c r="D24" s="8">
        <f>$D$31/6</f>
        <v>433.33333333333331</v>
      </c>
      <c r="E24" s="8">
        <f>$E$31/6</f>
        <v>0</v>
      </c>
      <c r="F24" s="8">
        <f>$F$31/6</f>
        <v>166.66666666666666</v>
      </c>
      <c r="G24" s="8">
        <f>$G$31/6</f>
        <v>162.5</v>
      </c>
      <c r="H24" s="8">
        <f>$H$31/6</f>
        <v>91.166666666666671</v>
      </c>
      <c r="I24" s="8">
        <f>$I$31/6</f>
        <v>291.66666666666669</v>
      </c>
      <c r="J24" s="8">
        <f>$J$31/6</f>
        <v>41.666666666666664</v>
      </c>
      <c r="K24" s="8">
        <f>$K$31/6</f>
        <v>0</v>
      </c>
      <c r="L24" s="8">
        <f>$L$31/6</f>
        <v>20</v>
      </c>
      <c r="M24" s="8">
        <f>$M$31/6</f>
        <v>0</v>
      </c>
      <c r="N24" s="8">
        <f>SUM(C24:M24)</f>
        <v>4373.666666666667</v>
      </c>
    </row>
    <row r="25" spans="1:46" x14ac:dyDescent="0.4">
      <c r="A25" s="2">
        <v>2</v>
      </c>
      <c r="B25" s="12" t="s">
        <v>5</v>
      </c>
      <c r="C25" s="8">
        <f>H35</f>
        <v>3166.6666666666665</v>
      </c>
      <c r="D25" s="8">
        <f t="shared" ref="D25:D30" si="12">$D$31/6</f>
        <v>433.33333333333331</v>
      </c>
      <c r="E25" s="8">
        <f t="shared" ref="E25:E30" si="13">$E$31/6</f>
        <v>0</v>
      </c>
      <c r="F25" s="8">
        <f t="shared" ref="F25:F30" si="14">$F$31/6</f>
        <v>166.66666666666666</v>
      </c>
      <c r="G25" s="8">
        <f t="shared" ref="G25:G30" si="15">$G$31/6</f>
        <v>162.5</v>
      </c>
      <c r="H25" s="8">
        <f t="shared" ref="H25:H30" si="16">$H$31/6</f>
        <v>91.166666666666671</v>
      </c>
      <c r="I25" s="8">
        <f t="shared" ref="I25:I30" si="17">$I$31/6</f>
        <v>291.66666666666669</v>
      </c>
      <c r="J25" s="8">
        <f t="shared" ref="J25:J30" si="18">$J$31/6</f>
        <v>41.666666666666664</v>
      </c>
      <c r="K25" s="8">
        <f t="shared" ref="K25:K30" si="19">$K$31/6</f>
        <v>0</v>
      </c>
      <c r="L25" s="8">
        <f t="shared" ref="L25:L30" si="20">$L$31/6</f>
        <v>20</v>
      </c>
      <c r="M25" s="8">
        <f t="shared" ref="M25:M30" si="21">$M$31/6</f>
        <v>0</v>
      </c>
      <c r="N25" s="8">
        <f t="shared" ref="N25:N30" si="22">SUM(C25:M25)</f>
        <v>4373.666666666667</v>
      </c>
    </row>
    <row r="26" spans="1:46" x14ac:dyDescent="0.4">
      <c r="A26" s="2">
        <v>3</v>
      </c>
      <c r="B26" s="12" t="s">
        <v>6</v>
      </c>
      <c r="C26" s="8">
        <f>H36</f>
        <v>2916.6666666666665</v>
      </c>
      <c r="D26" s="8">
        <f t="shared" si="12"/>
        <v>433.33333333333331</v>
      </c>
      <c r="E26" s="8">
        <f t="shared" si="13"/>
        <v>0</v>
      </c>
      <c r="F26" s="8">
        <f t="shared" si="14"/>
        <v>166.66666666666666</v>
      </c>
      <c r="G26" s="8">
        <f t="shared" si="15"/>
        <v>162.5</v>
      </c>
      <c r="H26" s="8">
        <f t="shared" si="16"/>
        <v>91.166666666666671</v>
      </c>
      <c r="I26" s="8">
        <f t="shared" si="17"/>
        <v>291.66666666666669</v>
      </c>
      <c r="J26" s="8">
        <f t="shared" si="18"/>
        <v>41.666666666666664</v>
      </c>
      <c r="K26" s="8">
        <f t="shared" si="19"/>
        <v>0</v>
      </c>
      <c r="L26" s="8">
        <f t="shared" si="20"/>
        <v>20</v>
      </c>
      <c r="M26" s="8">
        <f t="shared" si="21"/>
        <v>0</v>
      </c>
      <c r="N26" s="8">
        <f t="shared" si="22"/>
        <v>4123.6666666666661</v>
      </c>
    </row>
    <row r="27" spans="1:46" x14ac:dyDescent="0.4">
      <c r="A27" s="2">
        <v>4</v>
      </c>
      <c r="B27" s="12" t="s">
        <v>3</v>
      </c>
      <c r="C27" s="8">
        <v>0</v>
      </c>
      <c r="D27" s="8"/>
      <c r="E27" s="8">
        <f t="shared" si="13"/>
        <v>0</v>
      </c>
      <c r="F27" s="8"/>
      <c r="G27" s="8"/>
      <c r="H27" s="8"/>
      <c r="I27" s="8"/>
      <c r="J27" s="8"/>
      <c r="K27" s="8"/>
      <c r="L27" s="8"/>
      <c r="M27" s="8"/>
      <c r="N27" s="8">
        <f t="shared" si="22"/>
        <v>0</v>
      </c>
    </row>
    <row r="28" spans="1:46" x14ac:dyDescent="0.4">
      <c r="A28" s="2">
        <v>5</v>
      </c>
      <c r="B28" s="12" t="s">
        <v>51</v>
      </c>
      <c r="C28" s="8">
        <f>H36</f>
        <v>2916.6666666666665</v>
      </c>
      <c r="D28" s="8">
        <f t="shared" si="12"/>
        <v>433.33333333333331</v>
      </c>
      <c r="E28" s="8">
        <f t="shared" si="13"/>
        <v>0</v>
      </c>
      <c r="F28" s="8">
        <f t="shared" si="14"/>
        <v>166.66666666666666</v>
      </c>
      <c r="G28" s="8">
        <f t="shared" si="15"/>
        <v>162.5</v>
      </c>
      <c r="H28" s="8">
        <f t="shared" si="16"/>
        <v>91.166666666666671</v>
      </c>
      <c r="I28" s="8">
        <f t="shared" si="17"/>
        <v>291.66666666666669</v>
      </c>
      <c r="J28" s="8">
        <f t="shared" si="18"/>
        <v>41.666666666666664</v>
      </c>
      <c r="K28" s="8">
        <f t="shared" si="19"/>
        <v>0</v>
      </c>
      <c r="L28" s="8">
        <f t="shared" si="20"/>
        <v>20</v>
      </c>
      <c r="M28" s="8">
        <f t="shared" si="21"/>
        <v>0</v>
      </c>
      <c r="N28" s="8">
        <f t="shared" si="22"/>
        <v>4123.6666666666661</v>
      </c>
    </row>
    <row r="29" spans="1:46" x14ac:dyDescent="0.4">
      <c r="A29" s="2">
        <v>6</v>
      </c>
      <c r="B29" s="12" t="s">
        <v>7</v>
      </c>
      <c r="C29" s="8">
        <f>H35</f>
        <v>3166.6666666666665</v>
      </c>
      <c r="D29" s="8">
        <f>($D$31/6)+400</f>
        <v>833.33333333333326</v>
      </c>
      <c r="E29" s="8">
        <f t="shared" si="13"/>
        <v>0</v>
      </c>
      <c r="F29" s="8">
        <f t="shared" si="14"/>
        <v>166.66666666666666</v>
      </c>
      <c r="G29" s="8">
        <f t="shared" si="15"/>
        <v>162.5</v>
      </c>
      <c r="H29" s="8">
        <f t="shared" si="16"/>
        <v>91.166666666666671</v>
      </c>
      <c r="I29" s="8">
        <f t="shared" si="17"/>
        <v>291.66666666666669</v>
      </c>
      <c r="J29" s="8">
        <f t="shared" si="18"/>
        <v>41.666666666666664</v>
      </c>
      <c r="K29" s="8">
        <f t="shared" si="19"/>
        <v>0</v>
      </c>
      <c r="L29" s="8">
        <f t="shared" si="20"/>
        <v>20</v>
      </c>
      <c r="M29" s="8">
        <f t="shared" si="21"/>
        <v>0</v>
      </c>
      <c r="N29" s="8">
        <f t="shared" si="22"/>
        <v>4773.6666666666679</v>
      </c>
    </row>
    <row r="30" spans="1:46" x14ac:dyDescent="0.4">
      <c r="A30" s="2">
        <v>7</v>
      </c>
      <c r="B30" s="12" t="s">
        <v>8</v>
      </c>
      <c r="C30" s="8">
        <f>H35</f>
        <v>3166.6666666666665</v>
      </c>
      <c r="D30" s="8">
        <f t="shared" si="12"/>
        <v>433.33333333333331</v>
      </c>
      <c r="E30" s="8">
        <f t="shared" si="13"/>
        <v>0</v>
      </c>
      <c r="F30" s="8">
        <f t="shared" si="14"/>
        <v>166.66666666666666</v>
      </c>
      <c r="G30" s="8">
        <f t="shared" si="15"/>
        <v>162.5</v>
      </c>
      <c r="H30" s="8">
        <f t="shared" si="16"/>
        <v>91.166666666666671</v>
      </c>
      <c r="I30" s="8">
        <f t="shared" si="17"/>
        <v>291.66666666666669</v>
      </c>
      <c r="J30" s="8">
        <f t="shared" si="18"/>
        <v>41.666666666666664</v>
      </c>
      <c r="K30" s="8">
        <f t="shared" si="19"/>
        <v>0</v>
      </c>
      <c r="L30" s="8">
        <f t="shared" si="20"/>
        <v>20</v>
      </c>
      <c r="M30" s="8">
        <f t="shared" si="21"/>
        <v>0</v>
      </c>
      <c r="N30" s="8">
        <f t="shared" si="22"/>
        <v>4373.666666666667</v>
      </c>
    </row>
    <row r="31" spans="1:46" x14ac:dyDescent="0.4">
      <c r="C31" s="8">
        <f>SUM(C24:C30)</f>
        <v>18500</v>
      </c>
      <c r="D31" s="26">
        <f>2600</f>
        <v>2600</v>
      </c>
      <c r="E31" s="8">
        <f>0</f>
        <v>0</v>
      </c>
      <c r="F31" s="8">
        <f>1000</f>
        <v>1000</v>
      </c>
      <c r="G31" s="8">
        <f>975</f>
        <v>975</v>
      </c>
      <c r="H31" s="14">
        <v>547</v>
      </c>
      <c r="I31" s="14">
        <v>1750</v>
      </c>
      <c r="J31" s="8">
        <f>250</f>
        <v>250</v>
      </c>
      <c r="K31" s="8">
        <f>0</f>
        <v>0</v>
      </c>
      <c r="L31" s="8">
        <f>120</f>
        <v>120</v>
      </c>
      <c r="M31" s="8">
        <f>0</f>
        <v>0</v>
      </c>
      <c r="N31" s="8">
        <f>SUM(N24:N30)</f>
        <v>26142</v>
      </c>
    </row>
    <row r="34" spans="4:9" x14ac:dyDescent="0.4">
      <c r="D34" s="1">
        <v>6000</v>
      </c>
      <c r="E34" s="1">
        <v>2</v>
      </c>
      <c r="F34" s="1">
        <f>D34/E34</f>
        <v>3000</v>
      </c>
      <c r="G34" s="1">
        <f>(500+500)/6</f>
        <v>166.66666666666666</v>
      </c>
      <c r="H34" s="11">
        <f>F34+G34</f>
        <v>3166.6666666666665</v>
      </c>
      <c r="I34" s="11">
        <f>H34*E34</f>
        <v>6333.333333333333</v>
      </c>
    </row>
    <row r="35" spans="4:9" x14ac:dyDescent="0.4">
      <c r="D35" s="1">
        <v>6000</v>
      </c>
      <c r="E35" s="1">
        <v>2</v>
      </c>
      <c r="F35" s="1">
        <f t="shared" ref="F35:F36" si="23">D35/E35</f>
        <v>3000</v>
      </c>
      <c r="G35" s="1">
        <f t="shared" ref="G35:G36" si="24">(500+500)/6</f>
        <v>166.66666666666666</v>
      </c>
      <c r="H35" s="11">
        <f t="shared" ref="H35:H36" si="25">F35+G35</f>
        <v>3166.6666666666665</v>
      </c>
      <c r="I35" s="11">
        <f t="shared" ref="I35:I36" si="26">H35*E35</f>
        <v>6333.333333333333</v>
      </c>
    </row>
    <row r="36" spans="4:9" x14ac:dyDescent="0.4">
      <c r="D36" s="1">
        <v>5500</v>
      </c>
      <c r="E36" s="1">
        <v>2</v>
      </c>
      <c r="F36" s="1">
        <f t="shared" si="23"/>
        <v>2750</v>
      </c>
      <c r="G36" s="1">
        <f t="shared" si="24"/>
        <v>166.66666666666666</v>
      </c>
      <c r="H36" s="11">
        <f t="shared" si="25"/>
        <v>2916.6666666666665</v>
      </c>
      <c r="I36" s="11">
        <f t="shared" si="26"/>
        <v>5833.333333333333</v>
      </c>
    </row>
    <row r="37" spans="4:9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7573-873B-4080-A2D1-049FE638DF59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S11" sqref="AS11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bestFit="1" customWidth="1"/>
    <col min="4" max="4" width="9.59765625" bestFit="1" customWidth="1"/>
    <col min="5" max="5" width="9" bestFit="1" customWidth="1"/>
    <col min="6" max="6" width="11.59765625" bestFit="1" customWidth="1"/>
    <col min="7" max="7" width="9" bestFit="1" customWidth="1"/>
    <col min="8" max="8" width="13.19921875" bestFit="1" customWidth="1"/>
    <col min="9" max="9" width="9.796875" bestFit="1" customWidth="1"/>
    <col min="10" max="10" width="9" bestFit="1" customWidth="1"/>
    <col min="11" max="11" width="14.59765625" bestFit="1" customWidth="1"/>
    <col min="12" max="14" width="10" bestFit="1" customWidth="1"/>
    <col min="15" max="32" width="9.796875" bestFit="1" customWidth="1"/>
    <col min="33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58</v>
      </c>
      <c r="D1" s="204"/>
      <c r="E1" s="203">
        <f>AH22/AH12</f>
        <v>42.700156985871274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44228</v>
      </c>
      <c r="D4" s="5">
        <v>44229</v>
      </c>
      <c r="E4" s="5">
        <v>44230</v>
      </c>
      <c r="F4" s="5">
        <v>44231</v>
      </c>
      <c r="G4" s="5">
        <v>44232</v>
      </c>
      <c r="H4" s="5">
        <v>44233</v>
      </c>
      <c r="I4" s="5">
        <v>44234</v>
      </c>
      <c r="J4" s="5">
        <v>44235</v>
      </c>
      <c r="K4" s="5">
        <v>44236</v>
      </c>
      <c r="L4" s="5">
        <v>44237</v>
      </c>
      <c r="M4" s="5">
        <v>44238</v>
      </c>
      <c r="N4" s="5">
        <v>44239</v>
      </c>
      <c r="O4" s="5">
        <v>44240</v>
      </c>
      <c r="P4" s="5">
        <v>44241</v>
      </c>
      <c r="Q4" s="5">
        <v>44242</v>
      </c>
      <c r="R4" s="5">
        <v>44243</v>
      </c>
      <c r="S4" s="5">
        <v>44244</v>
      </c>
      <c r="T4" s="5">
        <v>44245</v>
      </c>
      <c r="U4" s="5">
        <v>44246</v>
      </c>
      <c r="V4" s="5">
        <v>44247</v>
      </c>
      <c r="W4" s="5">
        <v>44248</v>
      </c>
      <c r="X4" s="5">
        <v>44249</v>
      </c>
      <c r="Y4" s="5">
        <v>44250</v>
      </c>
      <c r="Z4" s="5">
        <v>44251</v>
      </c>
      <c r="AA4" s="5">
        <v>44252</v>
      </c>
      <c r="AB4" s="5">
        <v>44253</v>
      </c>
      <c r="AC4" s="5">
        <v>44254</v>
      </c>
      <c r="AD4" s="5">
        <v>44255</v>
      </c>
      <c r="AE4" s="5"/>
      <c r="AF4" s="5"/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68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4">
      <c r="A5" s="2">
        <v>1</v>
      </c>
      <c r="B5" s="3" t="s">
        <v>4</v>
      </c>
      <c r="C5" s="7">
        <v>1.5</v>
      </c>
      <c r="D5" s="7">
        <v>1.5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1.5</v>
      </c>
      <c r="P5" s="7">
        <v>1.5</v>
      </c>
      <c r="Q5" s="7">
        <v>1.5</v>
      </c>
      <c r="R5" s="7">
        <v>1</v>
      </c>
      <c r="S5" s="7">
        <v>1</v>
      </c>
      <c r="T5" s="7">
        <v>1.5</v>
      </c>
      <c r="U5" s="7">
        <v>2.5</v>
      </c>
      <c r="V5" s="7">
        <v>1.5</v>
      </c>
      <c r="W5" s="7">
        <v>1.5</v>
      </c>
      <c r="X5" s="7">
        <v>1</v>
      </c>
      <c r="Y5" s="7">
        <v>1</v>
      </c>
      <c r="Z5" s="7">
        <v>1</v>
      </c>
      <c r="AA5" s="7">
        <v>1.5</v>
      </c>
      <c r="AB5" s="7">
        <v>2</v>
      </c>
      <c r="AC5" s="7">
        <v>1.5</v>
      </c>
      <c r="AD5" s="7">
        <v>1</v>
      </c>
      <c r="AE5" s="7">
        <v>0</v>
      </c>
      <c r="AF5" s="7">
        <v>0</v>
      </c>
      <c r="AG5" s="7">
        <v>0</v>
      </c>
      <c r="AH5" s="7">
        <f t="shared" ref="AH5:AH11" si="0">SUM(C5:AG5)</f>
        <v>25.5</v>
      </c>
      <c r="AJ5" s="15">
        <f>AH5*$E$1</f>
        <v>1088.8540031397174</v>
      </c>
      <c r="AK5" s="16">
        <f>AH15</f>
        <v>3180</v>
      </c>
      <c r="AL5" s="15">
        <f>AK5-AJ5</f>
        <v>2091.1459968602826</v>
      </c>
      <c r="AM5" s="16">
        <f>N24</f>
        <v>4276.4285714285706</v>
      </c>
      <c r="AN5" s="15">
        <f>AM5-AL5</f>
        <v>2185.2825745682881</v>
      </c>
      <c r="AO5" s="15">
        <f>'Meal Jan''21 &amp; Rent February'!AS5</f>
        <v>1862.0401922969775</v>
      </c>
      <c r="AP5" s="15">
        <f>AN5-AO5</f>
        <v>323.24238227131059</v>
      </c>
      <c r="AQ5" s="6">
        <f>3500</f>
        <v>3500</v>
      </c>
      <c r="AR5" s="17">
        <v>44265</v>
      </c>
      <c r="AS5" s="15">
        <f>AQ5-AP5</f>
        <v>3176.7576177286892</v>
      </c>
    </row>
    <row r="6" spans="1:47" x14ac:dyDescent="0.4">
      <c r="A6" s="2">
        <v>2</v>
      </c>
      <c r="B6" s="3" t="s">
        <v>5</v>
      </c>
      <c r="C6" s="7">
        <v>1.5</v>
      </c>
      <c r="D6" s="7">
        <v>1.5</v>
      </c>
      <c r="E6" s="7">
        <v>1.5</v>
      </c>
      <c r="F6" s="7">
        <v>1.5</v>
      </c>
      <c r="G6" s="7">
        <v>1</v>
      </c>
      <c r="H6" s="7">
        <v>0</v>
      </c>
      <c r="I6" s="7">
        <v>1</v>
      </c>
      <c r="J6" s="7">
        <v>0</v>
      </c>
      <c r="K6" s="7">
        <v>1.5</v>
      </c>
      <c r="L6" s="7">
        <v>1.5</v>
      </c>
      <c r="M6" s="7">
        <v>1.5</v>
      </c>
      <c r="N6" s="7">
        <v>1.5</v>
      </c>
      <c r="O6" s="7">
        <v>1</v>
      </c>
      <c r="P6" s="7">
        <v>0.5</v>
      </c>
      <c r="Q6" s="7">
        <v>1.5</v>
      </c>
      <c r="R6" s="7">
        <v>1</v>
      </c>
      <c r="S6" s="7">
        <v>1</v>
      </c>
      <c r="T6" s="7">
        <v>1.5</v>
      </c>
      <c r="U6" s="7">
        <v>1.5</v>
      </c>
      <c r="V6" s="7">
        <v>1.5</v>
      </c>
      <c r="W6" s="7">
        <v>1.5</v>
      </c>
      <c r="X6" s="7">
        <v>1</v>
      </c>
      <c r="Y6" s="7">
        <v>0</v>
      </c>
      <c r="Z6" s="7">
        <v>0</v>
      </c>
      <c r="AA6" s="7">
        <v>1.5</v>
      </c>
      <c r="AB6" s="7">
        <v>1.5</v>
      </c>
      <c r="AC6" s="7">
        <v>1.5</v>
      </c>
      <c r="AD6" s="7">
        <v>1.5</v>
      </c>
      <c r="AE6" s="7">
        <v>0</v>
      </c>
      <c r="AF6" s="7">
        <v>0</v>
      </c>
      <c r="AG6" s="7">
        <v>0</v>
      </c>
      <c r="AH6" s="7">
        <f t="shared" si="0"/>
        <v>32</v>
      </c>
      <c r="AJ6" s="15">
        <f t="shared" ref="AJ6:AJ11" si="1">AH6*$E$1</f>
        <v>1366.4050235478808</v>
      </c>
      <c r="AK6" s="16">
        <f>AH16</f>
        <v>2250</v>
      </c>
      <c r="AL6" s="15">
        <f>AK6-AJ6</f>
        <v>883.59497645211923</v>
      </c>
      <c r="AM6" s="16">
        <f t="shared" ref="AM6:AM8" si="2">N25</f>
        <v>4276.4285714285706</v>
      </c>
      <c r="AN6" s="15">
        <f t="shared" ref="AN6:AN11" si="3">AM6-AL6</f>
        <v>3392.8335949764514</v>
      </c>
      <c r="AO6" s="15">
        <f>'Meal Jan''21 &amp; Rent February'!AS6</f>
        <v>159.29441159119096</v>
      </c>
      <c r="AP6" s="15">
        <f t="shared" ref="AP6:AP11" si="4">AN6-AO6</f>
        <v>3233.5391833852605</v>
      </c>
      <c r="AQ6" s="6">
        <v>3233</v>
      </c>
      <c r="AR6" s="17">
        <v>44286</v>
      </c>
      <c r="AS6" s="15">
        <f t="shared" ref="AS6:AS10" si="5">AQ6-AP6</f>
        <v>-0.53918338526045773</v>
      </c>
    </row>
    <row r="7" spans="1:47" x14ac:dyDescent="0.4">
      <c r="A7" s="2">
        <v>3</v>
      </c>
      <c r="B7" s="3" t="s">
        <v>6</v>
      </c>
      <c r="C7" s="7">
        <v>1.5</v>
      </c>
      <c r="D7" s="7">
        <v>1.5</v>
      </c>
      <c r="E7" s="7">
        <v>1.5</v>
      </c>
      <c r="F7" s="7">
        <v>1.5</v>
      </c>
      <c r="G7" s="7">
        <v>2.5</v>
      </c>
      <c r="H7" s="7">
        <v>1.5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2.5</v>
      </c>
      <c r="O7" s="7">
        <v>1.5</v>
      </c>
      <c r="P7" s="7">
        <v>1.5</v>
      </c>
      <c r="Q7" s="7">
        <v>1.5</v>
      </c>
      <c r="R7" s="7">
        <v>1</v>
      </c>
      <c r="S7" s="7">
        <v>1</v>
      </c>
      <c r="T7" s="7">
        <v>1.5</v>
      </c>
      <c r="U7" s="7">
        <v>2.5</v>
      </c>
      <c r="V7" s="7">
        <v>1.5</v>
      </c>
      <c r="W7" s="7">
        <v>2.5</v>
      </c>
      <c r="X7" s="7">
        <v>1.5</v>
      </c>
      <c r="Y7" s="7">
        <v>1.5</v>
      </c>
      <c r="Z7" s="7">
        <v>1.5</v>
      </c>
      <c r="AA7" s="7">
        <v>1.5</v>
      </c>
      <c r="AB7" s="7">
        <v>2.5</v>
      </c>
      <c r="AC7" s="7">
        <v>1.5</v>
      </c>
      <c r="AD7" s="7">
        <v>1.5</v>
      </c>
      <c r="AE7" s="7">
        <v>0</v>
      </c>
      <c r="AF7" s="7">
        <v>0</v>
      </c>
      <c r="AG7" s="7">
        <v>0</v>
      </c>
      <c r="AH7" s="7">
        <f t="shared" si="0"/>
        <v>46</v>
      </c>
      <c r="AJ7" s="15">
        <f t="shared" si="1"/>
        <v>1964.2072213500787</v>
      </c>
      <c r="AK7" s="16">
        <f>AH17</f>
        <v>980</v>
      </c>
      <c r="AL7" s="15">
        <f t="shared" ref="AL7:AL11" si="6">AK7-AJ7</f>
        <v>-984.20722135007873</v>
      </c>
      <c r="AM7" s="16">
        <f t="shared" si="2"/>
        <v>3109.7619047619046</v>
      </c>
      <c r="AN7" s="15">
        <f t="shared" si="3"/>
        <v>4093.9691261119833</v>
      </c>
      <c r="AO7" s="15">
        <f>'Meal Jan''21 &amp; Rent February'!AS7</f>
        <v>-4187.1498991656244</v>
      </c>
      <c r="AP7" s="15">
        <f t="shared" si="4"/>
        <v>8281.1190252776069</v>
      </c>
      <c r="AQ7" s="6">
        <v>3000</v>
      </c>
      <c r="AR7" s="17">
        <v>44287</v>
      </c>
      <c r="AS7" s="15">
        <f t="shared" si="5"/>
        <v>-5281.1190252776069</v>
      </c>
    </row>
    <row r="8" spans="1:47" x14ac:dyDescent="0.4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2.5</v>
      </c>
      <c r="H8" s="7">
        <v>2</v>
      </c>
      <c r="I8" s="7">
        <v>1.5</v>
      </c>
      <c r="J8" s="7">
        <v>1.5</v>
      </c>
      <c r="K8" s="7">
        <v>2.5</v>
      </c>
      <c r="L8" s="7">
        <v>2.5</v>
      </c>
      <c r="M8" s="7">
        <v>2.5</v>
      </c>
      <c r="N8" s="7">
        <v>2.5</v>
      </c>
      <c r="O8" s="7">
        <v>2.5</v>
      </c>
      <c r="P8" s="7">
        <v>2.5</v>
      </c>
      <c r="Q8" s="7">
        <v>2.5</v>
      </c>
      <c r="R8" s="7">
        <v>2.5</v>
      </c>
      <c r="S8" s="7">
        <v>2.5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0</v>
      </c>
      <c r="AF8" s="7">
        <v>0</v>
      </c>
      <c r="AG8" s="7">
        <v>0</v>
      </c>
      <c r="AH8" s="7">
        <f t="shared" si="0"/>
        <v>67.5</v>
      </c>
      <c r="AJ8" s="15">
        <f>AH8*$E$1</f>
        <v>2882.2605965463108</v>
      </c>
      <c r="AK8" s="16">
        <f>AH18</f>
        <v>2095</v>
      </c>
      <c r="AL8" s="15">
        <f t="shared" si="6"/>
        <v>-787.26059654631081</v>
      </c>
      <c r="AM8" s="16">
        <f t="shared" si="2"/>
        <v>3109.7619047619046</v>
      </c>
      <c r="AN8" s="15">
        <f t="shared" si="3"/>
        <v>3897.0225013082154</v>
      </c>
      <c r="AO8" s="15">
        <f>'Meal Jan''21 &amp; Rent February'!AS13</f>
        <v>-2632.6835970813991</v>
      </c>
      <c r="AP8" s="15">
        <f t="shared" si="4"/>
        <v>6529.7060983896145</v>
      </c>
      <c r="AQ8" s="6">
        <f>2500</f>
        <v>2500</v>
      </c>
      <c r="AR8" s="17">
        <v>44269</v>
      </c>
      <c r="AS8" s="15">
        <f>AQ8-AP8</f>
        <v>-4029.7060983896145</v>
      </c>
      <c r="AT8" s="25"/>
      <c r="AU8" s="25"/>
    </row>
    <row r="9" spans="1:47" x14ac:dyDescent="0.4">
      <c r="A9" s="2">
        <v>5</v>
      </c>
      <c r="B9" s="12" t="s">
        <v>51</v>
      </c>
      <c r="C9" s="7">
        <v>1.5</v>
      </c>
      <c r="D9" s="7">
        <v>2.5</v>
      </c>
      <c r="E9" s="7">
        <v>1.5</v>
      </c>
      <c r="F9" s="7">
        <v>1</v>
      </c>
      <c r="G9" s="7">
        <v>1.5</v>
      </c>
      <c r="H9" s="7">
        <v>0</v>
      </c>
      <c r="I9" s="7">
        <v>0</v>
      </c>
      <c r="J9" s="7">
        <v>0</v>
      </c>
      <c r="K9" s="7">
        <v>1</v>
      </c>
      <c r="L9" s="7">
        <v>1.5</v>
      </c>
      <c r="M9" s="7">
        <v>1.5</v>
      </c>
      <c r="N9" s="7">
        <v>2.5</v>
      </c>
      <c r="O9" s="7">
        <v>2.5</v>
      </c>
      <c r="P9" s="7">
        <v>2.5</v>
      </c>
      <c r="Q9" s="7">
        <v>2</v>
      </c>
      <c r="R9" s="7">
        <v>1.5</v>
      </c>
      <c r="S9" s="7">
        <v>1</v>
      </c>
      <c r="T9" s="7">
        <v>1.5</v>
      </c>
      <c r="U9" s="7">
        <v>2.5</v>
      </c>
      <c r="V9" s="7">
        <v>1.5</v>
      </c>
      <c r="W9" s="7">
        <v>2.5</v>
      </c>
      <c r="X9" s="7">
        <v>1.5</v>
      </c>
      <c r="Y9" s="7">
        <v>2.5</v>
      </c>
      <c r="Z9" s="7">
        <v>2.5</v>
      </c>
      <c r="AA9" s="7">
        <v>1</v>
      </c>
      <c r="AB9" s="7">
        <v>2.5</v>
      </c>
      <c r="AC9" s="7">
        <v>2.5</v>
      </c>
      <c r="AD9" s="7">
        <v>1.5</v>
      </c>
      <c r="AE9" s="7">
        <v>0</v>
      </c>
      <c r="AF9" s="7">
        <v>0</v>
      </c>
      <c r="AG9" s="7">
        <v>0</v>
      </c>
      <c r="AH9" s="7">
        <f t="shared" si="0"/>
        <v>46</v>
      </c>
      <c r="AJ9" s="15">
        <f>$AH$9*$E$1</f>
        <v>1964.2072213500787</v>
      </c>
      <c r="AK9" s="16">
        <f>AH19</f>
        <v>3285</v>
      </c>
      <c r="AL9" s="15">
        <f>AK9-AJ9</f>
        <v>1320.7927786499213</v>
      </c>
      <c r="AM9" s="16">
        <f>N28</f>
        <v>3109.7619047619046</v>
      </c>
      <c r="AN9" s="15">
        <f t="shared" si="3"/>
        <v>1788.9691261119833</v>
      </c>
      <c r="AO9" s="15">
        <f>'Meal Jan''21 &amp; Rent February'!AS9</f>
        <v>-1030.9016393442612</v>
      </c>
      <c r="AP9" s="15">
        <f t="shared" si="4"/>
        <v>2819.8707654562445</v>
      </c>
      <c r="AQ9" s="6">
        <f>2500+320</f>
        <v>2820</v>
      </c>
      <c r="AR9" s="17">
        <v>44267</v>
      </c>
      <c r="AS9" s="15">
        <f>AQ9-AP9</f>
        <v>0.12923454375550136</v>
      </c>
      <c r="AU9" s="25"/>
    </row>
    <row r="10" spans="1:47" x14ac:dyDescent="0.4">
      <c r="A10" s="2">
        <v>6</v>
      </c>
      <c r="B10" s="3" t="s">
        <v>7</v>
      </c>
      <c r="C10" s="7">
        <f>C13-C8</f>
        <v>1.5</v>
      </c>
      <c r="D10" s="7">
        <f t="shared" ref="D10:AD10" si="7">D13-D8</f>
        <v>1.5</v>
      </c>
      <c r="E10" s="7">
        <f t="shared" si="7"/>
        <v>1.5</v>
      </c>
      <c r="F10" s="7">
        <f t="shared" si="7"/>
        <v>1.5</v>
      </c>
      <c r="G10" s="7">
        <f t="shared" si="7"/>
        <v>2.5</v>
      </c>
      <c r="H10" s="7">
        <f t="shared" si="7"/>
        <v>0</v>
      </c>
      <c r="I10" s="7">
        <f t="shared" si="7"/>
        <v>1.5</v>
      </c>
      <c r="J10" s="7">
        <f t="shared" si="7"/>
        <v>1.5</v>
      </c>
      <c r="K10" s="7">
        <f t="shared" si="7"/>
        <v>1.5</v>
      </c>
      <c r="L10" s="7">
        <f t="shared" si="7"/>
        <v>1.5</v>
      </c>
      <c r="M10" s="7">
        <f t="shared" si="7"/>
        <v>1.5</v>
      </c>
      <c r="N10" s="7">
        <f t="shared" si="7"/>
        <v>2.5</v>
      </c>
      <c r="O10" s="7">
        <f t="shared" si="7"/>
        <v>2.5</v>
      </c>
      <c r="P10" s="7">
        <f t="shared" si="7"/>
        <v>0.5</v>
      </c>
      <c r="Q10" s="7">
        <f t="shared" si="7"/>
        <v>1.5</v>
      </c>
      <c r="R10" s="7">
        <f t="shared" si="7"/>
        <v>0.5</v>
      </c>
      <c r="S10" s="7">
        <f t="shared" si="7"/>
        <v>0.5</v>
      </c>
      <c r="T10" s="7">
        <f t="shared" si="7"/>
        <v>1.5</v>
      </c>
      <c r="U10" s="7">
        <f t="shared" si="7"/>
        <v>0.5</v>
      </c>
      <c r="V10" s="7">
        <f t="shared" si="7"/>
        <v>2.5</v>
      </c>
      <c r="W10" s="7">
        <f t="shared" si="7"/>
        <v>2.5</v>
      </c>
      <c r="X10" s="7">
        <f t="shared" si="7"/>
        <v>1.5</v>
      </c>
      <c r="Y10" s="7">
        <f t="shared" si="7"/>
        <v>1.5</v>
      </c>
      <c r="Z10" s="7">
        <f t="shared" si="7"/>
        <v>1.5</v>
      </c>
      <c r="AA10" s="7">
        <f t="shared" si="7"/>
        <v>0.5</v>
      </c>
      <c r="AB10" s="7">
        <f t="shared" si="7"/>
        <v>1</v>
      </c>
      <c r="AC10" s="7">
        <f t="shared" si="7"/>
        <v>2.5</v>
      </c>
      <c r="AD10" s="7">
        <f t="shared" si="7"/>
        <v>1.5</v>
      </c>
      <c r="AE10" s="7">
        <v>0</v>
      </c>
      <c r="AF10" s="7">
        <v>0</v>
      </c>
      <c r="AG10" s="7">
        <v>0</v>
      </c>
      <c r="AH10" s="7">
        <f t="shared" si="0"/>
        <v>41</v>
      </c>
      <c r="AJ10" s="15">
        <f t="shared" si="1"/>
        <v>1750.7064364207222</v>
      </c>
      <c r="AK10" s="16">
        <f t="shared" ref="AK10:AK11" si="8">AH20</f>
        <v>70</v>
      </c>
      <c r="AL10" s="15">
        <f t="shared" si="6"/>
        <v>-1680.7064364207222</v>
      </c>
      <c r="AM10" s="16">
        <f>N29</f>
        <v>4276.4285714285706</v>
      </c>
      <c r="AN10" s="15">
        <f t="shared" si="3"/>
        <v>5957.1350078492924</v>
      </c>
      <c r="AO10" s="15">
        <f>'Meal Jan''21 &amp; Rent February'!AS10</f>
        <v>-4230.5641019171671</v>
      </c>
      <c r="AP10" s="15">
        <f t="shared" si="4"/>
        <v>10187.69910976646</v>
      </c>
      <c r="AQ10" s="6">
        <f>-'Meal Jan''21 &amp; Rent February'!AS13</f>
        <v>2632.6835970813991</v>
      </c>
      <c r="AR10" s="17"/>
      <c r="AS10" s="15">
        <f t="shared" si="5"/>
        <v>-7555.0155126850605</v>
      </c>
    </row>
    <row r="11" spans="1:47" x14ac:dyDescent="0.4">
      <c r="A11" s="2">
        <v>7</v>
      </c>
      <c r="B11" s="3" t="s">
        <v>8</v>
      </c>
      <c r="C11" s="7">
        <v>2.5</v>
      </c>
      <c r="D11" s="7">
        <v>1.5</v>
      </c>
      <c r="E11" s="7">
        <v>2.5</v>
      </c>
      <c r="F11" s="7">
        <v>2.5</v>
      </c>
      <c r="G11" s="7">
        <v>2.5</v>
      </c>
      <c r="H11" s="7">
        <v>2.5</v>
      </c>
      <c r="I11" s="7">
        <v>0</v>
      </c>
      <c r="J11" s="7">
        <v>2</v>
      </c>
      <c r="K11" s="7">
        <v>1.5</v>
      </c>
      <c r="L11" s="7">
        <v>2.5</v>
      </c>
      <c r="M11" s="7">
        <v>2.5</v>
      </c>
      <c r="N11" s="7">
        <v>1.5</v>
      </c>
      <c r="O11" s="7">
        <v>2.5</v>
      </c>
      <c r="P11" s="7">
        <v>1.5</v>
      </c>
      <c r="Q11" s="7">
        <v>2.5</v>
      </c>
      <c r="R11" s="7">
        <v>2</v>
      </c>
      <c r="S11" s="7">
        <v>2</v>
      </c>
      <c r="T11" s="7">
        <v>2.5</v>
      </c>
      <c r="U11" s="7">
        <v>2.5</v>
      </c>
      <c r="V11" s="7">
        <v>2.5</v>
      </c>
      <c r="W11" s="7">
        <v>2.5</v>
      </c>
      <c r="X11" s="7">
        <v>2.5</v>
      </c>
      <c r="Y11" s="7">
        <v>2.5</v>
      </c>
      <c r="Z11" s="7">
        <v>1.5</v>
      </c>
      <c r="AA11" s="7">
        <v>2.5</v>
      </c>
      <c r="AB11" s="7">
        <v>2.5</v>
      </c>
      <c r="AC11" s="7">
        <v>2</v>
      </c>
      <c r="AD11" s="7">
        <v>2.5</v>
      </c>
      <c r="AE11" s="7">
        <v>0</v>
      </c>
      <c r="AF11" s="7">
        <v>0</v>
      </c>
      <c r="AG11" s="7">
        <v>0</v>
      </c>
      <c r="AH11" s="7">
        <f t="shared" si="0"/>
        <v>60.5</v>
      </c>
      <c r="AJ11" s="15">
        <f t="shared" si="1"/>
        <v>2583.3594976452123</v>
      </c>
      <c r="AK11" s="16">
        <f t="shared" si="8"/>
        <v>1740</v>
      </c>
      <c r="AL11" s="15">
        <f t="shared" si="6"/>
        <v>-843.35949764521229</v>
      </c>
      <c r="AM11" s="16">
        <f>N30</f>
        <v>4276.4285714285706</v>
      </c>
      <c r="AN11" s="15">
        <f t="shared" si="3"/>
        <v>5119.7880690737829</v>
      </c>
      <c r="AO11" s="15">
        <f>'Meal Jan''21 &amp; Rent February'!AS11</f>
        <v>0.46875387818545278</v>
      </c>
      <c r="AP11" s="15">
        <f t="shared" si="4"/>
        <v>5119.3193151955975</v>
      </c>
      <c r="AQ11" s="6">
        <f>500+2500+120+115+120</f>
        <v>3355</v>
      </c>
      <c r="AR11" s="17">
        <v>44271</v>
      </c>
      <c r="AS11" s="15">
        <f>AQ11-AP11</f>
        <v>-1764.3193151955975</v>
      </c>
    </row>
    <row r="12" spans="1:47" x14ac:dyDescent="0.4">
      <c r="A12" s="1"/>
      <c r="B12" s="1"/>
      <c r="C12" s="7">
        <f>SUM(C5:C11)</f>
        <v>12.5</v>
      </c>
      <c r="D12" s="7">
        <f t="shared" ref="D12:AF12" si="9">SUM(D5:D11)</f>
        <v>12.5</v>
      </c>
      <c r="E12" s="7">
        <f t="shared" si="9"/>
        <v>11</v>
      </c>
      <c r="F12" s="7">
        <f t="shared" si="9"/>
        <v>10.5</v>
      </c>
      <c r="G12" s="7">
        <f t="shared" si="9"/>
        <v>12.5</v>
      </c>
      <c r="H12" s="7">
        <f t="shared" si="9"/>
        <v>6</v>
      </c>
      <c r="I12" s="7">
        <f t="shared" si="9"/>
        <v>5.5</v>
      </c>
      <c r="J12" s="7">
        <f t="shared" si="9"/>
        <v>6.5</v>
      </c>
      <c r="K12" s="7">
        <f t="shared" si="9"/>
        <v>9.5</v>
      </c>
      <c r="L12" s="7">
        <f t="shared" si="9"/>
        <v>11</v>
      </c>
      <c r="M12" s="7">
        <f t="shared" si="9"/>
        <v>11</v>
      </c>
      <c r="N12" s="7">
        <f t="shared" si="9"/>
        <v>13</v>
      </c>
      <c r="O12" s="7">
        <f t="shared" si="9"/>
        <v>14</v>
      </c>
      <c r="P12" s="7">
        <f t="shared" si="9"/>
        <v>10.5</v>
      </c>
      <c r="Q12" s="7">
        <f t="shared" si="9"/>
        <v>13</v>
      </c>
      <c r="R12" s="7">
        <f t="shared" si="9"/>
        <v>9.5</v>
      </c>
      <c r="S12" s="7">
        <f t="shared" si="9"/>
        <v>9</v>
      </c>
      <c r="T12" s="7">
        <f t="shared" si="9"/>
        <v>12.5</v>
      </c>
      <c r="U12" s="7">
        <f t="shared" si="9"/>
        <v>14.5</v>
      </c>
      <c r="V12" s="7">
        <f t="shared" si="9"/>
        <v>13.5</v>
      </c>
      <c r="W12" s="7">
        <f t="shared" si="9"/>
        <v>15.5</v>
      </c>
      <c r="X12" s="7">
        <f t="shared" si="9"/>
        <v>11.5</v>
      </c>
      <c r="Y12" s="7">
        <f t="shared" si="9"/>
        <v>11.5</v>
      </c>
      <c r="Z12" s="7">
        <f t="shared" si="9"/>
        <v>10.5</v>
      </c>
      <c r="AA12" s="7">
        <f t="shared" si="9"/>
        <v>11</v>
      </c>
      <c r="AB12" s="7">
        <f t="shared" si="9"/>
        <v>14.5</v>
      </c>
      <c r="AC12" s="7">
        <f t="shared" si="9"/>
        <v>14</v>
      </c>
      <c r="AD12" s="7">
        <f t="shared" si="9"/>
        <v>12</v>
      </c>
      <c r="AE12" s="7">
        <f t="shared" si="9"/>
        <v>0</v>
      </c>
      <c r="AF12" s="7">
        <f t="shared" si="9"/>
        <v>0</v>
      </c>
      <c r="AG12" s="7"/>
      <c r="AH12" s="7">
        <f>SUM(AH5:AH11)</f>
        <v>318.5</v>
      </c>
      <c r="AJ12" s="15">
        <f t="shared" ref="AJ12:AO12" si="10">SUM(AJ5:AJ11)</f>
        <v>13600</v>
      </c>
      <c r="AK12" s="16">
        <f t="shared" si="10"/>
        <v>13600</v>
      </c>
      <c r="AL12" s="16">
        <f t="shared" si="10"/>
        <v>-9.0949470177292824E-13</v>
      </c>
      <c r="AM12" s="16">
        <f>SUM(AM5:AM11)</f>
        <v>26435</v>
      </c>
      <c r="AN12" s="16">
        <f t="shared" si="10"/>
        <v>26434.999999999996</v>
      </c>
      <c r="AO12" s="16">
        <f t="shared" si="10"/>
        <v>-10059.495879742099</v>
      </c>
      <c r="AP12" s="15">
        <f>AN12-AO12+$AU$4</f>
        <v>36494.495879742099</v>
      </c>
      <c r="AQ12" s="16"/>
      <c r="AR12" s="16"/>
      <c r="AS12" s="16">
        <f>SUM(AS5:AS11)</f>
        <v>-15453.812282660696</v>
      </c>
    </row>
    <row r="13" spans="1:47" x14ac:dyDescent="0.4">
      <c r="A13" s="36"/>
      <c r="B13" s="36"/>
      <c r="C13" s="7">
        <v>4</v>
      </c>
      <c r="D13" s="7">
        <v>4</v>
      </c>
      <c r="E13" s="7">
        <v>4</v>
      </c>
      <c r="F13" s="7">
        <v>4</v>
      </c>
      <c r="G13" s="7">
        <v>5</v>
      </c>
      <c r="H13" s="7">
        <v>2</v>
      </c>
      <c r="I13" s="7">
        <v>3</v>
      </c>
      <c r="J13" s="7">
        <v>3</v>
      </c>
      <c r="K13" s="7">
        <v>4</v>
      </c>
      <c r="L13" s="7">
        <v>4</v>
      </c>
      <c r="M13" s="7">
        <v>4</v>
      </c>
      <c r="N13" s="7">
        <v>5</v>
      </c>
      <c r="O13" s="7">
        <v>5</v>
      </c>
      <c r="P13" s="7">
        <v>3</v>
      </c>
      <c r="Q13" s="7">
        <v>4</v>
      </c>
      <c r="R13" s="7">
        <v>3</v>
      </c>
      <c r="S13" s="7">
        <v>3</v>
      </c>
      <c r="T13" s="7">
        <v>4</v>
      </c>
      <c r="U13" s="7">
        <v>3</v>
      </c>
      <c r="V13" s="7">
        <v>5</v>
      </c>
      <c r="W13" s="7">
        <v>5</v>
      </c>
      <c r="X13" s="7">
        <v>4</v>
      </c>
      <c r="Y13" s="7">
        <v>4</v>
      </c>
      <c r="Z13" s="7">
        <v>4</v>
      </c>
      <c r="AA13" s="7">
        <v>3</v>
      </c>
      <c r="AB13" s="7">
        <v>3.5</v>
      </c>
      <c r="AC13" s="7">
        <v>5</v>
      </c>
      <c r="AD13" s="7">
        <v>4</v>
      </c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4">
      <c r="B14" s="10" t="s">
        <v>59</v>
      </c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2885</v>
      </c>
      <c r="U15" s="8">
        <v>295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3180</v>
      </c>
      <c r="AP15" s="25"/>
      <c r="AR15" s="1"/>
      <c r="AS15" s="8"/>
    </row>
    <row r="16" spans="1:47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2250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1">SUM(C16:AG16)</f>
        <v>2250</v>
      </c>
      <c r="AR16" s="1"/>
      <c r="AS16" s="8"/>
      <c r="AT16" s="25"/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980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1"/>
        <v>980</v>
      </c>
      <c r="AP17" s="25"/>
      <c r="AR17" s="1"/>
      <c r="AS17" s="8"/>
      <c r="AT17" s="25"/>
    </row>
    <row r="18" spans="1:46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980</v>
      </c>
      <c r="J18" s="8">
        <v>375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740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1"/>
        <v>2095</v>
      </c>
    </row>
    <row r="19" spans="1:46" x14ac:dyDescent="0.4">
      <c r="A19" s="2">
        <v>5</v>
      </c>
      <c r="B19" s="12" t="s">
        <v>51</v>
      </c>
      <c r="C19" s="8">
        <v>1325</v>
      </c>
      <c r="D19" s="8">
        <v>0</v>
      </c>
      <c r="E19" s="8">
        <v>0</v>
      </c>
      <c r="F19" s="8">
        <v>950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125</v>
      </c>
      <c r="N19" s="8">
        <v>0</v>
      </c>
      <c r="O19" s="8">
        <v>0</v>
      </c>
      <c r="P19" s="8">
        <v>0</v>
      </c>
      <c r="Q19" s="8">
        <v>735</v>
      </c>
      <c r="R19" s="8">
        <v>150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1"/>
        <v>3285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70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1"/>
        <v>70</v>
      </c>
      <c r="AT20" s="25"/>
    </row>
    <row r="21" spans="1:46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585</v>
      </c>
      <c r="H21" s="8">
        <v>0</v>
      </c>
      <c r="I21" s="8">
        <v>0</v>
      </c>
      <c r="J21" s="8">
        <v>0</v>
      </c>
      <c r="K21" s="8">
        <v>0</v>
      </c>
      <c r="L21" s="8">
        <v>210</v>
      </c>
      <c r="M21" s="8">
        <v>0</v>
      </c>
      <c r="N21" s="8">
        <v>230</v>
      </c>
      <c r="O21" s="8">
        <v>580</v>
      </c>
      <c r="P21" s="8">
        <v>0</v>
      </c>
      <c r="Q21" s="8">
        <v>0</v>
      </c>
      <c r="R21" s="8">
        <v>0</v>
      </c>
      <c r="S21" s="8">
        <v>135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1"/>
        <v>1740</v>
      </c>
    </row>
    <row r="22" spans="1:46" x14ac:dyDescent="0.4">
      <c r="AH22" s="9">
        <f>SUM(AH15:AH21)</f>
        <v>13600</v>
      </c>
    </row>
    <row r="23" spans="1:46" x14ac:dyDescent="0.4">
      <c r="A23" s="4"/>
      <c r="B23" s="13" t="s">
        <v>60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$E$31/6</f>
        <v>0</v>
      </c>
      <c r="F24" s="8">
        <f>$F$31/7</f>
        <v>71.428571428571431</v>
      </c>
      <c r="G24" s="8">
        <f>$G$31/7</f>
        <v>139.28571428571428</v>
      </c>
      <c r="H24" s="8">
        <f>$H$31/7</f>
        <v>132.85714285714286</v>
      </c>
      <c r="I24" s="8">
        <f>$I$31/7</f>
        <v>275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33.571428571428569</v>
      </c>
      <c r="N24" s="8">
        <f>SUM(C24:M24)</f>
        <v>4276.4285714285706</v>
      </c>
    </row>
    <row r="25" spans="1:46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 t="shared" ref="E25:E30" si="13">$E$31/6</f>
        <v>0</v>
      </c>
      <c r="F25" s="8">
        <f t="shared" ref="F25:F30" si="14">$F$31/7</f>
        <v>71.428571428571431</v>
      </c>
      <c r="G25" s="8">
        <f t="shared" ref="G25:G30" si="15">$G$31/7</f>
        <v>139.28571428571428</v>
      </c>
      <c r="H25" s="8">
        <f t="shared" ref="H25:H30" si="16">$H$31/7</f>
        <v>132.85714285714286</v>
      </c>
      <c r="I25" s="8">
        <f t="shared" ref="I25:I30" si="17">$I$31/7</f>
        <v>275</v>
      </c>
      <c r="J25" s="8">
        <f t="shared" ref="J25:J30" si="18">$J$31/7</f>
        <v>35.714285714285715</v>
      </c>
      <c r="K25" s="8">
        <f t="shared" ref="K25:K30" si="19">$K$31/6</f>
        <v>0</v>
      </c>
      <c r="L25" s="8">
        <f t="shared" ref="L25:L30" si="20">$L$31/7</f>
        <v>17.142857142857142</v>
      </c>
      <c r="M25" s="8">
        <f t="shared" ref="M25:M30" si="21">$M$31/7</f>
        <v>33.571428571428569</v>
      </c>
      <c r="N25" s="8">
        <f t="shared" ref="N25:N30" si="22">SUM(C25:M25)</f>
        <v>4276.4285714285706</v>
      </c>
    </row>
    <row r="26" spans="1:46" x14ac:dyDescent="0.4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 t="shared" si="13"/>
        <v>0</v>
      </c>
      <c r="F26" s="8">
        <f t="shared" si="14"/>
        <v>71.428571428571431</v>
      </c>
      <c r="G26" s="8">
        <f t="shared" si="15"/>
        <v>139.28571428571428</v>
      </c>
      <c r="H26" s="8">
        <f t="shared" si="16"/>
        <v>132.85714285714286</v>
      </c>
      <c r="I26" s="8">
        <f t="shared" si="17"/>
        <v>275</v>
      </c>
      <c r="J26" s="8">
        <f t="shared" si="18"/>
        <v>35.714285714285715</v>
      </c>
      <c r="K26" s="8">
        <f t="shared" si="19"/>
        <v>0</v>
      </c>
      <c r="L26" s="8">
        <f t="shared" si="20"/>
        <v>17.142857142857142</v>
      </c>
      <c r="M26" s="8">
        <f t="shared" si="21"/>
        <v>33.571428571428569</v>
      </c>
      <c r="N26" s="8">
        <f t="shared" si="22"/>
        <v>3109.7619047619046</v>
      </c>
    </row>
    <row r="27" spans="1:46" x14ac:dyDescent="0.4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 t="shared" si="13"/>
        <v>0</v>
      </c>
      <c r="F27" s="8">
        <f t="shared" si="14"/>
        <v>71.428571428571431</v>
      </c>
      <c r="G27" s="8">
        <f t="shared" si="15"/>
        <v>139.28571428571428</v>
      </c>
      <c r="H27" s="8">
        <f t="shared" si="16"/>
        <v>132.85714285714286</v>
      </c>
      <c r="I27" s="8">
        <f t="shared" si="17"/>
        <v>275</v>
      </c>
      <c r="J27" s="8">
        <f t="shared" si="18"/>
        <v>35.714285714285715</v>
      </c>
      <c r="K27" s="8"/>
      <c r="L27" s="8">
        <f t="shared" si="20"/>
        <v>17.142857142857142</v>
      </c>
      <c r="M27" s="8">
        <f t="shared" si="21"/>
        <v>33.571428571428569</v>
      </c>
      <c r="N27" s="8">
        <f t="shared" si="22"/>
        <v>3109.7619047619046</v>
      </c>
    </row>
    <row r="28" spans="1:46" x14ac:dyDescent="0.4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si="13"/>
        <v>0</v>
      </c>
      <c r="F28" s="8">
        <f t="shared" si="14"/>
        <v>71.428571428571431</v>
      </c>
      <c r="G28" s="8">
        <f t="shared" si="15"/>
        <v>139.28571428571428</v>
      </c>
      <c r="H28" s="8">
        <f t="shared" si="16"/>
        <v>132.85714285714286</v>
      </c>
      <c r="I28" s="8">
        <f t="shared" si="17"/>
        <v>275</v>
      </c>
      <c r="J28" s="8">
        <f t="shared" si="18"/>
        <v>35.714285714285715</v>
      </c>
      <c r="K28" s="8">
        <f t="shared" si="19"/>
        <v>0</v>
      </c>
      <c r="L28" s="8">
        <f t="shared" si="20"/>
        <v>17.142857142857142</v>
      </c>
      <c r="M28" s="8">
        <f t="shared" si="21"/>
        <v>33.571428571428569</v>
      </c>
      <c r="N28" s="8">
        <f t="shared" si="22"/>
        <v>3109.7619047619046</v>
      </c>
    </row>
    <row r="29" spans="1:46" x14ac:dyDescent="0.4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13"/>
        <v>0</v>
      </c>
      <c r="F29" s="8">
        <f t="shared" si="14"/>
        <v>71.428571428571431</v>
      </c>
      <c r="G29" s="8">
        <f t="shared" si="15"/>
        <v>139.28571428571428</v>
      </c>
      <c r="H29" s="8">
        <f t="shared" si="16"/>
        <v>132.85714285714286</v>
      </c>
      <c r="I29" s="8">
        <f t="shared" si="17"/>
        <v>275</v>
      </c>
      <c r="J29" s="8">
        <f t="shared" si="18"/>
        <v>35.714285714285715</v>
      </c>
      <c r="K29" s="8">
        <f t="shared" si="19"/>
        <v>0</v>
      </c>
      <c r="L29" s="8">
        <f t="shared" si="20"/>
        <v>17.142857142857142</v>
      </c>
      <c r="M29" s="8">
        <f t="shared" si="21"/>
        <v>33.571428571428569</v>
      </c>
      <c r="N29" s="8">
        <f t="shared" si="22"/>
        <v>4276.4285714285706</v>
      </c>
    </row>
    <row r="30" spans="1:46" x14ac:dyDescent="0.4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13"/>
        <v>0</v>
      </c>
      <c r="F30" s="8">
        <f t="shared" si="14"/>
        <v>71.428571428571431</v>
      </c>
      <c r="G30" s="8">
        <f t="shared" si="15"/>
        <v>139.28571428571428</v>
      </c>
      <c r="H30" s="8">
        <f t="shared" si="16"/>
        <v>132.85714285714286</v>
      </c>
      <c r="I30" s="8">
        <f t="shared" si="17"/>
        <v>275</v>
      </c>
      <c r="J30" s="8">
        <f t="shared" si="18"/>
        <v>35.714285714285715</v>
      </c>
      <c r="K30" s="8">
        <f t="shared" si="19"/>
        <v>0</v>
      </c>
      <c r="L30" s="8">
        <f t="shared" si="20"/>
        <v>17.142857142857142</v>
      </c>
      <c r="M30" s="8">
        <f t="shared" si="21"/>
        <v>33.571428571428569</v>
      </c>
      <c r="N30" s="8">
        <f t="shared" si="22"/>
        <v>4276.4285714285706</v>
      </c>
    </row>
    <row r="31" spans="1:46" x14ac:dyDescent="0.4">
      <c r="C31" s="8">
        <f>SUM(C24:C30)</f>
        <v>18500</v>
      </c>
      <c r="D31" s="40">
        <v>3000</v>
      </c>
      <c r="E31" s="8">
        <f>0</f>
        <v>0</v>
      </c>
      <c r="F31" s="8">
        <f>500</f>
        <v>500</v>
      </c>
      <c r="G31" s="8">
        <f>975</f>
        <v>975</v>
      </c>
      <c r="H31" s="14">
        <v>930</v>
      </c>
      <c r="I31" s="14">
        <v>1925</v>
      </c>
      <c r="J31" s="8">
        <f>250</f>
        <v>250</v>
      </c>
      <c r="K31" s="8">
        <f>0</f>
        <v>0</v>
      </c>
      <c r="L31" s="8">
        <f>120</f>
        <v>120</v>
      </c>
      <c r="M31" s="8">
        <f>115+120</f>
        <v>235</v>
      </c>
      <c r="N31" s="8">
        <f>SUM(N24:N30)</f>
        <v>26435</v>
      </c>
    </row>
    <row r="33" spans="4:15" x14ac:dyDescent="0.4">
      <c r="N33" t="s">
        <v>61</v>
      </c>
      <c r="O33">
        <f>22580</f>
        <v>22580</v>
      </c>
    </row>
    <row r="34" spans="4:15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62</v>
      </c>
      <c r="O34">
        <v>3000</v>
      </c>
    </row>
    <row r="35" spans="4:15" x14ac:dyDescent="0.4">
      <c r="D35" s="1">
        <v>6000</v>
      </c>
      <c r="E35" s="1">
        <v>2</v>
      </c>
      <c r="F35" s="1">
        <f t="shared" ref="F35:F36" si="23">D35/E35</f>
        <v>3000</v>
      </c>
      <c r="G35" s="1">
        <f t="shared" ref="G35:G36" si="24">(500+500)/7</f>
        <v>142.85714285714286</v>
      </c>
      <c r="H35" s="11">
        <f t="shared" ref="H35" si="25">F35+G35</f>
        <v>3142.8571428571427</v>
      </c>
      <c r="I35" s="11">
        <f t="shared" ref="I35:I36" si="26">H35*E35</f>
        <v>6285.7142857142853</v>
      </c>
      <c r="N35" t="s">
        <v>63</v>
      </c>
      <c r="O35">
        <v>500</v>
      </c>
    </row>
    <row r="36" spans="4:15" x14ac:dyDescent="0.4">
      <c r="D36" s="1">
        <v>5500</v>
      </c>
      <c r="E36" s="1">
        <v>3</v>
      </c>
      <c r="F36" s="11">
        <f t="shared" si="23"/>
        <v>1833.3333333333333</v>
      </c>
      <c r="G36" s="1">
        <f t="shared" si="24"/>
        <v>142.85714285714286</v>
      </c>
      <c r="H36" s="11">
        <f>F36+G36</f>
        <v>1976.1904761904761</v>
      </c>
      <c r="I36" s="11">
        <f t="shared" si="26"/>
        <v>5928.5714285714284</v>
      </c>
      <c r="N36" t="s">
        <v>64</v>
      </c>
      <c r="O36">
        <v>120</v>
      </c>
    </row>
    <row r="37" spans="4:15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O37">
        <f>SUM(O33:O36)</f>
        <v>26200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52E3-E738-4CEF-89D7-BB54402EFCBA}">
  <dimension ref="A1:AU37"/>
  <sheetViews>
    <sheetView zoomScaleNormal="10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Q6" sqref="AQ6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bestFit="1" customWidth="1"/>
    <col min="4" max="4" width="9.59765625" bestFit="1" customWidth="1"/>
    <col min="5" max="5" width="9" bestFit="1" customWidth="1"/>
    <col min="6" max="6" width="11.59765625" bestFit="1" customWidth="1"/>
    <col min="7" max="7" width="9" bestFit="1" customWidth="1"/>
    <col min="8" max="8" width="13.19921875" bestFit="1" customWidth="1"/>
    <col min="9" max="9" width="9.796875" bestFit="1" customWidth="1"/>
    <col min="10" max="10" width="9" bestFit="1" customWidth="1"/>
    <col min="11" max="11" width="14.59765625" bestFit="1" customWidth="1"/>
    <col min="12" max="14" width="10" bestFit="1" customWidth="1"/>
    <col min="15" max="32" width="9.796875" bestFit="1" customWidth="1"/>
    <col min="33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65</v>
      </c>
      <c r="D1" s="204"/>
      <c r="E1" s="203">
        <f>AH22/AH12</f>
        <v>45.053879310344826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44256</v>
      </c>
      <c r="D4" s="5">
        <v>44257</v>
      </c>
      <c r="E4" s="5">
        <v>44258</v>
      </c>
      <c r="F4" s="5">
        <v>44259</v>
      </c>
      <c r="G4" s="5">
        <v>44260</v>
      </c>
      <c r="H4" s="5">
        <v>44261</v>
      </c>
      <c r="I4" s="5">
        <v>44262</v>
      </c>
      <c r="J4" s="5">
        <v>44263</v>
      </c>
      <c r="K4" s="5">
        <v>44264</v>
      </c>
      <c r="L4" s="5">
        <v>44265</v>
      </c>
      <c r="M4" s="5">
        <v>44266</v>
      </c>
      <c r="N4" s="5">
        <v>44267</v>
      </c>
      <c r="O4" s="5">
        <v>44268</v>
      </c>
      <c r="P4" s="5">
        <v>44269</v>
      </c>
      <c r="Q4" s="5">
        <v>44270</v>
      </c>
      <c r="R4" s="5">
        <v>44271</v>
      </c>
      <c r="S4" s="5">
        <v>44272</v>
      </c>
      <c r="T4" s="5">
        <v>44273</v>
      </c>
      <c r="U4" s="5">
        <v>44274</v>
      </c>
      <c r="V4" s="5">
        <v>44275</v>
      </c>
      <c r="W4" s="5">
        <v>44276</v>
      </c>
      <c r="X4" s="5">
        <v>44277</v>
      </c>
      <c r="Y4" s="5">
        <v>44278</v>
      </c>
      <c r="Z4" s="5">
        <v>44279</v>
      </c>
      <c r="AA4" s="5">
        <v>44280</v>
      </c>
      <c r="AB4" s="5">
        <v>44281</v>
      </c>
      <c r="AC4" s="5">
        <v>44282</v>
      </c>
      <c r="AD4" s="5">
        <v>44283</v>
      </c>
      <c r="AE4" s="5">
        <v>44284</v>
      </c>
      <c r="AF4" s="5">
        <v>44285</v>
      </c>
      <c r="AG4" s="5">
        <v>44286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67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4">
      <c r="A5" s="2">
        <v>1</v>
      </c>
      <c r="B5" s="3" t="s">
        <v>4</v>
      </c>
      <c r="C5" s="7">
        <v>1</v>
      </c>
      <c r="D5" s="7">
        <v>1.5</v>
      </c>
      <c r="E5" s="7">
        <v>1.5</v>
      </c>
      <c r="F5" s="7">
        <v>1.5</v>
      </c>
      <c r="G5" s="7">
        <v>2.5</v>
      </c>
      <c r="H5" s="7">
        <v>1.5</v>
      </c>
      <c r="I5" s="7">
        <v>1.5</v>
      </c>
      <c r="J5" s="7">
        <v>1.5</v>
      </c>
      <c r="K5" s="7">
        <v>1.5</v>
      </c>
      <c r="L5" s="7">
        <v>1.5</v>
      </c>
      <c r="M5" s="7">
        <v>1.5</v>
      </c>
      <c r="N5" s="7">
        <v>2.5</v>
      </c>
      <c r="O5" s="7">
        <v>0.5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1.5</v>
      </c>
      <c r="X5" s="7">
        <v>1.5</v>
      </c>
      <c r="Y5" s="7">
        <v>1.5</v>
      </c>
      <c r="Z5" s="7">
        <v>1.5</v>
      </c>
      <c r="AA5" s="7">
        <v>0.5</v>
      </c>
      <c r="AB5" s="7">
        <v>0</v>
      </c>
      <c r="AC5" s="7">
        <v>1</v>
      </c>
      <c r="AD5" s="7">
        <v>1</v>
      </c>
      <c r="AE5" s="7">
        <v>1.5</v>
      </c>
      <c r="AF5" s="7">
        <v>2</v>
      </c>
      <c r="AG5" s="7">
        <v>1.5</v>
      </c>
      <c r="AH5" s="7">
        <f>SUM(C5:AG5)</f>
        <v>35.5</v>
      </c>
      <c r="AJ5" s="15">
        <f>AH5*$E$1</f>
        <v>1599.4127155172414</v>
      </c>
      <c r="AK5" s="16">
        <f>AH15</f>
        <v>3910</v>
      </c>
      <c r="AL5" s="15">
        <f>AK5-AJ5</f>
        <v>2310.5872844827586</v>
      </c>
      <c r="AM5" s="16">
        <f>N24</f>
        <v>4294.5714285714275</v>
      </c>
      <c r="AN5" s="15">
        <f>AM5-AL5</f>
        <v>1983.9841440886689</v>
      </c>
      <c r="AO5" s="15">
        <f>'Meal Feb''21 &amp; Rent March'!AS5</f>
        <v>3176.7576177286892</v>
      </c>
      <c r="AP5" s="15">
        <f>AN5-AO5</f>
        <v>-1192.7734736400203</v>
      </c>
      <c r="AQ5" s="6">
        <f>500+2000</f>
        <v>2500</v>
      </c>
      <c r="AR5" s="17">
        <v>44298</v>
      </c>
      <c r="AS5" s="15">
        <f>AQ5-AP5</f>
        <v>3692.7734736400203</v>
      </c>
    </row>
    <row r="6" spans="1:47" x14ac:dyDescent="0.4">
      <c r="A6" s="2">
        <v>2</v>
      </c>
      <c r="B6" s="3" t="s">
        <v>5</v>
      </c>
      <c r="C6" s="7">
        <v>1.5</v>
      </c>
      <c r="D6" s="7">
        <v>1.5</v>
      </c>
      <c r="E6" s="7">
        <v>1.5</v>
      </c>
      <c r="F6" s="7">
        <v>1.5</v>
      </c>
      <c r="G6" s="7">
        <v>4.5</v>
      </c>
      <c r="H6" s="7">
        <v>3.5</v>
      </c>
      <c r="I6" s="7">
        <v>2.5</v>
      </c>
      <c r="J6" s="7">
        <v>2</v>
      </c>
      <c r="K6" s="7">
        <v>2</v>
      </c>
      <c r="L6" s="7">
        <v>2</v>
      </c>
      <c r="M6" s="7">
        <v>3</v>
      </c>
      <c r="N6" s="7">
        <v>4</v>
      </c>
      <c r="O6" s="7">
        <v>4</v>
      </c>
      <c r="P6" s="7">
        <v>3.5</v>
      </c>
      <c r="Q6" s="7">
        <v>3.5</v>
      </c>
      <c r="R6" s="7">
        <v>4</v>
      </c>
      <c r="S6" s="7">
        <v>4</v>
      </c>
      <c r="T6" s="7">
        <v>4</v>
      </c>
      <c r="U6" s="7">
        <v>2.5</v>
      </c>
      <c r="V6" s="7">
        <v>4</v>
      </c>
      <c r="W6" s="7">
        <v>5</v>
      </c>
      <c r="X6" s="7">
        <v>4</v>
      </c>
      <c r="Y6" s="7">
        <v>3.5</v>
      </c>
      <c r="Z6" s="7">
        <v>4</v>
      </c>
      <c r="AA6" s="7">
        <v>2.5</v>
      </c>
      <c r="AB6" s="7">
        <v>5</v>
      </c>
      <c r="AC6" s="7">
        <v>4</v>
      </c>
      <c r="AD6" s="7">
        <v>4</v>
      </c>
      <c r="AE6" s="7">
        <v>4</v>
      </c>
      <c r="AF6" s="7">
        <v>5</v>
      </c>
      <c r="AG6" s="7">
        <v>4</v>
      </c>
      <c r="AH6" s="7">
        <f t="shared" ref="AH6:AH11" si="0">SUM(C6:AG6)</f>
        <v>104</v>
      </c>
      <c r="AJ6" s="15">
        <f t="shared" ref="AJ6:AJ11" si="1">AH6*$E$1</f>
        <v>4685.6034482758623</v>
      </c>
      <c r="AK6" s="16">
        <f>AH16</f>
        <v>4490</v>
      </c>
      <c r="AL6" s="15">
        <f>AK6-AJ6</f>
        <v>-195.60344827586232</v>
      </c>
      <c r="AM6" s="16">
        <f t="shared" ref="AM6:AM8" si="2">N25</f>
        <v>4294.5714285714275</v>
      </c>
      <c r="AN6" s="15">
        <f t="shared" ref="AN6:AN11" si="3">AM6-AL6</f>
        <v>4490.1748768472899</v>
      </c>
      <c r="AO6" s="15">
        <f>'Meal Feb''21 &amp; Rent March'!AS6</f>
        <v>-0.53918338526045773</v>
      </c>
      <c r="AP6" s="15">
        <f t="shared" ref="AP6:AP11" si="4">AN6-AO6</f>
        <v>4490.7140602325508</v>
      </c>
      <c r="AQ6" s="6">
        <f>4267+250</f>
        <v>4517</v>
      </c>
      <c r="AR6" s="17">
        <v>44286</v>
      </c>
      <c r="AS6" s="15">
        <f t="shared" ref="AS6:AS10" si="5">AQ6-AP6</f>
        <v>26.285939767449236</v>
      </c>
    </row>
    <row r="7" spans="1:47" x14ac:dyDescent="0.4">
      <c r="A7" s="2">
        <v>3</v>
      </c>
      <c r="B7" s="3" t="s">
        <v>6</v>
      </c>
      <c r="C7" s="7">
        <v>1.5</v>
      </c>
      <c r="D7" s="7">
        <v>1.5</v>
      </c>
      <c r="E7" s="7">
        <v>1.5</v>
      </c>
      <c r="F7" s="7">
        <v>1.5</v>
      </c>
      <c r="G7" s="7">
        <v>2.5</v>
      </c>
      <c r="H7" s="7">
        <v>1.5</v>
      </c>
      <c r="I7" s="7">
        <v>1.5</v>
      </c>
      <c r="J7" s="7">
        <v>1.5</v>
      </c>
      <c r="K7" s="7">
        <v>1.5</v>
      </c>
      <c r="L7" s="7">
        <v>1.5</v>
      </c>
      <c r="M7" s="7">
        <v>1.5</v>
      </c>
      <c r="N7" s="7">
        <v>2.5</v>
      </c>
      <c r="O7" s="7">
        <v>1.5</v>
      </c>
      <c r="P7" s="7">
        <v>1.5</v>
      </c>
      <c r="Q7" s="7">
        <v>1.5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</v>
      </c>
      <c r="AA7" s="7">
        <v>2.5</v>
      </c>
      <c r="AB7" s="7">
        <v>2.5</v>
      </c>
      <c r="AC7" s="7">
        <v>2.5</v>
      </c>
      <c r="AD7" s="7">
        <v>2</v>
      </c>
      <c r="AE7" s="7">
        <v>2.5</v>
      </c>
      <c r="AF7" s="7">
        <v>2.5</v>
      </c>
      <c r="AG7" s="7">
        <v>2.5</v>
      </c>
      <c r="AH7" s="7">
        <f t="shared" si="0"/>
        <v>63.5</v>
      </c>
      <c r="AJ7" s="15">
        <f t="shared" si="1"/>
        <v>2860.9213362068963</v>
      </c>
      <c r="AK7" s="16">
        <f>AH17</f>
        <v>2020</v>
      </c>
      <c r="AL7" s="15">
        <f t="shared" ref="AL7:AL11" si="6">AK7-AJ7</f>
        <v>-840.92133620689629</v>
      </c>
      <c r="AM7" s="16">
        <f t="shared" si="2"/>
        <v>3127.9047619047624</v>
      </c>
      <c r="AN7" s="15">
        <f t="shared" si="3"/>
        <v>3968.8260981116587</v>
      </c>
      <c r="AO7" s="15">
        <f>'Meal Feb''21 &amp; Rent March'!AS7</f>
        <v>-5281.1190252776069</v>
      </c>
      <c r="AP7" s="15">
        <f t="shared" si="4"/>
        <v>9249.9451233892651</v>
      </c>
      <c r="AQ7" s="6">
        <f>120+3900</f>
        <v>4020</v>
      </c>
      <c r="AR7" s="17">
        <v>44297</v>
      </c>
      <c r="AS7" s="15">
        <f t="shared" si="5"/>
        <v>-5229.9451233892651</v>
      </c>
    </row>
    <row r="8" spans="1:47" x14ac:dyDescent="0.4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2.5</v>
      </c>
      <c r="P8" s="7">
        <v>2.5</v>
      </c>
      <c r="Q8" s="7">
        <v>2.5</v>
      </c>
      <c r="R8" s="7">
        <v>2.5</v>
      </c>
      <c r="S8" s="7">
        <v>2.5</v>
      </c>
      <c r="T8" s="7">
        <v>3.5</v>
      </c>
      <c r="U8" s="7">
        <v>2</v>
      </c>
      <c r="V8" s="7">
        <v>3</v>
      </c>
      <c r="W8" s="7">
        <v>2.5</v>
      </c>
      <c r="X8" s="7">
        <v>2.5</v>
      </c>
      <c r="Y8" s="7">
        <v>2.5</v>
      </c>
      <c r="Z8" s="7">
        <v>1.5</v>
      </c>
      <c r="AA8" s="7">
        <v>2.5</v>
      </c>
      <c r="AB8" s="7">
        <v>2.5</v>
      </c>
      <c r="AC8" s="7">
        <v>2.5</v>
      </c>
      <c r="AD8" s="7">
        <v>2</v>
      </c>
      <c r="AE8" s="7">
        <v>2.5</v>
      </c>
      <c r="AF8" s="7">
        <v>2.5</v>
      </c>
      <c r="AG8" s="7">
        <v>3.5</v>
      </c>
      <c r="AH8" s="7">
        <f t="shared" si="0"/>
        <v>78</v>
      </c>
      <c r="AJ8" s="15">
        <f>AH8*$E$1</f>
        <v>3514.2025862068963</v>
      </c>
      <c r="AK8" s="16">
        <f>AH18</f>
        <v>1360</v>
      </c>
      <c r="AL8" s="15">
        <f t="shared" si="6"/>
        <v>-2154.2025862068963</v>
      </c>
      <c r="AM8" s="16">
        <f t="shared" si="2"/>
        <v>3127.9047619047624</v>
      </c>
      <c r="AN8" s="15">
        <f t="shared" si="3"/>
        <v>5282.1073481116582</v>
      </c>
      <c r="AO8" s="15">
        <f>'Meal Feb''21 &amp; Rent March'!AS8</f>
        <v>-4029.7060983896145</v>
      </c>
      <c r="AP8" s="15">
        <f t="shared" si="4"/>
        <v>9311.8134465012736</v>
      </c>
      <c r="AQ8" s="6">
        <v>6000</v>
      </c>
      <c r="AR8" s="17">
        <v>44297</v>
      </c>
      <c r="AS8" s="15">
        <f>AQ8-AP8</f>
        <v>-3311.8134465012736</v>
      </c>
      <c r="AT8" s="25"/>
      <c r="AU8" s="25"/>
    </row>
    <row r="9" spans="1:47" x14ac:dyDescent="0.4">
      <c r="A9" s="2">
        <v>5</v>
      </c>
      <c r="B9" s="12" t="s">
        <v>51</v>
      </c>
      <c r="C9" s="7">
        <v>1</v>
      </c>
      <c r="D9" s="7">
        <v>1.5</v>
      </c>
      <c r="E9" s="7">
        <v>0.5</v>
      </c>
      <c r="F9" s="7">
        <v>2</v>
      </c>
      <c r="G9" s="7">
        <v>7</v>
      </c>
      <c r="H9" s="7">
        <v>1</v>
      </c>
      <c r="I9" s="7">
        <v>2</v>
      </c>
      <c r="J9" s="7">
        <v>1</v>
      </c>
      <c r="K9" s="7">
        <v>1</v>
      </c>
      <c r="L9" s="7">
        <v>1</v>
      </c>
      <c r="M9" s="7">
        <v>1</v>
      </c>
      <c r="N9" s="7">
        <v>2.5</v>
      </c>
      <c r="O9" s="7">
        <v>3.5</v>
      </c>
      <c r="P9" s="7">
        <v>1</v>
      </c>
      <c r="Q9" s="7">
        <v>1</v>
      </c>
      <c r="R9" s="7">
        <v>1.5</v>
      </c>
      <c r="S9" s="7">
        <v>1</v>
      </c>
      <c r="T9" s="7">
        <v>1</v>
      </c>
      <c r="U9" s="7">
        <v>1.5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2</v>
      </c>
      <c r="AC9" s="7">
        <v>6</v>
      </c>
      <c r="AD9" s="7">
        <v>1</v>
      </c>
      <c r="AE9" s="7">
        <v>1</v>
      </c>
      <c r="AF9" s="7">
        <v>2.5</v>
      </c>
      <c r="AG9" s="7">
        <v>1.5</v>
      </c>
      <c r="AH9" s="7">
        <f t="shared" si="0"/>
        <v>52</v>
      </c>
      <c r="AJ9" s="15">
        <f>$AH$9*$E$1</f>
        <v>2342.8017241379312</v>
      </c>
      <c r="AK9" s="16">
        <f>AH19</f>
        <v>4090</v>
      </c>
      <c r="AL9" s="15">
        <f>AK9-AJ9</f>
        <v>1747.1982758620688</v>
      </c>
      <c r="AM9" s="16">
        <f>N28</f>
        <v>3127.9047619047624</v>
      </c>
      <c r="AN9" s="15">
        <f t="shared" si="3"/>
        <v>1380.7064860426935</v>
      </c>
      <c r="AO9" s="15">
        <f>'Meal Feb''21 &amp; Rent March'!AS9</f>
        <v>0.12923454375550136</v>
      </c>
      <c r="AP9" s="15">
        <f t="shared" si="4"/>
        <v>1380.577251498938</v>
      </c>
      <c r="AQ9" s="6">
        <v>1380</v>
      </c>
      <c r="AR9" s="17">
        <v>44296</v>
      </c>
      <c r="AS9" s="15">
        <f>AQ9-AP9</f>
        <v>-0.57725149893803973</v>
      </c>
      <c r="AU9" s="25"/>
    </row>
    <row r="10" spans="1:47" x14ac:dyDescent="0.4">
      <c r="A10" s="2">
        <v>6</v>
      </c>
      <c r="B10" s="3" t="s">
        <v>7</v>
      </c>
      <c r="C10" s="7">
        <v>1.5</v>
      </c>
      <c r="D10" s="7">
        <v>3.5</v>
      </c>
      <c r="E10" s="7">
        <v>2</v>
      </c>
      <c r="F10" s="7">
        <v>1.5</v>
      </c>
      <c r="G10" s="7">
        <v>2.5</v>
      </c>
      <c r="H10" s="7">
        <v>1.5</v>
      </c>
      <c r="I10" s="7">
        <v>1.5</v>
      </c>
      <c r="J10" s="7">
        <v>1.5</v>
      </c>
      <c r="K10" s="7">
        <v>2.5</v>
      </c>
      <c r="L10" s="7">
        <v>3.5</v>
      </c>
      <c r="M10" s="7">
        <v>3</v>
      </c>
      <c r="N10" s="7">
        <v>4</v>
      </c>
      <c r="O10" s="7">
        <v>4</v>
      </c>
      <c r="P10" s="7">
        <v>3</v>
      </c>
      <c r="Q10" s="7">
        <v>3</v>
      </c>
      <c r="R10" s="7">
        <v>3</v>
      </c>
      <c r="S10" s="7">
        <v>3</v>
      </c>
      <c r="T10" s="7">
        <v>3</v>
      </c>
      <c r="U10" s="7">
        <v>1.5</v>
      </c>
      <c r="V10" s="7">
        <v>3</v>
      </c>
      <c r="W10" s="7">
        <v>3</v>
      </c>
      <c r="X10" s="7">
        <v>3</v>
      </c>
      <c r="Y10" s="7">
        <v>3</v>
      </c>
      <c r="Z10" s="7">
        <v>1</v>
      </c>
      <c r="AA10" s="7">
        <v>0</v>
      </c>
      <c r="AB10" s="7">
        <v>0</v>
      </c>
      <c r="AC10" s="7">
        <v>1</v>
      </c>
      <c r="AD10" s="7">
        <v>1</v>
      </c>
      <c r="AE10" s="7">
        <v>1.5</v>
      </c>
      <c r="AF10" s="7">
        <v>2.5</v>
      </c>
      <c r="AG10" s="7">
        <v>2.5</v>
      </c>
      <c r="AH10" s="7">
        <f t="shared" si="0"/>
        <v>70.5</v>
      </c>
      <c r="AJ10" s="15">
        <f t="shared" si="1"/>
        <v>3176.2984913793102</v>
      </c>
      <c r="AK10" s="16">
        <f t="shared" ref="AK10:AK11" si="7">AH20</f>
        <v>2125</v>
      </c>
      <c r="AL10" s="15">
        <f t="shared" si="6"/>
        <v>-1051.2984913793102</v>
      </c>
      <c r="AM10" s="16">
        <f>N29</f>
        <v>4294.5714285714275</v>
      </c>
      <c r="AN10" s="15">
        <f t="shared" si="3"/>
        <v>5345.8699199507373</v>
      </c>
      <c r="AO10" s="15">
        <f>'Meal Feb''21 &amp; Rent March'!AS10</f>
        <v>-7555.0155126850605</v>
      </c>
      <c r="AP10" s="15">
        <f t="shared" si="4"/>
        <v>12900.885432635798</v>
      </c>
      <c r="AQ10" s="6">
        <f>12100</f>
        <v>12100</v>
      </c>
      <c r="AR10" s="17"/>
      <c r="AS10" s="15">
        <f t="shared" si="5"/>
        <v>-800.88543263579777</v>
      </c>
    </row>
    <row r="11" spans="1:47" x14ac:dyDescent="0.4">
      <c r="A11" s="2">
        <v>7</v>
      </c>
      <c r="B11" s="3" t="s">
        <v>8</v>
      </c>
      <c r="C11" s="7">
        <v>2.5</v>
      </c>
      <c r="D11" s="7">
        <v>3.5</v>
      </c>
      <c r="E11" s="7">
        <v>4</v>
      </c>
      <c r="F11" s="7">
        <v>1.5</v>
      </c>
      <c r="G11" s="7">
        <v>2.5</v>
      </c>
      <c r="H11" s="7">
        <v>3.5</v>
      </c>
      <c r="I11" s="7">
        <v>1.5</v>
      </c>
      <c r="J11" s="7">
        <v>1.5</v>
      </c>
      <c r="K11" s="7">
        <v>1.5</v>
      </c>
      <c r="L11" s="7">
        <v>0.5</v>
      </c>
      <c r="M11" s="7">
        <v>0.5</v>
      </c>
      <c r="N11" s="7">
        <v>2.5</v>
      </c>
      <c r="O11" s="7">
        <v>1.5</v>
      </c>
      <c r="P11" s="7">
        <v>1</v>
      </c>
      <c r="Q11" s="7">
        <v>0.5</v>
      </c>
      <c r="R11" s="7">
        <v>2.5</v>
      </c>
      <c r="S11" s="7">
        <v>2.5</v>
      </c>
      <c r="T11" s="7">
        <v>2.5</v>
      </c>
      <c r="U11" s="7">
        <v>2.5</v>
      </c>
      <c r="V11" s="7">
        <v>1.5</v>
      </c>
      <c r="W11" s="7">
        <v>0.5</v>
      </c>
      <c r="X11" s="7">
        <v>1.5</v>
      </c>
      <c r="Y11" s="7">
        <v>4.5</v>
      </c>
      <c r="Z11" s="7">
        <v>1</v>
      </c>
      <c r="AA11" s="7">
        <v>2.5</v>
      </c>
      <c r="AB11" s="7">
        <v>2.5</v>
      </c>
      <c r="AC11" s="7">
        <v>2.5</v>
      </c>
      <c r="AD11" s="7">
        <v>2</v>
      </c>
      <c r="AE11" s="7">
        <v>2.5</v>
      </c>
      <c r="AF11" s="7">
        <v>0.5</v>
      </c>
      <c r="AG11" s="7">
        <v>0.5</v>
      </c>
      <c r="AH11" s="7">
        <f t="shared" si="0"/>
        <v>60.5</v>
      </c>
      <c r="AJ11" s="15">
        <f t="shared" si="1"/>
        <v>2725.7596982758619</v>
      </c>
      <c r="AK11" s="16">
        <f t="shared" si="7"/>
        <v>2910</v>
      </c>
      <c r="AL11" s="15">
        <f t="shared" si="6"/>
        <v>184.24030172413813</v>
      </c>
      <c r="AM11" s="16">
        <f>N30</f>
        <v>4294.5714285714275</v>
      </c>
      <c r="AN11" s="15">
        <f t="shared" si="3"/>
        <v>4110.3311268472899</v>
      </c>
      <c r="AO11" s="15">
        <f>'Meal Feb''21 &amp; Rent March'!AS11</f>
        <v>-1764.3193151955975</v>
      </c>
      <c r="AP11" s="15">
        <f t="shared" si="4"/>
        <v>5874.6504420428873</v>
      </c>
      <c r="AQ11" s="6">
        <f>5875</f>
        <v>5875</v>
      </c>
      <c r="AR11" s="17">
        <v>44296</v>
      </c>
      <c r="AS11" s="15">
        <f>AQ11-AP11</f>
        <v>0.34955795711266546</v>
      </c>
    </row>
    <row r="12" spans="1:47" x14ac:dyDescent="0.4">
      <c r="A12" s="1"/>
      <c r="B12" s="1"/>
      <c r="C12" s="7">
        <f>SUM(C5:C11)</f>
        <v>11.5</v>
      </c>
      <c r="D12" s="7">
        <f t="shared" ref="D12:AG12" si="8">SUM(D5:D11)</f>
        <v>15.5</v>
      </c>
      <c r="E12" s="7">
        <f t="shared" si="8"/>
        <v>13.5</v>
      </c>
      <c r="F12" s="7">
        <f t="shared" si="8"/>
        <v>12</v>
      </c>
      <c r="G12" s="7">
        <f t="shared" si="8"/>
        <v>24</v>
      </c>
      <c r="H12" s="7">
        <f t="shared" si="8"/>
        <v>15</v>
      </c>
      <c r="I12" s="7">
        <f t="shared" si="8"/>
        <v>13</v>
      </c>
      <c r="J12" s="7">
        <f t="shared" si="8"/>
        <v>11.5</v>
      </c>
      <c r="K12" s="7">
        <f t="shared" si="8"/>
        <v>12.5</v>
      </c>
      <c r="L12" s="7">
        <f t="shared" si="8"/>
        <v>12.5</v>
      </c>
      <c r="M12" s="7">
        <f t="shared" si="8"/>
        <v>13</v>
      </c>
      <c r="N12" s="7">
        <f t="shared" si="8"/>
        <v>20.5</v>
      </c>
      <c r="O12" s="7">
        <f t="shared" si="8"/>
        <v>17.5</v>
      </c>
      <c r="P12" s="7">
        <f t="shared" si="8"/>
        <v>13.5</v>
      </c>
      <c r="Q12" s="7">
        <f t="shared" si="8"/>
        <v>12</v>
      </c>
      <c r="R12" s="7">
        <f t="shared" si="8"/>
        <v>16</v>
      </c>
      <c r="S12" s="7">
        <f t="shared" si="8"/>
        <v>15.5</v>
      </c>
      <c r="T12" s="7">
        <f t="shared" si="8"/>
        <v>16.5</v>
      </c>
      <c r="U12" s="7">
        <f t="shared" si="8"/>
        <v>12.5</v>
      </c>
      <c r="V12" s="7">
        <f t="shared" si="8"/>
        <v>16</v>
      </c>
      <c r="W12" s="7">
        <f t="shared" si="8"/>
        <v>16</v>
      </c>
      <c r="X12" s="7">
        <f t="shared" si="8"/>
        <v>16</v>
      </c>
      <c r="Y12" s="7">
        <f t="shared" si="8"/>
        <v>18.5</v>
      </c>
      <c r="Z12" s="7">
        <f t="shared" si="8"/>
        <v>12</v>
      </c>
      <c r="AA12" s="7">
        <f t="shared" si="8"/>
        <v>11.5</v>
      </c>
      <c r="AB12" s="7">
        <f t="shared" si="8"/>
        <v>14.5</v>
      </c>
      <c r="AC12" s="7">
        <f t="shared" si="8"/>
        <v>19.5</v>
      </c>
      <c r="AD12" s="7">
        <f t="shared" si="8"/>
        <v>13</v>
      </c>
      <c r="AE12" s="7">
        <f t="shared" si="8"/>
        <v>15.5</v>
      </c>
      <c r="AF12" s="7">
        <f t="shared" si="8"/>
        <v>17.5</v>
      </c>
      <c r="AG12" s="7">
        <f t="shared" si="8"/>
        <v>16</v>
      </c>
      <c r="AH12" s="7">
        <f>SUM(AH5:AH11)</f>
        <v>464</v>
      </c>
      <c r="AJ12" s="15">
        <f t="shared" ref="AJ12:AN12" si="9">SUM(AJ5:AJ11)</f>
        <v>20905</v>
      </c>
      <c r="AK12" s="16">
        <f t="shared" si="9"/>
        <v>20905</v>
      </c>
      <c r="AL12" s="16">
        <f t="shared" si="9"/>
        <v>4.5474735088646412E-13</v>
      </c>
      <c r="AM12" s="16">
        <f>SUM(AM5:AM11)</f>
        <v>26562</v>
      </c>
      <c r="AN12" s="16">
        <f t="shared" si="9"/>
        <v>26561.999999999993</v>
      </c>
      <c r="AO12" s="16">
        <f>SUM(AO5:AO11)</f>
        <v>-15453.812282660696</v>
      </c>
      <c r="AP12" s="15">
        <f>AN12-AO12+$AU$4</f>
        <v>42015.812282660685</v>
      </c>
      <c r="AQ12" s="16"/>
      <c r="AR12" s="16"/>
      <c r="AS12" s="16">
        <f>SUM(AS5:AS11)</f>
        <v>-5623.8122826606932</v>
      </c>
    </row>
    <row r="13" spans="1:47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4">
      <c r="B14" s="10" t="s">
        <v>66</v>
      </c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3770</v>
      </c>
      <c r="O15" s="8">
        <v>0</v>
      </c>
      <c r="P15" s="8">
        <v>140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3910</v>
      </c>
      <c r="AP15" s="25"/>
      <c r="AR15" s="1"/>
      <c r="AS15" s="8"/>
    </row>
    <row r="16" spans="1:47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840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700</v>
      </c>
      <c r="S16" s="8">
        <v>2190</v>
      </c>
      <c r="T16" s="8">
        <v>220</v>
      </c>
      <c r="U16" s="8">
        <v>540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4490</v>
      </c>
      <c r="AR16" s="1"/>
      <c r="AS16" s="8"/>
      <c r="AT16" s="25"/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1750</v>
      </c>
      <c r="Y17" s="8">
        <v>0</v>
      </c>
      <c r="Z17" s="8">
        <v>150</v>
      </c>
      <c r="AA17" s="8">
        <v>120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2020</v>
      </c>
      <c r="AP17" s="25"/>
      <c r="AR17" s="1"/>
      <c r="AS17" s="8"/>
      <c r="AT17" s="25"/>
    </row>
    <row r="18" spans="1:46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1000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360</v>
      </c>
      <c r="AG18" s="8">
        <v>0</v>
      </c>
      <c r="AH18" s="8">
        <f t="shared" si="10"/>
        <v>1360</v>
      </c>
    </row>
    <row r="19" spans="1:46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470</v>
      </c>
      <c r="G19" s="8">
        <v>0</v>
      </c>
      <c r="H19" s="8">
        <v>140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1605</v>
      </c>
      <c r="Z19" s="8">
        <v>0</v>
      </c>
      <c r="AA19" s="8">
        <v>0</v>
      </c>
      <c r="AB19" s="8">
        <v>1270</v>
      </c>
      <c r="AC19" s="8">
        <v>215</v>
      </c>
      <c r="AD19" s="8">
        <v>0</v>
      </c>
      <c r="AE19" s="8">
        <v>390</v>
      </c>
      <c r="AF19" s="8">
        <v>0</v>
      </c>
      <c r="AG19" s="8">
        <v>0</v>
      </c>
      <c r="AH19" s="8">
        <f t="shared" si="10"/>
        <v>4090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1510</v>
      </c>
      <c r="H20" s="8">
        <v>0</v>
      </c>
      <c r="I20" s="8">
        <v>0</v>
      </c>
      <c r="J20" s="8">
        <v>385</v>
      </c>
      <c r="K20" s="8">
        <v>130</v>
      </c>
      <c r="L20" s="8">
        <v>100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2125</v>
      </c>
      <c r="AT20" s="25"/>
    </row>
    <row r="21" spans="1:46" x14ac:dyDescent="0.4">
      <c r="A21" s="2">
        <v>7</v>
      </c>
      <c r="B21" s="3" t="s">
        <v>8</v>
      </c>
      <c r="C21" s="8">
        <v>1460</v>
      </c>
      <c r="D21" s="8">
        <v>1250</v>
      </c>
      <c r="E21" s="8">
        <v>200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2910</v>
      </c>
    </row>
    <row r="22" spans="1:46" x14ac:dyDescent="0.4">
      <c r="AH22" s="9">
        <f>SUM(AH15:AH21)</f>
        <v>20905</v>
      </c>
    </row>
    <row r="23" spans="1:46" x14ac:dyDescent="0.4">
      <c r="A23" s="4"/>
      <c r="B23" s="13" t="s">
        <v>60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$E$31/6</f>
        <v>0</v>
      </c>
      <c r="F24" s="8">
        <f>$F$31/7</f>
        <v>71.428571428571431</v>
      </c>
      <c r="G24" s="8">
        <f>$G$31/7</f>
        <v>139.28571428571428</v>
      </c>
      <c r="H24" s="8">
        <f>$H$31/7</f>
        <v>198.14285714285714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17.142857142857142</v>
      </c>
      <c r="N24" s="8">
        <f>SUM(C24:M24)</f>
        <v>4294.5714285714275</v>
      </c>
    </row>
    <row r="25" spans="1:46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1">$D$31/7</f>
        <v>428.57142857142856</v>
      </c>
      <c r="E25" s="8">
        <f t="shared" ref="E25:E30" si="12">$E$31/6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198.14285714285714</v>
      </c>
      <c r="I25" s="8">
        <f t="shared" ref="I25:I30" si="16">$I$31/7</f>
        <v>244.28571428571428</v>
      </c>
      <c r="J25" s="8">
        <f t="shared" ref="J25:J30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17.142857142857142</v>
      </c>
      <c r="N25" s="8">
        <f t="shared" ref="N25:N30" si="21">SUM(C25:M25)</f>
        <v>4294.5714285714275</v>
      </c>
    </row>
    <row r="26" spans="1:46" x14ac:dyDescent="0.4">
      <c r="A26" s="2">
        <v>3</v>
      </c>
      <c r="B26" s="12" t="s">
        <v>6</v>
      </c>
      <c r="C26" s="8">
        <f>H36</f>
        <v>1976.1904761904761</v>
      </c>
      <c r="D26" s="8">
        <f t="shared" si="11"/>
        <v>428.57142857142856</v>
      </c>
      <c r="E26" s="8">
        <f t="shared" si="12"/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198.14285714285714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17.142857142857142</v>
      </c>
      <c r="N26" s="8">
        <f t="shared" si="21"/>
        <v>3127.9047619047624</v>
      </c>
    </row>
    <row r="27" spans="1:46" x14ac:dyDescent="0.4">
      <c r="A27" s="2">
        <v>4</v>
      </c>
      <c r="B27" s="12" t="s">
        <v>57</v>
      </c>
      <c r="C27" s="8">
        <f>H36</f>
        <v>1976.1904761904761</v>
      </c>
      <c r="D27" s="8">
        <f t="shared" si="11"/>
        <v>428.57142857142856</v>
      </c>
      <c r="E27" s="8">
        <f t="shared" si="12"/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198.14285714285714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17.142857142857142</v>
      </c>
      <c r="N27" s="8">
        <f t="shared" si="21"/>
        <v>3127.9047619047624</v>
      </c>
    </row>
    <row r="28" spans="1:46" x14ac:dyDescent="0.4">
      <c r="A28" s="2">
        <v>5</v>
      </c>
      <c r="B28" s="12" t="s">
        <v>51</v>
      </c>
      <c r="C28" s="8">
        <f>H36</f>
        <v>1976.1904761904761</v>
      </c>
      <c r="D28" s="8">
        <f t="shared" si="11"/>
        <v>428.57142857142856</v>
      </c>
      <c r="E28" s="8">
        <f t="shared" si="12"/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198.14285714285714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17.142857142857142</v>
      </c>
      <c r="N28" s="8">
        <f t="shared" si="21"/>
        <v>3127.9047619047624</v>
      </c>
    </row>
    <row r="29" spans="1:46" x14ac:dyDescent="0.4">
      <c r="A29" s="2">
        <v>6</v>
      </c>
      <c r="B29" s="12" t="s">
        <v>7</v>
      </c>
      <c r="C29" s="8">
        <f>H35</f>
        <v>3142.8571428571427</v>
      </c>
      <c r="D29" s="8">
        <f t="shared" si="11"/>
        <v>428.57142857142856</v>
      </c>
      <c r="E29" s="8">
        <f t="shared" si="12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198.14285714285714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17.142857142857142</v>
      </c>
      <c r="N29" s="8">
        <f t="shared" si="21"/>
        <v>4294.5714285714275</v>
      </c>
    </row>
    <row r="30" spans="1:46" x14ac:dyDescent="0.4">
      <c r="A30" s="2">
        <v>7</v>
      </c>
      <c r="B30" s="12" t="s">
        <v>8</v>
      </c>
      <c r="C30" s="8">
        <f>H35</f>
        <v>3142.8571428571427</v>
      </c>
      <c r="D30" s="8">
        <f t="shared" si="11"/>
        <v>428.57142857142856</v>
      </c>
      <c r="E30" s="8">
        <f t="shared" si="12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198.14285714285714</v>
      </c>
      <c r="I30" s="8">
        <f t="shared" si="16"/>
        <v>244.28571428571428</v>
      </c>
      <c r="J30" s="8">
        <f t="shared" si="17"/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17.142857142857142</v>
      </c>
      <c r="N30" s="8">
        <f t="shared" si="21"/>
        <v>4294.5714285714275</v>
      </c>
    </row>
    <row r="31" spans="1:46" x14ac:dyDescent="0.4">
      <c r="C31" s="8">
        <f>SUM(C24:C30)</f>
        <v>18500</v>
      </c>
      <c r="D31" s="40">
        <v>3000</v>
      </c>
      <c r="E31" s="8">
        <f>0</f>
        <v>0</v>
      </c>
      <c r="F31" s="8">
        <f>500</f>
        <v>500</v>
      </c>
      <c r="G31" s="8">
        <f>975</f>
        <v>975</v>
      </c>
      <c r="H31" s="14">
        <v>1387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>
        <v>120</v>
      </c>
      <c r="N31" s="8">
        <f>SUM(N24:N30)</f>
        <v>26562</v>
      </c>
    </row>
    <row r="33" spans="4:15" x14ac:dyDescent="0.4">
      <c r="N33" t="s">
        <v>61</v>
      </c>
      <c r="O33">
        <f>22580</f>
        <v>22580</v>
      </c>
    </row>
    <row r="34" spans="4:15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62</v>
      </c>
      <c r="O34">
        <v>3000</v>
      </c>
    </row>
    <row r="35" spans="4:15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63</v>
      </c>
      <c r="O35">
        <v>500</v>
      </c>
    </row>
    <row r="36" spans="4:15" x14ac:dyDescent="0.4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64</v>
      </c>
      <c r="O36">
        <v>120</v>
      </c>
    </row>
    <row r="37" spans="4:15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O37">
        <f>SUM(O33:O36)</f>
        <v>26200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0DEC-870E-48E5-AF93-623DB39012D8}">
  <dimension ref="A1:AU46"/>
  <sheetViews>
    <sheetView zoomScaleNormal="100" workbookViewId="0">
      <pane xSplit="2" ySplit="4" topLeftCell="AN5" activePane="bottomRight" state="frozen"/>
      <selection pane="topRight" activeCell="C1" sqref="C1"/>
      <selection pane="bottomLeft" activeCell="A5" sqref="A5"/>
      <selection pane="bottomRight" activeCell="AQ6" sqref="AQ6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customWidth="1"/>
    <col min="4" max="4" width="9.59765625" customWidth="1"/>
    <col min="5" max="5" width="9" customWidth="1"/>
    <col min="6" max="6" width="11.59765625" customWidth="1"/>
    <col min="7" max="7" width="9" customWidth="1"/>
    <col min="8" max="8" width="13.19921875" customWidth="1"/>
    <col min="9" max="9" width="9.796875" customWidth="1"/>
    <col min="10" max="10" width="9" customWidth="1"/>
    <col min="11" max="11" width="14.59765625" customWidth="1"/>
    <col min="12" max="14" width="10" customWidth="1"/>
    <col min="15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70</v>
      </c>
      <c r="D1" s="204"/>
      <c r="E1" s="203">
        <f>AH22/AH12</f>
        <v>53.349152542372885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44287</v>
      </c>
      <c r="D4" s="5">
        <v>44288</v>
      </c>
      <c r="E4" s="5">
        <v>44289</v>
      </c>
      <c r="F4" s="5">
        <v>44290</v>
      </c>
      <c r="G4" s="5">
        <v>44291</v>
      </c>
      <c r="H4" s="5">
        <v>44292</v>
      </c>
      <c r="I4" s="5">
        <v>44293</v>
      </c>
      <c r="J4" s="5">
        <v>44294</v>
      </c>
      <c r="K4" s="5">
        <v>44295</v>
      </c>
      <c r="L4" s="5">
        <v>44296</v>
      </c>
      <c r="M4" s="5">
        <v>44297</v>
      </c>
      <c r="N4" s="5">
        <v>44298</v>
      </c>
      <c r="O4" s="5">
        <v>44299</v>
      </c>
      <c r="P4" s="5">
        <v>44300</v>
      </c>
      <c r="Q4" s="5">
        <v>44301</v>
      </c>
      <c r="R4" s="5">
        <v>44302</v>
      </c>
      <c r="S4" s="5">
        <v>44303</v>
      </c>
      <c r="T4" s="5">
        <v>44304</v>
      </c>
      <c r="U4" s="5">
        <v>44305</v>
      </c>
      <c r="V4" s="5">
        <v>44306</v>
      </c>
      <c r="W4" s="5">
        <v>44307</v>
      </c>
      <c r="X4" s="5">
        <v>44308</v>
      </c>
      <c r="Y4" s="5">
        <v>44309</v>
      </c>
      <c r="Z4" s="5">
        <v>44310</v>
      </c>
      <c r="AA4" s="5">
        <v>44311</v>
      </c>
      <c r="AB4" s="5">
        <v>44312</v>
      </c>
      <c r="AC4" s="5">
        <v>44313</v>
      </c>
      <c r="AD4" s="5">
        <v>44314</v>
      </c>
      <c r="AE4" s="5">
        <v>44315</v>
      </c>
      <c r="AF4" s="5">
        <v>44316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75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4">
      <c r="A5" s="2">
        <v>1</v>
      </c>
      <c r="B5" s="3" t="s">
        <v>4</v>
      </c>
      <c r="C5" s="7">
        <v>1.5</v>
      </c>
      <c r="D5" s="7">
        <v>2.5</v>
      </c>
      <c r="E5" s="7">
        <v>2.5</v>
      </c>
      <c r="F5" s="7">
        <v>2.5</v>
      </c>
      <c r="G5" s="7">
        <v>2.5</v>
      </c>
      <c r="H5" s="7">
        <v>2.5</v>
      </c>
      <c r="I5" s="7">
        <v>2.5</v>
      </c>
      <c r="J5" s="7">
        <v>2.5</v>
      </c>
      <c r="K5" s="7">
        <v>2.5</v>
      </c>
      <c r="L5" s="7">
        <v>2.5</v>
      </c>
      <c r="M5" s="7">
        <v>2</v>
      </c>
      <c r="N5" s="7">
        <v>2</v>
      </c>
      <c r="O5" s="7">
        <v>1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1</v>
      </c>
      <c r="Z5" s="7">
        <v>1.5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2</v>
      </c>
      <c r="AG5" s="7"/>
      <c r="AH5" s="7">
        <f>SUM(C5:AG5)</f>
        <v>59.5</v>
      </c>
      <c r="AJ5" s="15">
        <f>AH5*$E$1</f>
        <v>3174.2745762711866</v>
      </c>
      <c r="AK5" s="16">
        <f>AH15</f>
        <v>5185</v>
      </c>
      <c r="AL5" s="15">
        <f>AK5-AJ5</f>
        <v>2010.7254237288134</v>
      </c>
      <c r="AM5" s="16">
        <f>N24</f>
        <v>4701.5714285714275</v>
      </c>
      <c r="AN5" s="15">
        <f>AM5-AL5</f>
        <v>2690.8460048426141</v>
      </c>
      <c r="AO5" s="15">
        <f>'Meal Mar''21 &amp; Rent April'!AS5</f>
        <v>3692.7734736400203</v>
      </c>
      <c r="AP5" s="15">
        <f>AN5-AO5</f>
        <v>-1001.9274687974062</v>
      </c>
      <c r="AQ5" s="6">
        <f>120</f>
        <v>120</v>
      </c>
      <c r="AR5" s="17"/>
      <c r="AS5" s="15">
        <f>AQ5-AP5</f>
        <v>1121.9274687974062</v>
      </c>
    </row>
    <row r="6" spans="1:47" x14ac:dyDescent="0.4">
      <c r="A6" s="2">
        <v>2</v>
      </c>
      <c r="B6" s="3" t="s">
        <v>5</v>
      </c>
      <c r="C6" s="7">
        <v>5</v>
      </c>
      <c r="D6" s="7">
        <v>5.5</v>
      </c>
      <c r="E6" s="7">
        <v>1.5</v>
      </c>
      <c r="F6" s="7">
        <v>2.5</v>
      </c>
      <c r="G6" s="7">
        <v>2.5</v>
      </c>
      <c r="H6" s="7">
        <v>4.5</v>
      </c>
      <c r="I6" s="7">
        <v>5</v>
      </c>
      <c r="J6" s="7">
        <v>2.5</v>
      </c>
      <c r="K6" s="7">
        <v>5</v>
      </c>
      <c r="L6" s="7">
        <v>4.5</v>
      </c>
      <c r="M6" s="7">
        <v>4</v>
      </c>
      <c r="N6" s="7">
        <v>4.5</v>
      </c>
      <c r="O6" s="7">
        <v>3</v>
      </c>
      <c r="P6" s="7">
        <v>3</v>
      </c>
      <c r="Q6" s="7">
        <v>3.5</v>
      </c>
      <c r="R6" s="7">
        <v>3.5</v>
      </c>
      <c r="S6" s="7">
        <v>3.5</v>
      </c>
      <c r="T6" s="7">
        <v>2.5</v>
      </c>
      <c r="U6" s="7">
        <v>4</v>
      </c>
      <c r="V6" s="7">
        <v>3.5</v>
      </c>
      <c r="W6" s="7">
        <v>3</v>
      </c>
      <c r="X6" s="7">
        <v>3.5</v>
      </c>
      <c r="Y6" s="7">
        <v>1</v>
      </c>
      <c r="Z6" s="7">
        <v>3</v>
      </c>
      <c r="AA6" s="7">
        <v>3</v>
      </c>
      <c r="AB6" s="7">
        <v>3</v>
      </c>
      <c r="AC6" s="7">
        <v>3</v>
      </c>
      <c r="AD6" s="7">
        <v>3</v>
      </c>
      <c r="AE6" s="7">
        <v>2</v>
      </c>
      <c r="AF6" s="7">
        <v>3</v>
      </c>
      <c r="AG6" s="7"/>
      <c r="AH6" s="7">
        <f t="shared" ref="AH6:AH11" si="0">SUM(C6:AG6)</f>
        <v>101</v>
      </c>
      <c r="AJ6" s="15">
        <f t="shared" ref="AJ6:AJ11" si="1">AH6*$E$1</f>
        <v>5388.2644067796609</v>
      </c>
      <c r="AK6" s="16">
        <f>AH16</f>
        <v>3970</v>
      </c>
      <c r="AL6" s="15">
        <f>AK6-AJ6</f>
        <v>-1418.2644067796609</v>
      </c>
      <c r="AM6" s="16">
        <f t="shared" ref="AM6:AM8" si="2">N25</f>
        <v>4701.5714285714275</v>
      </c>
      <c r="AN6" s="15">
        <f t="shared" ref="AN6:AN11" si="3">AM6-AL6</f>
        <v>6119.8358353510885</v>
      </c>
      <c r="AO6" s="15">
        <f>'Meal Mar''21 &amp; Rent April'!AS6</f>
        <v>26.285939767449236</v>
      </c>
      <c r="AP6" s="15">
        <f t="shared" ref="AP6:AP11" si="4">AN6-AO6</f>
        <v>6093.5498955836392</v>
      </c>
      <c r="AQ6" s="6">
        <f>4000+120+500</f>
        <v>4620</v>
      </c>
      <c r="AR6" s="17">
        <v>44319</v>
      </c>
      <c r="AS6" s="15">
        <f t="shared" ref="AS6:AS10" si="5">AQ6-AP6</f>
        <v>-1473.5498955836392</v>
      </c>
    </row>
    <row r="7" spans="1:47" x14ac:dyDescent="0.4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2.5</v>
      </c>
      <c r="N7" s="7">
        <v>2.5</v>
      </c>
      <c r="O7" s="7">
        <v>2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1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1</v>
      </c>
      <c r="AF7" s="7">
        <v>2</v>
      </c>
      <c r="AG7" s="7"/>
      <c r="AH7" s="7">
        <f t="shared" si="0"/>
        <v>68.5</v>
      </c>
      <c r="AJ7" s="15">
        <f t="shared" si="1"/>
        <v>3654.4169491525427</v>
      </c>
      <c r="AK7" s="16">
        <f>AH17</f>
        <v>840</v>
      </c>
      <c r="AL7" s="15">
        <f t="shared" ref="AL7:AL11" si="6">AK7-AJ7</f>
        <v>-2814.4169491525427</v>
      </c>
      <c r="AM7" s="16">
        <f t="shared" si="2"/>
        <v>3534.9047619047619</v>
      </c>
      <c r="AN7" s="15">
        <f t="shared" si="3"/>
        <v>6349.3217110573041</v>
      </c>
      <c r="AO7" s="15">
        <f>'Meal Mar''21 &amp; Rent April'!AS7</f>
        <v>-5229.9451233892651</v>
      </c>
      <c r="AP7" s="15">
        <f t="shared" si="4"/>
        <v>11579.266834446569</v>
      </c>
      <c r="AQ7" s="6">
        <v>6900</v>
      </c>
      <c r="AR7" s="17">
        <v>44359</v>
      </c>
      <c r="AS7" s="15">
        <f t="shared" si="5"/>
        <v>-4679.2668344465692</v>
      </c>
    </row>
    <row r="8" spans="1:47" x14ac:dyDescent="0.4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3.5</v>
      </c>
      <c r="M8" s="7">
        <v>1</v>
      </c>
      <c r="N8" s="7">
        <v>2.5</v>
      </c>
      <c r="O8" s="7">
        <v>2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/>
      <c r="AH8" s="7">
        <f t="shared" si="0"/>
        <v>48</v>
      </c>
      <c r="AJ8" s="15">
        <f>AH8*$E$1</f>
        <v>2560.7593220338986</v>
      </c>
      <c r="AK8" s="16">
        <f>AH18</f>
        <v>4420</v>
      </c>
      <c r="AL8" s="15">
        <f t="shared" si="6"/>
        <v>1859.2406779661014</v>
      </c>
      <c r="AM8" s="16">
        <f t="shared" si="2"/>
        <v>3534.9047619047619</v>
      </c>
      <c r="AN8" s="15">
        <f t="shared" si="3"/>
        <v>1675.6640839386605</v>
      </c>
      <c r="AO8" s="15">
        <f>'Meal Mar''21 &amp; Rent April'!AS8</f>
        <v>-3311.8134465012736</v>
      </c>
      <c r="AP8" s="15">
        <f t="shared" si="4"/>
        <v>4987.4775304399336</v>
      </c>
      <c r="AQ8" s="6">
        <f>5000-5500+5500</f>
        <v>5000</v>
      </c>
      <c r="AR8" s="17" t="s">
        <v>82</v>
      </c>
      <c r="AS8" s="15">
        <f>AQ8-AP8</f>
        <v>12.522469560066384</v>
      </c>
      <c r="AT8" s="25"/>
      <c r="AU8" s="25"/>
    </row>
    <row r="9" spans="1:47" x14ac:dyDescent="0.4">
      <c r="A9" s="2">
        <v>5</v>
      </c>
      <c r="B9" s="12" t="s">
        <v>51</v>
      </c>
      <c r="C9" s="7">
        <v>1.5</v>
      </c>
      <c r="D9" s="7">
        <v>2.5</v>
      </c>
      <c r="E9" s="7">
        <v>2.5</v>
      </c>
      <c r="F9" s="7">
        <v>1.5</v>
      </c>
      <c r="G9" s="7">
        <v>2.5</v>
      </c>
      <c r="H9" s="7">
        <v>1</v>
      </c>
      <c r="I9" s="7">
        <v>1.5</v>
      </c>
      <c r="J9" s="7">
        <v>1</v>
      </c>
      <c r="K9" s="7">
        <v>2.5</v>
      </c>
      <c r="L9" s="7">
        <v>2.5</v>
      </c>
      <c r="M9" s="7">
        <v>1</v>
      </c>
      <c r="N9" s="7">
        <v>2.5</v>
      </c>
      <c r="O9" s="7">
        <v>2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/>
      <c r="AH9" s="7">
        <f t="shared" si="0"/>
        <v>41.5</v>
      </c>
      <c r="AJ9" s="15">
        <f>$AH$9*$E$1</f>
        <v>2213.9898305084748</v>
      </c>
      <c r="AK9" s="16">
        <f>AH19</f>
        <v>2610</v>
      </c>
      <c r="AL9" s="15">
        <f>AK9-AJ9</f>
        <v>396.01016949152518</v>
      </c>
      <c r="AM9" s="16">
        <f>N28</f>
        <v>3534.9047619047619</v>
      </c>
      <c r="AN9" s="15">
        <f t="shared" si="3"/>
        <v>3138.8945924132368</v>
      </c>
      <c r="AO9" s="15">
        <f>'Meal Mar''21 &amp; Rent April'!AS9</f>
        <v>-0.57725149893803973</v>
      </c>
      <c r="AP9" s="15">
        <f t="shared" si="4"/>
        <v>3139.4718439121748</v>
      </c>
      <c r="AQ9" s="6">
        <f>3000+140</f>
        <v>3140</v>
      </c>
      <c r="AR9" s="17">
        <v>44320</v>
      </c>
      <c r="AS9" s="15">
        <f>AQ9-AP9</f>
        <v>0.5281560878252094</v>
      </c>
      <c r="AU9" s="25"/>
    </row>
    <row r="10" spans="1:47" x14ac:dyDescent="0.4">
      <c r="A10" s="2">
        <v>6</v>
      </c>
      <c r="B10" s="3" t="s">
        <v>7</v>
      </c>
      <c r="C10" s="7">
        <v>2</v>
      </c>
      <c r="D10" s="7">
        <v>2.5</v>
      </c>
      <c r="E10" s="7">
        <v>1.5</v>
      </c>
      <c r="F10" s="7">
        <v>1.5</v>
      </c>
      <c r="G10" s="7">
        <v>2.5</v>
      </c>
      <c r="H10" s="7">
        <v>2.5</v>
      </c>
      <c r="I10" s="7">
        <v>2.5</v>
      </c>
      <c r="J10" s="7">
        <v>2.5</v>
      </c>
      <c r="K10" s="7">
        <v>2.5</v>
      </c>
      <c r="L10" s="7">
        <v>2.5</v>
      </c>
      <c r="M10" s="7">
        <v>2.5</v>
      </c>
      <c r="N10" s="7">
        <v>2.5</v>
      </c>
      <c r="O10" s="7">
        <v>1</v>
      </c>
      <c r="P10" s="7">
        <v>2</v>
      </c>
      <c r="Q10" s="7">
        <v>5</v>
      </c>
      <c r="R10" s="7">
        <v>2</v>
      </c>
      <c r="S10" s="7">
        <v>1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1</v>
      </c>
      <c r="Z10" s="7">
        <v>1</v>
      </c>
      <c r="AA10" s="7">
        <v>1</v>
      </c>
      <c r="AB10" s="7">
        <v>1</v>
      </c>
      <c r="AC10" s="7">
        <v>2</v>
      </c>
      <c r="AD10" s="7">
        <v>2</v>
      </c>
      <c r="AE10" s="7">
        <v>2</v>
      </c>
      <c r="AF10" s="7">
        <v>2</v>
      </c>
      <c r="AG10" s="7"/>
      <c r="AH10" s="7">
        <f t="shared" si="0"/>
        <v>60.5</v>
      </c>
      <c r="AJ10" s="15">
        <f t="shared" si="1"/>
        <v>3227.6237288135594</v>
      </c>
      <c r="AK10" s="16">
        <f t="shared" ref="AK10:AK11" si="7">AH20</f>
        <v>2617</v>
      </c>
      <c r="AL10" s="15">
        <f t="shared" si="6"/>
        <v>-610.62372881355941</v>
      </c>
      <c r="AM10" s="16">
        <f>N29</f>
        <v>4701.5714285714275</v>
      </c>
      <c r="AN10" s="15">
        <f t="shared" si="3"/>
        <v>5312.1951573849874</v>
      </c>
      <c r="AO10" s="15">
        <f>'Meal Mar''21 &amp; Rent April'!AS10</f>
        <v>-800.88543263579777</v>
      </c>
      <c r="AP10" s="15">
        <f t="shared" si="4"/>
        <v>6113.0805900207852</v>
      </c>
      <c r="AQ10" s="6">
        <f>6000</f>
        <v>6000</v>
      </c>
      <c r="AR10" s="17"/>
      <c r="AS10" s="15">
        <f t="shared" si="5"/>
        <v>-113.08059002078517</v>
      </c>
    </row>
    <row r="11" spans="1:47" x14ac:dyDescent="0.4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2.5</v>
      </c>
      <c r="G11" s="7">
        <v>2.5</v>
      </c>
      <c r="H11" s="7">
        <v>2.5</v>
      </c>
      <c r="I11" s="7">
        <v>2.5</v>
      </c>
      <c r="J11" s="7">
        <v>2</v>
      </c>
      <c r="K11" s="7">
        <v>2.5</v>
      </c>
      <c r="L11" s="7">
        <v>2.5</v>
      </c>
      <c r="M11" s="7">
        <v>2</v>
      </c>
      <c r="N11" s="7">
        <v>2.5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2.5</v>
      </c>
      <c r="X11" s="7">
        <v>2</v>
      </c>
      <c r="Y11" s="7">
        <v>1</v>
      </c>
      <c r="Z11" s="7">
        <v>2</v>
      </c>
      <c r="AA11" s="7">
        <v>1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/>
      <c r="AH11" s="7">
        <f t="shared" si="0"/>
        <v>63.5</v>
      </c>
      <c r="AJ11" s="15">
        <f t="shared" si="1"/>
        <v>3387.671186440678</v>
      </c>
      <c r="AK11" s="16">
        <f t="shared" si="7"/>
        <v>3965</v>
      </c>
      <c r="AL11" s="15">
        <f t="shared" si="6"/>
        <v>577.32881355932204</v>
      </c>
      <c r="AM11" s="16">
        <f>N30</f>
        <v>4701.5714285714275</v>
      </c>
      <c r="AN11" s="15">
        <f t="shared" si="3"/>
        <v>4124.2426150121055</v>
      </c>
      <c r="AO11" s="15">
        <f>'Meal Mar''21 &amp; Rent April'!AS11</f>
        <v>0.34955795711266546</v>
      </c>
      <c r="AP11" s="15">
        <f t="shared" si="4"/>
        <v>4123.8930570549928</v>
      </c>
      <c r="AQ11" s="6">
        <f>180+1000+4000</f>
        <v>5180</v>
      </c>
      <c r="AR11" s="17">
        <v>44320</v>
      </c>
      <c r="AS11" s="15">
        <f>AQ11-AP11</f>
        <v>1056.1069429450072</v>
      </c>
    </row>
    <row r="12" spans="1:47" x14ac:dyDescent="0.4">
      <c r="A12" s="1"/>
      <c r="B12" s="1"/>
      <c r="C12" s="7">
        <f>SUM(C5:C11)</f>
        <v>17</v>
      </c>
      <c r="D12" s="7">
        <f t="shared" ref="D12:AG12" si="8">SUM(D5:D11)</f>
        <v>20.5</v>
      </c>
      <c r="E12" s="7">
        <f t="shared" si="8"/>
        <v>15.5</v>
      </c>
      <c r="F12" s="7">
        <f t="shared" si="8"/>
        <v>15.5</v>
      </c>
      <c r="G12" s="7">
        <f t="shared" si="8"/>
        <v>17.5</v>
      </c>
      <c r="H12" s="7">
        <f t="shared" si="8"/>
        <v>18</v>
      </c>
      <c r="I12" s="7">
        <f t="shared" si="8"/>
        <v>19</v>
      </c>
      <c r="J12" s="7">
        <f t="shared" si="8"/>
        <v>15.5</v>
      </c>
      <c r="K12" s="7">
        <f t="shared" si="8"/>
        <v>20</v>
      </c>
      <c r="L12" s="7">
        <f t="shared" si="8"/>
        <v>20.5</v>
      </c>
      <c r="M12" s="7">
        <f t="shared" si="8"/>
        <v>15</v>
      </c>
      <c r="N12" s="7">
        <f t="shared" si="8"/>
        <v>19</v>
      </c>
      <c r="O12" s="7">
        <f t="shared" si="8"/>
        <v>13</v>
      </c>
      <c r="P12" s="7">
        <f t="shared" si="8"/>
        <v>13.5</v>
      </c>
      <c r="Q12" s="7">
        <f t="shared" si="8"/>
        <v>17</v>
      </c>
      <c r="R12" s="7">
        <f t="shared" si="8"/>
        <v>14</v>
      </c>
      <c r="S12" s="7">
        <f t="shared" si="8"/>
        <v>13</v>
      </c>
      <c r="T12" s="7">
        <f t="shared" si="8"/>
        <v>13</v>
      </c>
      <c r="U12" s="7">
        <f t="shared" si="8"/>
        <v>14.5</v>
      </c>
      <c r="V12" s="7">
        <f t="shared" si="8"/>
        <v>14</v>
      </c>
      <c r="W12" s="7">
        <f t="shared" si="8"/>
        <v>14</v>
      </c>
      <c r="X12" s="7">
        <f t="shared" si="8"/>
        <v>14</v>
      </c>
      <c r="Y12" s="7">
        <f t="shared" si="8"/>
        <v>7</v>
      </c>
      <c r="Z12" s="7">
        <f t="shared" si="8"/>
        <v>11.5</v>
      </c>
      <c r="AA12" s="7">
        <f t="shared" si="8"/>
        <v>10</v>
      </c>
      <c r="AB12" s="7">
        <f t="shared" si="8"/>
        <v>12</v>
      </c>
      <c r="AC12" s="7">
        <f t="shared" si="8"/>
        <v>13</v>
      </c>
      <c r="AD12" s="7">
        <f t="shared" si="8"/>
        <v>13</v>
      </c>
      <c r="AE12" s="7">
        <f t="shared" si="8"/>
        <v>10</v>
      </c>
      <c r="AF12" s="7">
        <f t="shared" si="8"/>
        <v>13</v>
      </c>
      <c r="AG12" s="7">
        <f t="shared" si="8"/>
        <v>0</v>
      </c>
      <c r="AH12" s="7">
        <f>SUM(AH5:AH11)</f>
        <v>442.5</v>
      </c>
      <c r="AJ12" s="15">
        <f t="shared" ref="AJ12:AN12" si="9">SUM(AJ5:AJ11)</f>
        <v>23607</v>
      </c>
      <c r="AK12" s="16">
        <f t="shared" si="9"/>
        <v>23607</v>
      </c>
      <c r="AL12" s="16">
        <f t="shared" si="9"/>
        <v>-9.0949470177292824E-13</v>
      </c>
      <c r="AM12" s="16">
        <f>SUM(AM5:AM11)</f>
        <v>29410.999999999996</v>
      </c>
      <c r="AN12" s="16">
        <f t="shared" si="9"/>
        <v>29410.999999999996</v>
      </c>
      <c r="AO12" s="16">
        <f>SUM(AO5:AO11)</f>
        <v>-5623.8122826606932</v>
      </c>
      <c r="AP12" s="15">
        <f>AN12-AO12+$AU$4</f>
        <v>35034.812282660692</v>
      </c>
      <c r="AQ12" s="16">
        <f>SUM(AQ5:AQ11)</f>
        <v>30960</v>
      </c>
      <c r="AR12" s="16"/>
      <c r="AS12" s="16">
        <f>SUM(AS5:AS11)</f>
        <v>-4074.8122826606887</v>
      </c>
    </row>
    <row r="13" spans="1:47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4">
      <c r="B14" s="10" t="s">
        <v>69</v>
      </c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3705</v>
      </c>
      <c r="T15" s="8">
        <v>250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1230</v>
      </c>
      <c r="AF15" s="8">
        <v>0</v>
      </c>
      <c r="AG15" s="8">
        <v>0</v>
      </c>
      <c r="AH15" s="8">
        <f>SUM(C15:AG15)</f>
        <v>5185</v>
      </c>
      <c r="AP15" s="25"/>
      <c r="AR15" s="1"/>
      <c r="AS15" s="8"/>
    </row>
    <row r="16" spans="1:47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3820</v>
      </c>
      <c r="Q16" s="8">
        <v>150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3970</v>
      </c>
      <c r="AR16" s="1"/>
      <c r="AS16" s="8"/>
      <c r="AT16" s="25"/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710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130</v>
      </c>
      <c r="AE17" s="8">
        <v>0</v>
      </c>
      <c r="AF17" s="8">
        <v>0</v>
      </c>
      <c r="AG17" s="8">
        <v>0</v>
      </c>
      <c r="AH17" s="8">
        <f t="shared" si="10"/>
        <v>840</v>
      </c>
      <c r="AP17" s="25"/>
      <c r="AR17" s="1"/>
      <c r="AS17" s="8"/>
      <c r="AT17" s="25"/>
    </row>
    <row r="18" spans="1:46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1250</v>
      </c>
      <c r="W18" s="8">
        <v>0</v>
      </c>
      <c r="X18" s="8">
        <v>1000</v>
      </c>
      <c r="Y18" s="8">
        <v>40</v>
      </c>
      <c r="Z18" s="8">
        <v>1070</v>
      </c>
      <c r="AA18" s="8">
        <v>70</v>
      </c>
      <c r="AB18" s="8">
        <v>340</v>
      </c>
      <c r="AC18" s="8">
        <v>650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4420</v>
      </c>
    </row>
    <row r="19" spans="1:46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1080</v>
      </c>
      <c r="L19" s="8">
        <v>90</v>
      </c>
      <c r="M19" s="8">
        <v>740</v>
      </c>
      <c r="N19" s="8">
        <v>525</v>
      </c>
      <c r="O19" s="8">
        <v>175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2610</v>
      </c>
    </row>
    <row r="20" spans="1:46" x14ac:dyDescent="0.4">
      <c r="A20" s="2">
        <v>6</v>
      </c>
      <c r="B20" s="3" t="s">
        <v>7</v>
      </c>
      <c r="C20" s="8">
        <v>1450</v>
      </c>
      <c r="D20" s="8">
        <v>550</v>
      </c>
      <c r="E20" s="8">
        <v>195</v>
      </c>
      <c r="F20" s="8">
        <f>362+60</f>
        <v>422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2617</v>
      </c>
      <c r="AT20" s="25"/>
    </row>
    <row r="21" spans="1:46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1400</v>
      </c>
      <c r="H21" s="8">
        <v>1070</v>
      </c>
      <c r="I21" s="8">
        <v>250</v>
      </c>
      <c r="J21" s="8">
        <v>1245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3965</v>
      </c>
    </row>
    <row r="22" spans="1:46" x14ac:dyDescent="0.4">
      <c r="AH22" s="9">
        <f>SUM(AH15:AH21)</f>
        <v>23607</v>
      </c>
    </row>
    <row r="23" spans="1:46" x14ac:dyDescent="0.4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$E$31/7</f>
        <v>214.28571428571428</v>
      </c>
      <c r="F24" s="8">
        <f>$F$31/7</f>
        <v>71.428571428571431</v>
      </c>
      <c r="G24" s="8">
        <f>$G$31/7</f>
        <v>139.28571428571428</v>
      </c>
      <c r="H24" s="8">
        <f>$H$31/7</f>
        <v>316.57142857142856</v>
      </c>
      <c r="I24" s="8">
        <f>$I$31/7</f>
        <v>310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25.714285714285715</v>
      </c>
      <c r="N24" s="8">
        <f t="shared" ref="N24:N30" si="11">SUM(C24:M24)</f>
        <v>4701.5714285714275</v>
      </c>
    </row>
    <row r="25" spans="1:46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>$E$31/7</f>
        <v>214.28571428571428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316.57142857142856</v>
      </c>
      <c r="I25" s="8">
        <f t="shared" ref="I25:I30" si="16">$I$31/7</f>
        <v>310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25.714285714285715</v>
      </c>
      <c r="N25" s="8">
        <f t="shared" si="11"/>
        <v>4701.5714285714275</v>
      </c>
    </row>
    <row r="26" spans="1:46" x14ac:dyDescent="0.4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>$E$31/7</f>
        <v>214.28571428571428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316.57142857142856</v>
      </c>
      <c r="I26" s="8">
        <f t="shared" si="16"/>
        <v>310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25.714285714285715</v>
      </c>
      <c r="N26" s="8">
        <f t="shared" si="11"/>
        <v>3534.9047619047619</v>
      </c>
    </row>
    <row r="27" spans="1:46" x14ac:dyDescent="0.4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>$E$31/7</f>
        <v>214.28571428571428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316.57142857142856</v>
      </c>
      <c r="I27" s="8">
        <f t="shared" si="16"/>
        <v>310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25.714285714285715</v>
      </c>
      <c r="N27" s="8">
        <f t="shared" si="11"/>
        <v>3534.9047619047619</v>
      </c>
    </row>
    <row r="28" spans="1:46" x14ac:dyDescent="0.4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ref="E28:E30" si="21">$E$31/7</f>
        <v>214.28571428571428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316.57142857142856</v>
      </c>
      <c r="I28" s="8">
        <f t="shared" si="16"/>
        <v>310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25.714285714285715</v>
      </c>
      <c r="N28" s="8">
        <f t="shared" si="11"/>
        <v>3534.9047619047619</v>
      </c>
    </row>
    <row r="29" spans="1:46" x14ac:dyDescent="0.4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21"/>
        <v>214.28571428571428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316.57142857142856</v>
      </c>
      <c r="I29" s="8">
        <f t="shared" si="16"/>
        <v>310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25.714285714285715</v>
      </c>
      <c r="N29" s="8">
        <f t="shared" si="11"/>
        <v>4701.5714285714275</v>
      </c>
    </row>
    <row r="30" spans="1:46" x14ac:dyDescent="0.4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21"/>
        <v>214.28571428571428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316.57142857142856</v>
      </c>
      <c r="I30" s="8">
        <f t="shared" si="16"/>
        <v>310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25.714285714285715</v>
      </c>
      <c r="N30" s="8">
        <f t="shared" si="11"/>
        <v>4701.5714285714275</v>
      </c>
    </row>
    <row r="31" spans="1:46" x14ac:dyDescent="0.4">
      <c r="C31" s="8">
        <f>SUM(C24:C30)</f>
        <v>18500</v>
      </c>
      <c r="D31" s="40">
        <v>3000</v>
      </c>
      <c r="E31" s="8">
        <v>1500</v>
      </c>
      <c r="F31" s="8">
        <f>500</f>
        <v>500</v>
      </c>
      <c r="G31" s="8">
        <f>975</f>
        <v>975</v>
      </c>
      <c r="H31" s="14">
        <v>2216</v>
      </c>
      <c r="I31" s="14">
        <v>2170</v>
      </c>
      <c r="J31" s="8">
        <f>250</f>
        <v>250</v>
      </c>
      <c r="K31" s="8">
        <f>0</f>
        <v>0</v>
      </c>
      <c r="L31" s="8">
        <f>120</f>
        <v>120</v>
      </c>
      <c r="M31" s="8">
        <f>180</f>
        <v>180</v>
      </c>
      <c r="N31" s="8">
        <f>SUM(N24:N30)</f>
        <v>29410.999999999996</v>
      </c>
      <c r="O31" s="9">
        <f>O38+O46</f>
        <v>29411</v>
      </c>
      <c r="P31" s="9">
        <f>N31-O31</f>
        <v>0</v>
      </c>
    </row>
    <row r="33" spans="4:15" x14ac:dyDescent="0.4">
      <c r="N33" t="s">
        <v>61</v>
      </c>
      <c r="O33" s="9">
        <f>C31</f>
        <v>18500</v>
      </c>
    </row>
    <row r="34" spans="4:15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5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2170</v>
      </c>
    </row>
    <row r="36" spans="4:15" x14ac:dyDescent="0.4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2216</v>
      </c>
    </row>
    <row r="37" spans="4:15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5" x14ac:dyDescent="0.4">
      <c r="O38" s="9">
        <f>SUM(O33:O37)</f>
        <v>24111</v>
      </c>
    </row>
    <row r="41" spans="4:15" x14ac:dyDescent="0.4">
      <c r="N41" t="s">
        <v>12</v>
      </c>
      <c r="O41" s="9">
        <f>D31</f>
        <v>3000</v>
      </c>
    </row>
    <row r="42" spans="4:15" x14ac:dyDescent="0.4">
      <c r="N42" t="s">
        <v>13</v>
      </c>
      <c r="O42" s="9">
        <f>E31</f>
        <v>1500</v>
      </c>
    </row>
    <row r="43" spans="4:15" x14ac:dyDescent="0.4">
      <c r="N43" t="s">
        <v>14</v>
      </c>
      <c r="O43" s="9">
        <f>F31</f>
        <v>500</v>
      </c>
    </row>
    <row r="44" spans="4:15" x14ac:dyDescent="0.4">
      <c r="N44" t="s">
        <v>20</v>
      </c>
      <c r="O44" s="9">
        <f>L31</f>
        <v>120</v>
      </c>
    </row>
    <row r="45" spans="4:15" x14ac:dyDescent="0.4">
      <c r="N45" t="s">
        <v>21</v>
      </c>
      <c r="O45" s="9">
        <f>M31</f>
        <v>180</v>
      </c>
    </row>
    <row r="46" spans="4:15" x14ac:dyDescent="0.4">
      <c r="O46" s="9">
        <f>SUM(O41:O45)</f>
        <v>5300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2437-0628-4B65-AB58-3D4AA6741258}">
  <dimension ref="A1:AU46"/>
  <sheetViews>
    <sheetView zoomScaleNormal="100" workbookViewId="0">
      <pane xSplit="2" ySplit="4" topLeftCell="AF5" activePane="bottomRight" state="frozen"/>
      <selection pane="topRight" activeCell="C1" sqref="C1"/>
      <selection pane="bottomLeft" activeCell="A5" sqref="A5"/>
      <selection pane="bottomRight" activeCell="AL11" sqref="AL11"/>
    </sheetView>
  </sheetViews>
  <sheetFormatPr defaultRowHeight="15.6" x14ac:dyDescent="0.4"/>
  <cols>
    <col min="1" max="1" width="7" bestFit="1" customWidth="1"/>
    <col min="2" max="2" width="23.796875" bestFit="1" customWidth="1"/>
    <col min="3" max="3" width="10.59765625" customWidth="1"/>
    <col min="4" max="4" width="9.59765625" customWidth="1"/>
    <col min="5" max="5" width="9.5976562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59765625" bestFit="1" customWidth="1"/>
    <col min="11" max="11" width="14.59765625" customWidth="1"/>
    <col min="12" max="14" width="10" customWidth="1"/>
    <col min="15" max="28" width="9.796875" customWidth="1"/>
    <col min="29" max="32" width="10.19921875" bestFit="1" customWidth="1"/>
    <col min="33" max="33" width="9.796875" customWidth="1"/>
    <col min="34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33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7" x14ac:dyDescent="0.4">
      <c r="C1" s="204" t="s">
        <v>70</v>
      </c>
      <c r="D1" s="204"/>
      <c r="E1" s="203">
        <f>AH22/AH12</f>
        <v>91.606382978723403</v>
      </c>
      <c r="F1" s="203"/>
    </row>
    <row r="2" spans="1:47" ht="25.5" customHeight="1" x14ac:dyDescent="0.4">
      <c r="C2" s="204"/>
      <c r="D2" s="204"/>
      <c r="E2" s="203"/>
      <c r="F2" s="203"/>
    </row>
    <row r="4" spans="1:47" x14ac:dyDescent="0.4">
      <c r="A4" s="4" t="s">
        <v>0</v>
      </c>
      <c r="B4" s="4" t="s">
        <v>2</v>
      </c>
      <c r="C4" s="5">
        <v>44300</v>
      </c>
      <c r="D4" s="5">
        <v>44301</v>
      </c>
      <c r="E4" s="5">
        <v>44302</v>
      </c>
      <c r="F4" s="5">
        <v>44303</v>
      </c>
      <c r="G4" s="5">
        <v>44304</v>
      </c>
      <c r="H4" s="5">
        <v>44305</v>
      </c>
      <c r="I4" s="5">
        <v>44306</v>
      </c>
      <c r="J4" s="5">
        <v>44307</v>
      </c>
      <c r="K4" s="5">
        <v>44308</v>
      </c>
      <c r="L4" s="5">
        <v>44309</v>
      </c>
      <c r="M4" s="5">
        <v>44310</v>
      </c>
      <c r="N4" s="5">
        <v>44311</v>
      </c>
      <c r="O4" s="5">
        <v>44312</v>
      </c>
      <c r="P4" s="5">
        <v>44313</v>
      </c>
      <c r="Q4" s="5">
        <v>44314</v>
      </c>
      <c r="R4" s="5">
        <v>44315</v>
      </c>
      <c r="S4" s="5">
        <v>44316</v>
      </c>
      <c r="T4" s="5">
        <v>44317</v>
      </c>
      <c r="U4" s="5">
        <v>44318</v>
      </c>
      <c r="V4" s="5">
        <v>44319</v>
      </c>
      <c r="W4" s="5">
        <v>44320</v>
      </c>
      <c r="X4" s="5">
        <v>44321</v>
      </c>
      <c r="Y4" s="5">
        <v>44322</v>
      </c>
      <c r="Z4" s="5">
        <v>44323</v>
      </c>
      <c r="AA4" s="5">
        <v>44324</v>
      </c>
      <c r="AB4" s="5">
        <v>44325</v>
      </c>
      <c r="AC4" s="5">
        <v>44326</v>
      </c>
      <c r="AD4" s="5">
        <v>44327</v>
      </c>
      <c r="AE4" s="5">
        <v>44328</v>
      </c>
      <c r="AF4" s="5">
        <v>44329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75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7" x14ac:dyDescent="0.4">
      <c r="A5" s="2">
        <v>1</v>
      </c>
      <c r="B5" s="41" t="s">
        <v>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/>
      <c r="AH5" s="7">
        <f>SUM(C5:AG5)</f>
        <v>0</v>
      </c>
      <c r="AJ5" s="15">
        <f>AH5*$E$1</f>
        <v>0</v>
      </c>
      <c r="AK5" s="16">
        <f>AH15</f>
        <v>0</v>
      </c>
      <c r="AL5" s="15">
        <f>AK5-AJ5</f>
        <v>0</v>
      </c>
      <c r="AM5" s="16">
        <f>N24</f>
        <v>0</v>
      </c>
      <c r="AN5" s="15"/>
      <c r="AO5" s="15"/>
      <c r="AP5" s="15">
        <f>AN5-AO5</f>
        <v>0</v>
      </c>
      <c r="AQ5" s="6"/>
      <c r="AR5" s="17"/>
      <c r="AS5" s="15">
        <f>AQ5-AP5</f>
        <v>0</v>
      </c>
    </row>
    <row r="6" spans="1:47" x14ac:dyDescent="0.4">
      <c r="A6" s="2">
        <v>2</v>
      </c>
      <c r="B6" s="41" t="s">
        <v>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/>
      <c r="AH6" s="7">
        <f t="shared" ref="AH6:AH11" si="0">SUM(C6:AG6)</f>
        <v>0</v>
      </c>
      <c r="AJ6" s="15">
        <f t="shared" ref="AJ6:AJ11" si="1">AH6*$E$1</f>
        <v>0</v>
      </c>
      <c r="AK6" s="16">
        <f>AH16</f>
        <v>0</v>
      </c>
      <c r="AL6" s="15">
        <f>AK6-AJ6</f>
        <v>0</v>
      </c>
      <c r="AM6" s="16">
        <f t="shared" ref="AM6:AM8" si="2">N25</f>
        <v>0</v>
      </c>
      <c r="AN6" s="15"/>
      <c r="AO6" s="15"/>
      <c r="AP6" s="15">
        <f t="shared" ref="AP6:AP11" si="3">AN6-AO6</f>
        <v>0</v>
      </c>
      <c r="AQ6" s="6"/>
      <c r="AR6" s="17"/>
      <c r="AS6" s="15">
        <f t="shared" ref="AS6:AS10" si="4">AQ6-AP6</f>
        <v>0</v>
      </c>
    </row>
    <row r="7" spans="1:47" x14ac:dyDescent="0.4">
      <c r="A7" s="2">
        <v>3</v>
      </c>
      <c r="B7" s="42" t="s">
        <v>77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0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/>
      <c r="AH7" s="7">
        <f t="shared" si="0"/>
        <v>20</v>
      </c>
      <c r="AJ7" s="15">
        <f t="shared" si="1"/>
        <v>1832.127659574468</v>
      </c>
      <c r="AK7" s="16">
        <f>AH17</f>
        <v>1570</v>
      </c>
      <c r="AL7" s="15">
        <f t="shared" ref="AL7:AL11" si="5">AK7-AJ7</f>
        <v>-262.127659574468</v>
      </c>
      <c r="AM7" s="16">
        <f t="shared" si="2"/>
        <v>0</v>
      </c>
      <c r="AN7" s="15"/>
      <c r="AO7" s="15"/>
      <c r="AP7" s="15">
        <f t="shared" si="3"/>
        <v>0</v>
      </c>
      <c r="AQ7" s="6"/>
      <c r="AR7" s="17"/>
      <c r="AS7" s="15">
        <f t="shared" si="4"/>
        <v>0</v>
      </c>
    </row>
    <row r="8" spans="1:47" x14ac:dyDescent="0.4">
      <c r="A8" s="2">
        <v>4</v>
      </c>
      <c r="B8" s="3" t="s">
        <v>57</v>
      </c>
      <c r="C8" s="7">
        <v>1</v>
      </c>
      <c r="D8" s="7">
        <v>1</v>
      </c>
      <c r="E8" s="7">
        <v>0</v>
      </c>
      <c r="F8" s="7">
        <v>1</v>
      </c>
      <c r="G8" s="7">
        <v>0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/>
      <c r="AH8" s="7">
        <f t="shared" si="0"/>
        <v>19</v>
      </c>
      <c r="AJ8" s="15">
        <f>AH8*$E$1</f>
        <v>1740.5212765957447</v>
      </c>
      <c r="AK8" s="16">
        <f>AH18</f>
        <v>1380</v>
      </c>
      <c r="AL8" s="15">
        <f t="shared" si="5"/>
        <v>-360.52127659574467</v>
      </c>
      <c r="AM8" s="16">
        <f t="shared" si="2"/>
        <v>0</v>
      </c>
      <c r="AN8" s="15"/>
      <c r="AO8" s="15"/>
      <c r="AP8" s="15">
        <f t="shared" si="3"/>
        <v>0</v>
      </c>
      <c r="AQ8" s="6"/>
      <c r="AR8" s="17"/>
      <c r="AS8" s="15">
        <f>AQ8-AP8</f>
        <v>0</v>
      </c>
      <c r="AT8" s="25"/>
      <c r="AU8" s="25"/>
    </row>
    <row r="9" spans="1:47" x14ac:dyDescent="0.4">
      <c r="A9" s="2">
        <v>5</v>
      </c>
      <c r="B9" s="12" t="s">
        <v>51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/>
      <c r="AH9" s="7">
        <f t="shared" si="0"/>
        <v>22</v>
      </c>
      <c r="AJ9" s="15">
        <f>$AH$9*$E$1</f>
        <v>2015.3404255319149</v>
      </c>
      <c r="AK9" s="16">
        <f>AH19</f>
        <v>2568</v>
      </c>
      <c r="AL9" s="15">
        <f>AK9-AJ9</f>
        <v>552.65957446808511</v>
      </c>
      <c r="AM9" s="16">
        <f>N28</f>
        <v>0</v>
      </c>
      <c r="AN9" s="15"/>
      <c r="AO9" s="15"/>
      <c r="AP9" s="15">
        <f t="shared" si="3"/>
        <v>0</v>
      </c>
      <c r="AQ9" s="6"/>
      <c r="AR9" s="17"/>
      <c r="AS9" s="15">
        <f>AQ9-AP9</f>
        <v>0</v>
      </c>
      <c r="AU9" s="25"/>
    </row>
    <row r="10" spans="1:47" x14ac:dyDescent="0.4">
      <c r="A10" s="2">
        <v>6</v>
      </c>
      <c r="B10" s="3" t="s">
        <v>7</v>
      </c>
      <c r="C10" s="7">
        <v>1</v>
      </c>
      <c r="D10" s="7">
        <v>1</v>
      </c>
      <c r="E10" s="7">
        <v>0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/>
      <c r="AH10" s="7">
        <f t="shared" si="0"/>
        <v>12</v>
      </c>
      <c r="AJ10" s="15">
        <f t="shared" si="1"/>
        <v>1099.2765957446809</v>
      </c>
      <c r="AK10" s="16">
        <f t="shared" ref="AK10:AK11" si="6">AH20</f>
        <v>1600</v>
      </c>
      <c r="AL10" s="15">
        <f t="shared" si="5"/>
        <v>500.72340425531911</v>
      </c>
      <c r="AM10" s="16">
        <f>N29</f>
        <v>0</v>
      </c>
      <c r="AN10" s="15"/>
      <c r="AO10" s="15"/>
      <c r="AP10" s="15">
        <f t="shared" si="3"/>
        <v>0</v>
      </c>
      <c r="AQ10" s="6"/>
      <c r="AR10" s="17"/>
      <c r="AS10" s="15">
        <f t="shared" si="4"/>
        <v>0</v>
      </c>
    </row>
    <row r="11" spans="1:47" x14ac:dyDescent="0.4">
      <c r="A11" s="2">
        <v>7</v>
      </c>
      <c r="B11" s="3" t="s">
        <v>8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/>
      <c r="AH11" s="7">
        <f t="shared" si="0"/>
        <v>21</v>
      </c>
      <c r="AJ11" s="15">
        <f t="shared" si="1"/>
        <v>1923.7340425531916</v>
      </c>
      <c r="AK11" s="16">
        <f t="shared" si="6"/>
        <v>1493</v>
      </c>
      <c r="AL11" s="15">
        <f t="shared" si="5"/>
        <v>-430.73404255319156</v>
      </c>
      <c r="AM11" s="16">
        <f>N30</f>
        <v>0</v>
      </c>
      <c r="AN11" s="15"/>
      <c r="AO11" s="15"/>
      <c r="AP11" s="15">
        <f t="shared" si="3"/>
        <v>0</v>
      </c>
      <c r="AQ11" s="6"/>
      <c r="AR11" s="17"/>
      <c r="AS11" s="15">
        <f>AQ11-AP11</f>
        <v>0</v>
      </c>
    </row>
    <row r="12" spans="1:47" x14ac:dyDescent="0.4">
      <c r="A12" s="1"/>
      <c r="B12" s="1"/>
      <c r="C12" s="7">
        <f>SUM(C5:C11)</f>
        <v>5</v>
      </c>
      <c r="D12" s="7">
        <f t="shared" ref="D12:AG12" si="7">SUM(D5:D11)</f>
        <v>5</v>
      </c>
      <c r="E12" s="7">
        <f t="shared" si="7"/>
        <v>3</v>
      </c>
      <c r="F12" s="7">
        <f t="shared" si="7"/>
        <v>5</v>
      </c>
      <c r="G12" s="7">
        <f t="shared" si="7"/>
        <v>4</v>
      </c>
      <c r="H12" s="7">
        <f t="shared" si="7"/>
        <v>5</v>
      </c>
      <c r="I12" s="7">
        <f t="shared" si="7"/>
        <v>5</v>
      </c>
      <c r="J12" s="7">
        <f t="shared" si="7"/>
        <v>5</v>
      </c>
      <c r="K12" s="7">
        <f t="shared" si="7"/>
        <v>5</v>
      </c>
      <c r="L12" s="7">
        <f t="shared" si="7"/>
        <v>0</v>
      </c>
      <c r="M12" s="7">
        <f t="shared" si="7"/>
        <v>4</v>
      </c>
      <c r="N12" s="7">
        <f t="shared" si="7"/>
        <v>5</v>
      </c>
      <c r="O12" s="7">
        <f t="shared" si="7"/>
        <v>5</v>
      </c>
      <c r="P12" s="7">
        <f t="shared" si="7"/>
        <v>5</v>
      </c>
      <c r="Q12" s="7">
        <f t="shared" si="7"/>
        <v>4</v>
      </c>
      <c r="R12" s="7">
        <f t="shared" si="7"/>
        <v>4</v>
      </c>
      <c r="S12" s="7">
        <f t="shared" si="7"/>
        <v>5</v>
      </c>
      <c r="T12" s="7">
        <f t="shared" si="7"/>
        <v>4</v>
      </c>
      <c r="U12" s="7">
        <f t="shared" si="7"/>
        <v>4</v>
      </c>
      <c r="V12" s="7">
        <f t="shared" si="7"/>
        <v>4</v>
      </c>
      <c r="W12" s="7">
        <f t="shared" si="7"/>
        <v>3</v>
      </c>
      <c r="X12" s="7">
        <f t="shared" si="7"/>
        <v>2</v>
      </c>
      <c r="Y12" s="7">
        <f t="shared" si="7"/>
        <v>3</v>
      </c>
      <c r="Z12" s="7">
        <f t="shared" si="7"/>
        <v>0</v>
      </c>
      <c r="AA12" s="7">
        <f t="shared" si="7"/>
        <v>0</v>
      </c>
      <c r="AB12" s="7">
        <f t="shared" si="7"/>
        <v>0</v>
      </c>
      <c r="AC12" s="7">
        <f t="shared" si="7"/>
        <v>0</v>
      </c>
      <c r="AD12" s="7">
        <f t="shared" si="7"/>
        <v>0</v>
      </c>
      <c r="AE12" s="7">
        <f t="shared" si="7"/>
        <v>0</v>
      </c>
      <c r="AF12" s="7">
        <f t="shared" si="7"/>
        <v>0</v>
      </c>
      <c r="AG12" s="7">
        <f t="shared" si="7"/>
        <v>0</v>
      </c>
      <c r="AH12" s="7">
        <f>SUM(AH5:AH11)</f>
        <v>94</v>
      </c>
      <c r="AJ12" s="15">
        <f t="shared" ref="AJ12:AN12" si="8">SUM(AJ5:AJ11)</f>
        <v>8611</v>
      </c>
      <c r="AK12" s="16">
        <f t="shared" si="8"/>
        <v>8611</v>
      </c>
      <c r="AL12" s="16">
        <f>SUM(AL5:AL11)</f>
        <v>0</v>
      </c>
      <c r="AM12" s="16">
        <f>SUM(AM5:AM11)</f>
        <v>0</v>
      </c>
      <c r="AN12" s="16">
        <f t="shared" si="8"/>
        <v>0</v>
      </c>
      <c r="AO12" s="16">
        <f>SUM(AO5:AO11)</f>
        <v>0</v>
      </c>
      <c r="AP12" s="15">
        <f>AN12-AO12+$AU$4</f>
        <v>0</v>
      </c>
      <c r="AQ12" s="16">
        <f>SUM(AQ5:AQ11)</f>
        <v>0</v>
      </c>
      <c r="AR12" s="16"/>
      <c r="AS12" s="16">
        <f>SUM(AS5:AS11)</f>
        <v>0</v>
      </c>
    </row>
    <row r="13" spans="1:47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</row>
    <row r="14" spans="1:47" x14ac:dyDescent="0.4">
      <c r="B14" s="10" t="s">
        <v>78</v>
      </c>
    </row>
    <row r="15" spans="1:47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0</v>
      </c>
      <c r="AP15" s="25"/>
      <c r="AR15" s="1"/>
      <c r="AS15" s="8"/>
    </row>
    <row r="16" spans="1:47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9">SUM(C16:AG16)</f>
        <v>0</v>
      </c>
      <c r="AR16" s="1"/>
      <c r="AS16" s="8"/>
      <c r="AT16" s="25"/>
    </row>
    <row r="17" spans="1:46" x14ac:dyDescent="0.4">
      <c r="A17" s="2">
        <v>3</v>
      </c>
      <c r="B17" s="3" t="s">
        <v>77</v>
      </c>
      <c r="C17" s="8">
        <v>590</v>
      </c>
      <c r="D17" s="8">
        <v>220</v>
      </c>
      <c r="E17" s="8">
        <v>0</v>
      </c>
      <c r="F17" s="8">
        <v>0</v>
      </c>
      <c r="G17" s="8">
        <v>0</v>
      </c>
      <c r="H17" s="8">
        <v>70</v>
      </c>
      <c r="I17" s="8">
        <v>50</v>
      </c>
      <c r="J17" s="8">
        <v>100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170</v>
      </c>
      <c r="V17" s="8">
        <v>370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9"/>
        <v>1570</v>
      </c>
      <c r="AP17" s="25"/>
      <c r="AR17" s="1"/>
      <c r="AS17" s="8"/>
      <c r="AT17" s="25"/>
    </row>
    <row r="18" spans="1:46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400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240</v>
      </c>
      <c r="N18" s="8">
        <v>350</v>
      </c>
      <c r="O18" s="8">
        <v>90</v>
      </c>
      <c r="P18" s="8">
        <f>270</f>
        <v>270</v>
      </c>
      <c r="Q18" s="8">
        <v>0</v>
      </c>
      <c r="R18" s="8">
        <v>0</v>
      </c>
      <c r="S18" s="8">
        <v>0</v>
      </c>
      <c r="T18" s="8">
        <v>30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9"/>
        <v>1380</v>
      </c>
    </row>
    <row r="19" spans="1:46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353</v>
      </c>
      <c r="H19" s="8">
        <v>75</v>
      </c>
      <c r="I19" s="8">
        <v>0</v>
      </c>
      <c r="J19" s="8">
        <v>0</v>
      </c>
      <c r="K19" s="8">
        <f>150+200</f>
        <v>350</v>
      </c>
      <c r="L19" s="8">
        <v>0</v>
      </c>
      <c r="M19" s="8">
        <v>0</v>
      </c>
      <c r="N19" s="8">
        <f>75+40</f>
        <v>115</v>
      </c>
      <c r="O19" s="8">
        <v>180</v>
      </c>
      <c r="P19" s="8">
        <v>0</v>
      </c>
      <c r="Q19" s="8">
        <v>405</v>
      </c>
      <c r="R19" s="8">
        <v>350</v>
      </c>
      <c r="S19" s="8">
        <v>0</v>
      </c>
      <c r="T19" s="8">
        <v>290</v>
      </c>
      <c r="U19" s="8">
        <v>0</v>
      </c>
      <c r="V19" s="8">
        <v>0</v>
      </c>
      <c r="W19" s="8">
        <v>170</v>
      </c>
      <c r="X19" s="8">
        <v>280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9"/>
        <v>2568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200</v>
      </c>
      <c r="I20" s="8">
        <v>0</v>
      </c>
      <c r="J20" s="8">
        <v>0</v>
      </c>
      <c r="K20" s="8">
        <v>0</v>
      </c>
      <c r="L20" s="8">
        <v>465</v>
      </c>
      <c r="M20" s="8">
        <v>100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f>165+600</f>
        <v>765</v>
      </c>
      <c r="T20" s="8">
        <f>70</f>
        <v>70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9"/>
        <v>1600</v>
      </c>
      <c r="AT20" s="25"/>
    </row>
    <row r="21" spans="1:46" x14ac:dyDescent="0.4">
      <c r="A21" s="2">
        <v>7</v>
      </c>
      <c r="B21" s="3" t="s">
        <v>8</v>
      </c>
      <c r="C21" s="8">
        <v>245</v>
      </c>
      <c r="D21" s="8">
        <v>0</v>
      </c>
      <c r="E21" s="8">
        <v>615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f>400</f>
        <v>400</v>
      </c>
      <c r="T21" s="8">
        <v>233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9"/>
        <v>1493</v>
      </c>
    </row>
    <row r="22" spans="1:46" x14ac:dyDescent="0.4">
      <c r="AH22" s="9">
        <f>SUM(AH15:AH21)</f>
        <v>8611</v>
      </c>
    </row>
    <row r="23" spans="1:46" x14ac:dyDescent="0.4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f t="shared" ref="N24:N30" si="10">SUM(C24:M24)</f>
        <v>0</v>
      </c>
    </row>
    <row r="25" spans="1:46" x14ac:dyDescent="0.4">
      <c r="A25" s="2">
        <v>2</v>
      </c>
      <c r="B25" s="12" t="s">
        <v>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>
        <f t="shared" si="10"/>
        <v>0</v>
      </c>
    </row>
    <row r="26" spans="1:46" x14ac:dyDescent="0.4">
      <c r="A26" s="2">
        <v>3</v>
      </c>
      <c r="B26" s="12" t="s">
        <v>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>
        <f t="shared" si="10"/>
        <v>0</v>
      </c>
    </row>
    <row r="27" spans="1:46" x14ac:dyDescent="0.4">
      <c r="A27" s="2">
        <v>4</v>
      </c>
      <c r="B27" s="12" t="s">
        <v>57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f t="shared" si="10"/>
        <v>0</v>
      </c>
    </row>
    <row r="28" spans="1:46" x14ac:dyDescent="0.4">
      <c r="A28" s="2">
        <v>5</v>
      </c>
      <c r="B28" s="12" t="s">
        <v>51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f t="shared" si="10"/>
        <v>0</v>
      </c>
    </row>
    <row r="29" spans="1:46" x14ac:dyDescent="0.4">
      <c r="A29" s="2">
        <v>6</v>
      </c>
      <c r="B29" s="12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>
        <f t="shared" si="10"/>
        <v>0</v>
      </c>
    </row>
    <row r="30" spans="1:46" x14ac:dyDescent="0.4">
      <c r="A30" s="2">
        <v>7</v>
      </c>
      <c r="B30" s="12" t="s">
        <v>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>
        <f t="shared" si="10"/>
        <v>0</v>
      </c>
    </row>
    <row r="31" spans="1:46" x14ac:dyDescent="0.4">
      <c r="C31" s="8"/>
      <c r="D31" s="40"/>
      <c r="E31" s="8"/>
      <c r="F31" s="8"/>
      <c r="G31" s="8"/>
      <c r="H31" s="14"/>
      <c r="I31" s="14"/>
      <c r="J31" s="8"/>
      <c r="K31" s="8"/>
      <c r="L31" s="8"/>
      <c r="M31" s="8"/>
      <c r="N31" s="8"/>
      <c r="O31" s="9">
        <f>O38+O46</f>
        <v>0</v>
      </c>
      <c r="P31" s="9">
        <f>N31-O31</f>
        <v>0</v>
      </c>
    </row>
    <row r="33" spans="4:15" x14ac:dyDescent="0.4">
      <c r="N33" t="s">
        <v>61</v>
      </c>
      <c r="O33" s="9">
        <f>C31</f>
        <v>0</v>
      </c>
    </row>
    <row r="34" spans="4:15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0</v>
      </c>
    </row>
    <row r="35" spans="4:15" x14ac:dyDescent="0.4">
      <c r="D35" s="1">
        <v>6000</v>
      </c>
      <c r="E35" s="1">
        <v>2</v>
      </c>
      <c r="F35" s="1">
        <f t="shared" ref="F35:F36" si="11">D35/E35</f>
        <v>3000</v>
      </c>
      <c r="G35" s="1">
        <f t="shared" ref="G35:G36" si="12">(500+500)/7</f>
        <v>142.85714285714286</v>
      </c>
      <c r="H35" s="11">
        <f t="shared" ref="H35" si="13">F35+G35</f>
        <v>3142.8571428571427</v>
      </c>
      <c r="I35" s="11">
        <f t="shared" ref="I35:I36" si="14">H35*E35</f>
        <v>6285.7142857142853</v>
      </c>
      <c r="N35" t="s">
        <v>72</v>
      </c>
      <c r="O35" s="9">
        <f>I31</f>
        <v>0</v>
      </c>
    </row>
    <row r="36" spans="4:15" x14ac:dyDescent="0.4">
      <c r="D36" s="1">
        <v>5500</v>
      </c>
      <c r="E36" s="1">
        <v>3</v>
      </c>
      <c r="F36" s="11">
        <f t="shared" si="11"/>
        <v>1833.3333333333333</v>
      </c>
      <c r="G36" s="1">
        <f t="shared" si="12"/>
        <v>142.85714285714286</v>
      </c>
      <c r="H36" s="11">
        <f>F36+G36</f>
        <v>1976.1904761904761</v>
      </c>
      <c r="I36" s="11">
        <f t="shared" si="14"/>
        <v>5928.5714285714284</v>
      </c>
      <c r="N36" t="s">
        <v>73</v>
      </c>
      <c r="O36" s="9">
        <f>H31</f>
        <v>0</v>
      </c>
    </row>
    <row r="37" spans="4:15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0</v>
      </c>
    </row>
    <row r="38" spans="4:15" x14ac:dyDescent="0.4">
      <c r="O38" s="9">
        <f>SUM(O33:O37)</f>
        <v>0</v>
      </c>
    </row>
    <row r="41" spans="4:15" x14ac:dyDescent="0.4">
      <c r="N41" t="s">
        <v>12</v>
      </c>
      <c r="O41" s="9">
        <f>D31</f>
        <v>0</v>
      </c>
    </row>
    <row r="42" spans="4:15" x14ac:dyDescent="0.4">
      <c r="N42" t="s">
        <v>13</v>
      </c>
      <c r="O42" s="9">
        <f>E31</f>
        <v>0</v>
      </c>
    </row>
    <row r="43" spans="4:15" x14ac:dyDescent="0.4">
      <c r="N43" t="s">
        <v>14</v>
      </c>
      <c r="O43" s="9">
        <f>F31</f>
        <v>0</v>
      </c>
    </row>
    <row r="44" spans="4:15" x14ac:dyDescent="0.4">
      <c r="N44" t="s">
        <v>20</v>
      </c>
      <c r="O44" s="9">
        <f>L31</f>
        <v>0</v>
      </c>
    </row>
    <row r="45" spans="4:15" x14ac:dyDescent="0.4">
      <c r="N45" t="s">
        <v>21</v>
      </c>
      <c r="O45" s="9">
        <f>M31</f>
        <v>0</v>
      </c>
    </row>
    <row r="46" spans="4:15" x14ac:dyDescent="0.4">
      <c r="O46" s="9">
        <f>SUM(O41:O45)</f>
        <v>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B480-C7F3-4F3A-A387-5F9BF436E15E}">
  <dimension ref="A1:AW46"/>
  <sheetViews>
    <sheetView zoomScaleNormal="100" workbookViewId="0">
      <pane xSplit="2" ySplit="4" topLeftCell="AP5" activePane="bottomRight" state="frozen"/>
      <selection pane="topRight" activeCell="C1" sqref="C1"/>
      <selection pane="bottomLeft" activeCell="A5" sqref="A5"/>
      <selection pane="bottomRight" activeCell="AP20" sqref="AP20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57.19921875" bestFit="1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</cols>
  <sheetData>
    <row r="1" spans="1:49" x14ac:dyDescent="0.4">
      <c r="C1" s="204" t="s">
        <v>79</v>
      </c>
      <c r="D1" s="204"/>
      <c r="E1" s="203">
        <f>AH22/AH12</f>
        <v>57.381974248927037</v>
      </c>
      <c r="F1" s="203"/>
    </row>
    <row r="2" spans="1:49" ht="25.5" customHeight="1" x14ac:dyDescent="0.4">
      <c r="C2" s="204"/>
      <c r="D2" s="204"/>
      <c r="E2" s="203"/>
      <c r="F2" s="203"/>
    </row>
    <row r="4" spans="1:49" x14ac:dyDescent="0.4">
      <c r="A4" s="4" t="s">
        <v>0</v>
      </c>
      <c r="B4" s="4" t="s">
        <v>2</v>
      </c>
      <c r="C4" s="5">
        <v>44317</v>
      </c>
      <c r="D4" s="5">
        <v>44318</v>
      </c>
      <c r="E4" s="5">
        <v>44319</v>
      </c>
      <c r="F4" s="5">
        <v>44320</v>
      </c>
      <c r="G4" s="5">
        <v>44321</v>
      </c>
      <c r="H4" s="5">
        <v>44322</v>
      </c>
      <c r="I4" s="5">
        <v>44323</v>
      </c>
      <c r="J4" s="5">
        <v>44324</v>
      </c>
      <c r="K4" s="5">
        <v>44325</v>
      </c>
      <c r="L4" s="5">
        <v>44326</v>
      </c>
      <c r="M4" s="5">
        <v>44327</v>
      </c>
      <c r="N4" s="5">
        <v>44328</v>
      </c>
      <c r="O4" s="5">
        <v>44329</v>
      </c>
      <c r="P4" s="5">
        <v>44330</v>
      </c>
      <c r="Q4" s="5">
        <v>44331</v>
      </c>
      <c r="R4" s="5">
        <v>44332</v>
      </c>
      <c r="S4" s="5">
        <v>44333</v>
      </c>
      <c r="T4" s="5">
        <v>44334</v>
      </c>
      <c r="U4" s="5">
        <v>44335</v>
      </c>
      <c r="V4" s="5">
        <v>44336</v>
      </c>
      <c r="W4" s="5">
        <v>44337</v>
      </c>
      <c r="X4" s="5">
        <v>44338</v>
      </c>
      <c r="Y4" s="5">
        <v>44339</v>
      </c>
      <c r="Z4" s="5">
        <v>44340</v>
      </c>
      <c r="AA4" s="5">
        <v>44341</v>
      </c>
      <c r="AB4" s="5">
        <v>44342</v>
      </c>
      <c r="AC4" s="5">
        <v>44343</v>
      </c>
      <c r="AD4" s="5">
        <v>44344</v>
      </c>
      <c r="AE4" s="5">
        <v>44345</v>
      </c>
      <c r="AF4" s="5">
        <v>44346</v>
      </c>
      <c r="AG4" s="5">
        <v>44347</v>
      </c>
      <c r="AH4" s="4" t="s">
        <v>1</v>
      </c>
      <c r="AJ4" s="4" t="s">
        <v>23</v>
      </c>
      <c r="AK4" s="4" t="s">
        <v>24</v>
      </c>
      <c r="AL4" s="4" t="s">
        <v>26</v>
      </c>
      <c r="AM4" s="4" t="s">
        <v>81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</row>
    <row r="5" spans="1:49" x14ac:dyDescent="0.4">
      <c r="A5" s="2">
        <v>1</v>
      </c>
      <c r="B5" s="3" t="s">
        <v>4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1</v>
      </c>
      <c r="I5" s="7">
        <v>2</v>
      </c>
      <c r="J5" s="7">
        <v>2</v>
      </c>
      <c r="K5" s="7">
        <v>1</v>
      </c>
      <c r="L5" s="7">
        <v>2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1.5</v>
      </c>
      <c r="V5" s="7">
        <v>1.5</v>
      </c>
      <c r="W5" s="7">
        <v>0</v>
      </c>
      <c r="X5" s="7">
        <v>1</v>
      </c>
      <c r="Y5" s="7">
        <v>2.5</v>
      </c>
      <c r="Z5" s="7">
        <v>2.5</v>
      </c>
      <c r="AA5" s="7">
        <v>2.5</v>
      </c>
      <c r="AB5" s="7">
        <v>1</v>
      </c>
      <c r="AC5" s="7">
        <v>2.5</v>
      </c>
      <c r="AD5" s="7">
        <v>2.5</v>
      </c>
      <c r="AE5" s="7">
        <v>2.5</v>
      </c>
      <c r="AF5" s="7">
        <v>2.5</v>
      </c>
      <c r="AG5" s="7">
        <v>2</v>
      </c>
      <c r="AH5" s="7">
        <f>SUM(C5:AG5)</f>
        <v>44.5</v>
      </c>
      <c r="AJ5" s="15">
        <f>AH5*$E$1+150</f>
        <v>2703.4978540772531</v>
      </c>
      <c r="AK5" s="16">
        <f>AH15</f>
        <v>2645</v>
      </c>
      <c r="AL5" s="15">
        <f>AK5-AJ5</f>
        <v>-58.497854077253123</v>
      </c>
      <c r="AM5" s="16">
        <f>N24</f>
        <v>4413.4285714285706</v>
      </c>
      <c r="AN5" s="15">
        <f>AM5-AL5</f>
        <v>4471.9264255058242</v>
      </c>
      <c r="AO5" s="15">
        <f>'Meal April''21 &amp; Rent May (2)'!AS5</f>
        <v>1121.9274687974062</v>
      </c>
      <c r="AP5" s="15">
        <f>AN5-AO5</f>
        <v>3349.9989567084181</v>
      </c>
      <c r="AQ5" s="6">
        <v>4000</v>
      </c>
      <c r="AR5" s="17">
        <v>44357</v>
      </c>
      <c r="AS5" s="15">
        <f>AQ5-AP5</f>
        <v>650.00104329158194</v>
      </c>
    </row>
    <row r="6" spans="1:49" x14ac:dyDescent="0.4">
      <c r="A6" s="2">
        <v>2</v>
      </c>
      <c r="B6" s="3" t="s">
        <v>5</v>
      </c>
      <c r="C6" s="7">
        <v>3</v>
      </c>
      <c r="D6" s="7">
        <v>3</v>
      </c>
      <c r="E6" s="7">
        <v>4</v>
      </c>
      <c r="F6" s="7">
        <v>3</v>
      </c>
      <c r="G6" s="7">
        <v>3</v>
      </c>
      <c r="H6" s="7">
        <v>2</v>
      </c>
      <c r="I6" s="7">
        <v>3</v>
      </c>
      <c r="J6" s="7">
        <v>2</v>
      </c>
      <c r="K6" s="7">
        <v>2</v>
      </c>
      <c r="L6" s="7">
        <v>2</v>
      </c>
      <c r="M6" s="7">
        <v>2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2</v>
      </c>
      <c r="T6" s="7">
        <v>3</v>
      </c>
      <c r="U6" s="7">
        <v>4</v>
      </c>
      <c r="V6" s="7">
        <v>5</v>
      </c>
      <c r="W6" s="7">
        <v>4.5</v>
      </c>
      <c r="X6" s="7">
        <v>4.5</v>
      </c>
      <c r="Y6" s="7">
        <v>2</v>
      </c>
      <c r="Z6" s="7">
        <v>4.5</v>
      </c>
      <c r="AA6" s="7">
        <v>4</v>
      </c>
      <c r="AB6" s="7">
        <v>2.5</v>
      </c>
      <c r="AC6" s="7">
        <v>2.5</v>
      </c>
      <c r="AD6" s="7">
        <v>2.5</v>
      </c>
      <c r="AE6" s="7">
        <v>2.5</v>
      </c>
      <c r="AF6" s="7">
        <v>3.5</v>
      </c>
      <c r="AG6" s="7">
        <v>3</v>
      </c>
      <c r="AH6" s="7">
        <f>SUM(C6:AG6)</f>
        <v>81</v>
      </c>
      <c r="AJ6" s="15">
        <f>AH6*$E$1+150</f>
        <v>4797.9399141630902</v>
      </c>
      <c r="AK6" s="16">
        <f>AH16</f>
        <v>4595</v>
      </c>
      <c r="AL6" s="15">
        <f>AK6-AJ6</f>
        <v>-202.93991416309018</v>
      </c>
      <c r="AM6" s="16">
        <f>N25</f>
        <v>4413.4285714285706</v>
      </c>
      <c r="AN6" s="15">
        <f>AM6-AL6</f>
        <v>4616.3684855916608</v>
      </c>
      <c r="AO6" s="15">
        <f>'Meal April''21 &amp; Rent May (2)'!AS6+'Iftar accounts-2021'!AL7</f>
        <v>-1735.6775551581072</v>
      </c>
      <c r="AP6" s="15">
        <f t="shared" ref="AP6:AP11" si="0">AN6-AO6</f>
        <v>6352.0460407497685</v>
      </c>
      <c r="AQ6" s="6">
        <v>6000</v>
      </c>
      <c r="AR6" s="17">
        <v>44358</v>
      </c>
      <c r="AS6" s="15">
        <f t="shared" ref="AS6:AS10" si="1">AQ6-AP6</f>
        <v>-352.04604074976851</v>
      </c>
    </row>
    <row r="7" spans="1:49" x14ac:dyDescent="0.4">
      <c r="A7" s="2">
        <v>3</v>
      </c>
      <c r="B7" s="3" t="s">
        <v>6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>
        <v>2</v>
      </c>
      <c r="S7" s="7">
        <v>2</v>
      </c>
      <c r="T7" s="7">
        <v>2</v>
      </c>
      <c r="U7" s="7">
        <v>2.5</v>
      </c>
      <c r="V7" s="7">
        <v>2.5</v>
      </c>
      <c r="W7" s="7">
        <v>2.5</v>
      </c>
      <c r="X7" s="7">
        <v>1.5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f t="shared" ref="AH7:AH11" si="2">SUM(C7:AG7)</f>
        <v>45</v>
      </c>
      <c r="AJ7" s="15">
        <f t="shared" ref="AJ7:AJ11" si="3">AH7*$E$1</f>
        <v>2582.1888412017165</v>
      </c>
      <c r="AK7" s="16">
        <f>AH17</f>
        <v>2335</v>
      </c>
      <c r="AL7" s="15">
        <f t="shared" ref="AL7:AL11" si="4">AK7-AJ7</f>
        <v>-247.18884120171651</v>
      </c>
      <c r="AM7" s="16">
        <f t="shared" ref="AM7:AM8" si="5">N26</f>
        <v>3246.761904761905</v>
      </c>
      <c r="AN7" s="15">
        <f t="shared" ref="AN7:AN11" si="6">AM7-AL7</f>
        <v>3493.9507459636216</v>
      </c>
      <c r="AO7" s="15">
        <f>'Meal April''21 &amp; Rent May (2)'!AS7</f>
        <v>-4679.2668344465692</v>
      </c>
      <c r="AP7" s="15">
        <f t="shared" si="0"/>
        <v>8173.2175804101907</v>
      </c>
      <c r="AQ7" s="6"/>
      <c r="AR7" s="17"/>
      <c r="AS7" s="15">
        <f t="shared" si="1"/>
        <v>-8173.2175804101907</v>
      </c>
    </row>
    <row r="8" spans="1:49" x14ac:dyDescent="0.4">
      <c r="A8" s="2">
        <v>4</v>
      </c>
      <c r="B8" s="3" t="s">
        <v>57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2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2.5</v>
      </c>
      <c r="AH8" s="7">
        <f t="shared" si="2"/>
        <v>56.5</v>
      </c>
      <c r="AJ8" s="15">
        <f>AH8*$E$1</f>
        <v>3242.0815450643777</v>
      </c>
      <c r="AK8" s="16">
        <f>AH18</f>
        <v>2460</v>
      </c>
      <c r="AL8" s="15">
        <f t="shared" si="4"/>
        <v>-782.08154506437768</v>
      </c>
      <c r="AM8" s="16">
        <f t="shared" si="5"/>
        <v>3246.761904761905</v>
      </c>
      <c r="AN8" s="15">
        <f t="shared" si="6"/>
        <v>4028.8434498262827</v>
      </c>
      <c r="AO8" s="15">
        <f>'Meal April''21 &amp; Rent May (2)'!AS8+'Iftar accounts-2021'!AL8</f>
        <v>-347.99880703567828</v>
      </c>
      <c r="AP8" s="15">
        <f t="shared" si="0"/>
        <v>4376.8422568619608</v>
      </c>
      <c r="AQ8" s="6">
        <v>2000</v>
      </c>
      <c r="AR8" s="17">
        <v>44365</v>
      </c>
      <c r="AS8" s="15">
        <f>AQ8-AP8</f>
        <v>-2376.8422568619608</v>
      </c>
      <c r="AT8" s="25"/>
      <c r="AU8" s="25"/>
    </row>
    <row r="9" spans="1:49" x14ac:dyDescent="0.4">
      <c r="A9" s="2">
        <v>5</v>
      </c>
      <c r="B9" s="12" t="s">
        <v>51</v>
      </c>
      <c r="C9" s="7">
        <v>1</v>
      </c>
      <c r="D9" s="7">
        <v>1</v>
      </c>
      <c r="E9" s="7">
        <v>1</v>
      </c>
      <c r="F9" s="7">
        <v>3</v>
      </c>
      <c r="G9" s="7">
        <v>3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1.5</v>
      </c>
      <c r="V9" s="7">
        <v>1.5</v>
      </c>
      <c r="W9" s="7">
        <v>1.5</v>
      </c>
      <c r="X9" s="7">
        <v>1.5</v>
      </c>
      <c r="Y9" s="7">
        <v>1.5</v>
      </c>
      <c r="Z9" s="7">
        <v>1.5</v>
      </c>
      <c r="AA9" s="7">
        <v>1.5</v>
      </c>
      <c r="AB9" s="7">
        <v>2.5</v>
      </c>
      <c r="AC9" s="7">
        <v>1</v>
      </c>
      <c r="AD9" s="7">
        <v>2.5</v>
      </c>
      <c r="AE9" s="7">
        <v>2.5</v>
      </c>
      <c r="AF9" s="7">
        <v>2.5</v>
      </c>
      <c r="AG9" s="7">
        <v>1.5</v>
      </c>
      <c r="AH9" s="7">
        <f t="shared" si="2"/>
        <v>36</v>
      </c>
      <c r="AJ9" s="15">
        <f>$AH$9*$E$1</f>
        <v>2065.7510729613732</v>
      </c>
      <c r="AK9" s="16">
        <f>AH19</f>
        <v>2305</v>
      </c>
      <c r="AL9" s="15">
        <f>AK9-AJ9</f>
        <v>239.24892703862679</v>
      </c>
      <c r="AM9" s="16">
        <f>N28</f>
        <v>3246.761904761905</v>
      </c>
      <c r="AN9" s="15">
        <f t="shared" si="6"/>
        <v>3007.5129777232783</v>
      </c>
      <c r="AO9" s="15">
        <f>'Meal April''21 &amp; Rent May (2)'!AS9+'Iftar accounts-2021'!AL9</f>
        <v>553.18773055591032</v>
      </c>
      <c r="AP9" s="15">
        <f t="shared" si="0"/>
        <v>2454.3252471673677</v>
      </c>
      <c r="AQ9" s="6">
        <f>120+2335</f>
        <v>2455</v>
      </c>
      <c r="AR9" s="17">
        <v>44365</v>
      </c>
      <c r="AS9" s="15">
        <f>AQ9-AP9</f>
        <v>0.67475283263229358</v>
      </c>
      <c r="AU9" s="25"/>
    </row>
    <row r="10" spans="1:49" x14ac:dyDescent="0.4">
      <c r="A10" s="2">
        <v>6</v>
      </c>
      <c r="B10" s="3" t="s">
        <v>7</v>
      </c>
      <c r="C10" s="7">
        <v>2</v>
      </c>
      <c r="D10" s="7">
        <v>2</v>
      </c>
      <c r="E10" s="7">
        <v>2</v>
      </c>
      <c r="F10" s="7">
        <v>1</v>
      </c>
      <c r="G10" s="7">
        <v>1</v>
      </c>
      <c r="H10" s="7">
        <v>2</v>
      </c>
      <c r="I10" s="7">
        <v>2</v>
      </c>
      <c r="J10" s="7">
        <v>2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1</v>
      </c>
      <c r="T10" s="7">
        <v>1</v>
      </c>
      <c r="U10" s="7">
        <v>1.5</v>
      </c>
      <c r="V10" s="7">
        <v>1.5</v>
      </c>
      <c r="W10" s="7">
        <v>0</v>
      </c>
      <c r="X10" s="7">
        <v>2.5</v>
      </c>
      <c r="Y10" s="7">
        <v>2.5</v>
      </c>
      <c r="Z10" s="7">
        <v>1.5</v>
      </c>
      <c r="AA10" s="7">
        <v>1.5</v>
      </c>
      <c r="AB10" s="7">
        <v>2.5</v>
      </c>
      <c r="AC10" s="7">
        <v>1.5</v>
      </c>
      <c r="AD10" s="7">
        <v>2.5</v>
      </c>
      <c r="AE10" s="7">
        <v>2.5</v>
      </c>
      <c r="AF10" s="7">
        <v>2.5</v>
      </c>
      <c r="AG10" s="7">
        <v>1.5</v>
      </c>
      <c r="AH10" s="7">
        <f t="shared" si="2"/>
        <v>43</v>
      </c>
      <c r="AJ10" s="15">
        <f>AH10*$E$1+150</f>
        <v>2617.4248927038625</v>
      </c>
      <c r="AK10" s="16">
        <f t="shared" ref="AK10" si="7">AH20</f>
        <v>2985</v>
      </c>
      <c r="AL10" s="15">
        <f t="shared" si="4"/>
        <v>367.5751072961375</v>
      </c>
      <c r="AM10" s="16">
        <f>N29</f>
        <v>4413.4285714285706</v>
      </c>
      <c r="AN10" s="15">
        <f t="shared" si="6"/>
        <v>4045.8534641324331</v>
      </c>
      <c r="AO10" s="15">
        <f>'Meal April''21 &amp; Rent May (2)'!AS10+'Iftar accounts-2021'!AL10</f>
        <v>387.64281423453394</v>
      </c>
      <c r="AP10" s="15">
        <f t="shared" si="0"/>
        <v>3658.2106498978992</v>
      </c>
      <c r="AQ10" s="6">
        <f>-500+4158.21</f>
        <v>3658.21</v>
      </c>
      <c r="AR10" s="17">
        <v>44362</v>
      </c>
      <c r="AS10" s="15">
        <f t="shared" si="1"/>
        <v>-6.4989789916580776E-4</v>
      </c>
    </row>
    <row r="11" spans="1:49" x14ac:dyDescent="0.4">
      <c r="A11" s="2">
        <v>7</v>
      </c>
      <c r="B11" s="3" t="s">
        <v>8</v>
      </c>
      <c r="C11" s="7">
        <v>1</v>
      </c>
      <c r="D11" s="7">
        <v>2</v>
      </c>
      <c r="E11" s="7">
        <v>2</v>
      </c>
      <c r="F11" s="7">
        <v>2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2</v>
      </c>
      <c r="U11" s="7">
        <v>2.5</v>
      </c>
      <c r="V11" s="7">
        <v>2.5</v>
      </c>
      <c r="W11" s="7">
        <v>2.5</v>
      </c>
      <c r="X11" s="7">
        <v>2.5</v>
      </c>
      <c r="Y11" s="7">
        <v>2.5</v>
      </c>
      <c r="Z11" s="7">
        <v>2.5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2</v>
      </c>
      <c r="AG11" s="7">
        <v>2</v>
      </c>
      <c r="AH11" s="7">
        <f t="shared" si="2"/>
        <v>43.5</v>
      </c>
      <c r="AJ11" s="15">
        <f t="shared" si="3"/>
        <v>2496.1158798283259</v>
      </c>
      <c r="AK11" s="16">
        <f>AH21+450</f>
        <v>3180</v>
      </c>
      <c r="AL11" s="15">
        <f t="shared" si="4"/>
        <v>683.88412017167411</v>
      </c>
      <c r="AM11" s="16">
        <f>N30</f>
        <v>4413.4285714285706</v>
      </c>
      <c r="AN11" s="15">
        <f t="shared" si="6"/>
        <v>3729.5444512568965</v>
      </c>
      <c r="AO11" s="15">
        <f>'Meal April''21 &amp; Rent May (2)'!AS11+'Iftar accounts-2021'!AL11</f>
        <v>625.37290039181562</v>
      </c>
      <c r="AP11" s="15">
        <f t="shared" si="0"/>
        <v>3104.1715508650809</v>
      </c>
      <c r="AQ11" s="6">
        <f>1000+2000</f>
        <v>3000</v>
      </c>
      <c r="AR11" s="17" t="s">
        <v>83</v>
      </c>
      <c r="AS11" s="15">
        <f>AQ11-AP11</f>
        <v>-104.17155086508092</v>
      </c>
    </row>
    <row r="12" spans="1:49" x14ac:dyDescent="0.4">
      <c r="A12" s="1"/>
      <c r="B12" s="1"/>
      <c r="C12" s="7">
        <f>SUM(C5:C11)</f>
        <v>12</v>
      </c>
      <c r="D12" s="7">
        <f t="shared" ref="D12:AG12" si="8">SUM(D5:D11)</f>
        <v>13</v>
      </c>
      <c r="E12" s="7">
        <f t="shared" si="8"/>
        <v>14</v>
      </c>
      <c r="F12" s="7">
        <f t="shared" si="8"/>
        <v>14</v>
      </c>
      <c r="G12" s="7">
        <f t="shared" si="8"/>
        <v>13</v>
      </c>
      <c r="H12" s="7">
        <f t="shared" si="8"/>
        <v>11</v>
      </c>
      <c r="I12" s="7">
        <f t="shared" si="8"/>
        <v>10</v>
      </c>
      <c r="J12" s="7">
        <f t="shared" si="8"/>
        <v>9</v>
      </c>
      <c r="K12" s="7">
        <f t="shared" si="8"/>
        <v>8</v>
      </c>
      <c r="L12" s="7">
        <f t="shared" si="8"/>
        <v>7</v>
      </c>
      <c r="M12" s="7">
        <f t="shared" si="8"/>
        <v>6</v>
      </c>
      <c r="N12" s="7">
        <f t="shared" si="8"/>
        <v>4</v>
      </c>
      <c r="O12" s="7">
        <f t="shared" si="8"/>
        <v>3</v>
      </c>
      <c r="P12" s="7">
        <f t="shared" si="8"/>
        <v>4</v>
      </c>
      <c r="Q12" s="7">
        <f t="shared" si="8"/>
        <v>4</v>
      </c>
      <c r="R12" s="7">
        <f t="shared" si="8"/>
        <v>7</v>
      </c>
      <c r="S12" s="7">
        <f t="shared" si="8"/>
        <v>9</v>
      </c>
      <c r="T12" s="7">
        <f t="shared" si="8"/>
        <v>12</v>
      </c>
      <c r="U12" s="7">
        <f t="shared" si="8"/>
        <v>16</v>
      </c>
      <c r="V12" s="7">
        <f t="shared" si="8"/>
        <v>17</v>
      </c>
      <c r="W12" s="7">
        <f t="shared" si="8"/>
        <v>13.5</v>
      </c>
      <c r="X12" s="7">
        <f t="shared" si="8"/>
        <v>16</v>
      </c>
      <c r="Y12" s="7">
        <f t="shared" si="8"/>
        <v>13.5</v>
      </c>
      <c r="Z12" s="7">
        <f t="shared" si="8"/>
        <v>15</v>
      </c>
      <c r="AA12" s="7">
        <f t="shared" si="8"/>
        <v>14.5</v>
      </c>
      <c r="AB12" s="7">
        <f t="shared" si="8"/>
        <v>13.5</v>
      </c>
      <c r="AC12" s="7">
        <f t="shared" si="8"/>
        <v>12.5</v>
      </c>
      <c r="AD12" s="7">
        <f t="shared" si="8"/>
        <v>15</v>
      </c>
      <c r="AE12" s="7">
        <f t="shared" si="8"/>
        <v>15</v>
      </c>
      <c r="AF12" s="7">
        <f t="shared" si="8"/>
        <v>15.5</v>
      </c>
      <c r="AG12" s="7">
        <f t="shared" si="8"/>
        <v>12.5</v>
      </c>
      <c r="AH12" s="7">
        <f>SUM(AH5:AH11)</f>
        <v>349.5</v>
      </c>
      <c r="AJ12" s="15">
        <f t="shared" ref="AJ12:AN12" si="9">SUM(AJ5:AJ11)</f>
        <v>20504.999999999996</v>
      </c>
      <c r="AK12" s="16">
        <f t="shared" si="9"/>
        <v>20505</v>
      </c>
      <c r="AL12" s="16">
        <f t="shared" si="9"/>
        <v>9.0949470177292824E-13</v>
      </c>
      <c r="AM12" s="16">
        <f>SUM(AM5:AM11)</f>
        <v>27394</v>
      </c>
      <c r="AN12" s="16">
        <f t="shared" si="9"/>
        <v>27394</v>
      </c>
      <c r="AO12" s="16">
        <f>SUM(AO5:AO11)</f>
        <v>-4074.8122826606891</v>
      </c>
      <c r="AP12" s="15">
        <f>AN12-AO12+$AU$4</f>
        <v>31468.812282660689</v>
      </c>
      <c r="AQ12" s="16">
        <f>SUM(AQ5:AQ11)</f>
        <v>21113.21</v>
      </c>
      <c r="AR12" s="16"/>
      <c r="AS12" s="16">
        <f>SUM(AS5:AS11)</f>
        <v>-10355.602282660686</v>
      </c>
      <c r="AT12" s="9">
        <f>AS12-3000</f>
        <v>-13355.602282660686</v>
      </c>
    </row>
    <row r="13" spans="1:49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>
        <f>23774</f>
        <v>23774</v>
      </c>
      <c r="AU13" s="9">
        <v>13420</v>
      </c>
      <c r="AV13" s="9">
        <f>AT13-AU13</f>
        <v>10354</v>
      </c>
      <c r="AW13" s="9"/>
    </row>
    <row r="14" spans="1:49" x14ac:dyDescent="0.4">
      <c r="B14" s="10" t="s">
        <v>80</v>
      </c>
      <c r="AT14" s="9">
        <f>SUM(AT12:AT13)</f>
        <v>10418.397717339314</v>
      </c>
    </row>
    <row r="15" spans="1:49" x14ac:dyDescent="0.4">
      <c r="A15" s="2">
        <v>1</v>
      </c>
      <c r="B15" s="3" t="s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2645</v>
      </c>
      <c r="AF15" s="8">
        <v>0</v>
      </c>
      <c r="AG15" s="8">
        <v>0</v>
      </c>
      <c r="AH15" s="8">
        <f>SUM(C15:AG15)</f>
        <v>2645</v>
      </c>
      <c r="AP15" s="25">
        <v>31545</v>
      </c>
      <c r="AR15" s="1"/>
      <c r="AS15" s="8"/>
      <c r="AT15">
        <v>2000</v>
      </c>
    </row>
    <row r="16" spans="1:49" x14ac:dyDescent="0.4">
      <c r="A16" s="2">
        <v>2</v>
      </c>
      <c r="B16" s="3" t="s">
        <v>5</v>
      </c>
      <c r="C16" s="8">
        <v>3975</v>
      </c>
      <c r="D16" s="8">
        <v>200</v>
      </c>
      <c r="E16" s="8">
        <v>0</v>
      </c>
      <c r="F16" s="8">
        <v>420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4595</v>
      </c>
      <c r="AP16">
        <v>18640</v>
      </c>
      <c r="AQ16">
        <v>6900</v>
      </c>
      <c r="AR16" s="1">
        <f>AP16+AQ16</f>
        <v>25540</v>
      </c>
      <c r="AS16" s="8"/>
      <c r="AT16" s="25">
        <f>AT14+AT15+AS20</f>
        <v>16576.607717339313</v>
      </c>
    </row>
    <row r="17" spans="1:46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f>10+40</f>
        <v>50</v>
      </c>
      <c r="G17" s="8">
        <v>0</v>
      </c>
      <c r="H17" s="8">
        <v>0</v>
      </c>
      <c r="I17" s="8">
        <v>0</v>
      </c>
      <c r="J17" s="8">
        <v>0</v>
      </c>
      <c r="K17" s="8">
        <v>325</v>
      </c>
      <c r="L17" s="8">
        <v>460</v>
      </c>
      <c r="M17" s="8">
        <v>50</v>
      </c>
      <c r="N17" s="8">
        <v>680</v>
      </c>
      <c r="O17" s="8">
        <v>0</v>
      </c>
      <c r="P17" s="8">
        <v>75</v>
      </c>
      <c r="Q17" s="8">
        <v>175</v>
      </c>
      <c r="R17" s="8">
        <v>520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2335</v>
      </c>
      <c r="AP17" s="25">
        <f>AP15-AP16</f>
        <v>12905</v>
      </c>
      <c r="AR17" s="15">
        <f>AP15-AR16</f>
        <v>6005</v>
      </c>
      <c r="AS17" s="8"/>
      <c r="AT17" s="25"/>
    </row>
    <row r="18" spans="1:46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2120</v>
      </c>
      <c r="I18" s="8">
        <v>30</v>
      </c>
      <c r="J18" s="8">
        <v>210</v>
      </c>
      <c r="K18" s="8">
        <v>0</v>
      </c>
      <c r="L18" s="8">
        <v>0</v>
      </c>
      <c r="M18" s="8">
        <v>0</v>
      </c>
      <c r="N18" s="8">
        <v>0</v>
      </c>
      <c r="O18" s="8">
        <v>100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2460</v>
      </c>
      <c r="AP18" s="25">
        <f>AP17+AO12</f>
        <v>8830.1877173393113</v>
      </c>
    </row>
    <row r="19" spans="1:46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1000</v>
      </c>
      <c r="T19" s="8">
        <v>430</v>
      </c>
      <c r="U19" s="8">
        <v>730</v>
      </c>
      <c r="V19" s="8">
        <v>145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2305</v>
      </c>
    </row>
    <row r="20" spans="1:46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f>160+890</f>
        <v>1050</v>
      </c>
      <c r="AC20" s="8">
        <v>1935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2985</v>
      </c>
      <c r="AS20">
        <f>4158.21</f>
        <v>4158.21</v>
      </c>
      <c r="AT20" s="25"/>
    </row>
    <row r="21" spans="1:46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f>430+775</f>
        <v>1205</v>
      </c>
      <c r="X21" s="8">
        <v>815</v>
      </c>
      <c r="Y21" s="8">
        <v>0</v>
      </c>
      <c r="Z21" s="8">
        <v>600</v>
      </c>
      <c r="AA21" s="8">
        <v>110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2730</v>
      </c>
    </row>
    <row r="22" spans="1:46" x14ac:dyDescent="0.4">
      <c r="AH22" s="9">
        <f>SUM(AH15:AH21)</f>
        <v>20055</v>
      </c>
    </row>
    <row r="23" spans="1:46" x14ac:dyDescent="0.4">
      <c r="A23" s="4"/>
      <c r="B23" s="13" t="s">
        <v>76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6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428.57142857142856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334.14285714285717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0</v>
      </c>
      <c r="N24" s="8">
        <f t="shared" ref="N24:N30" si="11">SUM(C24:M24)</f>
        <v>4413.4285714285706</v>
      </c>
    </row>
    <row r="25" spans="1:46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428.57142857142856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334.14285714285717</v>
      </c>
      <c r="I25" s="8">
        <f t="shared" ref="I25:I30" si="16">$I$31/7</f>
        <v>244.28571428571428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0</v>
      </c>
      <c r="N25" s="8">
        <f t="shared" si="11"/>
        <v>4413.4285714285706</v>
      </c>
    </row>
    <row r="26" spans="1:46" x14ac:dyDescent="0.4">
      <c r="A26" s="2">
        <v>3</v>
      </c>
      <c r="B26" s="12" t="s">
        <v>6</v>
      </c>
      <c r="C26" s="8">
        <f>H36</f>
        <v>1976.1904761904761</v>
      </c>
      <c r="D26" s="8">
        <f t="shared" si="12"/>
        <v>428.57142857142856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334.14285714285717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0</v>
      </c>
      <c r="N26" s="8">
        <f t="shared" si="11"/>
        <v>3246.761904761905</v>
      </c>
    </row>
    <row r="27" spans="1:46" x14ac:dyDescent="0.4">
      <c r="A27" s="2">
        <v>4</v>
      </c>
      <c r="B27" s="12" t="s">
        <v>57</v>
      </c>
      <c r="C27" s="8">
        <f>H36</f>
        <v>1976.1904761904761</v>
      </c>
      <c r="D27" s="8">
        <f t="shared" si="12"/>
        <v>428.57142857142856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334.14285714285717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0</v>
      </c>
      <c r="N27" s="8">
        <f t="shared" si="11"/>
        <v>3246.761904761905</v>
      </c>
    </row>
    <row r="28" spans="1:46" x14ac:dyDescent="0.4">
      <c r="A28" s="2">
        <v>5</v>
      </c>
      <c r="B28" s="12" t="s">
        <v>51</v>
      </c>
      <c r="C28" s="8">
        <f>H36</f>
        <v>1976.1904761904761</v>
      </c>
      <c r="D28" s="8">
        <f t="shared" si="12"/>
        <v>428.57142857142856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334.14285714285717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0</v>
      </c>
      <c r="N28" s="8">
        <f t="shared" si="11"/>
        <v>3246.761904761905</v>
      </c>
    </row>
    <row r="29" spans="1:46" x14ac:dyDescent="0.4">
      <c r="A29" s="2">
        <v>6</v>
      </c>
      <c r="B29" s="12" t="s">
        <v>7</v>
      </c>
      <c r="C29" s="8">
        <f>H35</f>
        <v>3142.8571428571427</v>
      </c>
      <c r="D29" s="8">
        <f t="shared" si="12"/>
        <v>428.57142857142856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334.14285714285717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0</v>
      </c>
      <c r="N29" s="8">
        <f t="shared" si="11"/>
        <v>4413.4285714285706</v>
      </c>
    </row>
    <row r="30" spans="1:46" x14ac:dyDescent="0.4">
      <c r="A30" s="2">
        <v>7</v>
      </c>
      <c r="B30" s="12" t="s">
        <v>8</v>
      </c>
      <c r="C30" s="8">
        <f>H35</f>
        <v>3142.8571428571427</v>
      </c>
      <c r="D30" s="8">
        <f t="shared" si="12"/>
        <v>428.57142857142856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334.14285714285717</v>
      </c>
      <c r="I30" s="8">
        <f t="shared" si="16"/>
        <v>244.28571428571428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0</v>
      </c>
      <c r="N30" s="8">
        <f t="shared" si="11"/>
        <v>4413.4285714285706</v>
      </c>
    </row>
    <row r="31" spans="1:46" x14ac:dyDescent="0.4">
      <c r="C31" s="8">
        <f>SUM(C24:C30)</f>
        <v>18500</v>
      </c>
      <c r="D31" s="40">
        <v>3000</v>
      </c>
      <c r="E31" s="8"/>
      <c r="F31" s="8">
        <f>500</f>
        <v>500</v>
      </c>
      <c r="G31" s="8">
        <f>975</f>
        <v>975</v>
      </c>
      <c r="H31" s="14">
        <v>2339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/>
      <c r="N31" s="8">
        <f>SUM(N24:N30)</f>
        <v>27394</v>
      </c>
      <c r="O31" s="9">
        <f>O38+O46</f>
        <v>27394</v>
      </c>
      <c r="P31" s="9">
        <f>N31-O31</f>
        <v>0</v>
      </c>
    </row>
    <row r="33" spans="4:16" x14ac:dyDescent="0.4">
      <c r="N33" t="s">
        <v>61</v>
      </c>
      <c r="O33" s="9">
        <f>C31</f>
        <v>18500</v>
      </c>
    </row>
    <row r="34" spans="4:16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1710</v>
      </c>
    </row>
    <row r="36" spans="4:16" x14ac:dyDescent="0.4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2339</v>
      </c>
    </row>
    <row r="37" spans="4:16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4">
      <c r="O38" s="9">
        <f>SUM(O33:O37)</f>
        <v>23774</v>
      </c>
    </row>
    <row r="40" spans="4:16" x14ac:dyDescent="0.4">
      <c r="P40" s="9">
        <f>O38+O46</f>
        <v>27394</v>
      </c>
    </row>
    <row r="41" spans="4:16" x14ac:dyDescent="0.4">
      <c r="N41" t="s">
        <v>12</v>
      </c>
      <c r="O41" s="9">
        <f>D31</f>
        <v>3000</v>
      </c>
    </row>
    <row r="42" spans="4:16" x14ac:dyDescent="0.4">
      <c r="N42" t="s">
        <v>13</v>
      </c>
      <c r="O42" s="9">
        <f>E31</f>
        <v>0</v>
      </c>
    </row>
    <row r="43" spans="4:16" x14ac:dyDescent="0.4">
      <c r="N43" t="s">
        <v>14</v>
      </c>
      <c r="O43" s="9">
        <f>F31</f>
        <v>500</v>
      </c>
    </row>
    <row r="44" spans="4:16" x14ac:dyDescent="0.4">
      <c r="N44" t="s">
        <v>20</v>
      </c>
      <c r="O44" s="9">
        <f>L31</f>
        <v>120</v>
      </c>
    </row>
    <row r="45" spans="4:16" x14ac:dyDescent="0.4">
      <c r="N45" t="s">
        <v>21</v>
      </c>
      <c r="O45" s="9">
        <f>M31</f>
        <v>0</v>
      </c>
    </row>
    <row r="46" spans="4:16" x14ac:dyDescent="0.4">
      <c r="O46" s="9">
        <f>SUM(O41:O45)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4E23-9F94-4C38-A737-1F5DCB336887}">
  <dimension ref="A1:BB46"/>
  <sheetViews>
    <sheetView zoomScaleNormal="100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Q5" sqref="AQ5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17" customWidth="1"/>
    <col min="42" max="42" width="18.19921875" customWidth="1"/>
    <col min="43" max="43" width="12.19921875" bestFit="1" customWidth="1"/>
    <col min="44" max="44" width="13.3984375" bestFit="1" customWidth="1"/>
    <col min="45" max="45" width="12.796875" customWidth="1"/>
    <col min="46" max="46" width="11.19921875" bestFit="1" customWidth="1"/>
    <col min="47" max="47" width="10.19921875" bestFit="1" customWidth="1"/>
    <col min="48" max="48" width="30.19921875" bestFit="1" customWidth="1"/>
    <col min="49" max="49" width="10.09765625" bestFit="1" customWidth="1"/>
  </cols>
  <sheetData>
    <row r="1" spans="1:54" x14ac:dyDescent="0.4">
      <c r="C1" s="204" t="s">
        <v>108</v>
      </c>
      <c r="D1" s="204"/>
      <c r="E1" s="203">
        <f>AH22/AH12</f>
        <v>48.715404699738905</v>
      </c>
      <c r="F1" s="203"/>
    </row>
    <row r="2" spans="1:54" ht="25.5" customHeight="1" x14ac:dyDescent="0.4">
      <c r="C2" s="204"/>
      <c r="D2" s="204"/>
      <c r="E2" s="203"/>
      <c r="F2" s="203"/>
    </row>
    <row r="4" spans="1:54" ht="62.4" x14ac:dyDescent="0.4">
      <c r="A4" s="4" t="s">
        <v>0</v>
      </c>
      <c r="B4" s="4" t="s">
        <v>2</v>
      </c>
      <c r="C4" s="5">
        <v>44348</v>
      </c>
      <c r="D4" s="5">
        <v>44349</v>
      </c>
      <c r="E4" s="5">
        <v>44350</v>
      </c>
      <c r="F4" s="5">
        <v>44351</v>
      </c>
      <c r="G4" s="5">
        <v>44352</v>
      </c>
      <c r="H4" s="5">
        <v>44353</v>
      </c>
      <c r="I4" s="5">
        <v>44354</v>
      </c>
      <c r="J4" s="5">
        <v>44355</v>
      </c>
      <c r="K4" s="5">
        <v>44356</v>
      </c>
      <c r="L4" s="5">
        <v>44357</v>
      </c>
      <c r="M4" s="5">
        <v>44358</v>
      </c>
      <c r="N4" s="5">
        <v>44359</v>
      </c>
      <c r="O4" s="5">
        <v>44360</v>
      </c>
      <c r="P4" s="5">
        <v>44361</v>
      </c>
      <c r="Q4" s="5">
        <v>44362</v>
      </c>
      <c r="R4" s="5">
        <v>44363</v>
      </c>
      <c r="S4" s="5">
        <v>44364</v>
      </c>
      <c r="T4" s="5">
        <v>44365</v>
      </c>
      <c r="U4" s="5">
        <v>44366</v>
      </c>
      <c r="V4" s="5">
        <v>44367</v>
      </c>
      <c r="W4" s="5">
        <v>44368</v>
      </c>
      <c r="X4" s="5">
        <v>44369</v>
      </c>
      <c r="Y4" s="5">
        <v>44370</v>
      </c>
      <c r="Z4" s="5">
        <v>44371</v>
      </c>
      <c r="AA4" s="5">
        <v>44372</v>
      </c>
      <c r="AB4" s="5">
        <v>44373</v>
      </c>
      <c r="AC4" s="5">
        <v>44374</v>
      </c>
      <c r="AD4" s="5">
        <v>44375</v>
      </c>
      <c r="AE4" s="5">
        <v>44376</v>
      </c>
      <c r="AF4" s="5">
        <v>44377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85</v>
      </c>
      <c r="AN4" s="4" t="s">
        <v>27</v>
      </c>
      <c r="AO4" s="46" t="s">
        <v>30</v>
      </c>
      <c r="AP4" s="46" t="s">
        <v>32</v>
      </c>
      <c r="AQ4" s="46" t="s">
        <v>28</v>
      </c>
      <c r="AR4" s="46" t="s">
        <v>29</v>
      </c>
      <c r="AS4" s="46" t="s">
        <v>31</v>
      </c>
      <c r="AT4" s="45"/>
      <c r="AV4" s="43"/>
      <c r="AZ4" s="1" t="s">
        <v>96</v>
      </c>
      <c r="BA4" s="1"/>
      <c r="BB4" s="1"/>
    </row>
    <row r="5" spans="1:54" x14ac:dyDescent="0.4">
      <c r="A5" s="2">
        <v>1</v>
      </c>
      <c r="B5" s="3" t="s">
        <v>4</v>
      </c>
      <c r="C5" s="7">
        <v>1</v>
      </c>
      <c r="D5" s="7">
        <v>2.5</v>
      </c>
      <c r="E5" s="7">
        <v>2.5</v>
      </c>
      <c r="F5" s="7">
        <v>2.5</v>
      </c>
      <c r="G5" s="7">
        <v>2</v>
      </c>
      <c r="H5" s="7">
        <v>2.5</v>
      </c>
      <c r="I5" s="7">
        <v>1</v>
      </c>
      <c r="J5" s="7">
        <v>2</v>
      </c>
      <c r="K5" s="7">
        <v>2.5</v>
      </c>
      <c r="L5" s="7">
        <v>2.5</v>
      </c>
      <c r="M5" s="7">
        <v>2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2</v>
      </c>
      <c r="W5" s="7">
        <v>2</v>
      </c>
      <c r="X5" s="7">
        <v>2</v>
      </c>
      <c r="Y5" s="7">
        <v>2</v>
      </c>
      <c r="Z5" s="7">
        <v>1</v>
      </c>
      <c r="AA5" s="7">
        <v>0</v>
      </c>
      <c r="AB5" s="7">
        <v>1</v>
      </c>
      <c r="AC5" s="7">
        <v>2</v>
      </c>
      <c r="AD5" s="7">
        <v>2</v>
      </c>
      <c r="AE5" s="7">
        <v>2</v>
      </c>
      <c r="AF5" s="7">
        <v>2</v>
      </c>
      <c r="AG5" s="7">
        <v>0</v>
      </c>
      <c r="AH5" s="7">
        <f>SUM(C5:AG5)</f>
        <v>45</v>
      </c>
      <c r="AJ5" s="15">
        <f>AH5*$E$1</f>
        <v>2192.1932114882507</v>
      </c>
      <c r="AK5" s="16">
        <f>AH15</f>
        <v>3190</v>
      </c>
      <c r="AL5" s="15">
        <f t="shared" ref="AL5:AL11" si="0">AK5-AJ5</f>
        <v>997.80678851174935</v>
      </c>
      <c r="AM5" s="16">
        <f>N24</f>
        <v>4634.7142857142853</v>
      </c>
      <c r="AN5" s="15">
        <f>AM5-AL5</f>
        <v>3636.907497202536</v>
      </c>
      <c r="AO5" s="15">
        <f>'Meal May''21 &amp; Rent June 2021'!AS5</f>
        <v>650.00104329158194</v>
      </c>
      <c r="AP5" s="15">
        <f>AN5-AO5</f>
        <v>2986.906453910954</v>
      </c>
      <c r="AQ5" s="6">
        <f>3500+500</f>
        <v>4000</v>
      </c>
      <c r="AR5" s="17">
        <v>44387</v>
      </c>
      <c r="AS5" s="15">
        <f>AQ5-AP5</f>
        <v>1013.093546089046</v>
      </c>
      <c r="AU5">
        <v>2000</v>
      </c>
      <c r="AW5" s="9"/>
      <c r="AZ5" s="1" t="s">
        <v>97</v>
      </c>
      <c r="BA5" s="1">
        <v>4000</v>
      </c>
      <c r="BB5" s="1"/>
    </row>
    <row r="6" spans="1:54" x14ac:dyDescent="0.4">
      <c r="A6" s="2">
        <v>2</v>
      </c>
      <c r="B6" s="3" t="s">
        <v>5</v>
      </c>
      <c r="C6" s="7">
        <v>4</v>
      </c>
      <c r="D6" s="7">
        <v>2</v>
      </c>
      <c r="E6" s="7">
        <v>2.5</v>
      </c>
      <c r="F6" s="7">
        <v>0.5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1.5</v>
      </c>
      <c r="M6" s="7">
        <v>1.5</v>
      </c>
      <c r="N6" s="7">
        <v>2</v>
      </c>
      <c r="O6" s="7">
        <v>2</v>
      </c>
      <c r="P6" s="7">
        <v>2</v>
      </c>
      <c r="Q6" s="7">
        <v>2.5</v>
      </c>
      <c r="R6" s="7">
        <v>2.5</v>
      </c>
      <c r="S6" s="7">
        <v>2.5</v>
      </c>
      <c r="T6" s="7">
        <v>6.5</v>
      </c>
      <c r="U6" s="7">
        <v>2.5</v>
      </c>
      <c r="V6" s="7">
        <v>2.5</v>
      </c>
      <c r="W6" s="7">
        <v>0</v>
      </c>
      <c r="X6" s="7">
        <v>1.5</v>
      </c>
      <c r="Y6" s="7">
        <v>2.5</v>
      </c>
      <c r="Z6" s="7">
        <v>2.5</v>
      </c>
      <c r="AA6" s="7">
        <v>2.5</v>
      </c>
      <c r="AB6" s="7">
        <v>2.5</v>
      </c>
      <c r="AC6" s="7">
        <v>2.5</v>
      </c>
      <c r="AD6" s="7">
        <v>2.5</v>
      </c>
      <c r="AE6" s="7">
        <v>2.5</v>
      </c>
      <c r="AF6" s="7">
        <v>2.5</v>
      </c>
      <c r="AG6" s="7">
        <v>0</v>
      </c>
      <c r="AH6" s="7">
        <f>SUM(C6:AG6)</f>
        <v>59.5</v>
      </c>
      <c r="AJ6" s="15">
        <f>AH6*$E$1</f>
        <v>2898.5665796344647</v>
      </c>
      <c r="AK6" s="16">
        <f>AH16</f>
        <v>3555</v>
      </c>
      <c r="AL6" s="15">
        <f t="shared" si="0"/>
        <v>656.43342036553531</v>
      </c>
      <c r="AM6" s="16">
        <f>N25</f>
        <v>4634.7142857142853</v>
      </c>
      <c r="AN6" s="15">
        <f>AM6-AL6</f>
        <v>3978.28086534875</v>
      </c>
      <c r="AO6" s="15">
        <f>'Meal May''21 &amp; Rent June 2021'!AS6</f>
        <v>-352.04604074976851</v>
      </c>
      <c r="AP6" s="15">
        <f t="shared" ref="AP6:AP11" si="1">AN6-AO6</f>
        <v>4330.3269060985185</v>
      </c>
      <c r="AQ6" s="6">
        <f>4500+245.82</f>
        <v>4745.82</v>
      </c>
      <c r="AR6" s="17">
        <v>44389</v>
      </c>
      <c r="AS6" s="15">
        <f t="shared" ref="AS6:AS10" si="2">AQ6-AP6</f>
        <v>415.49309390148119</v>
      </c>
      <c r="AU6">
        <v>4746</v>
      </c>
      <c r="AW6" s="9"/>
      <c r="AZ6" s="1" t="s">
        <v>36</v>
      </c>
      <c r="BA6" s="1">
        <f>BA5/6</f>
        <v>666.66666666666663</v>
      </c>
      <c r="BB6" s="1">
        <f>BA6*5</f>
        <v>3333.333333333333</v>
      </c>
    </row>
    <row r="7" spans="1:54" x14ac:dyDescent="0.4">
      <c r="A7" s="2">
        <v>3</v>
      </c>
      <c r="B7" s="3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2.5</v>
      </c>
      <c r="N7" s="7">
        <v>2</v>
      </c>
      <c r="O7" s="7">
        <v>2</v>
      </c>
      <c r="P7" s="7">
        <v>2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0</v>
      </c>
      <c r="AH7" s="7">
        <f t="shared" ref="AH7:AH10" si="3">SUM(C7:AG7)</f>
        <v>49.5</v>
      </c>
      <c r="AJ7" s="15">
        <f>AH7*$E$1</f>
        <v>2411.4125326370759</v>
      </c>
      <c r="AK7" s="16">
        <f>AH17</f>
        <v>35</v>
      </c>
      <c r="AL7" s="15">
        <f t="shared" si="0"/>
        <v>-2376.4125326370759</v>
      </c>
      <c r="AM7" s="16">
        <f t="shared" ref="AM7:AM8" si="4">N26</f>
        <v>3468.0476190476197</v>
      </c>
      <c r="AN7" s="15">
        <f t="shared" ref="AN7:AN11" si="5">AM7-AL7</f>
        <v>5844.460151684696</v>
      </c>
      <c r="AO7" s="15">
        <f>'Meal May''21 &amp; Rent June 2021'!AS7</f>
        <v>-8173.2175804101907</v>
      </c>
      <c r="AP7" s="15">
        <f t="shared" si="1"/>
        <v>14017.677732094886</v>
      </c>
      <c r="AQ7" s="6">
        <v>8500</v>
      </c>
      <c r="AR7" s="17">
        <v>44395</v>
      </c>
      <c r="AS7" s="15">
        <f t="shared" si="2"/>
        <v>-5517.6777320948859</v>
      </c>
      <c r="AU7">
        <v>0</v>
      </c>
      <c r="AW7" s="9"/>
      <c r="AZ7" s="1" t="s">
        <v>37</v>
      </c>
      <c r="BA7" s="1"/>
      <c r="BB7" s="1"/>
    </row>
    <row r="8" spans="1:54" x14ac:dyDescent="0.4">
      <c r="A8" s="2">
        <v>4</v>
      </c>
      <c r="B8" s="3" t="s">
        <v>57</v>
      </c>
      <c r="C8" s="7">
        <v>2</v>
      </c>
      <c r="D8" s="7">
        <v>2.5</v>
      </c>
      <c r="E8" s="7">
        <v>1.5</v>
      </c>
      <c r="F8" s="7">
        <v>1.5</v>
      </c>
      <c r="G8" s="7">
        <v>1.5</v>
      </c>
      <c r="H8" s="7">
        <v>0.5</v>
      </c>
      <c r="I8" s="7">
        <v>1.5</v>
      </c>
      <c r="J8" s="7">
        <v>1.5</v>
      </c>
      <c r="K8" s="7">
        <v>1</v>
      </c>
      <c r="L8" s="7">
        <v>1.5</v>
      </c>
      <c r="M8" s="7">
        <v>1.5</v>
      </c>
      <c r="N8" s="7">
        <v>1</v>
      </c>
      <c r="O8" s="7">
        <v>2</v>
      </c>
      <c r="P8" s="7">
        <v>1</v>
      </c>
      <c r="Q8" s="7">
        <v>1.5</v>
      </c>
      <c r="R8" s="7">
        <v>2.5</v>
      </c>
      <c r="S8" s="7">
        <v>1.5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0</v>
      </c>
      <c r="AH8" s="7">
        <f t="shared" si="3"/>
        <v>58.5</v>
      </c>
      <c r="AJ8" s="15">
        <f>AH8*$E$1</f>
        <v>2849.8511749347258</v>
      </c>
      <c r="AK8" s="16">
        <f>AH18</f>
        <v>2102</v>
      </c>
      <c r="AL8" s="15">
        <f t="shared" si="0"/>
        <v>-747.8511749347258</v>
      </c>
      <c r="AM8" s="16">
        <f t="shared" si="4"/>
        <v>3468.0476190476197</v>
      </c>
      <c r="AN8" s="15">
        <f t="shared" si="5"/>
        <v>4215.8987939823455</v>
      </c>
      <c r="AO8" s="15">
        <f>'Meal May''21 &amp; Rent June 2021'!AS8</f>
        <v>-2376.8422568619608</v>
      </c>
      <c r="AP8" s="15">
        <f t="shared" si="1"/>
        <v>6592.7410508443063</v>
      </c>
      <c r="AQ8" s="6">
        <f>4600+2000</f>
        <v>6600</v>
      </c>
      <c r="AR8" s="17">
        <v>44389</v>
      </c>
      <c r="AS8" s="15">
        <f>AQ8-AP8</f>
        <v>7.2589491556936991</v>
      </c>
      <c r="AT8" s="25"/>
      <c r="AU8" s="9">
        <v>6600</v>
      </c>
      <c r="AW8" s="9"/>
      <c r="AZ8" s="1" t="s">
        <v>98</v>
      </c>
      <c r="BA8" s="1">
        <f>$BA$6</f>
        <v>666.66666666666663</v>
      </c>
      <c r="BB8" s="1"/>
    </row>
    <row r="9" spans="1:54" x14ac:dyDescent="0.4">
      <c r="A9" s="2">
        <v>5</v>
      </c>
      <c r="B9" s="12" t="s">
        <v>51</v>
      </c>
      <c r="C9" s="7">
        <v>1</v>
      </c>
      <c r="D9" s="7">
        <v>1.5</v>
      </c>
      <c r="E9" s="7">
        <v>1</v>
      </c>
      <c r="F9" s="7">
        <v>2.5</v>
      </c>
      <c r="G9" s="7">
        <v>2.5</v>
      </c>
      <c r="H9" s="7">
        <v>2.5</v>
      </c>
      <c r="I9" s="7">
        <v>3</v>
      </c>
      <c r="J9" s="7">
        <v>1.5</v>
      </c>
      <c r="K9" s="7">
        <v>1</v>
      </c>
      <c r="L9" s="7">
        <v>0.5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11.5</v>
      </c>
      <c r="U9" s="7">
        <v>3.5</v>
      </c>
      <c r="V9" s="7">
        <v>1.5</v>
      </c>
      <c r="W9" s="7">
        <v>1</v>
      </c>
      <c r="X9" s="7">
        <v>1</v>
      </c>
      <c r="Y9" s="7">
        <v>1.5</v>
      </c>
      <c r="Z9" s="7">
        <v>1.5</v>
      </c>
      <c r="AA9" s="7">
        <v>2.5</v>
      </c>
      <c r="AB9" s="7">
        <v>2.5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f t="shared" si="3"/>
        <v>53.5</v>
      </c>
      <c r="AJ9" s="15">
        <f>$AH$9*$E$1</f>
        <v>2606.2741514360314</v>
      </c>
      <c r="AK9" s="16">
        <f>AH19</f>
        <v>3045</v>
      </c>
      <c r="AL9" s="15">
        <f t="shared" si="0"/>
        <v>438.72584856396861</v>
      </c>
      <c r="AM9" s="16">
        <f>N28</f>
        <v>3468.0476190476197</v>
      </c>
      <c r="AN9" s="15">
        <f t="shared" si="5"/>
        <v>3029.3217704836511</v>
      </c>
      <c r="AO9" s="15">
        <f>'Meal May''21 &amp; Rent June 2021'!AS9</f>
        <v>0.67475283263229358</v>
      </c>
      <c r="AP9" s="15">
        <f t="shared" si="1"/>
        <v>3028.6470176510188</v>
      </c>
      <c r="AQ9" s="6">
        <v>3000</v>
      </c>
      <c r="AR9" s="17">
        <v>44378</v>
      </c>
      <c r="AS9" s="15">
        <f>AQ9-AP9</f>
        <v>-28.647017651018814</v>
      </c>
      <c r="AU9" s="25">
        <v>0</v>
      </c>
      <c r="AZ9" s="1" t="s">
        <v>49</v>
      </c>
      <c r="BA9" s="1">
        <f t="shared" ref="BA9:BA12" si="6">$BA$6</f>
        <v>666.66666666666663</v>
      </c>
      <c r="BB9" s="1"/>
    </row>
    <row r="10" spans="1:54" x14ac:dyDescent="0.4">
      <c r="A10" s="2">
        <v>6</v>
      </c>
      <c r="B10" s="3" t="s">
        <v>7</v>
      </c>
      <c r="C10" s="7">
        <v>1</v>
      </c>
      <c r="D10" s="7">
        <v>1.5</v>
      </c>
      <c r="E10" s="7">
        <v>1.5</v>
      </c>
      <c r="F10" s="7">
        <v>2.5</v>
      </c>
      <c r="G10" s="7">
        <v>1.5</v>
      </c>
      <c r="H10" s="7">
        <v>1.5</v>
      </c>
      <c r="I10" s="7">
        <v>1.5</v>
      </c>
      <c r="J10" s="7">
        <v>1.5</v>
      </c>
      <c r="K10" s="7">
        <v>1.5</v>
      </c>
      <c r="L10" s="7">
        <v>1.5</v>
      </c>
      <c r="M10" s="7">
        <v>0</v>
      </c>
      <c r="N10" s="7">
        <v>1</v>
      </c>
      <c r="O10" s="7">
        <v>1</v>
      </c>
      <c r="P10" s="7">
        <v>1</v>
      </c>
      <c r="Q10" s="7">
        <v>1.5</v>
      </c>
      <c r="R10" s="7">
        <v>1.5</v>
      </c>
      <c r="S10" s="7">
        <v>1.5</v>
      </c>
      <c r="T10" s="7">
        <v>2.5</v>
      </c>
      <c r="U10" s="7">
        <v>2.5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2.5</v>
      </c>
      <c r="AB10" s="7">
        <v>1.5</v>
      </c>
      <c r="AC10" s="7">
        <v>2.5</v>
      </c>
      <c r="AD10" s="7">
        <v>2.5</v>
      </c>
      <c r="AE10" s="7">
        <v>2.5</v>
      </c>
      <c r="AF10" s="7">
        <v>2.5</v>
      </c>
      <c r="AG10" s="7">
        <v>0</v>
      </c>
      <c r="AH10" s="7">
        <f t="shared" si="3"/>
        <v>49.5</v>
      </c>
      <c r="AJ10" s="15">
        <f>AH10*$E$1</f>
        <v>2411.4125326370759</v>
      </c>
      <c r="AK10" s="16">
        <f t="shared" ref="AK10" si="7">AH20</f>
        <v>3128</v>
      </c>
      <c r="AL10" s="15">
        <f t="shared" si="0"/>
        <v>716.58746736292414</v>
      </c>
      <c r="AM10" s="16">
        <f>N29</f>
        <v>4634.7142857142853</v>
      </c>
      <c r="AN10" s="15">
        <f t="shared" si="5"/>
        <v>3918.1268183513612</v>
      </c>
      <c r="AO10" s="15">
        <f>'Meal May''21 &amp; Rent June 2021'!AS10</f>
        <v>-6.4989789916580776E-4</v>
      </c>
      <c r="AP10" s="15">
        <f t="shared" si="1"/>
        <v>3918.1274682492603</v>
      </c>
      <c r="AQ10" s="6">
        <v>3500</v>
      </c>
      <c r="AR10" s="17">
        <v>44392</v>
      </c>
      <c r="AS10" s="15">
        <f t="shared" si="2"/>
        <v>-418.12746824926035</v>
      </c>
      <c r="AU10">
        <v>3500</v>
      </c>
      <c r="AZ10" s="1" t="s">
        <v>38</v>
      </c>
      <c r="BA10" s="1">
        <f t="shared" si="6"/>
        <v>666.66666666666663</v>
      </c>
      <c r="BB10" s="1"/>
    </row>
    <row r="11" spans="1:54" x14ac:dyDescent="0.4">
      <c r="A11" s="2">
        <v>7</v>
      </c>
      <c r="B11" s="3" t="s">
        <v>8</v>
      </c>
      <c r="C11" s="7">
        <v>1</v>
      </c>
      <c r="D11" s="7">
        <v>1.5</v>
      </c>
      <c r="E11" s="7">
        <v>1</v>
      </c>
      <c r="F11" s="7">
        <v>2.5</v>
      </c>
      <c r="G11" s="7">
        <v>2.5</v>
      </c>
      <c r="H11" s="7">
        <v>2</v>
      </c>
      <c r="I11" s="7">
        <v>2</v>
      </c>
      <c r="J11" s="7">
        <v>2.5</v>
      </c>
      <c r="K11" s="7">
        <v>2.5</v>
      </c>
      <c r="L11" s="7">
        <v>2</v>
      </c>
      <c r="M11" s="7">
        <v>2.5</v>
      </c>
      <c r="N11" s="7">
        <v>2</v>
      </c>
      <c r="O11" s="7">
        <v>1</v>
      </c>
      <c r="P11" s="7">
        <v>2</v>
      </c>
      <c r="Q11" s="7">
        <v>2.5</v>
      </c>
      <c r="R11" s="7">
        <v>1</v>
      </c>
      <c r="S11" s="7">
        <v>1.5</v>
      </c>
      <c r="T11" s="7">
        <v>9.5</v>
      </c>
      <c r="U11" s="7">
        <v>2.5</v>
      </c>
      <c r="V11" s="7">
        <v>1</v>
      </c>
      <c r="W11" s="7">
        <v>2</v>
      </c>
      <c r="X11" s="7">
        <v>2.5</v>
      </c>
      <c r="Y11" s="7">
        <v>2</v>
      </c>
      <c r="Z11" s="7">
        <v>2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1.5</v>
      </c>
      <c r="AG11" s="7">
        <v>0</v>
      </c>
      <c r="AH11" s="7">
        <f>SUM(C11:AG11)</f>
        <v>67.5</v>
      </c>
      <c r="AJ11" s="15">
        <f>AH11*$E$1</f>
        <v>3288.2898172323762</v>
      </c>
      <c r="AK11" s="16">
        <f>AH21</f>
        <v>3603</v>
      </c>
      <c r="AL11" s="15">
        <f t="shared" si="0"/>
        <v>314.71018276762379</v>
      </c>
      <c r="AM11" s="16">
        <f>N30</f>
        <v>4634.7142857142853</v>
      </c>
      <c r="AN11" s="15">
        <f t="shared" si="5"/>
        <v>4320.0041029466611</v>
      </c>
      <c r="AO11" s="15">
        <f>'Meal May''21 &amp; Rent June 2021'!AS11</f>
        <v>-104.17155086508092</v>
      </c>
      <c r="AP11" s="15">
        <f t="shared" si="1"/>
        <v>4424.1756538117424</v>
      </c>
      <c r="AQ11" s="6">
        <f>120+50+4500-245.82</f>
        <v>4424.18</v>
      </c>
      <c r="AR11" s="17">
        <v>44393</v>
      </c>
      <c r="AS11" s="15">
        <f>AQ11-AP11</f>
        <v>4.3461882578412769E-3</v>
      </c>
      <c r="AU11">
        <f>4500-246</f>
        <v>4254</v>
      </c>
      <c r="AZ11" s="1" t="s">
        <v>99</v>
      </c>
      <c r="BA11" s="1">
        <f t="shared" si="6"/>
        <v>666.66666666666663</v>
      </c>
      <c r="BB11" s="1"/>
    </row>
    <row r="12" spans="1:54" x14ac:dyDescent="0.4">
      <c r="A12" s="1"/>
      <c r="B12" s="1"/>
      <c r="C12" s="7">
        <f>SUM(C5:C11)</f>
        <v>10</v>
      </c>
      <c r="D12" s="7">
        <f t="shared" ref="D12:AG12" si="8">SUM(D5:D11)</f>
        <v>11.5</v>
      </c>
      <c r="E12" s="7">
        <f t="shared" si="8"/>
        <v>10</v>
      </c>
      <c r="F12" s="7">
        <f t="shared" si="8"/>
        <v>12</v>
      </c>
      <c r="G12" s="7">
        <f t="shared" si="8"/>
        <v>10</v>
      </c>
      <c r="H12" s="7">
        <f t="shared" si="8"/>
        <v>9</v>
      </c>
      <c r="I12" s="7">
        <f t="shared" si="8"/>
        <v>9</v>
      </c>
      <c r="J12" s="7">
        <f t="shared" si="8"/>
        <v>9</v>
      </c>
      <c r="K12" s="7">
        <f t="shared" si="8"/>
        <v>9.5</v>
      </c>
      <c r="L12" s="7">
        <f t="shared" si="8"/>
        <v>10.5</v>
      </c>
      <c r="M12" s="7">
        <f t="shared" si="8"/>
        <v>10</v>
      </c>
      <c r="N12" s="7">
        <f t="shared" si="8"/>
        <v>10</v>
      </c>
      <c r="O12" s="7">
        <f t="shared" si="8"/>
        <v>10</v>
      </c>
      <c r="P12" s="7">
        <f t="shared" si="8"/>
        <v>10</v>
      </c>
      <c r="Q12" s="7">
        <f t="shared" si="8"/>
        <v>11.5</v>
      </c>
      <c r="R12" s="7">
        <f t="shared" si="8"/>
        <v>11</v>
      </c>
      <c r="S12" s="7">
        <f t="shared" si="8"/>
        <v>10.5</v>
      </c>
      <c r="T12" s="7">
        <f t="shared" si="8"/>
        <v>35</v>
      </c>
      <c r="U12" s="7">
        <f t="shared" si="8"/>
        <v>17</v>
      </c>
      <c r="V12" s="7">
        <f t="shared" si="8"/>
        <v>13.5</v>
      </c>
      <c r="W12" s="7">
        <f t="shared" si="8"/>
        <v>11.5</v>
      </c>
      <c r="X12" s="7">
        <f t="shared" si="8"/>
        <v>13.5</v>
      </c>
      <c r="Y12" s="7">
        <f t="shared" si="8"/>
        <v>14.5</v>
      </c>
      <c r="Z12" s="7">
        <f t="shared" si="8"/>
        <v>13.5</v>
      </c>
      <c r="AA12" s="7">
        <f t="shared" si="8"/>
        <v>15</v>
      </c>
      <c r="AB12" s="7">
        <f t="shared" si="8"/>
        <v>15</v>
      </c>
      <c r="AC12" s="7">
        <f t="shared" si="8"/>
        <v>15.5</v>
      </c>
      <c r="AD12" s="7">
        <f t="shared" si="8"/>
        <v>15.5</v>
      </c>
      <c r="AE12" s="7">
        <f t="shared" si="8"/>
        <v>15.5</v>
      </c>
      <c r="AF12" s="7">
        <f t="shared" si="8"/>
        <v>14.5</v>
      </c>
      <c r="AG12" s="7">
        <f t="shared" si="8"/>
        <v>0</v>
      </c>
      <c r="AH12" s="7">
        <f>SUM(AH5:AH11)</f>
        <v>383</v>
      </c>
      <c r="AJ12" s="15">
        <f>SUM(AJ5:AJ11)</f>
        <v>18658</v>
      </c>
      <c r="AK12" s="16">
        <f t="shared" ref="AK12" si="9">SUM(AK5:AK11)</f>
        <v>18658</v>
      </c>
      <c r="AL12" s="16">
        <f>SUM(AL5:AL11)</f>
        <v>-4.5474735088646412E-13</v>
      </c>
      <c r="AM12" s="16">
        <f>SUM(AM5:AM11)</f>
        <v>28943.000000000004</v>
      </c>
      <c r="AN12" s="16">
        <f>SUM(AN5:AN11)</f>
        <v>28943</v>
      </c>
      <c r="AO12" s="16">
        <f>SUM(AO5:AO11)</f>
        <v>-10355.602282660686</v>
      </c>
      <c r="AP12" s="15">
        <f>AN12-AO12+$AU$4</f>
        <v>39298.602282660686</v>
      </c>
      <c r="AQ12" s="16">
        <f>SUM(AQ5:AQ11)</f>
        <v>34770</v>
      </c>
      <c r="AR12" s="16"/>
      <c r="AS12" s="16">
        <f>SUM(AS5:AS11)</f>
        <v>-4528.6022826606859</v>
      </c>
      <c r="AT12" s="9"/>
      <c r="AU12" s="9">
        <f>SUM(AU5:AU11)</f>
        <v>21100</v>
      </c>
      <c r="AZ12" s="1" t="s">
        <v>40</v>
      </c>
      <c r="BA12" s="1">
        <f t="shared" si="6"/>
        <v>666.66666666666663</v>
      </c>
      <c r="BB12" s="1"/>
    </row>
    <row r="13" spans="1:54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 s="9"/>
      <c r="AU13" s="9"/>
      <c r="AV13" s="44" t="s">
        <v>88</v>
      </c>
      <c r="AW13" s="9"/>
      <c r="AZ13" s="1"/>
      <c r="BA13" s="1">
        <f>SUM(BA8:BA12)</f>
        <v>3333.333333333333</v>
      </c>
      <c r="BB13" s="1"/>
    </row>
    <row r="14" spans="1:54" x14ac:dyDescent="0.4">
      <c r="B14" s="10" t="s">
        <v>86</v>
      </c>
      <c r="AT14" s="9"/>
      <c r="AV14" s="1" t="s">
        <v>89</v>
      </c>
      <c r="AW14" s="1" t="s">
        <v>95</v>
      </c>
    </row>
    <row r="15" spans="1:54" x14ac:dyDescent="0.4">
      <c r="A15" s="2">
        <v>1</v>
      </c>
      <c r="B15" s="3" t="s">
        <v>4</v>
      </c>
      <c r="C15" s="8">
        <v>3190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3190</v>
      </c>
      <c r="AP15" s="25"/>
      <c r="AR15" s="1"/>
      <c r="AS15" s="8"/>
      <c r="AV15" s="1" t="s">
        <v>90</v>
      </c>
      <c r="AW15" s="16">
        <f>O38</f>
        <v>23773</v>
      </c>
    </row>
    <row r="16" spans="1:54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180</v>
      </c>
      <c r="S16" s="8">
        <v>1935</v>
      </c>
      <c r="T16" s="8">
        <v>410</v>
      </c>
      <c r="U16" s="8">
        <v>1030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3555</v>
      </c>
      <c r="AR16" s="1"/>
      <c r="AS16" s="8"/>
      <c r="AT16" s="25"/>
      <c r="AV16" s="1" t="s">
        <v>91</v>
      </c>
      <c r="AW16" s="16">
        <f>-AO12</f>
        <v>10355.602282660686</v>
      </c>
    </row>
    <row r="17" spans="1:49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35</v>
      </c>
      <c r="AP17" s="25"/>
      <c r="AR17" s="15"/>
      <c r="AS17" s="8"/>
      <c r="AT17" s="25"/>
      <c r="AV17" s="1"/>
      <c r="AW17" s="16">
        <f>SUM(AW15:AW16)</f>
        <v>34128.602282660686</v>
      </c>
    </row>
    <row r="18" spans="1:49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682</v>
      </c>
      <c r="N18" s="8">
        <v>1170</v>
      </c>
      <c r="O18" s="8">
        <v>0</v>
      </c>
      <c r="P18" s="8">
        <v>110</v>
      </c>
      <c r="Q18" s="8">
        <v>140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2102</v>
      </c>
      <c r="AP18" s="25"/>
    </row>
    <row r="19" spans="1:49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1950</v>
      </c>
      <c r="W19" s="8">
        <v>930</v>
      </c>
      <c r="X19" s="8">
        <v>0</v>
      </c>
      <c r="Y19" s="8">
        <v>165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3045</v>
      </c>
      <c r="AV19" s="1" t="s">
        <v>92</v>
      </c>
      <c r="AW19" s="1"/>
    </row>
    <row r="20" spans="1:49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1860</v>
      </c>
      <c r="AB20" s="8">
        <v>1268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3128</v>
      </c>
      <c r="AT20" s="25"/>
      <c r="AV20" s="1" t="s">
        <v>93</v>
      </c>
      <c r="AW20" s="16">
        <f>-AS12</f>
        <v>4528.6022826606859</v>
      </c>
    </row>
    <row r="21" spans="1:49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1410</v>
      </c>
      <c r="H21" s="8">
        <v>300</v>
      </c>
      <c r="I21" s="8">
        <v>0</v>
      </c>
      <c r="J21" s="8">
        <v>1740</v>
      </c>
      <c r="K21" s="8">
        <v>153</v>
      </c>
      <c r="L21" s="8">
        <v>0</v>
      </c>
      <c r="M21" s="8"/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3603</v>
      </c>
      <c r="AV21" s="1" t="s">
        <v>94</v>
      </c>
      <c r="AW21" s="1">
        <v>2000</v>
      </c>
    </row>
    <row r="22" spans="1:49" x14ac:dyDescent="0.4">
      <c r="AH22" s="9">
        <f>SUM(AH15:AH21)</f>
        <v>18658</v>
      </c>
      <c r="AV22" s="1"/>
      <c r="AW22" s="16">
        <f>SUM(AW20:AW21)</f>
        <v>6528.6022826606859</v>
      </c>
    </row>
    <row r="23" spans="1:49" x14ac:dyDescent="0.4">
      <c r="A23" s="4"/>
      <c r="B23" s="13" t="s">
        <v>87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9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642.85714285714289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321.14285714285717</v>
      </c>
      <c r="I24" s="8">
        <f>$I$31/7</f>
        <v>257.14285714285717</v>
      </c>
      <c r="J24" s="8">
        <f>$J$31/7</f>
        <v>35.714285714285715</v>
      </c>
      <c r="K24" s="8">
        <f>$K$31/6</f>
        <v>0</v>
      </c>
      <c r="L24" s="8">
        <f>$L$31/7</f>
        <v>24.285714285714285</v>
      </c>
      <c r="M24" s="8">
        <f>$M$31/7</f>
        <v>0</v>
      </c>
      <c r="N24" s="8">
        <f t="shared" ref="N24:N30" si="11">SUM(C24:M24)</f>
        <v>4634.7142857142853</v>
      </c>
      <c r="AV24" t="s">
        <v>100</v>
      </c>
    </row>
    <row r="25" spans="1:49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642.85714285714289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321.14285714285717</v>
      </c>
      <c r="I25" s="8">
        <f t="shared" ref="I25:I30" si="16">$I$31/7</f>
        <v>257.14285714285717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24.285714285714285</v>
      </c>
      <c r="M25" s="8">
        <f t="shared" ref="M25:M30" si="20">$M$31/7</f>
        <v>0</v>
      </c>
      <c r="N25" s="8">
        <f t="shared" si="11"/>
        <v>4634.7142857142853</v>
      </c>
      <c r="AV25" t="s">
        <v>90</v>
      </c>
      <c r="AW25" s="47">
        <v>23773</v>
      </c>
    </row>
    <row r="26" spans="1:49" x14ac:dyDescent="0.4">
      <c r="A26" s="2">
        <v>3</v>
      </c>
      <c r="B26" s="12" t="s">
        <v>6</v>
      </c>
      <c r="C26" s="8">
        <f>H36</f>
        <v>1976.1904761904761</v>
      </c>
      <c r="D26" s="8">
        <f t="shared" si="12"/>
        <v>642.85714285714289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321.14285714285717</v>
      </c>
      <c r="I26" s="8">
        <f t="shared" si="16"/>
        <v>257.14285714285717</v>
      </c>
      <c r="J26" s="8">
        <f t="shared" si="17"/>
        <v>35.714285714285715</v>
      </c>
      <c r="K26" s="8">
        <f t="shared" si="18"/>
        <v>0</v>
      </c>
      <c r="L26" s="8">
        <f t="shared" si="19"/>
        <v>24.285714285714285</v>
      </c>
      <c r="M26" s="8">
        <f t="shared" si="20"/>
        <v>0</v>
      </c>
      <c r="N26" s="8">
        <f t="shared" si="11"/>
        <v>3468.0476190476197</v>
      </c>
      <c r="AV26" t="s">
        <v>91</v>
      </c>
      <c r="AW26" s="47">
        <v>10374</v>
      </c>
    </row>
    <row r="27" spans="1:49" x14ac:dyDescent="0.4">
      <c r="A27" s="2">
        <v>4</v>
      </c>
      <c r="B27" s="12" t="s">
        <v>57</v>
      </c>
      <c r="C27" s="8">
        <f>H36</f>
        <v>1976.1904761904761</v>
      </c>
      <c r="D27" s="8">
        <f t="shared" si="12"/>
        <v>642.85714285714289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321.14285714285717</v>
      </c>
      <c r="I27" s="8">
        <f t="shared" si="16"/>
        <v>257.14285714285717</v>
      </c>
      <c r="J27" s="8">
        <f t="shared" si="17"/>
        <v>35.714285714285715</v>
      </c>
      <c r="K27" s="8"/>
      <c r="L27" s="8">
        <f t="shared" si="19"/>
        <v>24.285714285714285</v>
      </c>
      <c r="M27" s="8">
        <f t="shared" si="20"/>
        <v>0</v>
      </c>
      <c r="N27" s="8">
        <f t="shared" si="11"/>
        <v>3468.0476190476197</v>
      </c>
      <c r="AW27" s="47">
        <f>SUM(AW25:AW26)</f>
        <v>34147</v>
      </c>
    </row>
    <row r="28" spans="1:49" x14ac:dyDescent="0.4">
      <c r="A28" s="2">
        <v>5</v>
      </c>
      <c r="B28" s="12" t="s">
        <v>51</v>
      </c>
      <c r="C28" s="8">
        <f>H36</f>
        <v>1976.1904761904761</v>
      </c>
      <c r="D28" s="8">
        <f t="shared" si="12"/>
        <v>642.85714285714289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321.14285714285717</v>
      </c>
      <c r="I28" s="8">
        <f t="shared" si="16"/>
        <v>257.14285714285717</v>
      </c>
      <c r="J28" s="8">
        <f t="shared" si="17"/>
        <v>35.714285714285715</v>
      </c>
      <c r="K28" s="8">
        <f t="shared" si="18"/>
        <v>0</v>
      </c>
      <c r="L28" s="8">
        <f t="shared" si="19"/>
        <v>24.285714285714285</v>
      </c>
      <c r="M28" s="8">
        <f t="shared" si="20"/>
        <v>0</v>
      </c>
      <c r="N28" s="8">
        <f t="shared" si="11"/>
        <v>3468.0476190476197</v>
      </c>
      <c r="AV28" t="s">
        <v>101</v>
      </c>
      <c r="AW28" s="47">
        <v>29600</v>
      </c>
    </row>
    <row r="29" spans="1:49" x14ac:dyDescent="0.4">
      <c r="A29" s="2">
        <v>6</v>
      </c>
      <c r="B29" s="12" t="s">
        <v>7</v>
      </c>
      <c r="C29" s="8">
        <f>H35</f>
        <v>3142.8571428571427</v>
      </c>
      <c r="D29" s="8">
        <f t="shared" si="12"/>
        <v>642.85714285714289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321.14285714285717</v>
      </c>
      <c r="I29" s="8">
        <f t="shared" si="16"/>
        <v>257.14285714285717</v>
      </c>
      <c r="J29" s="8">
        <f t="shared" si="17"/>
        <v>35.714285714285715</v>
      </c>
      <c r="K29" s="8">
        <f t="shared" si="18"/>
        <v>0</v>
      </c>
      <c r="L29" s="8">
        <f t="shared" si="19"/>
        <v>24.285714285714285</v>
      </c>
      <c r="M29" s="8">
        <f t="shared" si="20"/>
        <v>0</v>
      </c>
      <c r="N29" s="8">
        <f t="shared" si="11"/>
        <v>4634.7142857142853</v>
      </c>
      <c r="AV29" t="s">
        <v>102</v>
      </c>
      <c r="AW29" s="48">
        <f>AW27-AW28</f>
        <v>4547</v>
      </c>
    </row>
    <row r="30" spans="1:49" x14ac:dyDescent="0.4">
      <c r="A30" s="2">
        <v>7</v>
      </c>
      <c r="B30" s="12" t="s">
        <v>8</v>
      </c>
      <c r="C30" s="8">
        <f>H35</f>
        <v>3142.8571428571427</v>
      </c>
      <c r="D30" s="8">
        <f t="shared" si="12"/>
        <v>642.85714285714289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321.14285714285717</v>
      </c>
      <c r="I30" s="8">
        <f t="shared" si="16"/>
        <v>257.14285714285717</v>
      </c>
      <c r="J30" s="8">
        <f>$J$31/7</f>
        <v>35.714285714285715</v>
      </c>
      <c r="K30" s="8">
        <f t="shared" si="18"/>
        <v>0</v>
      </c>
      <c r="L30" s="8">
        <f t="shared" si="19"/>
        <v>24.285714285714285</v>
      </c>
      <c r="M30" s="8">
        <f t="shared" si="20"/>
        <v>0</v>
      </c>
      <c r="N30" s="8">
        <f t="shared" si="11"/>
        <v>4634.7142857142853</v>
      </c>
      <c r="AW30" s="47"/>
    </row>
    <row r="31" spans="1:49" x14ac:dyDescent="0.4">
      <c r="C31" s="8">
        <f>SUM(C24:C30)</f>
        <v>18500</v>
      </c>
      <c r="D31" s="40">
        <f>3000+1500</f>
        <v>4500</v>
      </c>
      <c r="E31" s="8"/>
      <c r="F31" s="8">
        <f>500</f>
        <v>500</v>
      </c>
      <c r="G31" s="8">
        <f>975</f>
        <v>975</v>
      </c>
      <c r="H31" s="14">
        <v>2248</v>
      </c>
      <c r="I31" s="14">
        <v>1800</v>
      </c>
      <c r="J31" s="8">
        <f>250</f>
        <v>250</v>
      </c>
      <c r="K31" s="8">
        <f>0</f>
        <v>0</v>
      </c>
      <c r="L31" s="8">
        <f>120+50</f>
        <v>170</v>
      </c>
      <c r="M31" s="8"/>
      <c r="N31" s="8">
        <f>SUM(N24:N30)</f>
        <v>28943.000000000004</v>
      </c>
      <c r="O31" s="9">
        <f>O38+O46</f>
        <v>28943</v>
      </c>
      <c r="P31" s="9">
        <f>N31-O31</f>
        <v>0</v>
      </c>
      <c r="AV31" t="s">
        <v>103</v>
      </c>
      <c r="AW31" s="47">
        <f>AW28-21100</f>
        <v>8500</v>
      </c>
    </row>
    <row r="33" spans="4:16" x14ac:dyDescent="0.4">
      <c r="N33" t="s">
        <v>61</v>
      </c>
      <c r="O33" s="9">
        <f>C31</f>
        <v>18500</v>
      </c>
    </row>
    <row r="34" spans="4:16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1800</v>
      </c>
    </row>
    <row r="36" spans="4:16" x14ac:dyDescent="0.4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2248</v>
      </c>
    </row>
    <row r="37" spans="4:16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4">
      <c r="O38" s="9">
        <f>SUM(O33:O37)</f>
        <v>23773</v>
      </c>
    </row>
    <row r="40" spans="4:16" x14ac:dyDescent="0.4">
      <c r="P40" s="9">
        <f>O38+O46</f>
        <v>28943</v>
      </c>
    </row>
    <row r="41" spans="4:16" x14ac:dyDescent="0.4">
      <c r="N41" t="s">
        <v>12</v>
      </c>
      <c r="O41" s="9">
        <f>D31</f>
        <v>4500</v>
      </c>
    </row>
    <row r="42" spans="4:16" x14ac:dyDescent="0.4">
      <c r="N42" t="s">
        <v>13</v>
      </c>
      <c r="O42" s="9">
        <f>E31</f>
        <v>0</v>
      </c>
    </row>
    <row r="43" spans="4:16" x14ac:dyDescent="0.4">
      <c r="N43" t="s">
        <v>14</v>
      </c>
      <c r="O43" s="9">
        <f>F31</f>
        <v>500</v>
      </c>
    </row>
    <row r="44" spans="4:16" x14ac:dyDescent="0.4">
      <c r="N44" t="s">
        <v>20</v>
      </c>
      <c r="O44" s="9">
        <f>L31</f>
        <v>170</v>
      </c>
    </row>
    <row r="45" spans="4:16" x14ac:dyDescent="0.4">
      <c r="N45" t="s">
        <v>21</v>
      </c>
      <c r="O45" s="9">
        <f>M31</f>
        <v>0</v>
      </c>
    </row>
    <row r="46" spans="4:16" x14ac:dyDescent="0.4">
      <c r="O46" s="9">
        <f>SUM(O41:O45)</f>
        <v>5170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4BB2-68AF-4BAD-969C-2766A2E46DDD}">
  <dimension ref="A1:BK50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" sqref="E1:F2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8.5976562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51" x14ac:dyDescent="0.4">
      <c r="C1" s="204" t="s">
        <v>84</v>
      </c>
      <c r="D1" s="204"/>
      <c r="E1" s="203">
        <f>AH24/AH12</f>
        <v>54.191176470588232</v>
      </c>
      <c r="F1" s="203"/>
    </row>
    <row r="2" spans="1:51" ht="25.5" customHeight="1" x14ac:dyDescent="0.4">
      <c r="C2" s="204"/>
      <c r="D2" s="204"/>
      <c r="E2" s="203"/>
      <c r="F2" s="203"/>
    </row>
    <row r="4" spans="1:51" ht="62.4" x14ac:dyDescent="0.4">
      <c r="A4" s="4" t="s">
        <v>0</v>
      </c>
      <c r="B4" s="4" t="s">
        <v>2</v>
      </c>
      <c r="C4" s="5">
        <v>44378</v>
      </c>
      <c r="D4" s="5">
        <v>44379</v>
      </c>
      <c r="E4" s="5">
        <v>44380</v>
      </c>
      <c r="F4" s="5">
        <v>44381</v>
      </c>
      <c r="G4" s="5">
        <v>44382</v>
      </c>
      <c r="H4" s="5">
        <v>44383</v>
      </c>
      <c r="I4" s="5">
        <v>44384</v>
      </c>
      <c r="J4" s="5">
        <v>44385</v>
      </c>
      <c r="K4" s="5">
        <v>44386</v>
      </c>
      <c r="L4" s="5">
        <v>44387</v>
      </c>
      <c r="M4" s="5">
        <v>44388</v>
      </c>
      <c r="N4" s="5">
        <v>44389</v>
      </c>
      <c r="O4" s="5">
        <v>44390</v>
      </c>
      <c r="P4" s="5">
        <v>44391</v>
      </c>
      <c r="Q4" s="5">
        <v>44392</v>
      </c>
      <c r="R4" s="5">
        <v>44393</v>
      </c>
      <c r="S4" s="5">
        <v>44394</v>
      </c>
      <c r="T4" s="5">
        <v>44395</v>
      </c>
      <c r="U4" s="5">
        <v>44396</v>
      </c>
      <c r="V4" s="5">
        <v>44397</v>
      </c>
      <c r="W4" s="5">
        <v>44398</v>
      </c>
      <c r="X4" s="5">
        <v>44399</v>
      </c>
      <c r="Y4" s="5">
        <v>44400</v>
      </c>
      <c r="Z4" s="5">
        <v>44401</v>
      </c>
      <c r="AA4" s="5">
        <v>44402</v>
      </c>
      <c r="AB4" s="5">
        <v>44403</v>
      </c>
      <c r="AC4" s="5">
        <v>44404</v>
      </c>
      <c r="AD4" s="5">
        <v>44405</v>
      </c>
      <c r="AE4" s="5">
        <v>44406</v>
      </c>
      <c r="AF4" s="5">
        <v>44407</v>
      </c>
      <c r="AG4" s="5">
        <v>44408</v>
      </c>
      <c r="AH4" s="4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4">
      <c r="A5" s="2">
        <v>1</v>
      </c>
      <c r="B5" s="3" t="s">
        <v>4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1</v>
      </c>
      <c r="V5" s="7">
        <v>2</v>
      </c>
      <c r="W5" s="7">
        <v>1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2</v>
      </c>
      <c r="AF5" s="7">
        <v>1</v>
      </c>
      <c r="AG5" s="7">
        <v>1</v>
      </c>
      <c r="AH5" s="7">
        <f>SUM(C5:AG5)</f>
        <v>56</v>
      </c>
      <c r="AJ5" s="2">
        <v>1</v>
      </c>
      <c r="AK5" s="3" t="s">
        <v>4</v>
      </c>
      <c r="AL5" s="16">
        <f>AH5*$E$1</f>
        <v>3034.705882352941</v>
      </c>
      <c r="AM5" s="16">
        <f>AH17</f>
        <v>6645</v>
      </c>
      <c r="AN5" s="16">
        <f t="shared" ref="AN5:AN11" si="0">AM5-AL5</f>
        <v>3610.294117647059</v>
      </c>
      <c r="AO5" s="16">
        <f>N26</f>
        <v>4386.7142857142844</v>
      </c>
      <c r="AP5" s="16">
        <f>AO5-AN5</f>
        <v>776.4201680672254</v>
      </c>
      <c r="AQ5" s="16">
        <f>'Meal June''21 &amp; Rent July 2021'!AS5</f>
        <v>1013.093546089046</v>
      </c>
      <c r="AR5" s="16">
        <f>AP5-AQ5</f>
        <v>-236.67337802182055</v>
      </c>
      <c r="AS5" s="8">
        <f>500+6000+20-3000</f>
        <v>3520</v>
      </c>
      <c r="AT5" s="17">
        <v>44418</v>
      </c>
      <c r="AU5" s="16">
        <f>AS5-AR5</f>
        <v>3756.6733780218206</v>
      </c>
      <c r="AW5">
        <v>6020</v>
      </c>
      <c r="AY5" s="9"/>
    </row>
    <row r="6" spans="1:51" x14ac:dyDescent="0.4">
      <c r="A6" s="2">
        <v>2</v>
      </c>
      <c r="B6" s="3" t="s">
        <v>5</v>
      </c>
      <c r="C6" s="7">
        <v>2.5</v>
      </c>
      <c r="D6" s="7">
        <v>2.5</v>
      </c>
      <c r="E6" s="7">
        <v>2.5</v>
      </c>
      <c r="F6" s="7">
        <v>2.5</v>
      </c>
      <c r="G6" s="7">
        <v>0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2.5</v>
      </c>
      <c r="Z6" s="7">
        <v>2</v>
      </c>
      <c r="AA6" s="7">
        <v>2</v>
      </c>
      <c r="AB6" s="7">
        <v>2.5</v>
      </c>
      <c r="AC6" s="7">
        <v>2.5</v>
      </c>
      <c r="AD6" s="7">
        <v>2.5</v>
      </c>
      <c r="AE6" s="7">
        <v>1.5</v>
      </c>
      <c r="AF6" s="7">
        <v>2.5</v>
      </c>
      <c r="AG6" s="7">
        <v>1</v>
      </c>
      <c r="AH6" s="7">
        <f>SUM(C6:AG6)</f>
        <v>58.5</v>
      </c>
      <c r="AJ6" s="2">
        <v>2</v>
      </c>
      <c r="AK6" s="3" t="s">
        <v>5</v>
      </c>
      <c r="AL6" s="16">
        <f>AH6*$E$1</f>
        <v>3170.1838235294117</v>
      </c>
      <c r="AM6" s="16">
        <f>AH18</f>
        <v>3825</v>
      </c>
      <c r="AN6" s="16">
        <f t="shared" si="0"/>
        <v>654.81617647058829</v>
      </c>
      <c r="AO6" s="16">
        <f>N27</f>
        <v>4386.7142857142844</v>
      </c>
      <c r="AP6" s="16">
        <f t="shared" ref="AP6:AP13" si="1">AO6-AN6</f>
        <v>3731.8981092436961</v>
      </c>
      <c r="AQ6" s="16">
        <f>'Meal June''21 &amp; Rent July 2021'!AS6</f>
        <v>415.49309390148119</v>
      </c>
      <c r="AR6" s="16">
        <f t="shared" ref="AR6:AR13" si="2">AP6-AQ6</f>
        <v>3316.4050153422149</v>
      </c>
      <c r="AS6" s="8">
        <f>145+3170+320</f>
        <v>3635</v>
      </c>
      <c r="AT6" s="17">
        <v>44420</v>
      </c>
      <c r="AU6" s="16">
        <f t="shared" ref="AU6:AU10" si="3">AS6-AR6</f>
        <v>318.59498465778506</v>
      </c>
      <c r="AW6">
        <f>3170+320</f>
        <v>3490</v>
      </c>
      <c r="AY6" s="9"/>
    </row>
    <row r="7" spans="1:51" x14ac:dyDescent="0.4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3.5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1</v>
      </c>
      <c r="T7" s="7">
        <v>2</v>
      </c>
      <c r="U7" s="7">
        <v>2</v>
      </c>
      <c r="V7" s="7">
        <v>2</v>
      </c>
      <c r="W7" s="7">
        <v>2</v>
      </c>
      <c r="X7" s="7">
        <v>2</v>
      </c>
      <c r="Y7" s="7">
        <v>2.5</v>
      </c>
      <c r="Z7" s="7">
        <v>2</v>
      </c>
      <c r="AA7" s="7">
        <v>2</v>
      </c>
      <c r="AB7" s="7">
        <v>2.5</v>
      </c>
      <c r="AC7" s="7">
        <v>2.5</v>
      </c>
      <c r="AD7" s="7">
        <v>2.5</v>
      </c>
      <c r="AE7" s="7">
        <v>1.5</v>
      </c>
      <c r="AF7" s="7">
        <v>2</v>
      </c>
      <c r="AG7" s="7">
        <v>1</v>
      </c>
      <c r="AH7" s="7">
        <f t="shared" ref="AH7:AH10" si="4">SUM(C7:AG7)</f>
        <v>70</v>
      </c>
      <c r="AJ7" s="2">
        <v>3</v>
      </c>
      <c r="AK7" s="3" t="s">
        <v>6</v>
      </c>
      <c r="AL7" s="16">
        <f>AH7*$E$1</f>
        <v>3793.3823529411761</v>
      </c>
      <c r="AM7" s="16">
        <f>AH19</f>
        <v>1470</v>
      </c>
      <c r="AN7" s="16">
        <f t="shared" si="0"/>
        <v>-2323.3823529411761</v>
      </c>
      <c r="AO7" s="16">
        <f t="shared" ref="AO7:AO8" si="5">N28</f>
        <v>3386.7142857142858</v>
      </c>
      <c r="AP7" s="16">
        <f t="shared" si="1"/>
        <v>5710.0966386554619</v>
      </c>
      <c r="AQ7" s="16">
        <f>'Meal June''21 &amp; Rent July 2021'!AS7</f>
        <v>-5517.6777320948859</v>
      </c>
      <c r="AR7" s="16">
        <f t="shared" si="2"/>
        <v>11227.774370750347</v>
      </c>
      <c r="AS7" s="8">
        <v>11230</v>
      </c>
      <c r="AT7" s="17">
        <v>44420</v>
      </c>
      <c r="AU7" s="16">
        <f t="shared" si="3"/>
        <v>2.2256292496531387</v>
      </c>
      <c r="AW7">
        <v>11230</v>
      </c>
      <c r="AY7" s="9"/>
    </row>
    <row r="8" spans="1:51" x14ac:dyDescent="0.4">
      <c r="A8" s="2">
        <v>4</v>
      </c>
      <c r="B8" s="3" t="s">
        <v>57</v>
      </c>
      <c r="C8" s="7">
        <v>2.5</v>
      </c>
      <c r="D8" s="7">
        <v>2.5</v>
      </c>
      <c r="E8" s="7">
        <v>2</v>
      </c>
      <c r="F8" s="7">
        <v>2</v>
      </c>
      <c r="G8" s="7">
        <v>2.5</v>
      </c>
      <c r="H8" s="7">
        <v>2.5</v>
      </c>
      <c r="I8" s="7">
        <v>2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1.5</v>
      </c>
      <c r="Q8" s="7">
        <v>2.5</v>
      </c>
      <c r="R8" s="7">
        <v>2.5</v>
      </c>
      <c r="S8" s="7">
        <v>2.5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0</v>
      </c>
      <c r="Z8" s="7">
        <v>2</v>
      </c>
      <c r="AA8" s="7">
        <v>1</v>
      </c>
      <c r="AB8" s="7">
        <v>2.5</v>
      </c>
      <c r="AC8" s="7">
        <v>2.5</v>
      </c>
      <c r="AD8" s="7">
        <v>1.5</v>
      </c>
      <c r="AE8" s="7">
        <v>3.5</v>
      </c>
      <c r="AF8" s="7">
        <v>6</v>
      </c>
      <c r="AG8" s="7">
        <v>1</v>
      </c>
      <c r="AH8" s="7">
        <f t="shared" si="4"/>
        <v>69.5</v>
      </c>
      <c r="AJ8" s="2">
        <v>4</v>
      </c>
      <c r="AK8" s="3" t="s">
        <v>57</v>
      </c>
      <c r="AL8" s="16">
        <f>AH8*$E$1</f>
        <v>3766.286764705882</v>
      </c>
      <c r="AM8" s="16">
        <f>AH20</f>
        <v>1865</v>
      </c>
      <c r="AN8" s="16">
        <f t="shared" si="0"/>
        <v>-1901.286764705882</v>
      </c>
      <c r="AO8" s="16">
        <f t="shared" si="5"/>
        <v>3386.7142857142858</v>
      </c>
      <c r="AP8" s="16">
        <f t="shared" si="1"/>
        <v>5288.0010504201673</v>
      </c>
      <c r="AQ8" s="16">
        <f>'Meal June''21 &amp; Rent July 2021'!AS8</f>
        <v>7.2589491556936991</v>
      </c>
      <c r="AR8" s="16">
        <f t="shared" si="2"/>
        <v>5280.7421012644736</v>
      </c>
      <c r="AS8" s="8">
        <f>1400+3000</f>
        <v>4400</v>
      </c>
      <c r="AT8" s="17">
        <v>44431</v>
      </c>
      <c r="AU8" s="16">
        <f>AS8-AR8</f>
        <v>-880.7421012644736</v>
      </c>
      <c r="AV8" s="25"/>
      <c r="AW8" s="9">
        <v>1400</v>
      </c>
      <c r="AY8" s="9"/>
    </row>
    <row r="9" spans="1:51" x14ac:dyDescent="0.4">
      <c r="A9" s="2">
        <v>5</v>
      </c>
      <c r="B9" s="12" t="s">
        <v>51</v>
      </c>
      <c r="C9" s="7">
        <v>2.5</v>
      </c>
      <c r="D9" s="7">
        <v>2.5</v>
      </c>
      <c r="E9" s="7">
        <v>2.5</v>
      </c>
      <c r="F9" s="7">
        <v>1</v>
      </c>
      <c r="G9" s="7">
        <v>2.5</v>
      </c>
      <c r="H9" s="7">
        <v>2.5</v>
      </c>
      <c r="I9" s="7">
        <v>2.5</v>
      </c>
      <c r="J9" s="7">
        <v>2</v>
      </c>
      <c r="K9" s="7">
        <v>2.5</v>
      </c>
      <c r="L9" s="7">
        <v>2.5</v>
      </c>
      <c r="M9" s="7">
        <v>2.5</v>
      </c>
      <c r="N9" s="7">
        <v>2.5</v>
      </c>
      <c r="O9" s="7">
        <v>2.5</v>
      </c>
      <c r="P9" s="7">
        <v>3</v>
      </c>
      <c r="Q9" s="7">
        <v>1</v>
      </c>
      <c r="R9" s="7">
        <v>2.5</v>
      </c>
      <c r="S9" s="7">
        <v>3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2.5</v>
      </c>
      <c r="AC9" s="7">
        <v>2.5</v>
      </c>
      <c r="AD9" s="7">
        <v>2.5</v>
      </c>
      <c r="AE9" s="7">
        <v>1.5</v>
      </c>
      <c r="AF9" s="7">
        <v>2.5</v>
      </c>
      <c r="AG9" s="7">
        <v>1</v>
      </c>
      <c r="AH9" s="7">
        <f t="shared" si="4"/>
        <v>53.5</v>
      </c>
      <c r="AJ9" s="2">
        <v>5</v>
      </c>
      <c r="AK9" s="12" t="s">
        <v>51</v>
      </c>
      <c r="AL9" s="16">
        <f>$AH$9*$E$1</f>
        <v>2899.2279411764703</v>
      </c>
      <c r="AM9" s="16">
        <f>AH21</f>
        <v>3130</v>
      </c>
      <c r="AN9" s="16">
        <f t="shared" si="0"/>
        <v>230.77205882352973</v>
      </c>
      <c r="AO9" s="16">
        <f>N30</f>
        <v>3386.7142857142858</v>
      </c>
      <c r="AP9" s="16">
        <f t="shared" si="1"/>
        <v>3155.942226890756</v>
      </c>
      <c r="AQ9" s="16">
        <f>'Meal June''21 &amp; Rent July 2021'!AS9</f>
        <v>-28.647017651018814</v>
      </c>
      <c r="AR9" s="16">
        <f t="shared" si="2"/>
        <v>3184.5892445417749</v>
      </c>
      <c r="AS9" s="8">
        <f>3000+185</f>
        <v>3185</v>
      </c>
      <c r="AT9" s="17">
        <v>44418</v>
      </c>
      <c r="AU9" s="16">
        <f>AS9-AR9</f>
        <v>0.41075545822513959</v>
      </c>
      <c r="AW9" s="9">
        <v>185</v>
      </c>
    </row>
    <row r="10" spans="1:51" x14ac:dyDescent="0.4">
      <c r="A10" s="2">
        <v>6</v>
      </c>
      <c r="B10" s="3" t="s">
        <v>7</v>
      </c>
      <c r="C10" s="7">
        <v>2.5</v>
      </c>
      <c r="D10" s="7">
        <v>2.5</v>
      </c>
      <c r="E10" s="7">
        <v>2.5</v>
      </c>
      <c r="F10" s="7">
        <v>2.5</v>
      </c>
      <c r="G10" s="7">
        <v>2.5</v>
      </c>
      <c r="H10" s="7">
        <v>2.5</v>
      </c>
      <c r="I10" s="7">
        <v>2.5</v>
      </c>
      <c r="J10" s="7">
        <v>2.5</v>
      </c>
      <c r="K10" s="7">
        <v>2.5</v>
      </c>
      <c r="L10" s="7">
        <v>2.5</v>
      </c>
      <c r="M10" s="7">
        <v>2.5</v>
      </c>
      <c r="N10" s="7">
        <v>2.5</v>
      </c>
      <c r="O10" s="7">
        <v>2.5</v>
      </c>
      <c r="P10" s="7">
        <v>2.5</v>
      </c>
      <c r="Q10" s="7">
        <v>2.5</v>
      </c>
      <c r="R10" s="7">
        <v>1.5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1.5</v>
      </c>
      <c r="AF10" s="7">
        <v>2.5</v>
      </c>
      <c r="AG10" s="7">
        <v>1</v>
      </c>
      <c r="AH10" s="7">
        <f t="shared" si="4"/>
        <v>44</v>
      </c>
      <c r="AJ10" s="2">
        <v>6</v>
      </c>
      <c r="AK10" s="3" t="s">
        <v>7</v>
      </c>
      <c r="AL10" s="16">
        <f>AH10*$E$1</f>
        <v>2384.411764705882</v>
      </c>
      <c r="AM10" s="16">
        <f t="shared" ref="AM10" si="6">AH22</f>
        <v>1890</v>
      </c>
      <c r="AN10" s="16">
        <f t="shared" si="0"/>
        <v>-494.41176470588198</v>
      </c>
      <c r="AO10" s="16">
        <f>N31</f>
        <v>1243.8571428571429</v>
      </c>
      <c r="AP10" s="16">
        <f t="shared" si="1"/>
        <v>1738.2689075630249</v>
      </c>
      <c r="AQ10" s="16">
        <f>'Meal June''21 &amp; Rent July 2021'!AS10</f>
        <v>-418.12746824926035</v>
      </c>
      <c r="AR10" s="16">
        <f t="shared" si="2"/>
        <v>2156.3963758122854</v>
      </c>
      <c r="AS10" s="8">
        <v>0</v>
      </c>
      <c r="AT10" s="17">
        <v>44392</v>
      </c>
      <c r="AU10" s="16">
        <f t="shared" si="3"/>
        <v>-2156.3963758122854</v>
      </c>
    </row>
    <row r="11" spans="1:51" x14ac:dyDescent="0.4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2.5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2.5</v>
      </c>
      <c r="N11" s="7">
        <v>2.5</v>
      </c>
      <c r="O11" s="7">
        <v>1.5</v>
      </c>
      <c r="P11" s="7">
        <v>2.5</v>
      </c>
      <c r="Q11" s="7">
        <v>2.5</v>
      </c>
      <c r="R11" s="7">
        <v>1.5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2</v>
      </c>
      <c r="Z11" s="7">
        <v>2</v>
      </c>
      <c r="AA11" s="7">
        <v>2</v>
      </c>
      <c r="AB11" s="7">
        <v>2.5</v>
      </c>
      <c r="AC11" s="7">
        <v>2.5</v>
      </c>
      <c r="AD11" s="7">
        <v>2.5</v>
      </c>
      <c r="AE11" s="7">
        <v>1.5</v>
      </c>
      <c r="AF11" s="7">
        <v>2.5</v>
      </c>
      <c r="AG11" s="7">
        <v>1</v>
      </c>
      <c r="AH11" s="7">
        <f>SUM(C11:AG11)</f>
        <v>56.5</v>
      </c>
      <c r="AJ11" s="2">
        <v>7</v>
      </c>
      <c r="AK11" s="3" t="s">
        <v>8</v>
      </c>
      <c r="AL11" s="16">
        <f>AH11*$E$1</f>
        <v>3061.8014705882351</v>
      </c>
      <c r="AM11" s="16">
        <f>AH23</f>
        <v>3285</v>
      </c>
      <c r="AN11" s="16">
        <f t="shared" si="0"/>
        <v>223.19852941176487</v>
      </c>
      <c r="AO11" s="16">
        <f>N32</f>
        <v>1243.8571428571429</v>
      </c>
      <c r="AP11" s="16">
        <f t="shared" si="1"/>
        <v>1020.658613445378</v>
      </c>
      <c r="AQ11" s="8">
        <f>'Meal June''21 &amp; Rent July 2021'!AS11</f>
        <v>4.3461882578412769E-3</v>
      </c>
      <c r="AR11" s="16">
        <f t="shared" si="2"/>
        <v>1020.6542672571202</v>
      </c>
      <c r="AS11" s="8">
        <v>0</v>
      </c>
      <c r="AT11" s="17">
        <v>44393</v>
      </c>
      <c r="AU11" s="16">
        <f>AS11-AR11</f>
        <v>-1020.6542672571202</v>
      </c>
    </row>
    <row r="12" spans="1:51" x14ac:dyDescent="0.4">
      <c r="A12" s="1"/>
      <c r="B12" s="1"/>
      <c r="C12" s="7">
        <f>SUM(C5:C11)</f>
        <v>17</v>
      </c>
      <c r="D12" s="7">
        <f t="shared" ref="D12:AG12" si="7">SUM(D5:D11)</f>
        <v>17</v>
      </c>
      <c r="E12" s="7">
        <f t="shared" si="7"/>
        <v>16.5</v>
      </c>
      <c r="F12" s="7">
        <f t="shared" si="7"/>
        <v>15</v>
      </c>
      <c r="G12" s="7">
        <f t="shared" si="7"/>
        <v>14.5</v>
      </c>
      <c r="H12" s="7">
        <f t="shared" si="7"/>
        <v>17</v>
      </c>
      <c r="I12" s="7">
        <f t="shared" si="7"/>
        <v>17.5</v>
      </c>
      <c r="J12" s="7">
        <f t="shared" si="7"/>
        <v>16.5</v>
      </c>
      <c r="K12" s="7">
        <f t="shared" si="7"/>
        <v>17</v>
      </c>
      <c r="L12" s="7">
        <f t="shared" si="7"/>
        <v>17</v>
      </c>
      <c r="M12" s="7">
        <f t="shared" si="7"/>
        <v>16.5</v>
      </c>
      <c r="N12" s="7">
        <f t="shared" si="7"/>
        <v>17</v>
      </c>
      <c r="O12" s="7">
        <f t="shared" si="7"/>
        <v>15.5</v>
      </c>
      <c r="P12" s="7">
        <f t="shared" si="7"/>
        <v>16.5</v>
      </c>
      <c r="Q12" s="7">
        <f t="shared" si="7"/>
        <v>15.5</v>
      </c>
      <c r="R12" s="7">
        <f t="shared" si="7"/>
        <v>16</v>
      </c>
      <c r="S12" s="7">
        <f t="shared" si="7"/>
        <v>8.5</v>
      </c>
      <c r="T12" s="7">
        <f t="shared" si="7"/>
        <v>7</v>
      </c>
      <c r="U12" s="7">
        <f t="shared" si="7"/>
        <v>5</v>
      </c>
      <c r="V12" s="7">
        <f t="shared" si="7"/>
        <v>6</v>
      </c>
      <c r="W12" s="7">
        <f t="shared" si="7"/>
        <v>5</v>
      </c>
      <c r="X12" s="7">
        <f t="shared" si="7"/>
        <v>6</v>
      </c>
      <c r="Y12" s="7">
        <f t="shared" si="7"/>
        <v>9</v>
      </c>
      <c r="Z12" s="7">
        <f t="shared" si="7"/>
        <v>10</v>
      </c>
      <c r="AA12" s="7">
        <f t="shared" si="7"/>
        <v>8</v>
      </c>
      <c r="AB12" s="7">
        <f t="shared" si="7"/>
        <v>14.5</v>
      </c>
      <c r="AC12" s="7">
        <f t="shared" si="7"/>
        <v>14.5</v>
      </c>
      <c r="AD12" s="7">
        <f t="shared" si="7"/>
        <v>13.5</v>
      </c>
      <c r="AE12" s="7">
        <f t="shared" si="7"/>
        <v>13</v>
      </c>
      <c r="AF12" s="7">
        <f t="shared" si="7"/>
        <v>19</v>
      </c>
      <c r="AG12" s="7">
        <f t="shared" si="7"/>
        <v>7</v>
      </c>
      <c r="AH12" s="7">
        <f>SUM(AH5:AH11)</f>
        <v>408</v>
      </c>
      <c r="AJ12" s="2">
        <v>8</v>
      </c>
      <c r="AK12" s="12" t="s">
        <v>104</v>
      </c>
      <c r="AL12" s="16">
        <v>0</v>
      </c>
      <c r="AM12" s="16">
        <v>0</v>
      </c>
      <c r="AN12" s="16">
        <v>0</v>
      </c>
      <c r="AO12" s="16">
        <f>C33</f>
        <v>2892.8571428571427</v>
      </c>
      <c r="AP12" s="16">
        <f t="shared" si="1"/>
        <v>2892.8571428571427</v>
      </c>
      <c r="AQ12" s="16">
        <v>0</v>
      </c>
      <c r="AR12" s="16">
        <f t="shared" si="2"/>
        <v>2892.8571428571427</v>
      </c>
      <c r="AS12" s="8">
        <v>2892.8571428571427</v>
      </c>
      <c r="AT12" s="17">
        <v>44430</v>
      </c>
      <c r="AU12" s="8">
        <f>AS12-AR12</f>
        <v>0</v>
      </c>
      <c r="AV12" s="47"/>
      <c r="AW12" s="8">
        <v>2892.8571428571427</v>
      </c>
    </row>
    <row r="13" spans="1:51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2">
        <v>9</v>
      </c>
      <c r="AK13" s="12" t="s">
        <v>105</v>
      </c>
      <c r="AL13" s="16">
        <v>0</v>
      </c>
      <c r="AM13" s="16">
        <v>0</v>
      </c>
      <c r="AN13" s="16">
        <v>0</v>
      </c>
      <c r="AO13" s="16">
        <f>C34</f>
        <v>2892.8571428571427</v>
      </c>
      <c r="AP13" s="16">
        <f t="shared" si="1"/>
        <v>2892.8571428571427</v>
      </c>
      <c r="AQ13" s="16">
        <v>0</v>
      </c>
      <c r="AR13" s="16">
        <f t="shared" si="2"/>
        <v>2892.8571428571427</v>
      </c>
      <c r="AS13" s="16">
        <v>2892.8571428571427</v>
      </c>
      <c r="AT13" s="17">
        <v>44430</v>
      </c>
      <c r="AU13" s="16">
        <f>AS13-AR13</f>
        <v>0</v>
      </c>
      <c r="AV13" s="9"/>
      <c r="AW13" s="16">
        <v>2892.8571428571427</v>
      </c>
    </row>
    <row r="14" spans="1:51" x14ac:dyDescent="0.4">
      <c r="A14" s="36"/>
      <c r="B14" s="3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37"/>
      <c r="AF14" s="37"/>
      <c r="AG14" s="37"/>
      <c r="AH14" s="37"/>
      <c r="AL14" s="51">
        <f t="shared" ref="AL14:AQ14" si="8">SUM(AL5:AL13)</f>
        <v>22109.999999999996</v>
      </c>
      <c r="AM14" s="51">
        <f t="shared" si="8"/>
        <v>22110</v>
      </c>
      <c r="AN14" s="51">
        <f t="shared" si="8"/>
        <v>1.3642420526593924E-12</v>
      </c>
      <c r="AO14" s="51">
        <f t="shared" si="8"/>
        <v>27206.999999999993</v>
      </c>
      <c r="AP14" s="51">
        <f t="shared" si="8"/>
        <v>27206.999999999993</v>
      </c>
      <c r="AQ14" s="51">
        <f t="shared" si="8"/>
        <v>-4528.6022826606859</v>
      </c>
      <c r="AR14" s="51">
        <f>AP14-AQ14+$AW$4</f>
        <v>31735.602282660679</v>
      </c>
      <c r="AS14" s="51">
        <f>SUM(AS5:AS13)</f>
        <v>31755.714285714283</v>
      </c>
      <c r="AT14" s="51"/>
      <c r="AU14" s="51">
        <f>SUM(AU5:AU13)</f>
        <v>20.112003053604667</v>
      </c>
      <c r="AV14" s="9"/>
      <c r="AW14" s="9">
        <f>SUM(AW5:AW13)</f>
        <v>28110.714285714283</v>
      </c>
    </row>
    <row r="15" spans="1:51" x14ac:dyDescent="0.4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4">
      <c r="B16" s="10" t="s">
        <v>86</v>
      </c>
      <c r="AV16" s="9"/>
      <c r="AX16" s="1" t="s">
        <v>89</v>
      </c>
      <c r="AY16" s="1" t="s">
        <v>95</v>
      </c>
    </row>
    <row r="17" spans="1:63" x14ac:dyDescent="0.4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1705</v>
      </c>
      <c r="W17" s="8">
        <v>0</v>
      </c>
      <c r="X17" s="8">
        <v>0</v>
      </c>
      <c r="Y17" s="8">
        <v>1505</v>
      </c>
      <c r="Z17" s="8">
        <v>460</v>
      </c>
      <c r="AA17" s="8">
        <v>2695</v>
      </c>
      <c r="AB17" s="8">
        <v>130</v>
      </c>
      <c r="AC17" s="8">
        <v>0</v>
      </c>
      <c r="AD17" s="8">
        <v>0</v>
      </c>
      <c r="AE17" s="8">
        <v>0</v>
      </c>
      <c r="AF17" s="8">
        <v>150</v>
      </c>
      <c r="AG17" s="8">
        <v>0</v>
      </c>
      <c r="AH17" s="8">
        <f>SUM(C17:AG17)</f>
        <v>6645</v>
      </c>
      <c r="AR17" s="25"/>
      <c r="AT17" s="1"/>
      <c r="AU17" s="8"/>
      <c r="AX17" s="1" t="s">
        <v>107</v>
      </c>
      <c r="AY17" s="16">
        <f>O42</f>
        <v>23562</v>
      </c>
      <c r="BI17" s="1" t="s">
        <v>96</v>
      </c>
      <c r="BJ17" s="1"/>
      <c r="BK17" s="1"/>
    </row>
    <row r="18" spans="1:63" x14ac:dyDescent="0.4">
      <c r="A18" s="2">
        <v>2</v>
      </c>
      <c r="B18" s="3" t="s">
        <v>5</v>
      </c>
      <c r="C18" s="8">
        <v>0</v>
      </c>
      <c r="D18" s="8">
        <v>0</v>
      </c>
      <c r="E18" s="8">
        <v>0</v>
      </c>
      <c r="F18" s="8">
        <v>3825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3" si="9">SUM(C18:AG18)</f>
        <v>3825</v>
      </c>
      <c r="AT18" s="1"/>
      <c r="AU18" s="8"/>
      <c r="AV18" s="25"/>
      <c r="AX18" s="1" t="s">
        <v>91</v>
      </c>
      <c r="AY18" s="16">
        <f>-AQ14</f>
        <v>4528.6022826606859</v>
      </c>
      <c r="BI18" s="1" t="s">
        <v>97</v>
      </c>
      <c r="BJ18" s="1">
        <v>4000</v>
      </c>
      <c r="BK18" s="1"/>
    </row>
    <row r="19" spans="1:63" x14ac:dyDescent="0.4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490</v>
      </c>
      <c r="AE19" s="8">
        <v>980</v>
      </c>
      <c r="AF19" s="8">
        <v>0</v>
      </c>
      <c r="AG19" s="8">
        <v>0</v>
      </c>
      <c r="AH19" s="8">
        <f t="shared" si="9"/>
        <v>1470</v>
      </c>
      <c r="AR19" s="25"/>
      <c r="AT19" s="15"/>
      <c r="AU19" s="8"/>
      <c r="AV19" s="25"/>
      <c r="AX19" s="1"/>
      <c r="AY19" s="16">
        <f>SUM(AY17:AY18)</f>
        <v>28090.602282660686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4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1460</v>
      </c>
      <c r="R20" s="8">
        <v>45</v>
      </c>
      <c r="S20" s="8">
        <v>360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9"/>
        <v>1865</v>
      </c>
      <c r="AR20" s="25"/>
      <c r="BA20" s="9">
        <v>4547</v>
      </c>
      <c r="BI20" s="1" t="s">
        <v>37</v>
      </c>
      <c r="BJ20" s="1"/>
      <c r="BK20" s="1"/>
    </row>
    <row r="21" spans="1:63" x14ac:dyDescent="0.4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2250</v>
      </c>
      <c r="M21" s="8">
        <v>310</v>
      </c>
      <c r="N21" s="8">
        <v>545</v>
      </c>
      <c r="O21" s="8">
        <v>25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9"/>
        <v>3130</v>
      </c>
      <c r="AX21" s="1" t="s">
        <v>92</v>
      </c>
      <c r="AY21" s="1"/>
      <c r="BA21" s="9">
        <f>AY17+BA20</f>
        <v>28109</v>
      </c>
      <c r="BI21" s="1" t="s">
        <v>98</v>
      </c>
      <c r="BJ21" s="1">
        <f>$BJ$19</f>
        <v>666.66666666666663</v>
      </c>
      <c r="BK21" s="1"/>
    </row>
    <row r="22" spans="1:63" x14ac:dyDescent="0.4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340</v>
      </c>
      <c r="L22" s="8">
        <v>0</v>
      </c>
      <c r="M22" s="8">
        <v>0</v>
      </c>
      <c r="N22" s="8">
        <v>0</v>
      </c>
      <c r="O22" s="8">
        <v>0</v>
      </c>
      <c r="P22" s="8">
        <v>1550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9"/>
        <v>1890</v>
      </c>
      <c r="AV22" s="25"/>
      <c r="AX22" s="1" t="s">
        <v>93</v>
      </c>
      <c r="AY22" s="16">
        <f>-AU14</f>
        <v>-20.112003053604667</v>
      </c>
      <c r="BI22" s="1" t="s">
        <v>49</v>
      </c>
      <c r="BJ22" s="1">
        <f>$BJ$19</f>
        <v>666.66666666666663</v>
      </c>
      <c r="BK22" s="1"/>
    </row>
    <row r="23" spans="1:63" x14ac:dyDescent="0.4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1840</v>
      </c>
      <c r="H23" s="8">
        <v>430</v>
      </c>
      <c r="I23" s="8">
        <v>160</v>
      </c>
      <c r="J23" s="8">
        <v>855</v>
      </c>
      <c r="K23" s="8">
        <v>0</v>
      </c>
      <c r="L23" s="8">
        <v>0</v>
      </c>
      <c r="M23" s="8"/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9"/>
        <v>3285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4">
      <c r="AH24" s="9">
        <f>SUM(AH17:AH23)</f>
        <v>22110</v>
      </c>
      <c r="AX24" s="1"/>
      <c r="AY24" s="16">
        <f>SUM(AY22:AY23)</f>
        <v>1979.8879969463953</v>
      </c>
      <c r="BI24" s="1" t="s">
        <v>99</v>
      </c>
      <c r="BJ24" s="1">
        <f>$BJ$19</f>
        <v>666.66666666666663</v>
      </c>
      <c r="BK24" s="1"/>
    </row>
    <row r="25" spans="1:63" x14ac:dyDescent="0.4">
      <c r="A25" s="4"/>
      <c r="B25" s="13" t="s">
        <v>87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18</v>
      </c>
      <c r="K25" s="4" t="s">
        <v>19</v>
      </c>
      <c r="L25" s="4" t="s">
        <v>20</v>
      </c>
      <c r="M25" s="4" t="s">
        <v>21</v>
      </c>
      <c r="N25" s="4" t="s">
        <v>22</v>
      </c>
      <c r="BI25" s="1" t="s">
        <v>40</v>
      </c>
      <c r="BJ25" s="1">
        <f>$BJ$19</f>
        <v>666.66666666666663</v>
      </c>
      <c r="BK25" s="1"/>
    </row>
    <row r="26" spans="1:63" x14ac:dyDescent="0.4">
      <c r="A26" s="2">
        <v>1</v>
      </c>
      <c r="B26" s="12" t="s">
        <v>4</v>
      </c>
      <c r="C26" s="8">
        <f>H38</f>
        <v>3142.8571428571427</v>
      </c>
      <c r="D26" s="8">
        <f>$D$35/7</f>
        <v>428.57142857142856</v>
      </c>
      <c r="E26" s="8">
        <f>$E$35/7</f>
        <v>0</v>
      </c>
      <c r="F26" s="8">
        <f>$F$35/7</f>
        <v>71.428571428571431</v>
      </c>
      <c r="G26" s="8">
        <f>$G$35/7</f>
        <v>139.28571428571428</v>
      </c>
      <c r="H26" s="8">
        <f>$H$35/7</f>
        <v>291</v>
      </c>
      <c r="I26" s="8">
        <f>$I$35/7</f>
        <v>257.14285714285717</v>
      </c>
      <c r="J26" s="8">
        <f>$J$35/7</f>
        <v>35.714285714285715</v>
      </c>
      <c r="K26" s="8">
        <f>$K$35/6</f>
        <v>0</v>
      </c>
      <c r="L26" s="8">
        <f>$L$35/7</f>
        <v>20.714285714285715</v>
      </c>
      <c r="M26" s="8">
        <f>$M$35/7</f>
        <v>0</v>
      </c>
      <c r="N26" s="8">
        <f t="shared" ref="N26:N34" si="10">SUM(C26:M26)</f>
        <v>4386.7142857142844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4">
      <c r="A27" s="2">
        <v>2</v>
      </c>
      <c r="B27" s="12" t="s">
        <v>5</v>
      </c>
      <c r="C27" s="8">
        <f>H38</f>
        <v>3142.8571428571427</v>
      </c>
      <c r="D27" s="8">
        <f t="shared" ref="D27:D32" si="11">$D$35/7</f>
        <v>428.57142857142856</v>
      </c>
      <c r="E27" s="8">
        <f>$E$35/7</f>
        <v>0</v>
      </c>
      <c r="F27" s="8">
        <f t="shared" ref="F27:F32" si="12">$F$35/7</f>
        <v>71.428571428571431</v>
      </c>
      <c r="G27" s="8">
        <f t="shared" ref="G27:G32" si="13">$G$35/7</f>
        <v>139.28571428571428</v>
      </c>
      <c r="H27" s="8">
        <f t="shared" ref="H27:H32" si="14">$H$35/7</f>
        <v>291</v>
      </c>
      <c r="I27" s="8">
        <f t="shared" ref="I27:I32" si="15">$I$35/7</f>
        <v>257.14285714285717</v>
      </c>
      <c r="J27" s="8">
        <f t="shared" ref="J27:J31" si="16">$J$35/7</f>
        <v>35.714285714285715</v>
      </c>
      <c r="K27" s="8">
        <f t="shared" ref="K27:K32" si="17">$K$35/6</f>
        <v>0</v>
      </c>
      <c r="L27" s="8">
        <f t="shared" ref="L27:L32" si="18">$L$35/7</f>
        <v>20.714285714285715</v>
      </c>
      <c r="M27" s="8">
        <f t="shared" ref="M27:M32" si="19">$M$35/7</f>
        <v>0</v>
      </c>
      <c r="N27" s="8">
        <f t="shared" si="10"/>
        <v>4386.7142857142844</v>
      </c>
      <c r="AX27" t="s">
        <v>90</v>
      </c>
      <c r="AY27" s="47">
        <v>23773</v>
      </c>
    </row>
    <row r="28" spans="1:63" x14ac:dyDescent="0.4">
      <c r="A28" s="2">
        <v>3</v>
      </c>
      <c r="B28" s="12" t="s">
        <v>6</v>
      </c>
      <c r="C28" s="8">
        <f>H39</f>
        <v>2142.8571428571427</v>
      </c>
      <c r="D28" s="8">
        <f t="shared" si="11"/>
        <v>428.57142857142856</v>
      </c>
      <c r="E28" s="8">
        <f>$E$35/7</f>
        <v>0</v>
      </c>
      <c r="F28" s="8">
        <f t="shared" si="12"/>
        <v>71.428571428571431</v>
      </c>
      <c r="G28" s="8">
        <f t="shared" si="13"/>
        <v>139.28571428571428</v>
      </c>
      <c r="H28" s="8">
        <f t="shared" si="14"/>
        <v>291</v>
      </c>
      <c r="I28" s="8">
        <f t="shared" si="15"/>
        <v>257.14285714285717</v>
      </c>
      <c r="J28" s="8">
        <f t="shared" si="16"/>
        <v>35.714285714285715</v>
      </c>
      <c r="K28" s="8">
        <f t="shared" si="17"/>
        <v>0</v>
      </c>
      <c r="L28" s="8">
        <f t="shared" si="18"/>
        <v>20.714285714285715</v>
      </c>
      <c r="M28" s="8">
        <f t="shared" si="19"/>
        <v>0</v>
      </c>
      <c r="N28" s="8">
        <f t="shared" si="10"/>
        <v>3386.7142857142858</v>
      </c>
      <c r="AX28" t="s">
        <v>91</v>
      </c>
      <c r="AY28" s="47">
        <v>10374</v>
      </c>
    </row>
    <row r="29" spans="1:63" x14ac:dyDescent="0.4">
      <c r="A29" s="2">
        <v>4</v>
      </c>
      <c r="B29" s="12" t="s">
        <v>57</v>
      </c>
      <c r="C29" s="8">
        <f>H39</f>
        <v>2142.8571428571427</v>
      </c>
      <c r="D29" s="8">
        <f t="shared" si="11"/>
        <v>428.57142857142856</v>
      </c>
      <c r="E29" s="8">
        <f>$E$35/7</f>
        <v>0</v>
      </c>
      <c r="F29" s="8">
        <f t="shared" si="12"/>
        <v>71.428571428571431</v>
      </c>
      <c r="G29" s="8">
        <f t="shared" si="13"/>
        <v>139.28571428571428</v>
      </c>
      <c r="H29" s="8">
        <f t="shared" si="14"/>
        <v>291</v>
      </c>
      <c r="I29" s="8">
        <f t="shared" si="15"/>
        <v>257.14285714285717</v>
      </c>
      <c r="J29" s="8">
        <f t="shared" si="16"/>
        <v>35.714285714285715</v>
      </c>
      <c r="K29" s="8"/>
      <c r="L29" s="8">
        <f t="shared" si="18"/>
        <v>20.714285714285715</v>
      </c>
      <c r="M29" s="8">
        <f t="shared" si="19"/>
        <v>0</v>
      </c>
      <c r="N29" s="8">
        <f t="shared" si="10"/>
        <v>3386.7142857142858</v>
      </c>
      <c r="AY29" s="47">
        <f>SUM(AY27:AY28)</f>
        <v>34147</v>
      </c>
    </row>
    <row r="30" spans="1:63" x14ac:dyDescent="0.4">
      <c r="A30" s="2">
        <v>5</v>
      </c>
      <c r="B30" s="12" t="s">
        <v>51</v>
      </c>
      <c r="C30" s="8">
        <f>H39</f>
        <v>2142.8571428571427</v>
      </c>
      <c r="D30" s="8">
        <f t="shared" si="11"/>
        <v>428.57142857142856</v>
      </c>
      <c r="E30" s="8">
        <f t="shared" ref="E30:E32" si="20">$E$35/7</f>
        <v>0</v>
      </c>
      <c r="F30" s="8">
        <f t="shared" si="12"/>
        <v>71.428571428571431</v>
      </c>
      <c r="G30" s="8">
        <f t="shared" si="13"/>
        <v>139.28571428571428</v>
      </c>
      <c r="H30" s="8">
        <f t="shared" si="14"/>
        <v>291</v>
      </c>
      <c r="I30" s="8">
        <f t="shared" si="15"/>
        <v>257.14285714285717</v>
      </c>
      <c r="J30" s="8">
        <f t="shared" si="16"/>
        <v>35.714285714285715</v>
      </c>
      <c r="K30" s="8">
        <f t="shared" si="17"/>
        <v>0</v>
      </c>
      <c r="L30" s="8">
        <f t="shared" si="18"/>
        <v>20.714285714285715</v>
      </c>
      <c r="M30" s="8">
        <f t="shared" si="19"/>
        <v>0</v>
      </c>
      <c r="N30" s="8">
        <f t="shared" si="10"/>
        <v>3386.7142857142858</v>
      </c>
      <c r="AX30" t="s">
        <v>101</v>
      </c>
      <c r="AY30" s="47">
        <v>29600</v>
      </c>
    </row>
    <row r="31" spans="1:63" x14ac:dyDescent="0.4">
      <c r="A31" s="2">
        <v>6</v>
      </c>
      <c r="B31" s="12" t="s">
        <v>7</v>
      </c>
      <c r="C31" s="8">
        <v>0</v>
      </c>
      <c r="D31" s="8">
        <f t="shared" si="11"/>
        <v>428.57142857142856</v>
      </c>
      <c r="E31" s="8">
        <f t="shared" si="20"/>
        <v>0</v>
      </c>
      <c r="F31" s="8">
        <f t="shared" si="12"/>
        <v>71.428571428571431</v>
      </c>
      <c r="G31" s="8">
        <f t="shared" si="13"/>
        <v>139.28571428571428</v>
      </c>
      <c r="H31" s="8">
        <f t="shared" si="14"/>
        <v>291</v>
      </c>
      <c r="I31" s="8">
        <f t="shared" si="15"/>
        <v>257.14285714285717</v>
      </c>
      <c r="J31" s="8">
        <f t="shared" si="16"/>
        <v>35.714285714285715</v>
      </c>
      <c r="K31" s="8">
        <f t="shared" si="17"/>
        <v>0</v>
      </c>
      <c r="L31" s="8">
        <f t="shared" si="18"/>
        <v>20.714285714285715</v>
      </c>
      <c r="M31" s="8">
        <f t="shared" si="19"/>
        <v>0</v>
      </c>
      <c r="N31" s="8">
        <f t="shared" si="10"/>
        <v>1243.8571428571429</v>
      </c>
      <c r="AX31" t="s">
        <v>102</v>
      </c>
      <c r="AY31" s="48">
        <f>AY29-AY30</f>
        <v>4547</v>
      </c>
    </row>
    <row r="32" spans="1:63" x14ac:dyDescent="0.4">
      <c r="A32" s="2">
        <v>7</v>
      </c>
      <c r="B32" s="12" t="s">
        <v>8</v>
      </c>
      <c r="C32" s="8">
        <v>0</v>
      </c>
      <c r="D32" s="8">
        <f t="shared" si="11"/>
        <v>428.57142857142856</v>
      </c>
      <c r="E32" s="8">
        <f t="shared" si="20"/>
        <v>0</v>
      </c>
      <c r="F32" s="8">
        <f t="shared" si="12"/>
        <v>71.428571428571431</v>
      </c>
      <c r="G32" s="8">
        <f t="shared" si="13"/>
        <v>139.28571428571428</v>
      </c>
      <c r="H32" s="8">
        <f t="shared" si="14"/>
        <v>291</v>
      </c>
      <c r="I32" s="8">
        <f t="shared" si="15"/>
        <v>257.14285714285717</v>
      </c>
      <c r="J32" s="8">
        <f>$J$35/7</f>
        <v>35.714285714285715</v>
      </c>
      <c r="K32" s="8">
        <f t="shared" si="17"/>
        <v>0</v>
      </c>
      <c r="L32" s="8">
        <f t="shared" si="18"/>
        <v>20.714285714285715</v>
      </c>
      <c r="M32" s="8">
        <f t="shared" si="19"/>
        <v>0</v>
      </c>
      <c r="N32" s="8">
        <f t="shared" si="10"/>
        <v>1243.8571428571429</v>
      </c>
      <c r="AY32" s="47"/>
    </row>
    <row r="33" spans="1:51" x14ac:dyDescent="0.4">
      <c r="A33" s="2">
        <v>8</v>
      </c>
      <c r="B33" s="12" t="s">
        <v>104</v>
      </c>
      <c r="C33" s="8">
        <f>H40</f>
        <v>2892.8571428571427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f t="shared" si="10"/>
        <v>2892.8571428571427</v>
      </c>
      <c r="AY33" s="47"/>
    </row>
    <row r="34" spans="1:51" x14ac:dyDescent="0.4">
      <c r="A34" s="2">
        <v>9</v>
      </c>
      <c r="B34" s="12" t="s">
        <v>105</v>
      </c>
      <c r="C34" s="8">
        <f>H40</f>
        <v>2892.8571428571427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f t="shared" si="10"/>
        <v>2892.8571428571427</v>
      </c>
      <c r="AY34" s="47"/>
    </row>
    <row r="35" spans="1:51" x14ac:dyDescent="0.4">
      <c r="C35" s="8">
        <f>SUM(C26:C34)</f>
        <v>18500</v>
      </c>
      <c r="D35" s="40">
        <v>3000</v>
      </c>
      <c r="E35" s="8"/>
      <c r="F35" s="8">
        <f>500</f>
        <v>500</v>
      </c>
      <c r="G35" s="8">
        <f>975</f>
        <v>975</v>
      </c>
      <c r="H35" s="14">
        <v>2037</v>
      </c>
      <c r="I35" s="14">
        <v>1800</v>
      </c>
      <c r="J35" s="8">
        <f>250</f>
        <v>250</v>
      </c>
      <c r="K35" s="8">
        <f>0</f>
        <v>0</v>
      </c>
      <c r="L35" s="8">
        <f>120+25</f>
        <v>145</v>
      </c>
      <c r="M35" s="8"/>
      <c r="N35" s="8">
        <f>SUM(N26:N34)</f>
        <v>27206.999999999993</v>
      </c>
      <c r="O35" s="9">
        <f>O42+O50</f>
        <v>27207</v>
      </c>
      <c r="P35" s="9">
        <f>N35-O35</f>
        <v>0</v>
      </c>
      <c r="AX35" t="s">
        <v>103</v>
      </c>
      <c r="AY35" s="47">
        <f>AY30-21100</f>
        <v>8500</v>
      </c>
    </row>
    <row r="37" spans="1:51" x14ac:dyDescent="0.4">
      <c r="N37" t="s">
        <v>61</v>
      </c>
      <c r="O37" s="9">
        <f>C35</f>
        <v>18500</v>
      </c>
    </row>
    <row r="38" spans="1:51" x14ac:dyDescent="0.4">
      <c r="D38" s="1">
        <v>6000</v>
      </c>
      <c r="E38" s="1">
        <v>2</v>
      </c>
      <c r="F38" s="1">
        <f>D38/E38</f>
        <v>3000</v>
      </c>
      <c r="G38" s="1">
        <f>(500+500)/7</f>
        <v>142.85714285714286</v>
      </c>
      <c r="H38" s="11">
        <f>F38+G38</f>
        <v>3142.8571428571427</v>
      </c>
      <c r="I38" s="11">
        <f>H38*E38</f>
        <v>6285.7142857142853</v>
      </c>
      <c r="N38" t="s">
        <v>71</v>
      </c>
      <c r="O38" s="9">
        <f>G35</f>
        <v>975</v>
      </c>
    </row>
    <row r="39" spans="1:51" x14ac:dyDescent="0.4">
      <c r="D39" s="1">
        <v>6000</v>
      </c>
      <c r="E39" s="1">
        <v>3</v>
      </c>
      <c r="F39" s="1">
        <f t="shared" ref="F39:F40" si="21">D39/E39</f>
        <v>2000</v>
      </c>
      <c r="G39" s="1">
        <f t="shared" ref="G39:G40" si="22">(500+500)/7</f>
        <v>142.85714285714286</v>
      </c>
      <c r="H39" s="11">
        <f t="shared" ref="H39" si="23">F39+G39</f>
        <v>2142.8571428571427</v>
      </c>
      <c r="I39" s="11">
        <f t="shared" ref="I39:I40" si="24">H39*E39</f>
        <v>6428.5714285714275</v>
      </c>
      <c r="N39" t="s">
        <v>72</v>
      </c>
      <c r="O39" s="9">
        <f>I35</f>
        <v>1800</v>
      </c>
    </row>
    <row r="40" spans="1:51" x14ac:dyDescent="0.4">
      <c r="D40" s="1">
        <v>5500</v>
      </c>
      <c r="E40" s="1">
        <v>2</v>
      </c>
      <c r="F40" s="11">
        <f t="shared" si="21"/>
        <v>2750</v>
      </c>
      <c r="G40" s="1">
        <f t="shared" si="22"/>
        <v>142.85714285714286</v>
      </c>
      <c r="H40" s="11">
        <f>F40+G40</f>
        <v>2892.8571428571427</v>
      </c>
      <c r="I40" s="11">
        <f t="shared" si="24"/>
        <v>5785.7142857142853</v>
      </c>
      <c r="N40" t="s">
        <v>73</v>
      </c>
      <c r="O40" s="9">
        <f>H35</f>
        <v>2037</v>
      </c>
    </row>
    <row r="41" spans="1:51" x14ac:dyDescent="0.4">
      <c r="D41" s="1">
        <f>SUM(D38:D40)</f>
        <v>17500</v>
      </c>
      <c r="E41" s="1"/>
      <c r="F41" s="1"/>
      <c r="G41" s="1"/>
      <c r="H41" s="1"/>
      <c r="I41" s="11">
        <f>SUM(I38:I40)</f>
        <v>18500</v>
      </c>
      <c r="N41" t="s">
        <v>74</v>
      </c>
      <c r="O41" s="9">
        <f>J35</f>
        <v>250</v>
      </c>
    </row>
    <row r="42" spans="1:51" x14ac:dyDescent="0.4">
      <c r="O42" s="9">
        <f>SUM(O37:O41)</f>
        <v>23562</v>
      </c>
    </row>
    <row r="44" spans="1:51" x14ac:dyDescent="0.4">
      <c r="P44" s="9">
        <f>O42+O50</f>
        <v>27207</v>
      </c>
    </row>
    <row r="45" spans="1:51" x14ac:dyDescent="0.4">
      <c r="N45" t="s">
        <v>12</v>
      </c>
      <c r="O45" s="9">
        <f>D35</f>
        <v>3000</v>
      </c>
    </row>
    <row r="46" spans="1:51" x14ac:dyDescent="0.4">
      <c r="N46" t="s">
        <v>13</v>
      </c>
      <c r="O46" s="9">
        <f>E35</f>
        <v>0</v>
      </c>
    </row>
    <row r="47" spans="1:51" x14ac:dyDescent="0.4">
      <c r="N47" t="s">
        <v>14</v>
      </c>
      <c r="O47" s="9">
        <f>F35</f>
        <v>500</v>
      </c>
    </row>
    <row r="48" spans="1:51" x14ac:dyDescent="0.4">
      <c r="N48" t="s">
        <v>20</v>
      </c>
      <c r="O48" s="9">
        <f>L35</f>
        <v>145</v>
      </c>
    </row>
    <row r="49" spans="14:15" x14ac:dyDescent="0.4">
      <c r="N49" t="s">
        <v>21</v>
      </c>
      <c r="O49" s="9">
        <f>M35</f>
        <v>0</v>
      </c>
    </row>
    <row r="50" spans="14:15" x14ac:dyDescent="0.4">
      <c r="O50" s="9">
        <f>SUM(O45:O49)</f>
        <v>3645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AF88-F2DD-4444-84E2-B1EB77AD0E9C}">
  <dimension ref="A1:BK53"/>
  <sheetViews>
    <sheetView zoomScaleNormal="100" workbookViewId="0">
      <pane xSplit="2" ySplit="4" topLeftCell="AL5" activePane="bottomRight" state="frozen"/>
      <selection pane="topRight" activeCell="C1" sqref="C1"/>
      <selection pane="bottomLeft" activeCell="A5" sqref="A5"/>
      <selection pane="bottomRight" activeCell="AR14" sqref="AR14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8.5976562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51" ht="14.55" customHeight="1" x14ac:dyDescent="0.4">
      <c r="C1" s="204" t="s">
        <v>109</v>
      </c>
      <c r="D1" s="204"/>
      <c r="E1" s="205">
        <f>AH26/AH14</f>
        <v>46.775465498357065</v>
      </c>
      <c r="F1" s="205"/>
    </row>
    <row r="2" spans="1:51" ht="9.4499999999999993" customHeight="1" x14ac:dyDescent="0.4">
      <c r="C2" s="204"/>
      <c r="D2" s="204"/>
      <c r="E2" s="205"/>
      <c r="F2" s="205"/>
    </row>
    <row r="4" spans="1:51" ht="62.4" x14ac:dyDescent="0.4">
      <c r="A4" s="53" t="s">
        <v>0</v>
      </c>
      <c r="B4" s="53" t="s">
        <v>2</v>
      </c>
      <c r="C4" s="54">
        <v>44409</v>
      </c>
      <c r="D4" s="54">
        <v>44410</v>
      </c>
      <c r="E4" s="54">
        <v>44411</v>
      </c>
      <c r="F4" s="54">
        <v>44412</v>
      </c>
      <c r="G4" s="54">
        <v>44413</v>
      </c>
      <c r="H4" s="54">
        <v>44414</v>
      </c>
      <c r="I4" s="54">
        <v>44415</v>
      </c>
      <c r="J4" s="54">
        <v>44416</v>
      </c>
      <c r="K4" s="54">
        <v>44417</v>
      </c>
      <c r="L4" s="54">
        <v>44418</v>
      </c>
      <c r="M4" s="54">
        <v>44419</v>
      </c>
      <c r="N4" s="54">
        <v>44420</v>
      </c>
      <c r="O4" s="54">
        <v>44421</v>
      </c>
      <c r="P4" s="54">
        <v>44422</v>
      </c>
      <c r="Q4" s="54">
        <v>44423</v>
      </c>
      <c r="R4" s="54">
        <v>44424</v>
      </c>
      <c r="S4" s="54">
        <v>44425</v>
      </c>
      <c r="T4" s="54">
        <v>44426</v>
      </c>
      <c r="U4" s="54">
        <v>44427</v>
      </c>
      <c r="V4" s="54">
        <v>44428</v>
      </c>
      <c r="W4" s="54">
        <v>44429</v>
      </c>
      <c r="X4" s="54">
        <v>44430</v>
      </c>
      <c r="Y4" s="54">
        <v>44431</v>
      </c>
      <c r="Z4" s="54">
        <v>44432</v>
      </c>
      <c r="AA4" s="54">
        <v>44433</v>
      </c>
      <c r="AB4" s="54">
        <v>44434</v>
      </c>
      <c r="AC4" s="54">
        <v>44435</v>
      </c>
      <c r="AD4" s="54">
        <v>44436</v>
      </c>
      <c r="AE4" s="54">
        <v>44437</v>
      </c>
      <c r="AF4" s="54">
        <v>44438</v>
      </c>
      <c r="AG4" s="54">
        <v>44439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4">
      <c r="A5" s="2">
        <v>1</v>
      </c>
      <c r="B5" s="3" t="s">
        <v>4</v>
      </c>
      <c r="C5" s="7">
        <v>1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2.5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0</v>
      </c>
      <c r="P5" s="7">
        <v>0</v>
      </c>
      <c r="Q5" s="7">
        <v>1</v>
      </c>
      <c r="R5" s="7">
        <v>2</v>
      </c>
      <c r="S5" s="7">
        <v>2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1</v>
      </c>
      <c r="AG5" s="7">
        <v>2</v>
      </c>
      <c r="AH5" s="56">
        <f>SUM(C5:AG5)</f>
        <v>44.5</v>
      </c>
      <c r="AJ5" s="2">
        <v>1</v>
      </c>
      <c r="AK5" s="3" t="s">
        <v>4</v>
      </c>
      <c r="AL5" s="16">
        <f>AH5*$E$1</f>
        <v>2081.5082146768896</v>
      </c>
      <c r="AM5" s="16">
        <f>AH17</f>
        <v>3625</v>
      </c>
      <c r="AN5" s="16">
        <f t="shared" ref="AN5:AN13" si="0">AM5-AL5</f>
        <v>1543.4917853231104</v>
      </c>
      <c r="AO5" s="16">
        <f t="shared" ref="AO5:AO13" si="1">N29</f>
        <v>4392.8571428571422</v>
      </c>
      <c r="AP5" s="16">
        <f>AO5-AN5</f>
        <v>2849.3653575340318</v>
      </c>
      <c r="AQ5" s="16">
        <f>'Meal July''21 &amp; Rent Augut'!AU5</f>
        <v>3756.6733780218206</v>
      </c>
      <c r="AR5" s="16">
        <f>AP5-AQ5</f>
        <v>-907.30802048778878</v>
      </c>
      <c r="AS5" s="8">
        <v>0</v>
      </c>
      <c r="AT5" s="17">
        <v>44418</v>
      </c>
      <c r="AU5" s="16">
        <f>AS5-AR5</f>
        <v>907.30802048778878</v>
      </c>
      <c r="AY5" s="9"/>
    </row>
    <row r="6" spans="1:51" x14ac:dyDescent="0.4">
      <c r="A6" s="2">
        <v>2</v>
      </c>
      <c r="B6" s="3" t="s">
        <v>5</v>
      </c>
      <c r="C6" s="7">
        <v>2</v>
      </c>
      <c r="D6" s="7">
        <v>2.5</v>
      </c>
      <c r="E6" s="7">
        <v>2.5</v>
      </c>
      <c r="F6" s="7">
        <v>0</v>
      </c>
      <c r="G6" s="7">
        <v>2.5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2.5</v>
      </c>
      <c r="T6" s="7">
        <v>0</v>
      </c>
      <c r="U6" s="7">
        <v>0.5</v>
      </c>
      <c r="V6" s="7">
        <v>0</v>
      </c>
      <c r="W6" s="7">
        <v>1</v>
      </c>
      <c r="X6" s="7">
        <v>2</v>
      </c>
      <c r="Y6" s="7">
        <v>2.5</v>
      </c>
      <c r="Z6" s="7">
        <v>2.5</v>
      </c>
      <c r="AA6" s="7">
        <v>2.5</v>
      </c>
      <c r="AB6" s="7">
        <v>2.5</v>
      </c>
      <c r="AC6" s="7">
        <v>4.5</v>
      </c>
      <c r="AD6" s="7">
        <v>4</v>
      </c>
      <c r="AE6" s="7">
        <v>2.5</v>
      </c>
      <c r="AF6" s="7">
        <v>0</v>
      </c>
      <c r="AG6" s="7">
        <v>0</v>
      </c>
      <c r="AH6" s="56">
        <f>SUM(C6:AG6)</f>
        <v>65</v>
      </c>
      <c r="AJ6" s="2">
        <v>2</v>
      </c>
      <c r="AK6" s="3" t="s">
        <v>5</v>
      </c>
      <c r="AL6" s="16">
        <f>AH6*$E$1</f>
        <v>3040.405257393209</v>
      </c>
      <c r="AM6" s="16">
        <f>AH18</f>
        <v>3575</v>
      </c>
      <c r="AN6" s="16">
        <f t="shared" si="0"/>
        <v>534.59474260679099</v>
      </c>
      <c r="AO6" s="16">
        <f t="shared" si="1"/>
        <v>4392.8571428571422</v>
      </c>
      <c r="AP6" s="16">
        <f t="shared" ref="AP6:AP13" si="2">AO6-AN6</f>
        <v>3858.2624002503512</v>
      </c>
      <c r="AQ6" s="16">
        <f>'Meal July''21 &amp; Rent Augut'!AU6</f>
        <v>318.59498465778506</v>
      </c>
      <c r="AR6" s="16">
        <f t="shared" ref="AR6:AR13" si="3">AP6-AQ6</f>
        <v>3539.6674155925662</v>
      </c>
      <c r="AS6" s="8">
        <f>500+3040</f>
        <v>3540</v>
      </c>
      <c r="AT6" s="17">
        <v>44428</v>
      </c>
      <c r="AU6" s="16">
        <f t="shared" ref="AU6:AU10" si="4">AS6-AR6</f>
        <v>0.33258440743384199</v>
      </c>
      <c r="AW6">
        <v>3040</v>
      </c>
      <c r="AY6" s="9"/>
    </row>
    <row r="7" spans="1:51" x14ac:dyDescent="0.4">
      <c r="A7" s="2">
        <v>3</v>
      </c>
      <c r="B7" s="3" t="s">
        <v>6</v>
      </c>
      <c r="C7" s="7">
        <v>2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4.5</v>
      </c>
      <c r="V7" s="7">
        <v>5.5</v>
      </c>
      <c r="W7" s="7">
        <v>5</v>
      </c>
      <c r="X7" s="7">
        <v>3</v>
      </c>
      <c r="Y7" s="7">
        <v>4.5</v>
      </c>
      <c r="Z7" s="7">
        <v>4.5</v>
      </c>
      <c r="AA7" s="7">
        <v>4</v>
      </c>
      <c r="AB7" s="7">
        <v>3.5</v>
      </c>
      <c r="AC7" s="7">
        <v>4.5</v>
      </c>
      <c r="AD7" s="7">
        <v>6.5</v>
      </c>
      <c r="AE7" s="7">
        <v>2.5</v>
      </c>
      <c r="AF7" s="7">
        <v>2.5</v>
      </c>
      <c r="AG7" s="7">
        <v>2.5</v>
      </c>
      <c r="AH7" s="56">
        <f t="shared" ref="AH7:AH10" si="5">SUM(C7:AG7)</f>
        <v>97</v>
      </c>
      <c r="AJ7" s="2">
        <v>3</v>
      </c>
      <c r="AK7" s="3" t="s">
        <v>6</v>
      </c>
      <c r="AL7" s="16">
        <f>AH7*$E$1</f>
        <v>4537.2201533406351</v>
      </c>
      <c r="AM7" s="16">
        <f>AH19</f>
        <v>2205</v>
      </c>
      <c r="AN7" s="16">
        <f t="shared" si="0"/>
        <v>-2332.2201533406351</v>
      </c>
      <c r="AO7" s="16">
        <f t="shared" si="1"/>
        <v>3392.8571428571427</v>
      </c>
      <c r="AP7" s="16">
        <f t="shared" si="2"/>
        <v>5725.0772961977782</v>
      </c>
      <c r="AQ7" s="16">
        <f>'Meal July''21 &amp; Rent Augut'!AU7</f>
        <v>2.2256292496531387</v>
      </c>
      <c r="AR7" s="16">
        <f t="shared" si="3"/>
        <v>5722.8516669481251</v>
      </c>
      <c r="AS7" s="8">
        <f>2800-100+3025</f>
        <v>5725</v>
      </c>
      <c r="AT7" s="17"/>
      <c r="AU7" s="16">
        <f t="shared" si="4"/>
        <v>2.1483330518749426</v>
      </c>
      <c r="AW7">
        <f>2700+3025</f>
        <v>5725</v>
      </c>
      <c r="AY7" s="9"/>
    </row>
    <row r="8" spans="1:51" x14ac:dyDescent="0.4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4.5</v>
      </c>
      <c r="Q8" s="7">
        <v>4</v>
      </c>
      <c r="R8" s="7">
        <v>2.5</v>
      </c>
      <c r="S8" s="7">
        <v>2.5</v>
      </c>
      <c r="T8" s="7">
        <v>2</v>
      </c>
      <c r="U8" s="7">
        <v>2.5</v>
      </c>
      <c r="V8" s="7">
        <v>3.5</v>
      </c>
      <c r="W8" s="7">
        <v>1.5</v>
      </c>
      <c r="X8" s="7">
        <v>2</v>
      </c>
      <c r="Y8" s="7">
        <v>3.5</v>
      </c>
      <c r="Z8" s="7">
        <v>3.5</v>
      </c>
      <c r="AA8" s="7">
        <v>3</v>
      </c>
      <c r="AB8" s="7">
        <v>2.5</v>
      </c>
      <c r="AC8" s="7">
        <v>2.5</v>
      </c>
      <c r="AD8" s="7">
        <v>4.5</v>
      </c>
      <c r="AE8" s="7">
        <v>3.5</v>
      </c>
      <c r="AF8" s="7">
        <v>2.5</v>
      </c>
      <c r="AG8" s="7">
        <v>2.5</v>
      </c>
      <c r="AH8" s="56">
        <f t="shared" si="5"/>
        <v>84.5</v>
      </c>
      <c r="AJ8" s="2">
        <v>4</v>
      </c>
      <c r="AK8" s="3" t="s">
        <v>57</v>
      </c>
      <c r="AL8" s="16">
        <f>AH8*$E$1</f>
        <v>3952.526834611172</v>
      </c>
      <c r="AM8" s="16">
        <f>AH20</f>
        <v>3390</v>
      </c>
      <c r="AN8" s="16">
        <f t="shared" si="0"/>
        <v>-562.52683461117203</v>
      </c>
      <c r="AO8" s="16">
        <f t="shared" si="1"/>
        <v>3392.8571428571427</v>
      </c>
      <c r="AP8" s="16">
        <f t="shared" si="2"/>
        <v>3955.3839774683147</v>
      </c>
      <c r="AQ8" s="16">
        <f>'Meal July''21 &amp; Rent Augut'!AU8</f>
        <v>-880.7421012644736</v>
      </c>
      <c r="AR8" s="16">
        <f t="shared" si="3"/>
        <v>4836.1260787327883</v>
      </c>
      <c r="AS8" s="8">
        <f>3500+1300</f>
        <v>4800</v>
      </c>
      <c r="AT8" s="17">
        <v>44457</v>
      </c>
      <c r="AU8" s="16">
        <f>AS8-AR8</f>
        <v>-36.126078732788301</v>
      </c>
      <c r="AV8" s="25"/>
      <c r="AW8" s="9">
        <f>3500+1300</f>
        <v>4800</v>
      </c>
      <c r="AY8" s="9"/>
    </row>
    <row r="9" spans="1:51" x14ac:dyDescent="0.4">
      <c r="A9" s="2">
        <v>5</v>
      </c>
      <c r="B9" s="12" t="s">
        <v>51</v>
      </c>
      <c r="C9" s="7">
        <v>2</v>
      </c>
      <c r="D9" s="7">
        <v>2</v>
      </c>
      <c r="E9" s="7">
        <v>2.5</v>
      </c>
      <c r="F9" s="7">
        <v>2</v>
      </c>
      <c r="G9" s="7">
        <v>2.5</v>
      </c>
      <c r="H9" s="7">
        <v>2.5</v>
      </c>
      <c r="I9" s="7">
        <v>2.5</v>
      </c>
      <c r="J9" s="7">
        <v>2</v>
      </c>
      <c r="K9" s="7">
        <v>2</v>
      </c>
      <c r="L9" s="7">
        <v>2</v>
      </c>
      <c r="M9" s="7">
        <v>1</v>
      </c>
      <c r="N9" s="7">
        <v>1</v>
      </c>
      <c r="O9" s="7">
        <v>2.5</v>
      </c>
      <c r="P9" s="7">
        <v>2</v>
      </c>
      <c r="Q9" s="7">
        <v>2</v>
      </c>
      <c r="R9" s="7">
        <v>3.5</v>
      </c>
      <c r="S9" s="7">
        <v>2</v>
      </c>
      <c r="T9" s="7">
        <v>1</v>
      </c>
      <c r="U9" s="7">
        <v>3</v>
      </c>
      <c r="V9" s="7">
        <v>5.5</v>
      </c>
      <c r="W9" s="7">
        <v>1.5</v>
      </c>
      <c r="X9" s="7">
        <v>1</v>
      </c>
      <c r="Y9" s="7">
        <v>1</v>
      </c>
      <c r="Z9" s="7">
        <v>2</v>
      </c>
      <c r="AA9" s="7">
        <v>1.5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2</v>
      </c>
      <c r="AH9" s="56">
        <f t="shared" si="5"/>
        <v>55.5</v>
      </c>
      <c r="AJ9" s="2">
        <v>5</v>
      </c>
      <c r="AK9" s="12" t="s">
        <v>51</v>
      </c>
      <c r="AL9" s="16">
        <f>$AH$9*$E$1</f>
        <v>2596.0383351588171</v>
      </c>
      <c r="AM9" s="16">
        <f>AH21</f>
        <v>3950</v>
      </c>
      <c r="AN9" s="16">
        <f t="shared" si="0"/>
        <v>1353.9616648411829</v>
      </c>
      <c r="AO9" s="16">
        <f t="shared" si="1"/>
        <v>3392.8571428571427</v>
      </c>
      <c r="AP9" s="16">
        <f t="shared" si="2"/>
        <v>2038.8954780159597</v>
      </c>
      <c r="AQ9" s="16">
        <f>'Meal July''21 &amp; Rent Augut'!AU9</f>
        <v>0.41075545822513959</v>
      </c>
      <c r="AR9" s="16">
        <f t="shared" si="3"/>
        <v>2038.4847225577346</v>
      </c>
      <c r="AS9" s="8">
        <f>3000+120</f>
        <v>3120</v>
      </c>
      <c r="AT9" s="17"/>
      <c r="AU9" s="16">
        <f>AS9-AR9</f>
        <v>1081.5152774422654</v>
      </c>
      <c r="AW9" s="9"/>
    </row>
    <row r="10" spans="1:51" x14ac:dyDescent="0.4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56">
        <f t="shared" si="5"/>
        <v>0</v>
      </c>
      <c r="AJ10" s="2">
        <v>6</v>
      </c>
      <c r="AK10" s="3" t="s">
        <v>7</v>
      </c>
      <c r="AL10" s="16">
        <f>AH10*$E$1</f>
        <v>0</v>
      </c>
      <c r="AM10" s="16">
        <f t="shared" ref="AM10" si="6">AH22</f>
        <v>0</v>
      </c>
      <c r="AN10" s="16">
        <f t="shared" si="0"/>
        <v>0</v>
      </c>
      <c r="AO10" s="16">
        <f t="shared" si="1"/>
        <v>0</v>
      </c>
      <c r="AP10" s="16">
        <f t="shared" si="2"/>
        <v>0</v>
      </c>
      <c r="AQ10" s="16">
        <f>'Meal July''21 &amp; Rent Augut'!AU10</f>
        <v>-2156.3963758122854</v>
      </c>
      <c r="AR10" s="16">
        <f t="shared" si="3"/>
        <v>2156.3963758122854</v>
      </c>
      <c r="AS10" s="8">
        <v>0</v>
      </c>
      <c r="AT10" s="17"/>
      <c r="AU10" s="16">
        <f t="shared" si="4"/>
        <v>-2156.3963758122854</v>
      </c>
    </row>
    <row r="11" spans="1:51" x14ac:dyDescent="0.4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</v>
      </c>
      <c r="N11" s="7">
        <v>1.5</v>
      </c>
      <c r="O11" s="7">
        <v>2.5</v>
      </c>
      <c r="P11" s="7">
        <v>2.5</v>
      </c>
      <c r="Q11" s="7">
        <v>2</v>
      </c>
      <c r="R11" s="7">
        <v>2</v>
      </c>
      <c r="S11" s="7">
        <v>2.5</v>
      </c>
      <c r="T11" s="7">
        <v>1</v>
      </c>
      <c r="U11" s="7">
        <v>1.5</v>
      </c>
      <c r="V11" s="7">
        <v>0.5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>SUM(C11:AG11)</f>
        <v>42.5</v>
      </c>
      <c r="AJ11" s="2">
        <v>7</v>
      </c>
      <c r="AK11" s="3" t="s">
        <v>8</v>
      </c>
      <c r="AL11" s="16">
        <f>AH11*$E$1</f>
        <v>1987.9572836801754</v>
      </c>
      <c r="AM11" s="16">
        <f>AH23</f>
        <v>0</v>
      </c>
      <c r="AN11" s="16">
        <f t="shared" si="0"/>
        <v>-1987.9572836801754</v>
      </c>
      <c r="AO11" s="16">
        <f t="shared" si="1"/>
        <v>0</v>
      </c>
      <c r="AP11" s="16">
        <f t="shared" si="2"/>
        <v>1987.9572836801754</v>
      </c>
      <c r="AQ11" s="16">
        <f>'Meal July''21 &amp; Rent Augut'!AU11</f>
        <v>-1020.6542672571202</v>
      </c>
      <c r="AR11" s="16">
        <f t="shared" si="3"/>
        <v>3008.6115509372958</v>
      </c>
      <c r="AS11" s="8">
        <v>0</v>
      </c>
      <c r="AT11" s="17"/>
      <c r="AU11" s="16">
        <f>AS11-AR11</f>
        <v>-3008.6115509372958</v>
      </c>
    </row>
    <row r="12" spans="1:51" x14ac:dyDescent="0.4">
      <c r="A12" s="2">
        <v>8</v>
      </c>
      <c r="B12" s="1" t="s">
        <v>110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4</v>
      </c>
      <c r="O12" s="7">
        <v>5</v>
      </c>
      <c r="P12" s="7">
        <v>4</v>
      </c>
      <c r="Q12" s="7">
        <v>3</v>
      </c>
      <c r="R12" s="7">
        <v>1.5</v>
      </c>
      <c r="S12" s="7">
        <v>1.5</v>
      </c>
      <c r="T12" s="7">
        <v>1.5</v>
      </c>
      <c r="U12" s="7">
        <v>1.5</v>
      </c>
      <c r="V12" s="7">
        <v>2.5</v>
      </c>
      <c r="W12" s="7">
        <v>1.5</v>
      </c>
      <c r="X12" s="7">
        <v>1</v>
      </c>
      <c r="Y12" s="7">
        <v>1.5</v>
      </c>
      <c r="Z12" s="1">
        <v>3</v>
      </c>
      <c r="AA12" s="1">
        <v>1.5</v>
      </c>
      <c r="AB12" s="1">
        <v>1.5</v>
      </c>
      <c r="AC12" s="1">
        <v>2.5</v>
      </c>
      <c r="AD12" s="1">
        <v>2.5</v>
      </c>
      <c r="AE12" s="1">
        <v>1.5</v>
      </c>
      <c r="AF12" s="1">
        <v>2.5</v>
      </c>
      <c r="AG12" s="1">
        <v>1.5</v>
      </c>
      <c r="AH12" s="56">
        <f t="shared" ref="AH12:AH13" si="7">SUM(C12:AG12)</f>
        <v>47</v>
      </c>
      <c r="AJ12" s="2">
        <v>8</v>
      </c>
      <c r="AK12" s="12" t="s">
        <v>104</v>
      </c>
      <c r="AL12" s="16">
        <f>AH12*E1</f>
        <v>2198.446878422782</v>
      </c>
      <c r="AM12" s="16">
        <f>AH24</f>
        <v>3248</v>
      </c>
      <c r="AN12" s="16">
        <f t="shared" si="0"/>
        <v>1049.553121577218</v>
      </c>
      <c r="AO12" s="16">
        <f>N36</f>
        <v>4142.8571428571422</v>
      </c>
      <c r="AP12" s="16">
        <f t="shared" si="2"/>
        <v>3093.3040212799242</v>
      </c>
      <c r="AQ12" s="16">
        <f>'Meal July''21 &amp; Rent Augut'!AU12</f>
        <v>0</v>
      </c>
      <c r="AR12" s="16">
        <f t="shared" si="3"/>
        <v>3093.3040212799242</v>
      </c>
      <c r="AS12" s="8">
        <v>3095</v>
      </c>
      <c r="AT12" s="17"/>
      <c r="AU12" s="8">
        <f>AS12-AR12</f>
        <v>1.6959787200758001</v>
      </c>
      <c r="AV12" s="47"/>
      <c r="AW12" s="8">
        <v>6845</v>
      </c>
    </row>
    <row r="13" spans="1:51" x14ac:dyDescent="0.4">
      <c r="A13" s="52">
        <v>9</v>
      </c>
      <c r="B13" s="42" t="s">
        <v>105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1.5</v>
      </c>
      <c r="N13" s="7">
        <v>0.5</v>
      </c>
      <c r="O13" s="7">
        <v>0</v>
      </c>
      <c r="P13" s="7">
        <v>0</v>
      </c>
      <c r="Q13" s="7">
        <v>0</v>
      </c>
      <c r="R13" s="7">
        <v>1</v>
      </c>
      <c r="S13" s="7">
        <v>1.5</v>
      </c>
      <c r="T13" s="7">
        <v>1.5</v>
      </c>
      <c r="U13" s="7">
        <v>0</v>
      </c>
      <c r="V13" s="7">
        <v>0</v>
      </c>
      <c r="W13" s="7">
        <v>0</v>
      </c>
      <c r="X13" s="7">
        <v>1</v>
      </c>
      <c r="Y13" s="7">
        <v>2.5</v>
      </c>
      <c r="Z13" s="8">
        <v>2.5</v>
      </c>
      <c r="AA13" s="8">
        <v>1.5</v>
      </c>
      <c r="AB13" s="8">
        <v>0.5</v>
      </c>
      <c r="AC13" s="8">
        <v>0</v>
      </c>
      <c r="AD13" s="8">
        <v>0</v>
      </c>
      <c r="AE13" s="8">
        <v>0</v>
      </c>
      <c r="AF13" s="8">
        <v>0</v>
      </c>
      <c r="AG13" s="8">
        <v>1.5</v>
      </c>
      <c r="AH13" s="56">
        <f t="shared" si="7"/>
        <v>20.5</v>
      </c>
      <c r="AJ13" s="2">
        <v>9</v>
      </c>
      <c r="AK13" s="12" t="s">
        <v>105</v>
      </c>
      <c r="AL13" s="16">
        <f>AH13*E1</f>
        <v>958.89704271631979</v>
      </c>
      <c r="AM13" s="16">
        <f>AH25</f>
        <v>1360</v>
      </c>
      <c r="AN13" s="16">
        <f t="shared" si="0"/>
        <v>401.10295728368021</v>
      </c>
      <c r="AO13" s="16">
        <f t="shared" si="1"/>
        <v>4142.8571428571422</v>
      </c>
      <c r="AP13" s="16">
        <f t="shared" si="2"/>
        <v>3741.7541855734621</v>
      </c>
      <c r="AQ13" s="16">
        <f>'Meal July''21 &amp; Rent Augut'!AU13</f>
        <v>0</v>
      </c>
      <c r="AR13" s="16">
        <f t="shared" si="3"/>
        <v>3741.7541855734621</v>
      </c>
      <c r="AS13" s="16">
        <f>4000-258</f>
        <v>3742</v>
      </c>
      <c r="AT13" s="17"/>
      <c r="AU13" s="16">
        <f>AS13-AR13</f>
        <v>0.24581442653789054</v>
      </c>
      <c r="AV13" s="9"/>
      <c r="AW13" s="16">
        <v>4000</v>
      </c>
    </row>
    <row r="14" spans="1:51" x14ac:dyDescent="0.4">
      <c r="A14" s="36"/>
      <c r="B14" s="36"/>
      <c r="C14" s="55">
        <f>SUM(C5:C13)</f>
        <v>11.5</v>
      </c>
      <c r="D14" s="55">
        <f t="shared" ref="D14:AG14" si="8">SUM(D5:D13)</f>
        <v>15</v>
      </c>
      <c r="E14" s="55">
        <f t="shared" si="8"/>
        <v>15.5</v>
      </c>
      <c r="F14" s="55">
        <f t="shared" si="8"/>
        <v>12</v>
      </c>
      <c r="G14" s="55">
        <f t="shared" si="8"/>
        <v>14.5</v>
      </c>
      <c r="H14" s="55">
        <f t="shared" si="8"/>
        <v>14.5</v>
      </c>
      <c r="I14" s="55">
        <f t="shared" si="8"/>
        <v>15</v>
      </c>
      <c r="J14" s="55">
        <f t="shared" si="8"/>
        <v>14</v>
      </c>
      <c r="K14" s="55">
        <f t="shared" si="8"/>
        <v>15</v>
      </c>
      <c r="L14" s="55">
        <f t="shared" si="8"/>
        <v>15</v>
      </c>
      <c r="M14" s="55">
        <f t="shared" si="8"/>
        <v>15.5</v>
      </c>
      <c r="N14" s="55">
        <f t="shared" si="8"/>
        <v>16.5</v>
      </c>
      <c r="O14" s="55">
        <f t="shared" si="8"/>
        <v>17</v>
      </c>
      <c r="P14" s="55">
        <f t="shared" si="8"/>
        <v>18</v>
      </c>
      <c r="Q14" s="55">
        <f t="shared" si="8"/>
        <v>17</v>
      </c>
      <c r="R14" s="55">
        <f t="shared" si="8"/>
        <v>18.5</v>
      </c>
      <c r="S14" s="55">
        <f t="shared" si="8"/>
        <v>17</v>
      </c>
      <c r="T14" s="55">
        <f t="shared" si="8"/>
        <v>9.5</v>
      </c>
      <c r="U14" s="55">
        <f t="shared" si="8"/>
        <v>13.5</v>
      </c>
      <c r="V14" s="55">
        <f t="shared" si="8"/>
        <v>17.5</v>
      </c>
      <c r="W14" s="55">
        <f t="shared" si="8"/>
        <v>10.5</v>
      </c>
      <c r="X14" s="55">
        <f t="shared" si="8"/>
        <v>11</v>
      </c>
      <c r="Y14" s="55">
        <f t="shared" si="8"/>
        <v>17.5</v>
      </c>
      <c r="Z14" s="55">
        <f t="shared" si="8"/>
        <v>20</v>
      </c>
      <c r="AA14" s="55">
        <f t="shared" si="8"/>
        <v>15</v>
      </c>
      <c r="AB14" s="55">
        <f t="shared" si="8"/>
        <v>13.5</v>
      </c>
      <c r="AC14" s="55">
        <f t="shared" si="8"/>
        <v>16</v>
      </c>
      <c r="AD14" s="55">
        <f t="shared" si="8"/>
        <v>19.5</v>
      </c>
      <c r="AE14" s="55">
        <f t="shared" si="8"/>
        <v>11</v>
      </c>
      <c r="AF14" s="55">
        <f t="shared" si="8"/>
        <v>8.5</v>
      </c>
      <c r="AG14" s="55">
        <f t="shared" si="8"/>
        <v>12</v>
      </c>
      <c r="AH14" s="55">
        <f>SUM(AH5:AH13)</f>
        <v>456.5</v>
      </c>
      <c r="AL14" s="51">
        <f>SUM(AL5:AL13)</f>
        <v>21353</v>
      </c>
      <c r="AM14" s="51">
        <f t="shared" ref="AM14" si="9">SUM(AM5:AM13)</f>
        <v>21353</v>
      </c>
      <c r="AN14" s="51">
        <f>SUM(AN5:AN13)</f>
        <v>0</v>
      </c>
      <c r="AO14" s="51">
        <f>SUM(AO5:AO13)</f>
        <v>27249.999999999996</v>
      </c>
      <c r="AP14" s="51">
        <f>SUM(AP5:AP13)</f>
        <v>27249.999999999996</v>
      </c>
      <c r="AQ14" s="51">
        <f>SUM(AQ5:AQ13)</f>
        <v>20.112003053604667</v>
      </c>
      <c r="AR14" s="51">
        <f>AP14-AQ14+$AW$4</f>
        <v>27229.887996946392</v>
      </c>
      <c r="AS14" s="51">
        <f>SUM(AS5:AS13)</f>
        <v>24022</v>
      </c>
      <c r="AT14" s="51"/>
      <c r="AU14" s="51">
        <f>SUM(AU5:AU13)</f>
        <v>-3207.8879969463928</v>
      </c>
      <c r="AV14" s="9"/>
      <c r="AW14" s="44">
        <f>SUM(AW5:AW13)</f>
        <v>24410</v>
      </c>
    </row>
    <row r="15" spans="1:51" x14ac:dyDescent="0.4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4">
      <c r="B16" s="10" t="s">
        <v>86</v>
      </c>
      <c r="AT16" s="1" t="s">
        <v>110</v>
      </c>
      <c r="AU16" s="8">
        <f>AR12+3750</f>
        <v>6843.3040212799242</v>
      </c>
      <c r="AV16" s="9"/>
      <c r="AX16" s="1" t="s">
        <v>89</v>
      </c>
      <c r="AY16" s="1" t="s">
        <v>95</v>
      </c>
    </row>
    <row r="17" spans="1:63" x14ac:dyDescent="0.4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2705</v>
      </c>
      <c r="AE17" s="8">
        <v>920</v>
      </c>
      <c r="AF17" s="8">
        <v>0</v>
      </c>
      <c r="AG17" s="8">
        <v>0</v>
      </c>
      <c r="AH17" s="8">
        <f>SUM(C17:AG17)</f>
        <v>3625</v>
      </c>
      <c r="AR17" s="25"/>
      <c r="AT17" s="42" t="s">
        <v>105</v>
      </c>
      <c r="AU17" s="8">
        <f>AR13+3750</f>
        <v>7491.7541855734617</v>
      </c>
      <c r="AX17" s="1" t="s">
        <v>107</v>
      </c>
      <c r="AY17" s="16">
        <f>O45</f>
        <v>23630</v>
      </c>
      <c r="BI17" s="1" t="s">
        <v>96</v>
      </c>
      <c r="BJ17" s="1"/>
      <c r="BK17" s="1"/>
    </row>
    <row r="18" spans="1:63" x14ac:dyDescent="0.4">
      <c r="A18" s="2">
        <v>2</v>
      </c>
      <c r="B18" s="3" t="s">
        <v>5</v>
      </c>
      <c r="C18" s="8">
        <v>400</v>
      </c>
      <c r="D18" s="8">
        <v>1290</v>
      </c>
      <c r="E18" s="8">
        <v>0</v>
      </c>
      <c r="F18" s="8">
        <v>1405</v>
      </c>
      <c r="G18" s="8">
        <v>330</v>
      </c>
      <c r="H18" s="8">
        <v>150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5" si="10">SUM(C18:AG18)</f>
        <v>3575</v>
      </c>
      <c r="AR18">
        <f>-258+3750-3000</f>
        <v>492</v>
      </c>
      <c r="AV18" s="25"/>
      <c r="AX18" s="1" t="s">
        <v>91</v>
      </c>
      <c r="AY18" s="16">
        <f>-AQ14</f>
        <v>-20.112003053604667</v>
      </c>
      <c r="BI18" s="1" t="s">
        <v>97</v>
      </c>
      <c r="BJ18" s="1">
        <v>4000</v>
      </c>
      <c r="BK18" s="1"/>
    </row>
    <row r="19" spans="1:63" x14ac:dyDescent="0.4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690</v>
      </c>
      <c r="O19" s="8">
        <v>500</v>
      </c>
      <c r="P19" s="8">
        <v>560</v>
      </c>
      <c r="Q19" s="8">
        <v>0</v>
      </c>
      <c r="R19" s="8">
        <v>80</v>
      </c>
      <c r="S19" s="8">
        <v>270</v>
      </c>
      <c r="T19" s="8">
        <v>0</v>
      </c>
      <c r="U19" s="8">
        <v>105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2205</v>
      </c>
      <c r="AR19" s="25"/>
      <c r="AT19" s="15"/>
      <c r="AU19" s="8"/>
      <c r="AV19" s="25"/>
      <c r="AX19" s="1"/>
      <c r="AY19" s="16">
        <f>SUM(AY17:AY18)</f>
        <v>23609.887996946396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4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1120</v>
      </c>
      <c r="R20" s="8">
        <v>0</v>
      </c>
      <c r="S20" s="8">
        <v>0</v>
      </c>
      <c r="T20" s="8">
        <v>970</v>
      </c>
      <c r="U20" s="8">
        <v>0</v>
      </c>
      <c r="V20" s="8">
        <v>820</v>
      </c>
      <c r="W20" s="8">
        <v>380</v>
      </c>
      <c r="X20" s="8">
        <v>100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3390</v>
      </c>
      <c r="AR20" s="9">
        <f>3750*2</f>
        <v>7500</v>
      </c>
      <c r="BA20" s="9">
        <v>4547</v>
      </c>
      <c r="BI20" s="1" t="s">
        <v>37</v>
      </c>
      <c r="BJ20" s="1"/>
      <c r="BK20" s="1"/>
    </row>
    <row r="21" spans="1:63" x14ac:dyDescent="0.4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3350</v>
      </c>
      <c r="J21" s="8">
        <v>0</v>
      </c>
      <c r="K21" s="8">
        <v>85</v>
      </c>
      <c r="L21" s="8">
        <v>515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3950</v>
      </c>
      <c r="AX21" s="1" t="s">
        <v>92</v>
      </c>
      <c r="AY21" s="1"/>
      <c r="BA21" s="9">
        <f>AY17+BA20</f>
        <v>28177</v>
      </c>
      <c r="BI21" s="1" t="s">
        <v>98</v>
      </c>
      <c r="BJ21" s="1">
        <f>$BJ$19</f>
        <v>666.66666666666663</v>
      </c>
      <c r="BK21" s="1"/>
    </row>
    <row r="22" spans="1:63" x14ac:dyDescent="0.4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0"/>
        <v>0</v>
      </c>
      <c r="AV22" s="25"/>
      <c r="AX22" s="1" t="s">
        <v>93</v>
      </c>
      <c r="AY22" s="16">
        <f>-AU14</f>
        <v>3207.8879969463928</v>
      </c>
      <c r="BI22" s="1" t="s">
        <v>49</v>
      </c>
      <c r="BJ22" s="1">
        <f>$BJ$19</f>
        <v>666.66666666666663</v>
      </c>
      <c r="BK22" s="1"/>
    </row>
    <row r="23" spans="1:63" x14ac:dyDescent="0.4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0"/>
        <v>0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4">
      <c r="A24" s="52">
        <v>8</v>
      </c>
      <c r="B24" s="1" t="s">
        <v>110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1213</v>
      </c>
      <c r="Z24" s="8">
        <v>875</v>
      </c>
      <c r="AA24" s="8">
        <v>0</v>
      </c>
      <c r="AB24" s="8">
        <v>1160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0"/>
        <v>3248</v>
      </c>
      <c r="AX24" s="1"/>
      <c r="AY24" s="16">
        <f>SUM(AY22:AY23)</f>
        <v>5207.8879969463924</v>
      </c>
      <c r="BI24" s="1" t="s">
        <v>99</v>
      </c>
      <c r="BJ24" s="1">
        <f>$BJ$19</f>
        <v>666.66666666666663</v>
      </c>
      <c r="BK24" s="1"/>
    </row>
    <row r="25" spans="1:63" x14ac:dyDescent="0.4">
      <c r="A25" s="52">
        <v>9</v>
      </c>
      <c r="B25" s="42" t="s">
        <v>105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1025</v>
      </c>
      <c r="AB25" s="8">
        <v>0</v>
      </c>
      <c r="AC25" s="8">
        <v>335</v>
      </c>
      <c r="AD25" s="8"/>
      <c r="AE25" s="8"/>
      <c r="AF25" s="8">
        <v>0</v>
      </c>
      <c r="AG25" s="8">
        <v>0</v>
      </c>
      <c r="AH25" s="8">
        <f t="shared" si="10"/>
        <v>1360</v>
      </c>
      <c r="BI25" s="1" t="s">
        <v>40</v>
      </c>
      <c r="BJ25" s="1">
        <f>$BJ$19</f>
        <v>666.66666666666663</v>
      </c>
      <c r="BK25" s="1"/>
    </row>
    <row r="26" spans="1:63" x14ac:dyDescent="0.4">
      <c r="AH26" s="51">
        <f>SUM(AH17:AH25)</f>
        <v>21353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4">
      <c r="AX27" t="s">
        <v>90</v>
      </c>
      <c r="AY27" s="47">
        <v>23773</v>
      </c>
    </row>
    <row r="28" spans="1:63" x14ac:dyDescent="0.4">
      <c r="A28" s="4"/>
      <c r="B28" s="13" t="s">
        <v>87</v>
      </c>
      <c r="C28" s="4" t="s">
        <v>11</v>
      </c>
      <c r="D28" s="4" t="s">
        <v>12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AX28" t="s">
        <v>91</v>
      </c>
      <c r="AY28" s="47">
        <v>10374</v>
      </c>
    </row>
    <row r="29" spans="1:63" x14ac:dyDescent="0.4">
      <c r="A29" s="2">
        <v>1</v>
      </c>
      <c r="B29" s="12" t="s">
        <v>4</v>
      </c>
      <c r="C29" s="8">
        <f>H41</f>
        <v>3142.8571428571427</v>
      </c>
      <c r="D29" s="8">
        <f>$D$38/7</f>
        <v>428.57142857142856</v>
      </c>
      <c r="E29" s="8">
        <f t="shared" ref="E29:E35" si="11">$E$38/7</f>
        <v>0</v>
      </c>
      <c r="F29" s="8">
        <f>$F$38/7</f>
        <v>71.428571428571431</v>
      </c>
      <c r="G29" s="8">
        <f>$G$38/7</f>
        <v>139.28571428571428</v>
      </c>
      <c r="H29" s="8">
        <f>$H$38/7</f>
        <v>305</v>
      </c>
      <c r="I29" s="8">
        <f>$I$38/7</f>
        <v>252.85714285714286</v>
      </c>
      <c r="J29" s="8">
        <f>$J$38/7</f>
        <v>35.714285714285715</v>
      </c>
      <c r="K29" s="8">
        <f>$K$38/6</f>
        <v>0</v>
      </c>
      <c r="L29" s="8">
        <f>$L$38/7</f>
        <v>17.142857142857142</v>
      </c>
      <c r="M29" s="8">
        <f>$M$38/7</f>
        <v>0</v>
      </c>
      <c r="N29" s="8">
        <f t="shared" ref="N29:N35" si="12">SUM(C29:M29)</f>
        <v>4392.8571428571422</v>
      </c>
      <c r="AY29" s="47">
        <f>SUM(AY27:AY28)</f>
        <v>34147</v>
      </c>
    </row>
    <row r="30" spans="1:63" x14ac:dyDescent="0.4">
      <c r="A30" s="2">
        <v>2</v>
      </c>
      <c r="B30" s="12" t="s">
        <v>5</v>
      </c>
      <c r="C30" s="8">
        <f>H41</f>
        <v>3142.8571428571427</v>
      </c>
      <c r="D30" s="8">
        <f>$D$38/7</f>
        <v>428.57142857142856</v>
      </c>
      <c r="E30" s="8">
        <f t="shared" si="11"/>
        <v>0</v>
      </c>
      <c r="F30" s="8">
        <f>$F$38/7</f>
        <v>71.428571428571431</v>
      </c>
      <c r="G30" s="8">
        <f>$G$38/7</f>
        <v>139.28571428571428</v>
      </c>
      <c r="H30" s="8">
        <f>$H$38/7</f>
        <v>305</v>
      </c>
      <c r="I30" s="8">
        <f>$I$38/7</f>
        <v>252.85714285714286</v>
      </c>
      <c r="J30" s="8">
        <f>$J$38/7</f>
        <v>35.714285714285715</v>
      </c>
      <c r="K30" s="8">
        <f>$K$38/6</f>
        <v>0</v>
      </c>
      <c r="L30" s="8">
        <f>$L$38/7</f>
        <v>17.142857142857142</v>
      </c>
      <c r="M30" s="8">
        <f>$M$38/7</f>
        <v>0</v>
      </c>
      <c r="N30" s="8">
        <f t="shared" si="12"/>
        <v>4392.8571428571422</v>
      </c>
      <c r="AX30" t="s">
        <v>101</v>
      </c>
      <c r="AY30" s="47">
        <v>29600</v>
      </c>
    </row>
    <row r="31" spans="1:63" x14ac:dyDescent="0.4">
      <c r="A31" s="2">
        <v>3</v>
      </c>
      <c r="B31" s="12" t="s">
        <v>6</v>
      </c>
      <c r="C31" s="8">
        <f>H42</f>
        <v>2142.8571428571427</v>
      </c>
      <c r="D31" s="8">
        <f>$D$38/7</f>
        <v>428.57142857142856</v>
      </c>
      <c r="E31" s="8">
        <f t="shared" si="11"/>
        <v>0</v>
      </c>
      <c r="F31" s="8">
        <f>$F$38/7</f>
        <v>71.428571428571431</v>
      </c>
      <c r="G31" s="8">
        <f>$G$38/7</f>
        <v>139.28571428571428</v>
      </c>
      <c r="H31" s="8">
        <f>$H$38/7</f>
        <v>305</v>
      </c>
      <c r="I31" s="8">
        <f>$I$38/7</f>
        <v>252.85714285714286</v>
      </c>
      <c r="J31" s="8">
        <f>$J$38/7</f>
        <v>35.714285714285715</v>
      </c>
      <c r="K31" s="8">
        <f>$K$38/6</f>
        <v>0</v>
      </c>
      <c r="L31" s="8">
        <f>$L$38/7</f>
        <v>17.142857142857142</v>
      </c>
      <c r="M31" s="8">
        <f>$M$38/7</f>
        <v>0</v>
      </c>
      <c r="N31" s="8">
        <f t="shared" si="12"/>
        <v>3392.8571428571427</v>
      </c>
      <c r="AX31" t="s">
        <v>102</v>
      </c>
      <c r="AY31" s="48">
        <f>AY29-AY30</f>
        <v>4547</v>
      </c>
    </row>
    <row r="32" spans="1:63" x14ac:dyDescent="0.4">
      <c r="A32" s="2">
        <v>4</v>
      </c>
      <c r="B32" s="12" t="s">
        <v>57</v>
      </c>
      <c r="C32" s="8">
        <f>H42</f>
        <v>2142.8571428571427</v>
      </c>
      <c r="D32" s="8">
        <f>$D$38/7</f>
        <v>428.57142857142856</v>
      </c>
      <c r="E32" s="8">
        <f t="shared" si="11"/>
        <v>0</v>
      </c>
      <c r="F32" s="8">
        <f>$F$38/7</f>
        <v>71.428571428571431</v>
      </c>
      <c r="G32" s="8">
        <f>$G$38/7</f>
        <v>139.28571428571428</v>
      </c>
      <c r="H32" s="8">
        <f>$H$38/7</f>
        <v>305</v>
      </c>
      <c r="I32" s="8">
        <f>$I$38/7</f>
        <v>252.85714285714286</v>
      </c>
      <c r="J32" s="8">
        <f>$J$38/7</f>
        <v>35.714285714285715</v>
      </c>
      <c r="K32" s="8"/>
      <c r="L32" s="8">
        <f>$L$38/7</f>
        <v>17.142857142857142</v>
      </c>
      <c r="M32" s="8">
        <f>$M$38/7</f>
        <v>0</v>
      </c>
      <c r="N32" s="8">
        <f t="shared" si="12"/>
        <v>3392.8571428571427</v>
      </c>
      <c r="AY32" s="47"/>
    </row>
    <row r="33" spans="1:51" x14ac:dyDescent="0.4">
      <c r="A33" s="2">
        <v>5</v>
      </c>
      <c r="B33" s="12" t="s">
        <v>51</v>
      </c>
      <c r="C33" s="8">
        <f>H42</f>
        <v>2142.8571428571427</v>
      </c>
      <c r="D33" s="8">
        <f>$D$38/7</f>
        <v>428.57142857142856</v>
      </c>
      <c r="E33" s="8">
        <f t="shared" si="11"/>
        <v>0</v>
      </c>
      <c r="F33" s="8">
        <f>$F$38/7</f>
        <v>71.428571428571431</v>
      </c>
      <c r="G33" s="8">
        <f>$G$38/7</f>
        <v>139.28571428571428</v>
      </c>
      <c r="H33" s="8">
        <f>$H$38/7</f>
        <v>305</v>
      </c>
      <c r="I33" s="8">
        <f>$I$38/7</f>
        <v>252.85714285714286</v>
      </c>
      <c r="J33" s="8">
        <f>$J$38/7</f>
        <v>35.714285714285715</v>
      </c>
      <c r="K33" s="8">
        <f>$K$38/6</f>
        <v>0</v>
      </c>
      <c r="L33" s="8">
        <f>$L$38/7</f>
        <v>17.142857142857142</v>
      </c>
      <c r="M33" s="8">
        <f>$M$38/7</f>
        <v>0</v>
      </c>
      <c r="N33" s="8">
        <f t="shared" si="12"/>
        <v>3392.8571428571427</v>
      </c>
      <c r="AY33" s="47"/>
    </row>
    <row r="34" spans="1:51" x14ac:dyDescent="0.4">
      <c r="A34" s="2">
        <v>6</v>
      </c>
      <c r="B34" s="12" t="s">
        <v>7</v>
      </c>
      <c r="C34" s="8">
        <v>0</v>
      </c>
      <c r="D34" s="6">
        <v>0</v>
      </c>
      <c r="E34" s="8">
        <f t="shared" si="11"/>
        <v>0</v>
      </c>
      <c r="F34" s="8">
        <f>$E$38/7</f>
        <v>0</v>
      </c>
      <c r="G34" s="8">
        <f t="shared" ref="G34:M35" si="13">$E$38/7</f>
        <v>0</v>
      </c>
      <c r="H34" s="8">
        <f t="shared" si="13"/>
        <v>0</v>
      </c>
      <c r="I34" s="8">
        <f t="shared" si="13"/>
        <v>0</v>
      </c>
      <c r="J34" s="8">
        <f t="shared" si="13"/>
        <v>0</v>
      </c>
      <c r="K34" s="8">
        <f t="shared" si="13"/>
        <v>0</v>
      </c>
      <c r="L34" s="8">
        <f t="shared" si="13"/>
        <v>0</v>
      </c>
      <c r="M34" s="8">
        <f t="shared" si="13"/>
        <v>0</v>
      </c>
      <c r="N34" s="8">
        <f t="shared" si="12"/>
        <v>0</v>
      </c>
      <c r="AY34" s="47"/>
    </row>
    <row r="35" spans="1:51" x14ac:dyDescent="0.4">
      <c r="A35" s="2">
        <v>7</v>
      </c>
      <c r="B35" s="12" t="s">
        <v>8</v>
      </c>
      <c r="C35" s="8">
        <v>0</v>
      </c>
      <c r="D35" s="6">
        <v>0</v>
      </c>
      <c r="E35" s="8">
        <f t="shared" si="11"/>
        <v>0</v>
      </c>
      <c r="F35" s="8">
        <f>$E$38/7</f>
        <v>0</v>
      </c>
      <c r="G35" s="8">
        <f t="shared" si="13"/>
        <v>0</v>
      </c>
      <c r="H35" s="8">
        <f t="shared" si="13"/>
        <v>0</v>
      </c>
      <c r="I35" s="8">
        <f t="shared" si="13"/>
        <v>0</v>
      </c>
      <c r="J35" s="8">
        <f t="shared" si="13"/>
        <v>0</v>
      </c>
      <c r="K35" s="8">
        <f t="shared" si="13"/>
        <v>0</v>
      </c>
      <c r="L35" s="8">
        <f t="shared" si="13"/>
        <v>0</v>
      </c>
      <c r="M35" s="8">
        <f t="shared" si="13"/>
        <v>0</v>
      </c>
      <c r="N35" s="8">
        <f t="shared" si="12"/>
        <v>0</v>
      </c>
      <c r="AX35" t="s">
        <v>103</v>
      </c>
      <c r="AY35" s="47">
        <f>AY30-21100</f>
        <v>8500</v>
      </c>
    </row>
    <row r="36" spans="1:51" x14ac:dyDescent="0.4">
      <c r="A36" s="2">
        <v>8</v>
      </c>
      <c r="B36" s="12" t="s">
        <v>104</v>
      </c>
      <c r="C36" s="8">
        <f>H43</f>
        <v>2892.8571428571427</v>
      </c>
      <c r="D36" s="8">
        <f>$D$38/7</f>
        <v>428.57142857142856</v>
      </c>
      <c r="E36" s="8">
        <v>0</v>
      </c>
      <c r="F36" s="8">
        <f>$F$38/7</f>
        <v>71.428571428571431</v>
      </c>
      <c r="G36" s="8">
        <f>$G$38/7</f>
        <v>139.28571428571428</v>
      </c>
      <c r="H36" s="8">
        <f>$H$38/7</f>
        <v>305</v>
      </c>
      <c r="I36" s="8">
        <f>$I$38/7</f>
        <v>252.85714285714286</v>
      </c>
      <c r="J36" s="8">
        <f>$J$38/7</f>
        <v>35.714285714285715</v>
      </c>
      <c r="K36" s="8">
        <f>$K$38/6</f>
        <v>0</v>
      </c>
      <c r="L36" s="8">
        <f>$L$38/7</f>
        <v>17.142857142857142</v>
      </c>
      <c r="M36" s="8">
        <f>$M$38/7</f>
        <v>0</v>
      </c>
      <c r="N36" s="8">
        <f>SUM(C36:M36)</f>
        <v>4142.8571428571422</v>
      </c>
    </row>
    <row r="37" spans="1:51" x14ac:dyDescent="0.4">
      <c r="A37" s="2">
        <v>9</v>
      </c>
      <c r="B37" s="12" t="s">
        <v>105</v>
      </c>
      <c r="C37" s="8">
        <f>H43</f>
        <v>2892.8571428571427</v>
      </c>
      <c r="D37" s="8">
        <f>$D$38/7</f>
        <v>428.57142857142856</v>
      </c>
      <c r="E37" s="8">
        <v>0</v>
      </c>
      <c r="F37" s="8">
        <f>$F$38/7</f>
        <v>71.428571428571431</v>
      </c>
      <c r="G37" s="8">
        <f>$G$38/7</f>
        <v>139.28571428571428</v>
      </c>
      <c r="H37" s="8">
        <f>$H$38/7</f>
        <v>305</v>
      </c>
      <c r="I37" s="8">
        <f>$I$38/7</f>
        <v>252.85714285714286</v>
      </c>
      <c r="J37" s="8">
        <f>$J$38/7</f>
        <v>35.714285714285715</v>
      </c>
      <c r="K37" s="8">
        <f>$K$38/6</f>
        <v>0</v>
      </c>
      <c r="L37" s="8">
        <f>$L$38/7</f>
        <v>17.142857142857142</v>
      </c>
      <c r="M37" s="8">
        <f>$M$38/7</f>
        <v>0</v>
      </c>
      <c r="N37" s="8">
        <f>SUM(C37:M37)</f>
        <v>4142.8571428571422</v>
      </c>
    </row>
    <row r="38" spans="1:51" x14ac:dyDescent="0.4">
      <c r="C38" s="8">
        <f>SUM(C29:C37)</f>
        <v>18500</v>
      </c>
      <c r="D38" s="40">
        <v>3000</v>
      </c>
      <c r="E38" s="8"/>
      <c r="F38" s="8">
        <f>500</f>
        <v>500</v>
      </c>
      <c r="G38" s="8">
        <f>975</f>
        <v>975</v>
      </c>
      <c r="H38" s="14">
        <v>2135</v>
      </c>
      <c r="I38" s="14">
        <v>1770</v>
      </c>
      <c r="J38" s="8">
        <f>250</f>
        <v>250</v>
      </c>
      <c r="K38" s="8">
        <f>0</f>
        <v>0</v>
      </c>
      <c r="L38" s="8">
        <f>120</f>
        <v>120</v>
      </c>
      <c r="M38" s="8"/>
      <c r="N38" s="8">
        <f>SUM(N29:N37)</f>
        <v>27249.999999999996</v>
      </c>
      <c r="O38" s="9">
        <f>O45+O53</f>
        <v>27250</v>
      </c>
      <c r="P38" s="9">
        <f>N38-O38</f>
        <v>0</v>
      </c>
    </row>
    <row r="40" spans="1:51" x14ac:dyDescent="0.4">
      <c r="N40" t="s">
        <v>61</v>
      </c>
      <c r="O40" s="9">
        <f>C38</f>
        <v>18500</v>
      </c>
    </row>
    <row r="41" spans="1:51" x14ac:dyDescent="0.4">
      <c r="D41" s="1">
        <v>6000</v>
      </c>
      <c r="E41" s="1">
        <v>2</v>
      </c>
      <c r="F41" s="1">
        <f>D41/E41</f>
        <v>3000</v>
      </c>
      <c r="G41" s="1">
        <f>(500+500)/7</f>
        <v>142.85714285714286</v>
      </c>
      <c r="H41" s="11">
        <f>F41+G41</f>
        <v>3142.8571428571427</v>
      </c>
      <c r="I41" s="11">
        <f>H41*E41</f>
        <v>6285.7142857142853</v>
      </c>
      <c r="N41" t="s">
        <v>71</v>
      </c>
      <c r="O41" s="9">
        <f>G38</f>
        <v>975</v>
      </c>
    </row>
    <row r="42" spans="1:51" x14ac:dyDescent="0.4">
      <c r="D42" s="1">
        <v>6000</v>
      </c>
      <c r="E42" s="1">
        <v>3</v>
      </c>
      <c r="F42" s="1">
        <f t="shared" ref="F42:F43" si="14">D42/E42</f>
        <v>2000</v>
      </c>
      <c r="G42" s="1">
        <f t="shared" ref="G42:G43" si="15">(500+500)/7</f>
        <v>142.85714285714286</v>
      </c>
      <c r="H42" s="11">
        <f t="shared" ref="H42" si="16">F42+G42</f>
        <v>2142.8571428571427</v>
      </c>
      <c r="I42" s="11">
        <f t="shared" ref="I42:I43" si="17">H42*E42</f>
        <v>6428.5714285714275</v>
      </c>
      <c r="N42" t="s">
        <v>72</v>
      </c>
      <c r="O42" s="9">
        <f>I38</f>
        <v>1770</v>
      </c>
    </row>
    <row r="43" spans="1:51" x14ac:dyDescent="0.4">
      <c r="D43" s="1">
        <v>5500</v>
      </c>
      <c r="E43" s="1">
        <v>2</v>
      </c>
      <c r="F43" s="11">
        <f t="shared" si="14"/>
        <v>2750</v>
      </c>
      <c r="G43" s="1">
        <f t="shared" si="15"/>
        <v>142.85714285714286</v>
      </c>
      <c r="H43" s="11">
        <f>F43+G43</f>
        <v>2892.8571428571427</v>
      </c>
      <c r="I43" s="11">
        <f t="shared" si="17"/>
        <v>5785.7142857142853</v>
      </c>
      <c r="N43" t="s">
        <v>73</v>
      </c>
      <c r="O43" s="9">
        <f>H38</f>
        <v>2135</v>
      </c>
    </row>
    <row r="44" spans="1:51" x14ac:dyDescent="0.4">
      <c r="D44" s="1">
        <f>SUM(D41:D43)</f>
        <v>17500</v>
      </c>
      <c r="E44" s="1"/>
      <c r="F44" s="1"/>
      <c r="G44" s="1"/>
      <c r="H44" s="1"/>
      <c r="I44" s="11">
        <f>SUM(I41:I43)</f>
        <v>18500</v>
      </c>
      <c r="N44" t="s">
        <v>74</v>
      </c>
      <c r="O44" s="9">
        <f>J38</f>
        <v>250</v>
      </c>
    </row>
    <row r="45" spans="1:51" x14ac:dyDescent="0.4">
      <c r="O45" s="9">
        <f>SUM(O40:O44)</f>
        <v>23630</v>
      </c>
    </row>
    <row r="47" spans="1:51" x14ac:dyDescent="0.4">
      <c r="P47" s="9">
        <f>O45+O53</f>
        <v>27250</v>
      </c>
    </row>
    <row r="48" spans="1:51" x14ac:dyDescent="0.4">
      <c r="N48" t="s">
        <v>12</v>
      </c>
      <c r="O48" s="9">
        <f>D38</f>
        <v>3000</v>
      </c>
    </row>
    <row r="49" spans="14:15" x14ac:dyDescent="0.4">
      <c r="N49" t="s">
        <v>13</v>
      </c>
      <c r="O49" s="9">
        <f>E38</f>
        <v>0</v>
      </c>
    </row>
    <row r="50" spans="14:15" x14ac:dyDescent="0.4">
      <c r="N50" t="s">
        <v>14</v>
      </c>
      <c r="O50" s="9">
        <f>F38</f>
        <v>500</v>
      </c>
    </row>
    <row r="51" spans="14:15" x14ac:dyDescent="0.4">
      <c r="N51" t="s">
        <v>20</v>
      </c>
      <c r="O51" s="9">
        <f>L38</f>
        <v>120</v>
      </c>
    </row>
    <row r="52" spans="14:15" x14ac:dyDescent="0.4">
      <c r="N52" t="s">
        <v>21</v>
      </c>
      <c r="O52" s="9">
        <f>M38</f>
        <v>0</v>
      </c>
    </row>
    <row r="53" spans="14:15" x14ac:dyDescent="0.4">
      <c r="O53" s="9">
        <f>SUM(O48:O52)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E77-9AD6-4337-AA51-D199442E8910}">
  <dimension ref="A1:BK53"/>
  <sheetViews>
    <sheetView zoomScaleNormal="100" workbookViewId="0">
      <pane xSplit="2" ySplit="4" topLeftCell="AO9" activePane="bottomRight" state="frozen"/>
      <selection pane="topRight" activeCell="C1" sqref="C1"/>
      <selection pane="bottomLeft" activeCell="A5" sqref="A5"/>
      <selection pane="bottomRight" activeCell="AU21" sqref="AU21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8.5976562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51" ht="14.55" customHeight="1" x14ac:dyDescent="0.4">
      <c r="C1" s="204" t="s">
        <v>109</v>
      </c>
      <c r="D1" s="204"/>
      <c r="E1" s="205">
        <f>AH26/AH14</f>
        <v>46.775465498357065</v>
      </c>
      <c r="F1" s="205"/>
    </row>
    <row r="2" spans="1:51" ht="9.4499999999999993" customHeight="1" x14ac:dyDescent="0.4">
      <c r="C2" s="204"/>
      <c r="D2" s="204"/>
      <c r="E2" s="205"/>
      <c r="F2" s="205"/>
    </row>
    <row r="4" spans="1:51" ht="62.4" x14ac:dyDescent="0.4">
      <c r="A4" s="53" t="s">
        <v>0</v>
      </c>
      <c r="B4" s="53" t="s">
        <v>2</v>
      </c>
      <c r="C4" s="54">
        <v>44409</v>
      </c>
      <c r="D4" s="54">
        <v>44410</v>
      </c>
      <c r="E4" s="54">
        <v>44411</v>
      </c>
      <c r="F4" s="54">
        <v>44412</v>
      </c>
      <c r="G4" s="54">
        <v>44413</v>
      </c>
      <c r="H4" s="54">
        <v>44414</v>
      </c>
      <c r="I4" s="54">
        <v>44415</v>
      </c>
      <c r="J4" s="54">
        <v>44416</v>
      </c>
      <c r="K4" s="54">
        <v>44417</v>
      </c>
      <c r="L4" s="54">
        <v>44418</v>
      </c>
      <c r="M4" s="54">
        <v>44419</v>
      </c>
      <c r="N4" s="54">
        <v>44420</v>
      </c>
      <c r="O4" s="54">
        <v>44421</v>
      </c>
      <c r="P4" s="54">
        <v>44422</v>
      </c>
      <c r="Q4" s="54">
        <v>44423</v>
      </c>
      <c r="R4" s="54">
        <v>44424</v>
      </c>
      <c r="S4" s="54">
        <v>44425</v>
      </c>
      <c r="T4" s="54">
        <v>44426</v>
      </c>
      <c r="U4" s="54">
        <v>44427</v>
      </c>
      <c r="V4" s="54">
        <v>44428</v>
      </c>
      <c r="W4" s="54">
        <v>44429</v>
      </c>
      <c r="X4" s="54">
        <v>44430</v>
      </c>
      <c r="Y4" s="54">
        <v>44431</v>
      </c>
      <c r="Z4" s="54">
        <v>44432</v>
      </c>
      <c r="AA4" s="54">
        <v>44433</v>
      </c>
      <c r="AB4" s="54">
        <v>44434</v>
      </c>
      <c r="AC4" s="54">
        <v>44435</v>
      </c>
      <c r="AD4" s="54">
        <v>44436</v>
      </c>
      <c r="AE4" s="54">
        <v>44437</v>
      </c>
      <c r="AF4" s="54">
        <v>44438</v>
      </c>
      <c r="AG4" s="54">
        <v>44439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4">
      <c r="A5" s="2">
        <v>1</v>
      </c>
      <c r="B5" s="3" t="s">
        <v>4</v>
      </c>
      <c r="C5" s="7">
        <v>1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2.5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0</v>
      </c>
      <c r="P5" s="7">
        <v>0</v>
      </c>
      <c r="Q5" s="7">
        <v>1</v>
      </c>
      <c r="R5" s="7">
        <v>2</v>
      </c>
      <c r="S5" s="7">
        <v>2</v>
      </c>
      <c r="T5" s="7">
        <v>0</v>
      </c>
      <c r="U5" s="7">
        <v>0</v>
      </c>
      <c r="V5" s="7">
        <v>0</v>
      </c>
      <c r="W5" s="7">
        <v>0</v>
      </c>
      <c r="X5" s="7">
        <v>1</v>
      </c>
      <c r="Y5" s="7">
        <v>2</v>
      </c>
      <c r="Z5" s="7">
        <v>2</v>
      </c>
      <c r="AA5" s="7">
        <v>1</v>
      </c>
      <c r="AB5" s="7">
        <v>2</v>
      </c>
      <c r="AC5" s="7">
        <v>2</v>
      </c>
      <c r="AD5" s="7">
        <v>2</v>
      </c>
      <c r="AE5" s="7">
        <v>1</v>
      </c>
      <c r="AF5" s="7">
        <v>1</v>
      </c>
      <c r="AG5" s="7">
        <v>2</v>
      </c>
      <c r="AH5" s="56">
        <f>SUM(C5:AG5)</f>
        <v>44.5</v>
      </c>
      <c r="AJ5" s="2">
        <v>1</v>
      </c>
      <c r="AK5" s="3" t="s">
        <v>4</v>
      </c>
      <c r="AL5" s="16">
        <f>AH5*$E$1</f>
        <v>2081.5082146768896</v>
      </c>
      <c r="AM5" s="16">
        <f>AH17</f>
        <v>3625</v>
      </c>
      <c r="AN5" s="16">
        <f t="shared" ref="AN5:AN13" si="0">AM5-AL5</f>
        <v>1543.4917853231104</v>
      </c>
      <c r="AO5" s="16">
        <f t="shared" ref="AO5:AO13" si="1">N29</f>
        <v>4392.8571428571422</v>
      </c>
      <c r="AP5" s="16">
        <f>AO5-AN5</f>
        <v>2849.3653575340318</v>
      </c>
      <c r="AQ5" s="16">
        <f>'Meal July''21 &amp; Rent Augut'!AU5</f>
        <v>3756.6733780218206</v>
      </c>
      <c r="AR5" s="16">
        <f>AP5-AQ5</f>
        <v>-907.30802048778878</v>
      </c>
      <c r="AS5" s="8">
        <v>0</v>
      </c>
      <c r="AT5" s="17">
        <v>44418</v>
      </c>
      <c r="AU5" s="16">
        <f>AS5-AR5</f>
        <v>907.30802048778878</v>
      </c>
      <c r="AY5" s="9"/>
    </row>
    <row r="6" spans="1:51" x14ac:dyDescent="0.4">
      <c r="A6" s="2">
        <v>2</v>
      </c>
      <c r="B6" s="3" t="s">
        <v>5</v>
      </c>
      <c r="C6" s="7">
        <v>2</v>
      </c>
      <c r="D6" s="7">
        <v>2.5</v>
      </c>
      <c r="E6" s="7">
        <v>2.5</v>
      </c>
      <c r="F6" s="7">
        <v>0</v>
      </c>
      <c r="G6" s="7">
        <v>2.5</v>
      </c>
      <c r="H6" s="7">
        <v>2.5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3.5</v>
      </c>
      <c r="S6" s="7">
        <v>2.5</v>
      </c>
      <c r="T6" s="7">
        <v>0</v>
      </c>
      <c r="U6" s="7">
        <v>0.5</v>
      </c>
      <c r="V6" s="7">
        <v>0</v>
      </c>
      <c r="W6" s="7">
        <v>1</v>
      </c>
      <c r="X6" s="7">
        <v>2</v>
      </c>
      <c r="Y6" s="7">
        <v>2.5</v>
      </c>
      <c r="Z6" s="7">
        <v>2.5</v>
      </c>
      <c r="AA6" s="7">
        <v>2.5</v>
      </c>
      <c r="AB6" s="7">
        <v>2.5</v>
      </c>
      <c r="AC6" s="7">
        <v>4.5</v>
      </c>
      <c r="AD6" s="7">
        <v>4</v>
      </c>
      <c r="AE6" s="7">
        <v>2.5</v>
      </c>
      <c r="AF6" s="7">
        <v>0</v>
      </c>
      <c r="AG6" s="7">
        <v>0</v>
      </c>
      <c r="AH6" s="56">
        <f>SUM(C6:AG6)</f>
        <v>65</v>
      </c>
      <c r="AJ6" s="2">
        <v>2</v>
      </c>
      <c r="AK6" s="3" t="s">
        <v>5</v>
      </c>
      <c r="AL6" s="16">
        <f>AH6*$E$1</f>
        <v>3040.405257393209</v>
      </c>
      <c r="AM6" s="16">
        <f>AH18</f>
        <v>3575</v>
      </c>
      <c r="AN6" s="16">
        <f t="shared" si="0"/>
        <v>534.59474260679099</v>
      </c>
      <c r="AO6" s="16">
        <f t="shared" si="1"/>
        <v>4392.8571428571422</v>
      </c>
      <c r="AP6" s="16">
        <f t="shared" ref="AP6:AP13" si="2">AO6-AN6</f>
        <v>3858.2624002503512</v>
      </c>
      <c r="AQ6" s="16">
        <f>'Meal July''21 &amp; Rent Augut'!AU6</f>
        <v>318.59498465778506</v>
      </c>
      <c r="AR6" s="16">
        <f t="shared" ref="AR6:AR13" si="3">AP6-AQ6</f>
        <v>3539.6674155925662</v>
      </c>
      <c r="AS6" s="8">
        <f>500+3040</f>
        <v>3540</v>
      </c>
      <c r="AT6" s="17">
        <v>44428</v>
      </c>
      <c r="AU6" s="16">
        <f t="shared" ref="AU6:AU10" si="4">AS6-AR6</f>
        <v>0.33258440743384199</v>
      </c>
      <c r="AW6">
        <v>3040</v>
      </c>
      <c r="AY6" s="9"/>
    </row>
    <row r="7" spans="1:51" x14ac:dyDescent="0.4">
      <c r="A7" s="2">
        <v>3</v>
      </c>
      <c r="B7" s="3" t="s">
        <v>6</v>
      </c>
      <c r="C7" s="7">
        <v>2</v>
      </c>
      <c r="D7" s="7">
        <v>2.5</v>
      </c>
      <c r="E7" s="7">
        <v>2.5</v>
      </c>
      <c r="F7" s="7">
        <v>2.5</v>
      </c>
      <c r="G7" s="7">
        <v>2.5</v>
      </c>
      <c r="H7" s="7">
        <v>2.5</v>
      </c>
      <c r="I7" s="7">
        <v>2.5</v>
      </c>
      <c r="J7" s="7">
        <v>2.5</v>
      </c>
      <c r="K7" s="7">
        <v>2.5</v>
      </c>
      <c r="L7" s="7">
        <v>2.5</v>
      </c>
      <c r="M7" s="7">
        <v>2</v>
      </c>
      <c r="N7" s="7">
        <v>2.5</v>
      </c>
      <c r="O7" s="7">
        <v>2.5</v>
      </c>
      <c r="P7" s="7">
        <v>2.5</v>
      </c>
      <c r="Q7" s="7">
        <v>2.5</v>
      </c>
      <c r="R7" s="7">
        <v>2.5</v>
      </c>
      <c r="S7" s="7">
        <v>2.5</v>
      </c>
      <c r="T7" s="7">
        <v>2.5</v>
      </c>
      <c r="U7" s="7">
        <v>4.5</v>
      </c>
      <c r="V7" s="7">
        <v>5.5</v>
      </c>
      <c r="W7" s="7">
        <v>5</v>
      </c>
      <c r="X7" s="7">
        <v>3</v>
      </c>
      <c r="Y7" s="7">
        <v>4.5</v>
      </c>
      <c r="Z7" s="7">
        <v>4.5</v>
      </c>
      <c r="AA7" s="7">
        <v>4</v>
      </c>
      <c r="AB7" s="7">
        <v>3.5</v>
      </c>
      <c r="AC7" s="7">
        <v>4.5</v>
      </c>
      <c r="AD7" s="7">
        <v>6.5</v>
      </c>
      <c r="AE7" s="7">
        <v>2.5</v>
      </c>
      <c r="AF7" s="7">
        <v>2.5</v>
      </c>
      <c r="AG7" s="7">
        <v>2.5</v>
      </c>
      <c r="AH7" s="56">
        <f t="shared" ref="AH7:AH10" si="5">SUM(C7:AG7)</f>
        <v>97</v>
      </c>
      <c r="AJ7" s="2">
        <v>3</v>
      </c>
      <c r="AK7" s="3" t="s">
        <v>6</v>
      </c>
      <c r="AL7" s="16">
        <f>AH7*$E$1</f>
        <v>4537.2201533406351</v>
      </c>
      <c r="AM7" s="16">
        <f>AH19</f>
        <v>2205</v>
      </c>
      <c r="AN7" s="16">
        <f t="shared" si="0"/>
        <v>-2332.2201533406351</v>
      </c>
      <c r="AO7" s="16">
        <f t="shared" si="1"/>
        <v>3392.8571428571427</v>
      </c>
      <c r="AP7" s="16">
        <f t="shared" si="2"/>
        <v>5725.0772961977782</v>
      </c>
      <c r="AQ7" s="16">
        <f>'Meal July''21 &amp; Rent Augut'!AU7</f>
        <v>2.2256292496531387</v>
      </c>
      <c r="AR7" s="16">
        <f t="shared" si="3"/>
        <v>5722.8516669481251</v>
      </c>
      <c r="AS7" s="8">
        <f>2800-100+3025</f>
        <v>5725</v>
      </c>
      <c r="AT7" s="17"/>
      <c r="AU7" s="16">
        <f t="shared" si="4"/>
        <v>2.1483330518749426</v>
      </c>
      <c r="AW7">
        <f>2700+3025</f>
        <v>5725</v>
      </c>
      <c r="AY7" s="9"/>
    </row>
    <row r="8" spans="1:51" x14ac:dyDescent="0.4">
      <c r="A8" s="2">
        <v>4</v>
      </c>
      <c r="B8" s="3" t="s">
        <v>57</v>
      </c>
      <c r="C8" s="7">
        <v>2</v>
      </c>
      <c r="D8" s="7">
        <v>2.5</v>
      </c>
      <c r="E8" s="7">
        <v>2.5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2</v>
      </c>
      <c r="P8" s="7">
        <v>4.5</v>
      </c>
      <c r="Q8" s="7">
        <v>4</v>
      </c>
      <c r="R8" s="7">
        <v>2.5</v>
      </c>
      <c r="S8" s="7">
        <v>2.5</v>
      </c>
      <c r="T8" s="7">
        <v>2</v>
      </c>
      <c r="U8" s="7">
        <v>2.5</v>
      </c>
      <c r="V8" s="7">
        <v>3.5</v>
      </c>
      <c r="W8" s="7">
        <v>1.5</v>
      </c>
      <c r="X8" s="7">
        <v>2</v>
      </c>
      <c r="Y8" s="7">
        <v>3.5</v>
      </c>
      <c r="Z8" s="7">
        <v>3.5</v>
      </c>
      <c r="AA8" s="7">
        <v>3</v>
      </c>
      <c r="AB8" s="7">
        <v>2.5</v>
      </c>
      <c r="AC8" s="7">
        <v>2.5</v>
      </c>
      <c r="AD8" s="7">
        <v>4.5</v>
      </c>
      <c r="AE8" s="7">
        <v>3.5</v>
      </c>
      <c r="AF8" s="7">
        <v>2.5</v>
      </c>
      <c r="AG8" s="7">
        <v>2.5</v>
      </c>
      <c r="AH8" s="56">
        <f t="shared" si="5"/>
        <v>84.5</v>
      </c>
      <c r="AJ8" s="2">
        <v>4</v>
      </c>
      <c r="AK8" s="3" t="s">
        <v>57</v>
      </c>
      <c r="AL8" s="16">
        <f>AH8*$E$1</f>
        <v>3952.526834611172</v>
      </c>
      <c r="AM8" s="16">
        <f>AH20</f>
        <v>3390</v>
      </c>
      <c r="AN8" s="16">
        <f t="shared" si="0"/>
        <v>-562.52683461117203</v>
      </c>
      <c r="AO8" s="16">
        <f t="shared" si="1"/>
        <v>3392.8571428571427</v>
      </c>
      <c r="AP8" s="16">
        <f t="shared" si="2"/>
        <v>3955.3839774683147</v>
      </c>
      <c r="AQ8" s="16">
        <f>'Meal July''21 &amp; Rent Augut'!AU8</f>
        <v>-880.7421012644736</v>
      </c>
      <c r="AR8" s="16">
        <f t="shared" si="3"/>
        <v>4836.1260787327883</v>
      </c>
      <c r="AS8" s="8">
        <f>3500+1300</f>
        <v>4800</v>
      </c>
      <c r="AT8" s="17">
        <v>44457</v>
      </c>
      <c r="AU8" s="16">
        <f>AS8-AR8</f>
        <v>-36.126078732788301</v>
      </c>
      <c r="AV8" s="25"/>
      <c r="AW8" s="9">
        <f>3500+1300</f>
        <v>4800</v>
      </c>
      <c r="AY8" s="9"/>
    </row>
    <row r="9" spans="1:51" x14ac:dyDescent="0.4">
      <c r="A9" s="2">
        <v>5</v>
      </c>
      <c r="B9" s="12" t="s">
        <v>51</v>
      </c>
      <c r="C9" s="7">
        <v>2</v>
      </c>
      <c r="D9" s="7">
        <v>2</v>
      </c>
      <c r="E9" s="7">
        <v>2.5</v>
      </c>
      <c r="F9" s="7">
        <v>2</v>
      </c>
      <c r="G9" s="7">
        <v>2.5</v>
      </c>
      <c r="H9" s="7">
        <v>2.5</v>
      </c>
      <c r="I9" s="7">
        <v>2.5</v>
      </c>
      <c r="J9" s="7">
        <v>2</v>
      </c>
      <c r="K9" s="7">
        <v>2</v>
      </c>
      <c r="L9" s="7">
        <v>2</v>
      </c>
      <c r="M9" s="7">
        <v>1</v>
      </c>
      <c r="N9" s="7">
        <v>1</v>
      </c>
      <c r="O9" s="7">
        <v>2.5</v>
      </c>
      <c r="P9" s="7">
        <v>2</v>
      </c>
      <c r="Q9" s="7">
        <v>2</v>
      </c>
      <c r="R9" s="7">
        <v>3.5</v>
      </c>
      <c r="S9" s="7">
        <v>2</v>
      </c>
      <c r="T9" s="7">
        <v>1</v>
      </c>
      <c r="U9" s="7">
        <v>3</v>
      </c>
      <c r="V9" s="7">
        <v>5.5</v>
      </c>
      <c r="W9" s="7">
        <v>1.5</v>
      </c>
      <c r="X9" s="7">
        <v>1</v>
      </c>
      <c r="Y9" s="7">
        <v>1</v>
      </c>
      <c r="Z9" s="7">
        <v>2</v>
      </c>
      <c r="AA9" s="7">
        <v>1.5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2</v>
      </c>
      <c r="AH9" s="56">
        <f t="shared" si="5"/>
        <v>55.5</v>
      </c>
      <c r="AJ9" s="2">
        <v>5</v>
      </c>
      <c r="AK9" s="12" t="s">
        <v>51</v>
      </c>
      <c r="AL9" s="16">
        <f>$AH$9*$E$1</f>
        <v>2596.0383351588171</v>
      </c>
      <c r="AM9" s="16">
        <f>AH21</f>
        <v>3950</v>
      </c>
      <c r="AN9" s="16">
        <f t="shared" si="0"/>
        <v>1353.9616648411829</v>
      </c>
      <c r="AO9" s="16">
        <f t="shared" si="1"/>
        <v>3392.8571428571427</v>
      </c>
      <c r="AP9" s="16">
        <f t="shared" si="2"/>
        <v>2038.8954780159597</v>
      </c>
      <c r="AQ9" s="16">
        <f>'Meal July''21 &amp; Rent Augut'!AU9</f>
        <v>0.41075545822513959</v>
      </c>
      <c r="AR9" s="16">
        <f t="shared" si="3"/>
        <v>2038.4847225577346</v>
      </c>
      <c r="AS9" s="8">
        <f>3000+120</f>
        <v>3120</v>
      </c>
      <c r="AT9" s="17"/>
      <c r="AU9" s="16">
        <f>AS9-AR9</f>
        <v>1081.5152774422654</v>
      </c>
      <c r="AW9" s="9"/>
    </row>
    <row r="10" spans="1:51" x14ac:dyDescent="0.4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56">
        <f t="shared" si="5"/>
        <v>0</v>
      </c>
      <c r="AJ10" s="2">
        <v>6</v>
      </c>
      <c r="AK10" s="3" t="s">
        <v>7</v>
      </c>
      <c r="AL10" s="16">
        <f>AH10*$E$1</f>
        <v>0</v>
      </c>
      <c r="AM10" s="16">
        <f t="shared" ref="AM10" si="6">AH22</f>
        <v>0</v>
      </c>
      <c r="AN10" s="16">
        <f t="shared" si="0"/>
        <v>0</v>
      </c>
      <c r="AO10" s="16">
        <f t="shared" si="1"/>
        <v>0</v>
      </c>
      <c r="AP10" s="16">
        <f t="shared" si="2"/>
        <v>0</v>
      </c>
      <c r="AQ10" s="16">
        <f>'Meal July''21 &amp; Rent Augut'!AU10</f>
        <v>-2156.3963758122854</v>
      </c>
      <c r="AR10" s="16">
        <f t="shared" si="3"/>
        <v>2156.3963758122854</v>
      </c>
      <c r="AS10" s="8">
        <v>0</v>
      </c>
      <c r="AT10" s="17"/>
      <c r="AU10" s="16">
        <f t="shared" si="4"/>
        <v>-2156.3963758122854</v>
      </c>
    </row>
    <row r="11" spans="1:51" x14ac:dyDescent="0.4">
      <c r="A11" s="2">
        <v>7</v>
      </c>
      <c r="B11" s="3" t="s">
        <v>8</v>
      </c>
      <c r="C11" s="7">
        <v>2.5</v>
      </c>
      <c r="D11" s="7">
        <v>2.5</v>
      </c>
      <c r="E11" s="7">
        <v>2.5</v>
      </c>
      <c r="F11" s="7">
        <v>2</v>
      </c>
      <c r="G11" s="7">
        <v>2.5</v>
      </c>
      <c r="H11" s="7">
        <v>2.5</v>
      </c>
      <c r="I11" s="7">
        <v>2.5</v>
      </c>
      <c r="J11" s="7">
        <v>2.5</v>
      </c>
      <c r="K11" s="7">
        <v>2.5</v>
      </c>
      <c r="L11" s="7">
        <v>2.5</v>
      </c>
      <c r="M11" s="7">
        <v>2</v>
      </c>
      <c r="N11" s="7">
        <v>1.5</v>
      </c>
      <c r="O11" s="7">
        <v>2.5</v>
      </c>
      <c r="P11" s="7">
        <v>2.5</v>
      </c>
      <c r="Q11" s="7">
        <v>2</v>
      </c>
      <c r="R11" s="7">
        <v>2</v>
      </c>
      <c r="S11" s="7">
        <v>2.5</v>
      </c>
      <c r="T11" s="7">
        <v>1</v>
      </c>
      <c r="U11" s="7">
        <v>1.5</v>
      </c>
      <c r="V11" s="7">
        <v>0.5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>SUM(C11:AG11)</f>
        <v>42.5</v>
      </c>
      <c r="AJ11" s="2">
        <v>7</v>
      </c>
      <c r="AK11" s="3" t="s">
        <v>8</v>
      </c>
      <c r="AL11" s="16">
        <f>AH11*$E$1</f>
        <v>1987.9572836801754</v>
      </c>
      <c r="AM11" s="16">
        <f>AH23</f>
        <v>0</v>
      </c>
      <c r="AN11" s="16">
        <f t="shared" si="0"/>
        <v>-1987.9572836801754</v>
      </c>
      <c r="AO11" s="16">
        <f t="shared" si="1"/>
        <v>0</v>
      </c>
      <c r="AP11" s="16">
        <f t="shared" si="2"/>
        <v>1987.9572836801754</v>
      </c>
      <c r="AQ11" s="16">
        <f>'Meal July''21 &amp; Rent Augut'!AU11</f>
        <v>-1020.6542672571202</v>
      </c>
      <c r="AR11" s="16">
        <f t="shared" si="3"/>
        <v>3008.6115509372958</v>
      </c>
      <c r="AS11" s="8">
        <v>0</v>
      </c>
      <c r="AT11" s="17"/>
      <c r="AU11" s="16">
        <f>AS11-AR11</f>
        <v>-3008.6115509372958</v>
      </c>
    </row>
    <row r="12" spans="1:51" x14ac:dyDescent="0.4">
      <c r="A12" s="2">
        <v>8</v>
      </c>
      <c r="B12" s="1" t="s">
        <v>110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4</v>
      </c>
      <c r="O12" s="7">
        <v>5</v>
      </c>
      <c r="P12" s="7">
        <v>4</v>
      </c>
      <c r="Q12" s="7">
        <v>3</v>
      </c>
      <c r="R12" s="7">
        <v>1.5</v>
      </c>
      <c r="S12" s="7">
        <v>1.5</v>
      </c>
      <c r="T12" s="7">
        <v>1.5</v>
      </c>
      <c r="U12" s="7">
        <v>1.5</v>
      </c>
      <c r="V12" s="7">
        <v>2.5</v>
      </c>
      <c r="W12" s="7">
        <v>1.5</v>
      </c>
      <c r="X12" s="7">
        <v>1</v>
      </c>
      <c r="Y12" s="7">
        <v>1.5</v>
      </c>
      <c r="Z12" s="1">
        <v>3</v>
      </c>
      <c r="AA12" s="1">
        <v>1.5</v>
      </c>
      <c r="AB12" s="1">
        <v>1.5</v>
      </c>
      <c r="AC12" s="1">
        <v>2.5</v>
      </c>
      <c r="AD12" s="1">
        <v>2.5</v>
      </c>
      <c r="AE12" s="1">
        <v>1.5</v>
      </c>
      <c r="AF12" s="1">
        <v>2.5</v>
      </c>
      <c r="AG12" s="1">
        <v>1.5</v>
      </c>
      <c r="AH12" s="56">
        <f t="shared" ref="AH12:AH13" si="7">SUM(C12:AG12)</f>
        <v>47</v>
      </c>
      <c r="AJ12" s="2">
        <v>8</v>
      </c>
      <c r="AK12" s="12" t="s">
        <v>104</v>
      </c>
      <c r="AL12" s="16">
        <f>AH12*E1</f>
        <v>2198.446878422782</v>
      </c>
      <c r="AM12" s="16">
        <f>AH24</f>
        <v>3248</v>
      </c>
      <c r="AN12" s="16">
        <f t="shared" si="0"/>
        <v>1049.553121577218</v>
      </c>
      <c r="AO12" s="16">
        <f>N36</f>
        <v>4142.8571428571422</v>
      </c>
      <c r="AP12" s="16">
        <f t="shared" si="2"/>
        <v>3093.3040212799242</v>
      </c>
      <c r="AQ12" s="16">
        <f>'Meal July''21 &amp; Rent Augut'!AU12</f>
        <v>0</v>
      </c>
      <c r="AR12" s="16">
        <f t="shared" si="3"/>
        <v>3093.3040212799242</v>
      </c>
      <c r="AS12" s="8">
        <v>3095</v>
      </c>
      <c r="AT12" s="17"/>
      <c r="AU12" s="8">
        <f>AS12-AR12</f>
        <v>1.6959787200758001</v>
      </c>
      <c r="AV12" s="47"/>
      <c r="AW12" s="8">
        <v>6845</v>
      </c>
    </row>
    <row r="13" spans="1:51" x14ac:dyDescent="0.4">
      <c r="A13" s="52">
        <v>9</v>
      </c>
      <c r="B13" s="42" t="s">
        <v>105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1.5</v>
      </c>
      <c r="N13" s="7">
        <v>0.5</v>
      </c>
      <c r="O13" s="7">
        <v>0</v>
      </c>
      <c r="P13" s="7">
        <v>0</v>
      </c>
      <c r="Q13" s="7">
        <v>0</v>
      </c>
      <c r="R13" s="7">
        <v>1</v>
      </c>
      <c r="S13" s="7">
        <v>1.5</v>
      </c>
      <c r="T13" s="7">
        <v>1.5</v>
      </c>
      <c r="U13" s="7">
        <v>0</v>
      </c>
      <c r="V13" s="7">
        <v>0</v>
      </c>
      <c r="W13" s="7">
        <v>0</v>
      </c>
      <c r="X13" s="7">
        <v>1</v>
      </c>
      <c r="Y13" s="7">
        <v>2.5</v>
      </c>
      <c r="Z13" s="8">
        <v>2.5</v>
      </c>
      <c r="AA13" s="8">
        <v>1.5</v>
      </c>
      <c r="AB13" s="8">
        <v>0.5</v>
      </c>
      <c r="AC13" s="8">
        <v>0</v>
      </c>
      <c r="AD13" s="8">
        <v>0</v>
      </c>
      <c r="AE13" s="8">
        <v>0</v>
      </c>
      <c r="AF13" s="8">
        <v>0</v>
      </c>
      <c r="AG13" s="8">
        <v>1.5</v>
      </c>
      <c r="AH13" s="56">
        <f t="shared" si="7"/>
        <v>20.5</v>
      </c>
      <c r="AJ13" s="2">
        <v>9</v>
      </c>
      <c r="AK13" s="12" t="s">
        <v>105</v>
      </c>
      <c r="AL13" s="16">
        <f>AH13*E1</f>
        <v>958.89704271631979</v>
      </c>
      <c r="AM13" s="16">
        <f>AH25</f>
        <v>1360</v>
      </c>
      <c r="AN13" s="16">
        <f t="shared" si="0"/>
        <v>401.10295728368021</v>
      </c>
      <c r="AO13" s="16">
        <f t="shared" si="1"/>
        <v>4142.8571428571422</v>
      </c>
      <c r="AP13" s="16">
        <f t="shared" si="2"/>
        <v>3741.7541855734621</v>
      </c>
      <c r="AQ13" s="16">
        <f>'Meal July''21 &amp; Rent Augut'!AU13</f>
        <v>0</v>
      </c>
      <c r="AR13" s="16">
        <f t="shared" si="3"/>
        <v>3741.7541855734621</v>
      </c>
      <c r="AS13" s="16">
        <v>4000</v>
      </c>
      <c r="AT13" s="17"/>
      <c r="AU13" s="16">
        <f>AS13-AR13</f>
        <v>258.24581442653789</v>
      </c>
      <c r="AV13" s="9"/>
      <c r="AW13" s="16">
        <v>4000</v>
      </c>
    </row>
    <row r="14" spans="1:51" x14ac:dyDescent="0.4">
      <c r="A14" s="36"/>
      <c r="B14" s="36"/>
      <c r="C14" s="55">
        <f>SUM(C5:C13)</f>
        <v>11.5</v>
      </c>
      <c r="D14" s="55">
        <f t="shared" ref="D14:AG14" si="8">SUM(D5:D13)</f>
        <v>15</v>
      </c>
      <c r="E14" s="55">
        <f t="shared" si="8"/>
        <v>15.5</v>
      </c>
      <c r="F14" s="55">
        <f t="shared" si="8"/>
        <v>12</v>
      </c>
      <c r="G14" s="55">
        <f t="shared" si="8"/>
        <v>14.5</v>
      </c>
      <c r="H14" s="55">
        <f t="shared" si="8"/>
        <v>14.5</v>
      </c>
      <c r="I14" s="55">
        <f t="shared" si="8"/>
        <v>15</v>
      </c>
      <c r="J14" s="55">
        <f t="shared" si="8"/>
        <v>14</v>
      </c>
      <c r="K14" s="55">
        <f t="shared" si="8"/>
        <v>15</v>
      </c>
      <c r="L14" s="55">
        <f t="shared" si="8"/>
        <v>15</v>
      </c>
      <c r="M14" s="55">
        <f t="shared" si="8"/>
        <v>15.5</v>
      </c>
      <c r="N14" s="55">
        <f t="shared" si="8"/>
        <v>16.5</v>
      </c>
      <c r="O14" s="55">
        <f t="shared" si="8"/>
        <v>17</v>
      </c>
      <c r="P14" s="55">
        <f t="shared" si="8"/>
        <v>18</v>
      </c>
      <c r="Q14" s="55">
        <f t="shared" si="8"/>
        <v>17</v>
      </c>
      <c r="R14" s="55">
        <f t="shared" si="8"/>
        <v>18.5</v>
      </c>
      <c r="S14" s="55">
        <f t="shared" si="8"/>
        <v>17</v>
      </c>
      <c r="T14" s="55">
        <f t="shared" si="8"/>
        <v>9.5</v>
      </c>
      <c r="U14" s="55">
        <f t="shared" si="8"/>
        <v>13.5</v>
      </c>
      <c r="V14" s="55">
        <f t="shared" si="8"/>
        <v>17.5</v>
      </c>
      <c r="W14" s="55">
        <f t="shared" si="8"/>
        <v>10.5</v>
      </c>
      <c r="X14" s="55">
        <f t="shared" si="8"/>
        <v>11</v>
      </c>
      <c r="Y14" s="55">
        <f t="shared" si="8"/>
        <v>17.5</v>
      </c>
      <c r="Z14" s="55">
        <f t="shared" si="8"/>
        <v>20</v>
      </c>
      <c r="AA14" s="55">
        <f t="shared" si="8"/>
        <v>15</v>
      </c>
      <c r="AB14" s="55">
        <f t="shared" si="8"/>
        <v>13.5</v>
      </c>
      <c r="AC14" s="55">
        <f t="shared" si="8"/>
        <v>16</v>
      </c>
      <c r="AD14" s="55">
        <f t="shared" si="8"/>
        <v>19.5</v>
      </c>
      <c r="AE14" s="55">
        <f t="shared" si="8"/>
        <v>11</v>
      </c>
      <c r="AF14" s="55">
        <f t="shared" si="8"/>
        <v>8.5</v>
      </c>
      <c r="AG14" s="55">
        <f t="shared" si="8"/>
        <v>12</v>
      </c>
      <c r="AH14" s="55">
        <f>SUM(AH5:AH13)</f>
        <v>456.5</v>
      </c>
      <c r="AL14" s="51">
        <f t="shared" ref="AL14:AM14" si="9">SUM(AL5:AL13)</f>
        <v>21353</v>
      </c>
      <c r="AM14" s="51">
        <f t="shared" si="9"/>
        <v>21353</v>
      </c>
      <c r="AN14" s="51">
        <f>SUM(AN5:AN13)</f>
        <v>0</v>
      </c>
      <c r="AO14" s="51">
        <f>SUM(AO5:AO13)</f>
        <v>27249.999999999996</v>
      </c>
      <c r="AP14" s="51">
        <f>SUM(AP5:AP13)</f>
        <v>27249.999999999996</v>
      </c>
      <c r="AQ14" s="51">
        <f>SUM(AQ5:AQ13)</f>
        <v>20.112003053604667</v>
      </c>
      <c r="AR14" s="51">
        <f>AP14-AQ14+$AW$4</f>
        <v>27229.887996946392</v>
      </c>
      <c r="AS14" s="51">
        <f>SUM(AS5:AS13)</f>
        <v>24280</v>
      </c>
      <c r="AT14" s="51"/>
      <c r="AU14" s="51">
        <f>SUM(AU5:AU13)</f>
        <v>-2949.8879969463928</v>
      </c>
      <c r="AV14" s="9"/>
      <c r="AW14" s="44">
        <f>SUM(AW5:AW13)</f>
        <v>24410</v>
      </c>
    </row>
    <row r="15" spans="1:51" x14ac:dyDescent="0.4">
      <c r="A15" s="36"/>
      <c r="B15" s="3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37"/>
      <c r="AF15" s="37"/>
      <c r="AG15" s="37"/>
      <c r="AH15" s="37"/>
      <c r="AL15" s="38"/>
      <c r="AM15" s="39"/>
      <c r="AN15" s="39"/>
      <c r="AO15" s="39"/>
      <c r="AP15" s="39"/>
      <c r="AQ15" s="39"/>
      <c r="AR15" s="38"/>
      <c r="AS15" s="39"/>
      <c r="AT15" s="39"/>
      <c r="AU15" s="39"/>
      <c r="AV15" s="9"/>
      <c r="AW15" s="9"/>
      <c r="AX15" s="44" t="s">
        <v>88</v>
      </c>
      <c r="AY15" s="9"/>
    </row>
    <row r="16" spans="1:51" x14ac:dyDescent="0.4">
      <c r="B16" s="10" t="s">
        <v>86</v>
      </c>
      <c r="AT16" s="1" t="s">
        <v>110</v>
      </c>
      <c r="AU16" s="8">
        <f>AR12+3750</f>
        <v>6843.3040212799242</v>
      </c>
      <c r="AV16" s="9"/>
      <c r="AX16" s="1" t="s">
        <v>89</v>
      </c>
      <c r="AY16" s="1" t="s">
        <v>95</v>
      </c>
    </row>
    <row r="17" spans="1:63" x14ac:dyDescent="0.4">
      <c r="A17" s="2">
        <v>1</v>
      </c>
      <c r="B17" s="3" t="s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2705</v>
      </c>
      <c r="AE17" s="8">
        <v>920</v>
      </c>
      <c r="AF17" s="8">
        <v>0</v>
      </c>
      <c r="AG17" s="8">
        <v>0</v>
      </c>
      <c r="AH17" s="8">
        <f>SUM(C17:AG17)</f>
        <v>3625</v>
      </c>
      <c r="AR17" s="25"/>
      <c r="AT17" s="42" t="s">
        <v>105</v>
      </c>
      <c r="AU17" s="8">
        <f>AR13+3750</f>
        <v>7491.7541855734617</v>
      </c>
      <c r="AX17" s="1" t="s">
        <v>107</v>
      </c>
      <c r="AY17" s="16">
        <f>O45</f>
        <v>23630</v>
      </c>
      <c r="BI17" s="1" t="s">
        <v>96</v>
      </c>
      <c r="BJ17" s="1"/>
      <c r="BK17" s="1"/>
    </row>
    <row r="18" spans="1:63" x14ac:dyDescent="0.4">
      <c r="A18" s="2">
        <v>2</v>
      </c>
      <c r="B18" s="3" t="s">
        <v>5</v>
      </c>
      <c r="C18" s="8">
        <v>400</v>
      </c>
      <c r="D18" s="8">
        <v>1290</v>
      </c>
      <c r="E18" s="8">
        <v>0</v>
      </c>
      <c r="F18" s="8">
        <v>1405</v>
      </c>
      <c r="G18" s="8">
        <v>330</v>
      </c>
      <c r="H18" s="8">
        <v>150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ref="AH18:AH25" si="10">SUM(C18:AG18)</f>
        <v>3575</v>
      </c>
      <c r="AV18" s="25"/>
      <c r="AX18" s="1" t="s">
        <v>91</v>
      </c>
      <c r="AY18" s="16">
        <f>-AQ14</f>
        <v>-20.112003053604667</v>
      </c>
      <c r="BI18" s="1" t="s">
        <v>97</v>
      </c>
      <c r="BJ18" s="1">
        <v>4000</v>
      </c>
      <c r="BK18" s="1"/>
    </row>
    <row r="19" spans="1:63" x14ac:dyDescent="0.4">
      <c r="A19" s="2">
        <v>3</v>
      </c>
      <c r="B19" s="3" t="s">
        <v>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690</v>
      </c>
      <c r="O19" s="8">
        <v>500</v>
      </c>
      <c r="P19" s="8">
        <v>560</v>
      </c>
      <c r="Q19" s="8">
        <v>0</v>
      </c>
      <c r="R19" s="8">
        <v>80</v>
      </c>
      <c r="S19" s="8">
        <v>270</v>
      </c>
      <c r="T19" s="8">
        <v>0</v>
      </c>
      <c r="U19" s="8">
        <v>105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2205</v>
      </c>
      <c r="AR19" s="25"/>
      <c r="AT19" s="15"/>
      <c r="AU19" s="8"/>
      <c r="AV19" s="25"/>
      <c r="AX19" s="1"/>
      <c r="AY19" s="16">
        <f>SUM(AY17:AY18)</f>
        <v>23609.887996946396</v>
      </c>
      <c r="BI19" s="1" t="s">
        <v>36</v>
      </c>
      <c r="BJ19" s="1">
        <f>BJ18/6</f>
        <v>666.66666666666663</v>
      </c>
      <c r="BK19" s="1">
        <f>BJ19*5</f>
        <v>3333.333333333333</v>
      </c>
    </row>
    <row r="20" spans="1:63" x14ac:dyDescent="0.4">
      <c r="A20" s="2">
        <v>4</v>
      </c>
      <c r="B20" s="3" t="s">
        <v>57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1120</v>
      </c>
      <c r="R20" s="8">
        <v>0</v>
      </c>
      <c r="S20" s="8">
        <v>0</v>
      </c>
      <c r="T20" s="8">
        <v>970</v>
      </c>
      <c r="U20" s="8">
        <v>0</v>
      </c>
      <c r="V20" s="8">
        <v>820</v>
      </c>
      <c r="W20" s="8">
        <v>380</v>
      </c>
      <c r="X20" s="8">
        <v>100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3390</v>
      </c>
      <c r="AR20" s="25"/>
      <c r="BA20" s="9">
        <v>4547</v>
      </c>
      <c r="BI20" s="1" t="s">
        <v>37</v>
      </c>
      <c r="BJ20" s="1"/>
      <c r="BK20" s="1"/>
    </row>
    <row r="21" spans="1:63" x14ac:dyDescent="0.4">
      <c r="A21" s="2">
        <v>5</v>
      </c>
      <c r="B21" s="12" t="s">
        <v>51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3350</v>
      </c>
      <c r="J21" s="8">
        <v>0</v>
      </c>
      <c r="K21" s="8">
        <v>85</v>
      </c>
      <c r="L21" s="8">
        <v>515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3950</v>
      </c>
      <c r="AX21" s="1" t="s">
        <v>92</v>
      </c>
      <c r="AY21" s="1"/>
      <c r="BA21" s="9">
        <f>AY17+BA20</f>
        <v>28177</v>
      </c>
      <c r="BI21" s="1" t="s">
        <v>98</v>
      </c>
      <c r="BJ21" s="1">
        <f>$BJ$19</f>
        <v>666.66666666666663</v>
      </c>
      <c r="BK21" s="1"/>
    </row>
    <row r="22" spans="1:63" x14ac:dyDescent="0.4">
      <c r="A22" s="2">
        <v>6</v>
      </c>
      <c r="B22" s="3" t="s">
        <v>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0"/>
        <v>0</v>
      </c>
      <c r="AV22" s="25"/>
      <c r="AX22" s="1" t="s">
        <v>93</v>
      </c>
      <c r="AY22" s="16">
        <f>-AU14</f>
        <v>2949.8879969463928</v>
      </c>
      <c r="BI22" s="1" t="s">
        <v>49</v>
      </c>
      <c r="BJ22" s="1">
        <f>$BJ$19</f>
        <v>666.66666666666663</v>
      </c>
      <c r="BK22" s="1"/>
    </row>
    <row r="23" spans="1:63" x14ac:dyDescent="0.4">
      <c r="A23" s="2">
        <v>7</v>
      </c>
      <c r="B23" s="3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0"/>
        <v>0</v>
      </c>
      <c r="AX23" s="1" t="s">
        <v>94</v>
      </c>
      <c r="AY23" s="1">
        <v>2000</v>
      </c>
      <c r="BI23" s="1" t="s">
        <v>38</v>
      </c>
      <c r="BJ23" s="1">
        <f>$BJ$19</f>
        <v>666.66666666666663</v>
      </c>
      <c r="BK23" s="1"/>
    </row>
    <row r="24" spans="1:63" x14ac:dyDescent="0.4">
      <c r="A24" s="52">
        <v>8</v>
      </c>
      <c r="B24" s="1" t="s">
        <v>110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1213</v>
      </c>
      <c r="Z24" s="8">
        <v>875</v>
      </c>
      <c r="AA24" s="8">
        <v>0</v>
      </c>
      <c r="AB24" s="8">
        <v>1160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0"/>
        <v>3248</v>
      </c>
      <c r="AX24" s="1"/>
      <c r="AY24" s="16">
        <f>SUM(AY22:AY23)</f>
        <v>4949.8879969463924</v>
      </c>
      <c r="BI24" s="1" t="s">
        <v>99</v>
      </c>
      <c r="BJ24" s="1">
        <f>$BJ$19</f>
        <v>666.66666666666663</v>
      </c>
      <c r="BK24" s="1"/>
    </row>
    <row r="25" spans="1:63" x14ac:dyDescent="0.4">
      <c r="A25" s="52">
        <v>9</v>
      </c>
      <c r="B25" s="42" t="s">
        <v>105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1025</v>
      </c>
      <c r="AB25" s="8">
        <v>0</v>
      </c>
      <c r="AC25" s="8">
        <v>335</v>
      </c>
      <c r="AD25" s="8"/>
      <c r="AE25" s="8"/>
      <c r="AF25" s="8">
        <v>0</v>
      </c>
      <c r="AG25" s="8">
        <v>0</v>
      </c>
      <c r="AH25" s="8">
        <f t="shared" si="10"/>
        <v>1360</v>
      </c>
      <c r="BI25" s="1" t="s">
        <v>40</v>
      </c>
      <c r="BJ25" s="1">
        <f>$BJ$19</f>
        <v>666.66666666666663</v>
      </c>
      <c r="BK25" s="1"/>
    </row>
    <row r="26" spans="1:63" x14ac:dyDescent="0.4">
      <c r="AH26" s="51">
        <f>SUM(AH17:AH25)</f>
        <v>21353</v>
      </c>
      <c r="AX26" t="s">
        <v>100</v>
      </c>
      <c r="BI26" s="1"/>
      <c r="BJ26" s="1">
        <f>SUM(BJ21:BJ25)</f>
        <v>3333.333333333333</v>
      </c>
      <c r="BK26" s="1"/>
    </row>
    <row r="27" spans="1:63" x14ac:dyDescent="0.4">
      <c r="AX27" t="s">
        <v>90</v>
      </c>
      <c r="AY27" s="47">
        <v>23773</v>
      </c>
    </row>
    <row r="28" spans="1:63" x14ac:dyDescent="0.4">
      <c r="A28" s="4"/>
      <c r="B28" s="13" t="s">
        <v>87</v>
      </c>
      <c r="C28" s="4" t="s">
        <v>11</v>
      </c>
      <c r="D28" s="4" t="s">
        <v>12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21</v>
      </c>
      <c r="N28" s="4" t="s">
        <v>22</v>
      </c>
      <c r="AX28" t="s">
        <v>91</v>
      </c>
      <c r="AY28" s="47">
        <v>10374</v>
      </c>
    </row>
    <row r="29" spans="1:63" x14ac:dyDescent="0.4">
      <c r="A29" s="2">
        <v>1</v>
      </c>
      <c r="B29" s="12" t="s">
        <v>4</v>
      </c>
      <c r="C29" s="8">
        <f>H41</f>
        <v>3142.8571428571427</v>
      </c>
      <c r="D29" s="8">
        <f>$D$38/7</f>
        <v>428.57142857142856</v>
      </c>
      <c r="E29" s="8">
        <f t="shared" ref="E29:E35" si="11">$E$38/7</f>
        <v>0</v>
      </c>
      <c r="F29" s="8">
        <f>$F$38/7</f>
        <v>71.428571428571431</v>
      </c>
      <c r="G29" s="8">
        <f>$G$38/7</f>
        <v>139.28571428571428</v>
      </c>
      <c r="H29" s="8">
        <f>$H$38/7</f>
        <v>305</v>
      </c>
      <c r="I29" s="8">
        <f>$I$38/7</f>
        <v>252.85714285714286</v>
      </c>
      <c r="J29" s="8">
        <f>$J$38/7</f>
        <v>35.714285714285715</v>
      </c>
      <c r="K29" s="8">
        <f>$K$38/6</f>
        <v>0</v>
      </c>
      <c r="L29" s="8">
        <f>$L$38/7</f>
        <v>17.142857142857142</v>
      </c>
      <c r="M29" s="8">
        <f>$M$38/7</f>
        <v>0</v>
      </c>
      <c r="N29" s="8">
        <f t="shared" ref="N29:N35" si="12">SUM(C29:M29)</f>
        <v>4392.8571428571422</v>
      </c>
      <c r="AY29" s="47">
        <f>SUM(AY27:AY28)</f>
        <v>34147</v>
      </c>
    </row>
    <row r="30" spans="1:63" x14ac:dyDescent="0.4">
      <c r="A30" s="2">
        <v>2</v>
      </c>
      <c r="B30" s="12" t="s">
        <v>5</v>
      </c>
      <c r="C30" s="8">
        <f>H41</f>
        <v>3142.8571428571427</v>
      </c>
      <c r="D30" s="8">
        <f>$D$38/7</f>
        <v>428.57142857142856</v>
      </c>
      <c r="E30" s="8">
        <f t="shared" si="11"/>
        <v>0</v>
      </c>
      <c r="F30" s="8">
        <f>$F$38/7</f>
        <v>71.428571428571431</v>
      </c>
      <c r="G30" s="8">
        <f>$G$38/7</f>
        <v>139.28571428571428</v>
      </c>
      <c r="H30" s="8">
        <f>$H$38/7</f>
        <v>305</v>
      </c>
      <c r="I30" s="8">
        <f>$I$38/7</f>
        <v>252.85714285714286</v>
      </c>
      <c r="J30" s="8">
        <f>$J$38/7</f>
        <v>35.714285714285715</v>
      </c>
      <c r="K30" s="8">
        <f>$K$38/6</f>
        <v>0</v>
      </c>
      <c r="L30" s="8">
        <f>$L$38/7</f>
        <v>17.142857142857142</v>
      </c>
      <c r="M30" s="8">
        <f>$M$38/7</f>
        <v>0</v>
      </c>
      <c r="N30" s="8">
        <f t="shared" si="12"/>
        <v>4392.8571428571422</v>
      </c>
      <c r="AX30" t="s">
        <v>101</v>
      </c>
      <c r="AY30" s="47">
        <v>29600</v>
      </c>
    </row>
    <row r="31" spans="1:63" x14ac:dyDescent="0.4">
      <c r="A31" s="2">
        <v>3</v>
      </c>
      <c r="B31" s="12" t="s">
        <v>6</v>
      </c>
      <c r="C31" s="8">
        <f>H42</f>
        <v>2142.8571428571427</v>
      </c>
      <c r="D31" s="8">
        <f>$D$38/7</f>
        <v>428.57142857142856</v>
      </c>
      <c r="E31" s="8">
        <f t="shared" si="11"/>
        <v>0</v>
      </c>
      <c r="F31" s="8">
        <f>$F$38/7</f>
        <v>71.428571428571431</v>
      </c>
      <c r="G31" s="8">
        <f>$G$38/7</f>
        <v>139.28571428571428</v>
      </c>
      <c r="H31" s="8">
        <f>$H$38/7</f>
        <v>305</v>
      </c>
      <c r="I31" s="8">
        <f>$I$38/7</f>
        <v>252.85714285714286</v>
      </c>
      <c r="J31" s="8">
        <f>$J$38/7</f>
        <v>35.714285714285715</v>
      </c>
      <c r="K31" s="8">
        <f>$K$38/6</f>
        <v>0</v>
      </c>
      <c r="L31" s="8">
        <f>$L$38/7</f>
        <v>17.142857142857142</v>
      </c>
      <c r="M31" s="8">
        <f>$M$38/7</f>
        <v>0</v>
      </c>
      <c r="N31" s="8">
        <f t="shared" si="12"/>
        <v>3392.8571428571427</v>
      </c>
      <c r="AX31" t="s">
        <v>102</v>
      </c>
      <c r="AY31" s="48">
        <f>AY29-AY30</f>
        <v>4547</v>
      </c>
    </row>
    <row r="32" spans="1:63" x14ac:dyDescent="0.4">
      <c r="A32" s="2">
        <v>4</v>
      </c>
      <c r="B32" s="12" t="s">
        <v>57</v>
      </c>
      <c r="C32" s="8">
        <f>H42</f>
        <v>2142.8571428571427</v>
      </c>
      <c r="D32" s="8">
        <f>$D$38/7</f>
        <v>428.57142857142856</v>
      </c>
      <c r="E32" s="8">
        <f t="shared" si="11"/>
        <v>0</v>
      </c>
      <c r="F32" s="8">
        <f>$F$38/7</f>
        <v>71.428571428571431</v>
      </c>
      <c r="G32" s="8">
        <f>$G$38/7</f>
        <v>139.28571428571428</v>
      </c>
      <c r="H32" s="8">
        <f>$H$38/7</f>
        <v>305</v>
      </c>
      <c r="I32" s="8">
        <f>$I$38/7</f>
        <v>252.85714285714286</v>
      </c>
      <c r="J32" s="8">
        <f>$J$38/7</f>
        <v>35.714285714285715</v>
      </c>
      <c r="K32" s="8"/>
      <c r="L32" s="8">
        <f>$L$38/7</f>
        <v>17.142857142857142</v>
      </c>
      <c r="M32" s="8">
        <f>$M$38/7</f>
        <v>0</v>
      </c>
      <c r="N32" s="8">
        <f t="shared" si="12"/>
        <v>3392.8571428571427</v>
      </c>
      <c r="AY32" s="47"/>
    </row>
    <row r="33" spans="1:51" x14ac:dyDescent="0.4">
      <c r="A33" s="2">
        <v>5</v>
      </c>
      <c r="B33" s="12" t="s">
        <v>51</v>
      </c>
      <c r="C33" s="8">
        <f>H42</f>
        <v>2142.8571428571427</v>
      </c>
      <c r="D33" s="8">
        <f>$D$38/7</f>
        <v>428.57142857142856</v>
      </c>
      <c r="E33" s="8">
        <f t="shared" si="11"/>
        <v>0</v>
      </c>
      <c r="F33" s="8">
        <f>$F$38/7</f>
        <v>71.428571428571431</v>
      </c>
      <c r="G33" s="8">
        <f>$G$38/7</f>
        <v>139.28571428571428</v>
      </c>
      <c r="H33" s="8">
        <f>$H$38/7</f>
        <v>305</v>
      </c>
      <c r="I33" s="8">
        <f>$I$38/7</f>
        <v>252.85714285714286</v>
      </c>
      <c r="J33" s="8">
        <f>$J$38/7</f>
        <v>35.714285714285715</v>
      </c>
      <c r="K33" s="8">
        <f>$K$38/6</f>
        <v>0</v>
      </c>
      <c r="L33" s="8">
        <f>$L$38/7</f>
        <v>17.142857142857142</v>
      </c>
      <c r="M33" s="8">
        <f>$M$38/7</f>
        <v>0</v>
      </c>
      <c r="N33" s="8">
        <f t="shared" si="12"/>
        <v>3392.8571428571427</v>
      </c>
      <c r="AY33" s="47"/>
    </row>
    <row r="34" spans="1:51" x14ac:dyDescent="0.4">
      <c r="A34" s="2">
        <v>6</v>
      </c>
      <c r="B34" s="12" t="s">
        <v>7</v>
      </c>
      <c r="C34" s="8">
        <v>0</v>
      </c>
      <c r="D34" s="6">
        <v>0</v>
      </c>
      <c r="E34" s="8">
        <f t="shared" si="11"/>
        <v>0</v>
      </c>
      <c r="F34" s="8">
        <f>$E$38/7</f>
        <v>0</v>
      </c>
      <c r="G34" s="8">
        <f t="shared" ref="G34:M35" si="13">$E$38/7</f>
        <v>0</v>
      </c>
      <c r="H34" s="8">
        <f t="shared" si="13"/>
        <v>0</v>
      </c>
      <c r="I34" s="8">
        <f t="shared" si="13"/>
        <v>0</v>
      </c>
      <c r="J34" s="8">
        <f t="shared" si="13"/>
        <v>0</v>
      </c>
      <c r="K34" s="8">
        <f t="shared" si="13"/>
        <v>0</v>
      </c>
      <c r="L34" s="8">
        <f t="shared" si="13"/>
        <v>0</v>
      </c>
      <c r="M34" s="8">
        <f t="shared" si="13"/>
        <v>0</v>
      </c>
      <c r="N34" s="8">
        <f t="shared" si="12"/>
        <v>0</v>
      </c>
      <c r="AY34" s="47"/>
    </row>
    <row r="35" spans="1:51" x14ac:dyDescent="0.4">
      <c r="A35" s="2">
        <v>7</v>
      </c>
      <c r="B35" s="12" t="s">
        <v>8</v>
      </c>
      <c r="C35" s="8">
        <v>0</v>
      </c>
      <c r="D35" s="6">
        <v>0</v>
      </c>
      <c r="E35" s="8">
        <f t="shared" si="11"/>
        <v>0</v>
      </c>
      <c r="F35" s="8">
        <f>$E$38/7</f>
        <v>0</v>
      </c>
      <c r="G35" s="8">
        <f t="shared" si="13"/>
        <v>0</v>
      </c>
      <c r="H35" s="8">
        <f t="shared" si="13"/>
        <v>0</v>
      </c>
      <c r="I35" s="8">
        <f t="shared" si="13"/>
        <v>0</v>
      </c>
      <c r="J35" s="8">
        <f t="shared" si="13"/>
        <v>0</v>
      </c>
      <c r="K35" s="8">
        <f t="shared" si="13"/>
        <v>0</v>
      </c>
      <c r="L35" s="8">
        <f t="shared" si="13"/>
        <v>0</v>
      </c>
      <c r="M35" s="8">
        <f t="shared" si="13"/>
        <v>0</v>
      </c>
      <c r="N35" s="8">
        <f t="shared" si="12"/>
        <v>0</v>
      </c>
      <c r="AX35" t="s">
        <v>103</v>
      </c>
      <c r="AY35" s="47">
        <f>AY30-21100</f>
        <v>8500</v>
      </c>
    </row>
    <row r="36" spans="1:51" x14ac:dyDescent="0.4">
      <c r="A36" s="2">
        <v>8</v>
      </c>
      <c r="B36" s="12" t="s">
        <v>104</v>
      </c>
      <c r="C36" s="8">
        <f>H43</f>
        <v>2892.8571428571427</v>
      </c>
      <c r="D36" s="8">
        <f>$D$38/7</f>
        <v>428.57142857142856</v>
      </c>
      <c r="E36" s="8">
        <v>0</v>
      </c>
      <c r="F36" s="8">
        <f>$F$38/7</f>
        <v>71.428571428571431</v>
      </c>
      <c r="G36" s="8">
        <f>$G$38/7</f>
        <v>139.28571428571428</v>
      </c>
      <c r="H36" s="8">
        <f>$H$38/7</f>
        <v>305</v>
      </c>
      <c r="I36" s="8">
        <f>$I$38/7</f>
        <v>252.85714285714286</v>
      </c>
      <c r="J36" s="8">
        <f>$J$38/7</f>
        <v>35.714285714285715</v>
      </c>
      <c r="K36" s="8">
        <f>$K$38/6</f>
        <v>0</v>
      </c>
      <c r="L36" s="8">
        <f>$L$38/7</f>
        <v>17.142857142857142</v>
      </c>
      <c r="M36" s="8">
        <f>$M$38/7</f>
        <v>0</v>
      </c>
      <c r="N36" s="8">
        <f>SUM(C36:M36)</f>
        <v>4142.8571428571422</v>
      </c>
    </row>
    <row r="37" spans="1:51" x14ac:dyDescent="0.4">
      <c r="A37" s="2">
        <v>9</v>
      </c>
      <c r="B37" s="12" t="s">
        <v>105</v>
      </c>
      <c r="C37" s="8">
        <f>H43</f>
        <v>2892.8571428571427</v>
      </c>
      <c r="D37" s="8">
        <f>$D$38/7</f>
        <v>428.57142857142856</v>
      </c>
      <c r="E37" s="8">
        <v>0</v>
      </c>
      <c r="F37" s="8">
        <f>$F$38/7</f>
        <v>71.428571428571431</v>
      </c>
      <c r="G37" s="8">
        <f>$G$38/7</f>
        <v>139.28571428571428</v>
      </c>
      <c r="H37" s="8">
        <f>$H$38/7</f>
        <v>305</v>
      </c>
      <c r="I37" s="8">
        <f>$I$38/7</f>
        <v>252.85714285714286</v>
      </c>
      <c r="J37" s="8">
        <f>$J$38/7</f>
        <v>35.714285714285715</v>
      </c>
      <c r="K37" s="8">
        <f>$K$38/6</f>
        <v>0</v>
      </c>
      <c r="L37" s="8">
        <f>$L$38/7</f>
        <v>17.142857142857142</v>
      </c>
      <c r="M37" s="8">
        <f>$M$38/7</f>
        <v>0</v>
      </c>
      <c r="N37" s="8">
        <f>SUM(C37:M37)</f>
        <v>4142.8571428571422</v>
      </c>
    </row>
    <row r="38" spans="1:51" x14ac:dyDescent="0.4">
      <c r="C38" s="8">
        <f>SUM(C29:C37)</f>
        <v>18500</v>
      </c>
      <c r="D38" s="40">
        <v>3000</v>
      </c>
      <c r="E38" s="8"/>
      <c r="F38" s="8">
        <f>500</f>
        <v>500</v>
      </c>
      <c r="G38" s="8">
        <f>975</f>
        <v>975</v>
      </c>
      <c r="H38" s="14">
        <v>2135</v>
      </c>
      <c r="I38" s="14">
        <v>1770</v>
      </c>
      <c r="J38" s="8">
        <f>250</f>
        <v>250</v>
      </c>
      <c r="K38" s="8">
        <f>0</f>
        <v>0</v>
      </c>
      <c r="L38" s="8">
        <f>120</f>
        <v>120</v>
      </c>
      <c r="M38" s="8"/>
      <c r="N38" s="8">
        <f>SUM(N29:N37)</f>
        <v>27249.999999999996</v>
      </c>
      <c r="O38" s="9">
        <f>O45+O53</f>
        <v>27250</v>
      </c>
      <c r="P38" s="9">
        <f>N38-O38</f>
        <v>0</v>
      </c>
    </row>
    <row r="40" spans="1:51" x14ac:dyDescent="0.4">
      <c r="N40" t="s">
        <v>61</v>
      </c>
      <c r="O40" s="9">
        <f>C38</f>
        <v>18500</v>
      </c>
    </row>
    <row r="41" spans="1:51" x14ac:dyDescent="0.4">
      <c r="D41" s="1">
        <v>6000</v>
      </c>
      <c r="E41" s="1">
        <v>2</v>
      </c>
      <c r="F41" s="1">
        <f>D41/E41</f>
        <v>3000</v>
      </c>
      <c r="G41" s="1">
        <f>(500+500)/7</f>
        <v>142.85714285714286</v>
      </c>
      <c r="H41" s="11">
        <f>F41+G41</f>
        <v>3142.8571428571427</v>
      </c>
      <c r="I41" s="11">
        <f>H41*E41</f>
        <v>6285.7142857142853</v>
      </c>
      <c r="N41" t="s">
        <v>71</v>
      </c>
      <c r="O41" s="9">
        <f>G38</f>
        <v>975</v>
      </c>
    </row>
    <row r="42" spans="1:51" x14ac:dyDescent="0.4">
      <c r="D42" s="1">
        <v>6000</v>
      </c>
      <c r="E42" s="1">
        <v>3</v>
      </c>
      <c r="F42" s="1">
        <f t="shared" ref="F42:F43" si="14">D42/E42</f>
        <v>2000</v>
      </c>
      <c r="G42" s="1">
        <f t="shared" ref="G42:G43" si="15">(500+500)/7</f>
        <v>142.85714285714286</v>
      </c>
      <c r="H42" s="11">
        <f t="shared" ref="H42" si="16">F42+G42</f>
        <v>2142.8571428571427</v>
      </c>
      <c r="I42" s="11">
        <f t="shared" ref="I42:I43" si="17">H42*E42</f>
        <v>6428.5714285714275</v>
      </c>
      <c r="N42" t="s">
        <v>72</v>
      </c>
      <c r="O42" s="9">
        <f>I38</f>
        <v>1770</v>
      </c>
    </row>
    <row r="43" spans="1:51" x14ac:dyDescent="0.4">
      <c r="D43" s="1">
        <v>5500</v>
      </c>
      <c r="E43" s="1">
        <v>2</v>
      </c>
      <c r="F43" s="11">
        <f t="shared" si="14"/>
        <v>2750</v>
      </c>
      <c r="G43" s="1">
        <f t="shared" si="15"/>
        <v>142.85714285714286</v>
      </c>
      <c r="H43" s="11">
        <f>F43+G43</f>
        <v>2892.8571428571427</v>
      </c>
      <c r="I43" s="11">
        <f t="shared" si="17"/>
        <v>5785.7142857142853</v>
      </c>
      <c r="N43" t="s">
        <v>73</v>
      </c>
      <c r="O43" s="9">
        <f>H38</f>
        <v>2135</v>
      </c>
    </row>
    <row r="44" spans="1:51" x14ac:dyDescent="0.4">
      <c r="D44" s="1">
        <f>SUM(D41:D43)</f>
        <v>17500</v>
      </c>
      <c r="E44" s="1"/>
      <c r="F44" s="1"/>
      <c r="G44" s="1"/>
      <c r="H44" s="1"/>
      <c r="I44" s="11">
        <f>SUM(I41:I43)</f>
        <v>18500</v>
      </c>
      <c r="N44" t="s">
        <v>74</v>
      </c>
      <c r="O44" s="9">
        <f>J38</f>
        <v>250</v>
      </c>
    </row>
    <row r="45" spans="1:51" x14ac:dyDescent="0.4">
      <c r="O45" s="9">
        <f>SUM(O40:O44)</f>
        <v>23630</v>
      </c>
    </row>
    <row r="47" spans="1:51" x14ac:dyDescent="0.4">
      <c r="P47" s="9">
        <f>O45+O53</f>
        <v>27250</v>
      </c>
    </row>
    <row r="48" spans="1:51" x14ac:dyDescent="0.4">
      <c r="N48" t="s">
        <v>12</v>
      </c>
      <c r="O48" s="9">
        <f>D38</f>
        <v>3000</v>
      </c>
    </row>
    <row r="49" spans="14:15" x14ac:dyDescent="0.4">
      <c r="N49" t="s">
        <v>13</v>
      </c>
      <c r="O49" s="9">
        <f>E38</f>
        <v>0</v>
      </c>
    </row>
    <row r="50" spans="14:15" x14ac:dyDescent="0.4">
      <c r="N50" t="s">
        <v>14</v>
      </c>
      <c r="O50" s="9">
        <f>F38</f>
        <v>500</v>
      </c>
    </row>
    <row r="51" spans="14:15" x14ac:dyDescent="0.4">
      <c r="N51" t="s">
        <v>20</v>
      </c>
      <c r="O51" s="9">
        <f>L38</f>
        <v>120</v>
      </c>
    </row>
    <row r="52" spans="14:15" x14ac:dyDescent="0.4">
      <c r="N52" t="s">
        <v>21</v>
      </c>
      <c r="O52" s="9">
        <f>M38</f>
        <v>0</v>
      </c>
    </row>
    <row r="53" spans="14:15" x14ac:dyDescent="0.4">
      <c r="O53" s="9">
        <f>SUM(O48:O52)</f>
        <v>3620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076F-6EC6-40F2-9C95-3C2F25222128}">
  <dimension ref="A1:BK59"/>
  <sheetViews>
    <sheetView zoomScale="86" zoomScaleNormal="86" workbookViewId="0">
      <pane xSplit="2" ySplit="4" topLeftCell="C24" activePane="bottomRight" state="frozen"/>
      <selection pane="topRight" activeCell="C1" sqref="C1"/>
      <selection pane="bottomLeft" activeCell="A5" sqref="A5"/>
      <selection pane="bottomRight" activeCell="AR16" sqref="AR16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8.5976562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51" ht="14.55" customHeight="1" x14ac:dyDescent="0.4">
      <c r="C1" s="206" t="s">
        <v>114</v>
      </c>
      <c r="D1" s="206"/>
      <c r="E1" s="207">
        <f>AH28/AH15</f>
        <v>46.46551724137931</v>
      </c>
      <c r="F1" s="207"/>
    </row>
    <row r="2" spans="1:51" x14ac:dyDescent="0.4">
      <c r="C2" s="206"/>
      <c r="D2" s="206"/>
      <c r="E2" s="207"/>
      <c r="F2" s="207"/>
    </row>
    <row r="4" spans="1:51" ht="62.4" x14ac:dyDescent="0.4">
      <c r="A4" s="53" t="s">
        <v>0</v>
      </c>
      <c r="B4" s="53" t="s">
        <v>2</v>
      </c>
      <c r="C4" s="54">
        <v>44440</v>
      </c>
      <c r="D4" s="54">
        <v>44441</v>
      </c>
      <c r="E4" s="54">
        <v>44442</v>
      </c>
      <c r="F4" s="54">
        <v>44443</v>
      </c>
      <c r="G4" s="54">
        <v>44444</v>
      </c>
      <c r="H4" s="54">
        <v>44445</v>
      </c>
      <c r="I4" s="54">
        <v>44446</v>
      </c>
      <c r="J4" s="54">
        <v>44447</v>
      </c>
      <c r="K4" s="54">
        <v>44448</v>
      </c>
      <c r="L4" s="54">
        <v>44449</v>
      </c>
      <c r="M4" s="54">
        <v>44450</v>
      </c>
      <c r="N4" s="54">
        <v>44451</v>
      </c>
      <c r="O4" s="54">
        <v>44452</v>
      </c>
      <c r="P4" s="54">
        <v>44453</v>
      </c>
      <c r="Q4" s="54">
        <v>44454</v>
      </c>
      <c r="R4" s="54">
        <v>44455</v>
      </c>
      <c r="S4" s="54">
        <v>44456</v>
      </c>
      <c r="T4" s="54">
        <v>44457</v>
      </c>
      <c r="U4" s="54">
        <v>44458</v>
      </c>
      <c r="V4" s="54">
        <v>44459</v>
      </c>
      <c r="W4" s="54">
        <v>44460</v>
      </c>
      <c r="X4" s="54">
        <v>44461</v>
      </c>
      <c r="Y4" s="54">
        <v>44462</v>
      </c>
      <c r="Z4" s="54">
        <v>44463</v>
      </c>
      <c r="AA4" s="54">
        <v>44464</v>
      </c>
      <c r="AB4" s="54">
        <v>44465</v>
      </c>
      <c r="AC4" s="54">
        <v>44466</v>
      </c>
      <c r="AD4" s="54">
        <v>44467</v>
      </c>
      <c r="AE4" s="54">
        <v>44468</v>
      </c>
      <c r="AF4" s="54">
        <v>44469</v>
      </c>
      <c r="AG4" s="54">
        <v>44470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106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V4" s="45"/>
      <c r="AX4" s="43"/>
    </row>
    <row r="5" spans="1:51" x14ac:dyDescent="0.4">
      <c r="A5" s="2">
        <v>1</v>
      </c>
      <c r="B5" s="3" t="s">
        <v>4</v>
      </c>
      <c r="C5" s="7">
        <v>2</v>
      </c>
      <c r="D5" s="7">
        <v>1</v>
      </c>
      <c r="E5" s="7">
        <v>0</v>
      </c>
      <c r="F5" s="7">
        <v>1</v>
      </c>
      <c r="G5" s="7">
        <v>1</v>
      </c>
      <c r="H5" s="7">
        <v>2</v>
      </c>
      <c r="I5" s="7">
        <v>2</v>
      </c>
      <c r="J5" s="7">
        <v>2</v>
      </c>
      <c r="K5" s="7">
        <v>1</v>
      </c>
      <c r="L5" s="7">
        <v>2</v>
      </c>
      <c r="M5" s="7">
        <v>1</v>
      </c>
      <c r="N5" s="7">
        <v>2.5</v>
      </c>
      <c r="O5" s="7">
        <v>2</v>
      </c>
      <c r="P5" s="7">
        <v>2</v>
      </c>
      <c r="Q5" s="7">
        <v>2</v>
      </c>
      <c r="R5" s="7">
        <v>2</v>
      </c>
      <c r="S5" s="7">
        <v>1</v>
      </c>
      <c r="T5" s="7">
        <v>2</v>
      </c>
      <c r="U5" s="7">
        <v>1</v>
      </c>
      <c r="V5" s="7">
        <v>1</v>
      </c>
      <c r="W5" s="7">
        <v>1</v>
      </c>
      <c r="X5" s="7">
        <v>2</v>
      </c>
      <c r="Y5" s="7">
        <v>1</v>
      </c>
      <c r="Z5" s="7">
        <v>2</v>
      </c>
      <c r="AA5" s="7">
        <v>2</v>
      </c>
      <c r="AB5" s="7">
        <v>2</v>
      </c>
      <c r="AC5" s="7">
        <v>1</v>
      </c>
      <c r="AD5" s="7">
        <v>2</v>
      </c>
      <c r="AE5" s="7">
        <v>2</v>
      </c>
      <c r="AF5" s="7">
        <v>0.5</v>
      </c>
      <c r="AG5" s="7"/>
      <c r="AH5" s="56">
        <f>SUM(C5:AG5)</f>
        <v>46</v>
      </c>
      <c r="AJ5" s="2">
        <v>1</v>
      </c>
      <c r="AK5" s="3" t="s">
        <v>4</v>
      </c>
      <c r="AL5" s="16">
        <f>AH5*$E$1</f>
        <v>2137.4137931034484</v>
      </c>
      <c r="AM5" s="16">
        <f>AH18</f>
        <v>2685</v>
      </c>
      <c r="AN5" s="16">
        <f t="shared" ref="AN5:AN7" si="0">AM5-AL5</f>
        <v>547.58620689655163</v>
      </c>
      <c r="AO5" s="16">
        <f t="shared" ref="AO5:AO6" si="1">N31</f>
        <v>1142.1428571428571</v>
      </c>
      <c r="AP5" s="16">
        <f>AO5-AN5</f>
        <v>594.55665024630548</v>
      </c>
      <c r="AQ5" s="16">
        <f>'Meal August''21 &amp; Rent Sept 21'!AU5</f>
        <v>907.30802048778878</v>
      </c>
      <c r="AR5" s="16">
        <f>AP5-AQ5</f>
        <v>-312.7513702414833</v>
      </c>
      <c r="AS5" s="8">
        <v>0</v>
      </c>
      <c r="AT5" s="17"/>
      <c r="AU5" s="16">
        <f>AS5-AR5</f>
        <v>312.7513702414833</v>
      </c>
      <c r="AY5" s="9"/>
    </row>
    <row r="6" spans="1:51" x14ac:dyDescent="0.4">
      <c r="A6" s="2">
        <v>2</v>
      </c>
      <c r="B6" s="3" t="s">
        <v>5</v>
      </c>
      <c r="C6" s="7">
        <v>1</v>
      </c>
      <c r="D6" s="7">
        <v>1.5</v>
      </c>
      <c r="E6" s="7">
        <v>0</v>
      </c>
      <c r="F6" s="7">
        <v>1.5</v>
      </c>
      <c r="G6" s="7">
        <v>1</v>
      </c>
      <c r="H6" s="7">
        <v>1.5</v>
      </c>
      <c r="I6" s="7">
        <v>1.5</v>
      </c>
      <c r="J6" s="7">
        <v>1.5</v>
      </c>
      <c r="K6" s="7">
        <v>0.5</v>
      </c>
      <c r="L6" s="7">
        <v>2.5</v>
      </c>
      <c r="M6" s="7">
        <v>2.5</v>
      </c>
      <c r="N6" s="7">
        <v>2.5</v>
      </c>
      <c r="O6" s="7">
        <v>2.5</v>
      </c>
      <c r="P6" s="7">
        <v>2.5</v>
      </c>
      <c r="Q6" s="7">
        <v>2.5</v>
      </c>
      <c r="R6" s="7">
        <v>0</v>
      </c>
      <c r="S6" s="7">
        <v>0</v>
      </c>
      <c r="T6" s="7">
        <v>2.5</v>
      </c>
      <c r="U6" s="7">
        <v>1</v>
      </c>
      <c r="V6" s="7">
        <v>2.5</v>
      </c>
      <c r="W6" s="7">
        <v>2.5</v>
      </c>
      <c r="X6" s="7">
        <v>2.5</v>
      </c>
      <c r="Y6" s="7">
        <v>2.5</v>
      </c>
      <c r="Z6" s="7">
        <v>3.5</v>
      </c>
      <c r="AA6" s="7">
        <v>4</v>
      </c>
      <c r="AB6" s="7">
        <v>2.5</v>
      </c>
      <c r="AC6" s="7">
        <v>2.5</v>
      </c>
      <c r="AD6" s="7">
        <v>2.5</v>
      </c>
      <c r="AE6" s="7">
        <v>2.5</v>
      </c>
      <c r="AF6" s="7">
        <v>1</v>
      </c>
      <c r="AG6" s="7"/>
      <c r="AH6" s="56">
        <f>SUM(C6:AG6)</f>
        <v>57</v>
      </c>
      <c r="AJ6" s="2">
        <v>2</v>
      </c>
      <c r="AK6" s="3" t="s">
        <v>5</v>
      </c>
      <c r="AL6" s="16">
        <f>AH6*$E$1</f>
        <v>2648.5344827586205</v>
      </c>
      <c r="AM6" s="16">
        <f>AH19</f>
        <v>3730</v>
      </c>
      <c r="AN6" s="16">
        <f t="shared" si="0"/>
        <v>1081.4655172413795</v>
      </c>
      <c r="AO6" s="16">
        <f t="shared" si="1"/>
        <v>4220.7142857142853</v>
      </c>
      <c r="AP6" s="16">
        <f t="shared" ref="AP6:AP7" si="2">AO6-AN6</f>
        <v>3139.2487684729058</v>
      </c>
      <c r="AQ6" s="16">
        <f>'Meal August''21 &amp; Rent Sept 21'!AU6</f>
        <v>0.33258440743384199</v>
      </c>
      <c r="AR6" s="16">
        <f t="shared" ref="AR6:AR7" si="3">AP6-AQ6</f>
        <v>3138.916184065472</v>
      </c>
      <c r="AS6" s="8">
        <f>3000+150</f>
        <v>3150</v>
      </c>
      <c r="AT6" s="17"/>
      <c r="AU6" s="16">
        <f t="shared" ref="AU6:AU7" si="4">AS6-AR6</f>
        <v>11.083815934528047</v>
      </c>
      <c r="AW6">
        <v>3000</v>
      </c>
      <c r="AY6" s="9"/>
    </row>
    <row r="7" spans="1:51" x14ac:dyDescent="0.4">
      <c r="A7" s="2">
        <v>3</v>
      </c>
      <c r="B7" s="3" t="s">
        <v>6</v>
      </c>
      <c r="C7" s="7">
        <v>2.5</v>
      </c>
      <c r="D7" s="7">
        <v>2.5</v>
      </c>
      <c r="E7" s="7">
        <v>2.5</v>
      </c>
      <c r="F7" s="7">
        <v>1.5</v>
      </c>
      <c r="G7" s="7">
        <v>2</v>
      </c>
      <c r="H7" s="7">
        <v>2.5</v>
      </c>
      <c r="I7" s="7">
        <v>2.5</v>
      </c>
      <c r="J7" s="7">
        <v>2.5</v>
      </c>
      <c r="K7" s="7">
        <v>2.5</v>
      </c>
      <c r="L7" s="7">
        <v>2</v>
      </c>
      <c r="M7" s="7">
        <v>2.5</v>
      </c>
      <c r="N7" s="7">
        <v>2.5</v>
      </c>
      <c r="O7" s="7">
        <v>2.5</v>
      </c>
      <c r="P7" s="7">
        <v>2.5</v>
      </c>
      <c r="Q7" s="7">
        <v>3</v>
      </c>
      <c r="R7" s="7">
        <v>2.5</v>
      </c>
      <c r="S7" s="7">
        <v>2.5</v>
      </c>
      <c r="T7" s="7">
        <v>2.5</v>
      </c>
      <c r="U7" s="7">
        <v>1</v>
      </c>
      <c r="V7" s="7">
        <v>2.5</v>
      </c>
      <c r="W7" s="7">
        <v>2.5</v>
      </c>
      <c r="X7" s="7">
        <v>2.5</v>
      </c>
      <c r="Y7" s="7">
        <v>4.5</v>
      </c>
      <c r="Z7" s="7">
        <v>4.5</v>
      </c>
      <c r="AA7" s="7">
        <v>3.5</v>
      </c>
      <c r="AB7" s="7">
        <v>5.5</v>
      </c>
      <c r="AC7" s="7">
        <v>2.5</v>
      </c>
      <c r="AD7" s="7">
        <v>2.5</v>
      </c>
      <c r="AE7" s="7">
        <v>2</v>
      </c>
      <c r="AF7" s="7">
        <v>1.5</v>
      </c>
      <c r="AG7" s="7"/>
      <c r="AH7" s="56">
        <f t="shared" ref="AH7:AH10" si="5">SUM(C7:AG7)</f>
        <v>78.5</v>
      </c>
      <c r="AJ7" s="2">
        <v>3</v>
      </c>
      <c r="AK7" s="1" t="s">
        <v>111</v>
      </c>
      <c r="AL7" s="16">
        <f>AH14*$E$1</f>
        <v>1881.8534482758621</v>
      </c>
      <c r="AM7" s="16">
        <f>AH27</f>
        <v>0</v>
      </c>
      <c r="AN7" s="16">
        <f t="shared" si="0"/>
        <v>-1881.8534482758621</v>
      </c>
      <c r="AO7" s="16">
        <f t="shared" ref="AO7:AO14" si="6">N33</f>
        <v>3078.5714285714289</v>
      </c>
      <c r="AP7" s="16">
        <f t="shared" si="2"/>
        <v>4960.4248768472908</v>
      </c>
      <c r="AQ7" s="1">
        <v>0</v>
      </c>
      <c r="AR7" s="16">
        <f t="shared" si="3"/>
        <v>4960.4248768472908</v>
      </c>
      <c r="AS7" s="8">
        <f>4800+160</f>
        <v>4960</v>
      </c>
      <c r="AT7" s="1"/>
      <c r="AU7" s="16">
        <f t="shared" si="4"/>
        <v>-0.42487684729076136</v>
      </c>
      <c r="AW7">
        <v>4800</v>
      </c>
      <c r="AY7" s="9"/>
    </row>
    <row r="8" spans="1:51" x14ac:dyDescent="0.4">
      <c r="A8" s="2">
        <v>4</v>
      </c>
      <c r="B8" s="3" t="s">
        <v>57</v>
      </c>
      <c r="C8" s="7">
        <v>2.5</v>
      </c>
      <c r="D8" s="7">
        <v>2.5</v>
      </c>
      <c r="E8" s="7">
        <v>2.5</v>
      </c>
      <c r="F8" s="7">
        <v>2.5</v>
      </c>
      <c r="G8" s="7">
        <v>1</v>
      </c>
      <c r="H8" s="7">
        <v>2.5</v>
      </c>
      <c r="I8" s="7">
        <v>2.5</v>
      </c>
      <c r="J8" s="7">
        <v>2.5</v>
      </c>
      <c r="K8" s="7">
        <v>2.5</v>
      </c>
      <c r="L8" s="7">
        <v>2</v>
      </c>
      <c r="M8" s="7">
        <v>2.5</v>
      </c>
      <c r="N8" s="7">
        <v>2.5</v>
      </c>
      <c r="O8" s="7">
        <v>1.5</v>
      </c>
      <c r="P8" s="7">
        <v>0</v>
      </c>
      <c r="Q8" s="7">
        <v>1.5</v>
      </c>
      <c r="R8" s="7">
        <v>1</v>
      </c>
      <c r="S8" s="7">
        <v>1</v>
      </c>
      <c r="T8" s="7">
        <v>2</v>
      </c>
      <c r="U8" s="7">
        <v>0</v>
      </c>
      <c r="V8" s="7">
        <v>1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1.5</v>
      </c>
      <c r="AC8" s="7">
        <v>1.5</v>
      </c>
      <c r="AD8" s="7">
        <v>1.5</v>
      </c>
      <c r="AE8" s="7">
        <v>1.5</v>
      </c>
      <c r="AF8" s="7">
        <v>1.5</v>
      </c>
      <c r="AG8" s="7"/>
      <c r="AH8" s="56">
        <f t="shared" si="5"/>
        <v>56</v>
      </c>
      <c r="AJ8" s="2">
        <v>4</v>
      </c>
      <c r="AK8" s="3" t="s">
        <v>6</v>
      </c>
      <c r="AL8" s="16">
        <f>AH7*$E$1</f>
        <v>3647.5431034482758</v>
      </c>
      <c r="AM8" s="16">
        <f t="shared" ref="AM8:AM14" si="7">AH20</f>
        <v>2325</v>
      </c>
      <c r="AN8" s="16">
        <f t="shared" ref="AN8:AN14" si="8">AM8-AL8</f>
        <v>-1322.5431034482758</v>
      </c>
      <c r="AO8" s="16">
        <f t="shared" si="6"/>
        <v>3220.7142857142862</v>
      </c>
      <c r="AP8" s="16">
        <f t="shared" ref="AP8:AP14" si="9">AO8-AN8</f>
        <v>4543.2573891625616</v>
      </c>
      <c r="AQ8" s="16">
        <f>'Meal August''21 &amp; Rent Sept 21'!AU7</f>
        <v>2.1483330518749426</v>
      </c>
      <c r="AR8" s="16">
        <f t="shared" ref="AR8:AR14" si="10">AP8-AQ8</f>
        <v>4541.1090561106867</v>
      </c>
      <c r="AS8" s="8">
        <v>4200</v>
      </c>
      <c r="AT8" s="17"/>
      <c r="AU8" s="16">
        <f t="shared" ref="AU8:AU14" si="11">AS8-AR8</f>
        <v>-341.10905611068665</v>
      </c>
      <c r="AV8" s="25"/>
      <c r="AW8" s="9">
        <v>4200</v>
      </c>
      <c r="AY8" s="9"/>
    </row>
    <row r="9" spans="1:51" x14ac:dyDescent="0.4">
      <c r="A9" s="2">
        <v>5</v>
      </c>
      <c r="B9" s="12" t="s">
        <v>51</v>
      </c>
      <c r="C9" s="7">
        <v>2</v>
      </c>
      <c r="D9" s="7">
        <v>2</v>
      </c>
      <c r="E9" s="7">
        <v>0</v>
      </c>
      <c r="F9" s="7">
        <v>5</v>
      </c>
      <c r="G9" s="7">
        <v>0</v>
      </c>
      <c r="H9" s="7">
        <v>0</v>
      </c>
      <c r="I9" s="7">
        <v>1</v>
      </c>
      <c r="J9" s="7">
        <v>1</v>
      </c>
      <c r="K9" s="7">
        <v>1</v>
      </c>
      <c r="L9" s="7">
        <v>2.5</v>
      </c>
      <c r="M9" s="7">
        <v>2.5</v>
      </c>
      <c r="N9" s="7">
        <v>1.5</v>
      </c>
      <c r="O9" s="7">
        <v>1</v>
      </c>
      <c r="P9" s="7">
        <v>1</v>
      </c>
      <c r="Q9" s="7">
        <v>1</v>
      </c>
      <c r="R9" s="7">
        <v>3</v>
      </c>
      <c r="S9" s="7">
        <v>4</v>
      </c>
      <c r="T9" s="7">
        <v>2.5</v>
      </c>
      <c r="U9" s="7">
        <v>1</v>
      </c>
      <c r="V9" s="7">
        <v>1</v>
      </c>
      <c r="W9" s="7">
        <v>1</v>
      </c>
      <c r="X9" s="7">
        <v>1</v>
      </c>
      <c r="Y9" s="7">
        <v>1.5</v>
      </c>
      <c r="Z9" s="7">
        <v>2.5</v>
      </c>
      <c r="AA9" s="7">
        <v>2.5</v>
      </c>
      <c r="AB9" s="7">
        <v>1.5</v>
      </c>
      <c r="AC9" s="7">
        <v>1.5</v>
      </c>
      <c r="AD9" s="7">
        <v>1.5</v>
      </c>
      <c r="AE9" s="7">
        <v>1.5</v>
      </c>
      <c r="AF9" s="7">
        <v>0</v>
      </c>
      <c r="AG9" s="7"/>
      <c r="AH9" s="56">
        <f t="shared" si="5"/>
        <v>47.5</v>
      </c>
      <c r="AJ9" s="2">
        <v>5</v>
      </c>
      <c r="AK9" s="3" t="s">
        <v>57</v>
      </c>
      <c r="AL9" s="16">
        <f>AH8*$E$1</f>
        <v>2602.0689655172414</v>
      </c>
      <c r="AM9" s="16">
        <f t="shared" si="7"/>
        <v>2914</v>
      </c>
      <c r="AN9" s="16">
        <f t="shared" si="8"/>
        <v>311.93103448275861</v>
      </c>
      <c r="AO9" s="16">
        <f t="shared" si="6"/>
        <v>3220.7142857142862</v>
      </c>
      <c r="AP9" s="16">
        <f t="shared" si="9"/>
        <v>2908.7832512315276</v>
      </c>
      <c r="AQ9" s="16">
        <f>'Meal August''21 &amp; Rent Sept 21'!AU8</f>
        <v>-36.126078732788301</v>
      </c>
      <c r="AR9" s="16">
        <f t="shared" si="10"/>
        <v>2944.9093299643159</v>
      </c>
      <c r="AS9" s="8">
        <f>2000+500+120</f>
        <v>2620</v>
      </c>
      <c r="AT9" s="17"/>
      <c r="AU9" s="16">
        <f t="shared" si="11"/>
        <v>-324.90932996431593</v>
      </c>
      <c r="AW9" s="9">
        <v>2000</v>
      </c>
    </row>
    <row r="10" spans="1:51" x14ac:dyDescent="0.4">
      <c r="A10" s="2">
        <v>6</v>
      </c>
      <c r="B10" s="3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/>
      <c r="AH10" s="56">
        <f t="shared" si="5"/>
        <v>0</v>
      </c>
      <c r="AJ10" s="2">
        <v>6</v>
      </c>
      <c r="AK10" s="12" t="s">
        <v>51</v>
      </c>
      <c r="AL10" s="16">
        <f>$AH$9*$E$1</f>
        <v>2207.1120689655172</v>
      </c>
      <c r="AM10" s="16">
        <f t="shared" si="7"/>
        <v>3478</v>
      </c>
      <c r="AN10" s="16">
        <f t="shared" si="8"/>
        <v>1270.8879310344828</v>
      </c>
      <c r="AO10" s="16">
        <f t="shared" si="6"/>
        <v>3220.7142857142862</v>
      </c>
      <c r="AP10" s="16">
        <f t="shared" si="9"/>
        <v>1949.8263546798034</v>
      </c>
      <c r="AQ10" s="16">
        <f>'Meal August''21 &amp; Rent Sept 21'!AU9</f>
        <v>1081.5152774422654</v>
      </c>
      <c r="AR10" s="16">
        <f>AP10-AQ10</f>
        <v>868.31107723753803</v>
      </c>
      <c r="AS10" s="8">
        <f>3000+50</f>
        <v>3050</v>
      </c>
      <c r="AT10" s="17"/>
      <c r="AU10" s="16">
        <f t="shared" si="11"/>
        <v>2181.688922762462</v>
      </c>
    </row>
    <row r="11" spans="1:51" x14ac:dyDescent="0.4">
      <c r="A11" s="2">
        <v>7</v>
      </c>
      <c r="B11" s="3" t="s">
        <v>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/>
      <c r="AH11" s="56">
        <f>SUM(C11:AG11)</f>
        <v>0</v>
      </c>
      <c r="AJ11" s="2">
        <v>7</v>
      </c>
      <c r="AK11" s="3" t="s">
        <v>7</v>
      </c>
      <c r="AL11" s="16">
        <f>AH10*$E$1</f>
        <v>0</v>
      </c>
      <c r="AM11" s="16">
        <f t="shared" si="7"/>
        <v>0</v>
      </c>
      <c r="AN11" s="16">
        <f t="shared" si="8"/>
        <v>0</v>
      </c>
      <c r="AO11" s="16">
        <f t="shared" si="6"/>
        <v>0</v>
      </c>
      <c r="AP11" s="16">
        <f t="shared" si="9"/>
        <v>0</v>
      </c>
      <c r="AQ11" s="16">
        <f>'Meal August''21 &amp; Rent Sept 21'!AU10</f>
        <v>-2156.3963758122854</v>
      </c>
      <c r="AR11" s="16">
        <f t="shared" si="10"/>
        <v>2156.3963758122854</v>
      </c>
      <c r="AS11" s="8">
        <v>0</v>
      </c>
      <c r="AT11" s="17"/>
      <c r="AU11" s="16">
        <f t="shared" si="11"/>
        <v>-2156.3963758122854</v>
      </c>
      <c r="AW11">
        <v>0</v>
      </c>
    </row>
    <row r="12" spans="1:51" x14ac:dyDescent="0.4">
      <c r="A12" s="2">
        <v>8</v>
      </c>
      <c r="B12" s="1" t="s">
        <v>110</v>
      </c>
      <c r="C12" s="7">
        <v>1.5</v>
      </c>
      <c r="D12" s="7">
        <v>1.5</v>
      </c>
      <c r="E12" s="7">
        <v>3.5</v>
      </c>
      <c r="F12" s="7">
        <v>5</v>
      </c>
      <c r="G12" s="7">
        <v>1</v>
      </c>
      <c r="H12" s="7">
        <v>1.5</v>
      </c>
      <c r="I12" s="7">
        <v>1.5</v>
      </c>
      <c r="J12" s="7">
        <v>2.5</v>
      </c>
      <c r="K12" s="7">
        <v>1.5</v>
      </c>
      <c r="L12" s="7">
        <v>2.5</v>
      </c>
      <c r="M12" s="7">
        <v>2.5</v>
      </c>
      <c r="N12" s="7">
        <v>2.5</v>
      </c>
      <c r="O12" s="7">
        <v>0.5</v>
      </c>
      <c r="P12" s="7">
        <v>2.5</v>
      </c>
      <c r="Q12" s="7">
        <v>2.5</v>
      </c>
      <c r="R12" s="7">
        <v>2.5</v>
      </c>
      <c r="S12" s="7">
        <v>1</v>
      </c>
      <c r="T12" s="7">
        <v>2</v>
      </c>
      <c r="U12" s="7">
        <v>1</v>
      </c>
      <c r="V12" s="7">
        <v>2.5</v>
      </c>
      <c r="W12" s="7">
        <v>2.5</v>
      </c>
      <c r="X12" s="7">
        <v>2.5</v>
      </c>
      <c r="Y12" s="7">
        <v>3.5</v>
      </c>
      <c r="Z12" s="1">
        <v>5</v>
      </c>
      <c r="AA12" s="1">
        <v>4</v>
      </c>
      <c r="AB12" s="1">
        <v>2</v>
      </c>
      <c r="AC12" s="1">
        <v>4</v>
      </c>
      <c r="AD12" s="1">
        <v>3</v>
      </c>
      <c r="AE12" s="1">
        <v>1.5</v>
      </c>
      <c r="AF12" s="1">
        <v>0.5</v>
      </c>
      <c r="AG12" s="1"/>
      <c r="AH12" s="56">
        <f t="shared" ref="AH12:AH14" si="12">SUM(C12:AG12)</f>
        <v>70</v>
      </c>
      <c r="AJ12" s="2">
        <v>8</v>
      </c>
      <c r="AK12" s="3" t="s">
        <v>8</v>
      </c>
      <c r="AL12" s="16">
        <v>0</v>
      </c>
      <c r="AM12" s="16">
        <f t="shared" si="7"/>
        <v>0</v>
      </c>
      <c r="AN12" s="16">
        <f t="shared" si="8"/>
        <v>0</v>
      </c>
      <c r="AO12" s="16">
        <f t="shared" si="6"/>
        <v>0</v>
      </c>
      <c r="AP12" s="16">
        <f t="shared" si="9"/>
        <v>0</v>
      </c>
      <c r="AQ12" s="16">
        <f>'Meal August''21 &amp; Rent Sept 21'!AU11</f>
        <v>-3008.6115509372958</v>
      </c>
      <c r="AR12" s="16">
        <f t="shared" si="10"/>
        <v>3008.6115509372958</v>
      </c>
      <c r="AS12" s="8">
        <v>0</v>
      </c>
      <c r="AT12" s="17"/>
      <c r="AU12" s="16">
        <f t="shared" si="11"/>
        <v>-3008.6115509372958</v>
      </c>
      <c r="AV12" s="47"/>
      <c r="AW12" s="8">
        <v>0</v>
      </c>
    </row>
    <row r="13" spans="1:51" x14ac:dyDescent="0.4">
      <c r="A13" s="52">
        <v>9</v>
      </c>
      <c r="B13" s="42" t="s">
        <v>105</v>
      </c>
      <c r="C13" s="7">
        <v>1.5</v>
      </c>
      <c r="D13" s="7">
        <v>0</v>
      </c>
      <c r="E13" s="7">
        <v>0</v>
      </c>
      <c r="F13" s="7">
        <v>0</v>
      </c>
      <c r="G13" s="7">
        <v>0</v>
      </c>
      <c r="H13" s="7">
        <v>2</v>
      </c>
      <c r="I13" s="7">
        <v>0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2.5</v>
      </c>
      <c r="AF13" s="8">
        <v>1.5</v>
      </c>
      <c r="AG13" s="8"/>
      <c r="AH13" s="56">
        <f t="shared" si="12"/>
        <v>10.5</v>
      </c>
      <c r="AJ13" s="2">
        <v>9</v>
      </c>
      <c r="AK13" s="12" t="s">
        <v>104</v>
      </c>
      <c r="AL13" s="16">
        <f>AH12*E1</f>
        <v>3252.5862068965516</v>
      </c>
      <c r="AM13" s="16">
        <f t="shared" si="7"/>
        <v>2533</v>
      </c>
      <c r="AN13" s="16">
        <f t="shared" si="8"/>
        <v>-719.58620689655163</v>
      </c>
      <c r="AO13" s="16">
        <f t="shared" si="6"/>
        <v>3970.7142857142862</v>
      </c>
      <c r="AP13" s="16">
        <f t="shared" si="9"/>
        <v>4690.3004926108379</v>
      </c>
      <c r="AQ13" s="16">
        <f>'Meal August''21 &amp; Rent Sept 21'!AU12</f>
        <v>1.6959787200758001</v>
      </c>
      <c r="AR13" s="16">
        <f t="shared" si="10"/>
        <v>4688.6045138907621</v>
      </c>
      <c r="AS13" s="8">
        <v>4400</v>
      </c>
      <c r="AT13" s="17"/>
      <c r="AU13" s="8">
        <f t="shared" si="11"/>
        <v>-288.60451389076206</v>
      </c>
      <c r="AV13" s="9"/>
      <c r="AW13" s="16">
        <v>4400</v>
      </c>
    </row>
    <row r="14" spans="1:51" x14ac:dyDescent="0.4">
      <c r="A14" s="52">
        <v>10</v>
      </c>
      <c r="B14" s="42" t="s">
        <v>111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7</v>
      </c>
      <c r="I14" s="7">
        <v>1</v>
      </c>
      <c r="J14" s="7">
        <v>1</v>
      </c>
      <c r="K14" s="7">
        <v>1</v>
      </c>
      <c r="L14" s="7">
        <v>0</v>
      </c>
      <c r="M14" s="7">
        <v>1</v>
      </c>
      <c r="N14" s="7">
        <v>1.5</v>
      </c>
      <c r="O14" s="7">
        <v>1.5</v>
      </c>
      <c r="P14" s="7">
        <v>1</v>
      </c>
      <c r="Q14" s="7">
        <v>1.5</v>
      </c>
      <c r="R14" s="7">
        <v>2.5</v>
      </c>
      <c r="S14" s="7">
        <v>1.5</v>
      </c>
      <c r="T14" s="7">
        <v>1</v>
      </c>
      <c r="U14" s="7">
        <v>1</v>
      </c>
      <c r="V14" s="7">
        <v>1</v>
      </c>
      <c r="W14" s="7">
        <v>1</v>
      </c>
      <c r="X14" s="7">
        <v>2</v>
      </c>
      <c r="Y14" s="7">
        <v>2.5</v>
      </c>
      <c r="Z14" s="7">
        <v>2.5</v>
      </c>
      <c r="AA14" s="7">
        <v>2.5</v>
      </c>
      <c r="AB14" s="7">
        <v>1.5</v>
      </c>
      <c r="AC14" s="7">
        <v>1</v>
      </c>
      <c r="AD14" s="7">
        <v>1</v>
      </c>
      <c r="AE14" s="7">
        <v>1.5</v>
      </c>
      <c r="AF14" s="7">
        <v>0.5</v>
      </c>
      <c r="AG14" s="8"/>
      <c r="AH14" s="56">
        <f t="shared" si="12"/>
        <v>40.5</v>
      </c>
      <c r="AJ14" s="2">
        <v>10</v>
      </c>
      <c r="AK14" s="12" t="s">
        <v>105</v>
      </c>
      <c r="AL14" s="16">
        <f>AH13*E1</f>
        <v>487.88793103448273</v>
      </c>
      <c r="AM14" s="16">
        <f t="shared" si="7"/>
        <v>1200</v>
      </c>
      <c r="AN14" s="16">
        <f t="shared" si="8"/>
        <v>712.11206896551721</v>
      </c>
      <c r="AO14" s="16">
        <f t="shared" si="6"/>
        <v>3970.7142857142862</v>
      </c>
      <c r="AP14" s="16">
        <f t="shared" si="9"/>
        <v>3258.602216748769</v>
      </c>
      <c r="AQ14" s="16">
        <f>'Meal August''21 &amp; Rent Sept 21'!AU13</f>
        <v>0.24581442653789054</v>
      </c>
      <c r="AR14" s="16">
        <f t="shared" si="10"/>
        <v>3258.3564023222311</v>
      </c>
      <c r="AS14" s="16">
        <v>3500</v>
      </c>
      <c r="AT14" s="17"/>
      <c r="AU14" s="16">
        <f t="shared" si="11"/>
        <v>241.64359767776887</v>
      </c>
      <c r="AV14" s="9"/>
      <c r="AW14" s="39">
        <v>3500</v>
      </c>
    </row>
    <row r="15" spans="1:51" x14ac:dyDescent="0.4">
      <c r="A15" s="36"/>
      <c r="B15" s="36"/>
      <c r="C15" s="55">
        <f>SUM(C5:C14)</f>
        <v>13</v>
      </c>
      <c r="D15" s="55">
        <f t="shared" ref="D15:AG15" si="13">SUM(D5:D14)</f>
        <v>11</v>
      </c>
      <c r="E15" s="55">
        <f t="shared" si="13"/>
        <v>8.5</v>
      </c>
      <c r="F15" s="55">
        <f t="shared" si="13"/>
        <v>16.5</v>
      </c>
      <c r="G15" s="55">
        <f t="shared" si="13"/>
        <v>7</v>
      </c>
      <c r="H15" s="55">
        <f t="shared" si="13"/>
        <v>19</v>
      </c>
      <c r="I15" s="55">
        <f t="shared" si="13"/>
        <v>12</v>
      </c>
      <c r="J15" s="55">
        <f t="shared" si="13"/>
        <v>15</v>
      </c>
      <c r="K15" s="55">
        <f t="shared" si="13"/>
        <v>10</v>
      </c>
      <c r="L15" s="55">
        <f t="shared" si="13"/>
        <v>13.5</v>
      </c>
      <c r="M15" s="55">
        <f t="shared" si="13"/>
        <v>14.5</v>
      </c>
      <c r="N15" s="55">
        <f t="shared" si="13"/>
        <v>15.5</v>
      </c>
      <c r="O15" s="55">
        <f t="shared" si="13"/>
        <v>11.5</v>
      </c>
      <c r="P15" s="55">
        <f t="shared" si="13"/>
        <v>11.5</v>
      </c>
      <c r="Q15" s="55">
        <f t="shared" si="13"/>
        <v>14</v>
      </c>
      <c r="R15" s="55">
        <f t="shared" si="13"/>
        <v>13.5</v>
      </c>
      <c r="S15" s="55">
        <f t="shared" si="13"/>
        <v>11</v>
      </c>
      <c r="T15" s="55">
        <f t="shared" si="13"/>
        <v>14.5</v>
      </c>
      <c r="U15" s="55">
        <f t="shared" si="13"/>
        <v>6</v>
      </c>
      <c r="V15" s="55">
        <f t="shared" si="13"/>
        <v>11.5</v>
      </c>
      <c r="W15" s="55">
        <f t="shared" si="13"/>
        <v>13</v>
      </c>
      <c r="X15" s="55">
        <f t="shared" si="13"/>
        <v>15</v>
      </c>
      <c r="Y15" s="55">
        <f t="shared" si="13"/>
        <v>18</v>
      </c>
      <c r="Z15" s="55">
        <f t="shared" si="13"/>
        <v>22.5</v>
      </c>
      <c r="AA15" s="55">
        <f t="shared" si="13"/>
        <v>21</v>
      </c>
      <c r="AB15" s="55">
        <f t="shared" si="13"/>
        <v>16.5</v>
      </c>
      <c r="AC15" s="55">
        <f t="shared" si="13"/>
        <v>14</v>
      </c>
      <c r="AD15" s="55">
        <f t="shared" si="13"/>
        <v>15</v>
      </c>
      <c r="AE15" s="55">
        <f t="shared" si="13"/>
        <v>15</v>
      </c>
      <c r="AF15" s="55">
        <f t="shared" si="13"/>
        <v>7</v>
      </c>
      <c r="AG15" s="55">
        <f t="shared" si="13"/>
        <v>0</v>
      </c>
      <c r="AH15" s="55">
        <f>SUM(AH5:AH14)</f>
        <v>406</v>
      </c>
      <c r="AJ15" s="57"/>
      <c r="AK15" s="58"/>
      <c r="AL15" s="16"/>
      <c r="AM15" s="16"/>
      <c r="AN15" s="16"/>
      <c r="AO15" s="16"/>
      <c r="AP15" s="16"/>
      <c r="AQ15" s="16"/>
      <c r="AR15" s="16"/>
      <c r="AS15" s="16"/>
      <c r="AT15" s="17"/>
      <c r="AU15" s="16"/>
      <c r="AV15" s="9"/>
      <c r="AW15" s="44">
        <f>SUM(AW5:AW14)</f>
        <v>21900</v>
      </c>
    </row>
    <row r="16" spans="1:51" x14ac:dyDescent="0.4">
      <c r="A16" s="36"/>
      <c r="B16" s="3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7"/>
      <c r="AF16" s="37"/>
      <c r="AG16" s="37"/>
      <c r="AH16" s="37"/>
      <c r="AL16" s="51">
        <f>SUM(AL5:AL14)</f>
        <v>18864.999999999996</v>
      </c>
      <c r="AM16" s="51">
        <f t="shared" ref="AM16:AQ16" si="14">SUM(AM5:AM14)</f>
        <v>18865</v>
      </c>
      <c r="AN16" s="51">
        <f>SUM(AN5:AN14)</f>
        <v>0</v>
      </c>
      <c r="AO16" s="51">
        <f t="shared" si="14"/>
        <v>26045</v>
      </c>
      <c r="AP16" s="51">
        <f t="shared" si="14"/>
        <v>26045</v>
      </c>
      <c r="AQ16" s="51">
        <f t="shared" si="14"/>
        <v>-3207.8879969463928</v>
      </c>
      <c r="AR16" s="51">
        <f>AP16-AQ16+$AW$4</f>
        <v>29252.887996946392</v>
      </c>
      <c r="AS16" s="51">
        <f>SUM(AS5:AS14)</f>
        <v>25880</v>
      </c>
      <c r="AT16" s="51"/>
      <c r="AU16" s="51">
        <f>SUM(AU5:AU14)</f>
        <v>-3372.8879969463947</v>
      </c>
      <c r="AV16" s="9"/>
      <c r="AW16" s="9"/>
      <c r="AX16" s="44" t="s">
        <v>88</v>
      </c>
      <c r="AY16" s="9"/>
    </row>
    <row r="17" spans="1:63" x14ac:dyDescent="0.4">
      <c r="B17" s="10" t="s">
        <v>113</v>
      </c>
      <c r="AL17" s="38"/>
      <c r="AM17" s="39"/>
      <c r="AN17" s="39"/>
      <c r="AO17" s="39"/>
      <c r="AP17" s="39"/>
      <c r="AQ17" s="39"/>
      <c r="AR17" s="38"/>
      <c r="AS17" s="39"/>
      <c r="AT17" s="39"/>
      <c r="AU17" s="39"/>
      <c r="AV17" s="9"/>
      <c r="AX17" s="1" t="s">
        <v>89</v>
      </c>
      <c r="AY17" s="1" t="s">
        <v>95</v>
      </c>
    </row>
    <row r="18" spans="1:63" x14ac:dyDescent="0.4">
      <c r="A18" s="2">
        <v>1</v>
      </c>
      <c r="B18" s="3" t="s">
        <v>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1670</v>
      </c>
      <c r="X18" s="8">
        <v>1015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>SUM(C18:AG18)</f>
        <v>2685</v>
      </c>
      <c r="AL18" s="25"/>
      <c r="AR18" s="9"/>
      <c r="AT18" s="1"/>
      <c r="AU18" s="8"/>
      <c r="AX18" s="1" t="s">
        <v>107</v>
      </c>
      <c r="AY18" s="16">
        <f>O48</f>
        <v>22375.000000000004</v>
      </c>
      <c r="BI18" s="1" t="s">
        <v>96</v>
      </c>
      <c r="BJ18" s="1"/>
      <c r="BK18" s="1"/>
    </row>
    <row r="19" spans="1:63" x14ac:dyDescent="0.4">
      <c r="A19" s="2">
        <v>2</v>
      </c>
      <c r="B19" s="3" t="s">
        <v>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2190</v>
      </c>
      <c r="R19" s="8">
        <v>0</v>
      </c>
      <c r="S19" s="8">
        <v>790</v>
      </c>
      <c r="T19" s="8">
        <v>390</v>
      </c>
      <c r="U19" s="8">
        <v>0</v>
      </c>
      <c r="V19" s="8">
        <v>360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ref="AH19:AH27" si="15">SUM(C19:AG19)</f>
        <v>3730</v>
      </c>
      <c r="AR19" s="25"/>
      <c r="AT19" s="42"/>
      <c r="AU19" s="8"/>
      <c r="AV19" s="25"/>
      <c r="AX19" s="1" t="s">
        <v>91</v>
      </c>
      <c r="AY19" s="16">
        <f>-AQ16</f>
        <v>3207.8879969463928</v>
      </c>
      <c r="BI19" s="1" t="s">
        <v>97</v>
      </c>
      <c r="BJ19" s="1">
        <v>4000</v>
      </c>
      <c r="BK19" s="1"/>
    </row>
    <row r="20" spans="1:63" x14ac:dyDescent="0.4">
      <c r="A20" s="2">
        <v>3</v>
      </c>
      <c r="B20" s="3" t="s">
        <v>6</v>
      </c>
      <c r="C20" s="8">
        <v>805</v>
      </c>
      <c r="D20" s="8">
        <v>350</v>
      </c>
      <c r="E20" s="8">
        <v>385</v>
      </c>
      <c r="F20" s="8">
        <v>390</v>
      </c>
      <c r="G20" s="8">
        <v>0</v>
      </c>
      <c r="H20" s="8">
        <v>0</v>
      </c>
      <c r="I20" s="8">
        <v>150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245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5"/>
        <v>2325</v>
      </c>
      <c r="AV20" s="25"/>
      <c r="AX20" s="1"/>
      <c r="AY20" s="16">
        <f>SUM(AY18:AY19)</f>
        <v>25582.887996946396</v>
      </c>
      <c r="BI20" s="1" t="s">
        <v>36</v>
      </c>
      <c r="BJ20" s="1">
        <f>BJ19/6</f>
        <v>666.66666666666663</v>
      </c>
      <c r="BK20" s="1">
        <f>BJ20*5</f>
        <v>3333.333333333333</v>
      </c>
    </row>
    <row r="21" spans="1:63" x14ac:dyDescent="0.4">
      <c r="A21" s="2">
        <v>4</v>
      </c>
      <c r="B21" s="3" t="s">
        <v>57</v>
      </c>
      <c r="C21" s="8">
        <v>0</v>
      </c>
      <c r="D21" s="8">
        <v>0</v>
      </c>
      <c r="E21" s="8">
        <v>0</v>
      </c>
      <c r="F21" s="8">
        <v>0</v>
      </c>
      <c r="G21" s="8">
        <v>1454</v>
      </c>
      <c r="H21" s="8">
        <v>890</v>
      </c>
      <c r="I21" s="8">
        <v>0</v>
      </c>
      <c r="J21" s="8">
        <v>380</v>
      </c>
      <c r="K21" s="8">
        <v>190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5"/>
        <v>2914</v>
      </c>
      <c r="AR21" s="25"/>
      <c r="AT21" s="15"/>
      <c r="AU21" s="8"/>
      <c r="BA21" s="9">
        <v>4547</v>
      </c>
      <c r="BI21" s="1" t="s">
        <v>37</v>
      </c>
      <c r="BJ21" s="1"/>
      <c r="BK21" s="1"/>
    </row>
    <row r="22" spans="1:63" x14ac:dyDescent="0.4">
      <c r="A22" s="2">
        <v>5</v>
      </c>
      <c r="B22" s="12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2165</v>
      </c>
      <c r="M22" s="8">
        <v>880</v>
      </c>
      <c r="N22" s="8">
        <v>0</v>
      </c>
      <c r="O22" s="8">
        <v>393</v>
      </c>
      <c r="P22" s="8">
        <v>40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f t="shared" si="15"/>
        <v>3478</v>
      </c>
      <c r="AR22" s="25"/>
      <c r="AX22" s="1" t="s">
        <v>92</v>
      </c>
      <c r="AY22" s="1"/>
      <c r="BA22" s="9">
        <f>AY18+BA21</f>
        <v>26922.000000000004</v>
      </c>
      <c r="BI22" s="1" t="s">
        <v>98</v>
      </c>
      <c r="BJ22" s="1">
        <f>$BJ$20</f>
        <v>666.66666666666663</v>
      </c>
      <c r="BK22" s="1"/>
    </row>
    <row r="23" spans="1:63" x14ac:dyDescent="0.4">
      <c r="A23" s="2">
        <v>6</v>
      </c>
      <c r="B23" s="3" t="s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f t="shared" si="15"/>
        <v>0</v>
      </c>
      <c r="AV23" s="25"/>
      <c r="AX23" s="1" t="s">
        <v>93</v>
      </c>
      <c r="AY23" s="16">
        <f>-AU16</f>
        <v>3372.8879969463947</v>
      </c>
      <c r="BI23" s="1" t="s">
        <v>49</v>
      </c>
      <c r="BJ23" s="1">
        <f>$BJ$20</f>
        <v>666.66666666666663</v>
      </c>
      <c r="BK23" s="1"/>
    </row>
    <row r="24" spans="1:63" x14ac:dyDescent="0.4">
      <c r="A24" s="2">
        <v>7</v>
      </c>
      <c r="B24" s="3" t="s">
        <v>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f t="shared" si="15"/>
        <v>0</v>
      </c>
      <c r="AX24" s="1" t="s">
        <v>94</v>
      </c>
      <c r="AY24" s="1">
        <v>2000</v>
      </c>
      <c r="BI24" s="1" t="s">
        <v>38</v>
      </c>
      <c r="BJ24" s="1">
        <f>$BJ$20</f>
        <v>666.66666666666663</v>
      </c>
      <c r="BK24" s="1"/>
    </row>
    <row r="25" spans="1:63" x14ac:dyDescent="0.4">
      <c r="A25" s="52">
        <v>8</v>
      </c>
      <c r="B25" s="1" t="s">
        <v>110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2233</v>
      </c>
      <c r="AB25" s="8">
        <v>300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f t="shared" si="15"/>
        <v>2533</v>
      </c>
      <c r="AX25" s="1"/>
      <c r="AY25" s="16">
        <f>SUM(AY23:AY24)</f>
        <v>5372.8879969463942</v>
      </c>
      <c r="BI25" s="1" t="s">
        <v>99</v>
      </c>
      <c r="BJ25" s="1">
        <f>$BJ$20</f>
        <v>666.66666666666663</v>
      </c>
      <c r="BK25" s="1"/>
    </row>
    <row r="26" spans="1:63" x14ac:dyDescent="0.4">
      <c r="A26" s="52">
        <v>9</v>
      </c>
      <c r="B26" s="42" t="s">
        <v>105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350</v>
      </c>
      <c r="AE26" s="8">
        <v>510</v>
      </c>
      <c r="AF26" s="8">
        <v>340</v>
      </c>
      <c r="AG26" s="8">
        <v>0</v>
      </c>
      <c r="AH26" s="8">
        <f t="shared" si="15"/>
        <v>1200</v>
      </c>
      <c r="BI26" s="1" t="s">
        <v>40</v>
      </c>
      <c r="BJ26" s="1">
        <f>$BJ$20</f>
        <v>666.66666666666663</v>
      </c>
      <c r="BK26" s="1"/>
    </row>
    <row r="27" spans="1:63" x14ac:dyDescent="0.4">
      <c r="A27" s="52">
        <v>10</v>
      </c>
      <c r="B27" s="42" t="s">
        <v>111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f t="shared" si="15"/>
        <v>0</v>
      </c>
      <c r="BI27" s="1"/>
      <c r="BJ27" s="1"/>
      <c r="BK27" s="1"/>
    </row>
    <row r="28" spans="1:63" x14ac:dyDescent="0.4">
      <c r="AH28" s="51">
        <f>SUM(AH18:AH27)</f>
        <v>18865</v>
      </c>
      <c r="AX28" t="s">
        <v>100</v>
      </c>
      <c r="BI28" s="1"/>
      <c r="BJ28" s="1">
        <f>SUM(BJ22:BJ26)</f>
        <v>3333.333333333333</v>
      </c>
      <c r="BK28" s="1"/>
    </row>
    <row r="29" spans="1:63" x14ac:dyDescent="0.4">
      <c r="AX29" t="s">
        <v>90</v>
      </c>
      <c r="AY29" s="47">
        <v>23773</v>
      </c>
    </row>
    <row r="30" spans="1:63" x14ac:dyDescent="0.4">
      <c r="A30" s="4"/>
      <c r="B30" s="13" t="s">
        <v>87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  <c r="AX30" t="s">
        <v>91</v>
      </c>
      <c r="AY30" s="47">
        <v>10374</v>
      </c>
    </row>
    <row r="31" spans="1:63" x14ac:dyDescent="0.4">
      <c r="A31" s="2">
        <v>1</v>
      </c>
      <c r="B31" s="12" t="s">
        <v>4</v>
      </c>
      <c r="C31" s="8">
        <v>0</v>
      </c>
      <c r="D31" s="8">
        <f>$D$41/7</f>
        <v>428.57142857142856</v>
      </c>
      <c r="E31" s="8">
        <f>$E$41/7</f>
        <v>0</v>
      </c>
      <c r="F31" s="8">
        <f>$F$41/7</f>
        <v>71.428571428571431</v>
      </c>
      <c r="G31" s="8">
        <f>$G$41/7</f>
        <v>139.28571428571428</v>
      </c>
      <c r="H31" s="8">
        <f>$H$41/7</f>
        <v>235.71428571428572</v>
      </c>
      <c r="I31" s="8">
        <f>$I$41/7</f>
        <v>214.28571428571428</v>
      </c>
      <c r="J31" s="8">
        <f>$J$41/7</f>
        <v>35.714285714285715</v>
      </c>
      <c r="K31" s="8">
        <f>$K$41/6</f>
        <v>0</v>
      </c>
      <c r="L31" s="8">
        <f>$L$41/7</f>
        <v>17.142857142857142</v>
      </c>
      <c r="M31" s="8">
        <v>0</v>
      </c>
      <c r="N31" s="8">
        <f>SUM(C31:M31)</f>
        <v>1142.1428571428571</v>
      </c>
      <c r="AY31" s="47">
        <f>SUM(AY29:AY30)</f>
        <v>34147</v>
      </c>
    </row>
    <row r="32" spans="1:63" x14ac:dyDescent="0.4">
      <c r="A32" s="2">
        <v>2</v>
      </c>
      <c r="B32" s="12" t="s">
        <v>5</v>
      </c>
      <c r="C32" s="8">
        <f>H44</f>
        <v>3071.4285714285716</v>
      </c>
      <c r="D32" s="8">
        <f>$D$41/7</f>
        <v>428.57142857142856</v>
      </c>
      <c r="E32" s="8">
        <f>$E$41/7</f>
        <v>0</v>
      </c>
      <c r="F32" s="8">
        <f>$F$41/7</f>
        <v>71.428571428571431</v>
      </c>
      <c r="G32" s="8">
        <f>$G$41/7</f>
        <v>139.28571428571428</v>
      </c>
      <c r="H32" s="8">
        <f>$H$41/7</f>
        <v>235.71428571428572</v>
      </c>
      <c r="I32" s="8">
        <f>$I$41/7</f>
        <v>214.28571428571428</v>
      </c>
      <c r="J32" s="8">
        <f>$J$41/7</f>
        <v>35.714285714285715</v>
      </c>
      <c r="K32" s="8">
        <f>$K$41/6</f>
        <v>0</v>
      </c>
      <c r="L32" s="8">
        <f>$L$41/7</f>
        <v>17.142857142857142</v>
      </c>
      <c r="M32" s="8">
        <f>$M$41/7</f>
        <v>7.1428571428571432</v>
      </c>
      <c r="N32" s="8">
        <f t="shared" ref="N32:N38" si="16">SUM(C32:M32)</f>
        <v>4220.7142857142853</v>
      </c>
      <c r="AX32" t="s">
        <v>101</v>
      </c>
      <c r="AY32" s="47">
        <v>29600</v>
      </c>
    </row>
    <row r="33" spans="1:51" x14ac:dyDescent="0.4">
      <c r="A33" s="2">
        <v>3</v>
      </c>
      <c r="B33" s="12" t="s">
        <v>111</v>
      </c>
      <c r="C33" s="8">
        <f>H44</f>
        <v>3071.4285714285716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f>$M$41/7</f>
        <v>7.1428571428571432</v>
      </c>
      <c r="N33" s="8">
        <f t="shared" si="16"/>
        <v>3078.5714285714289</v>
      </c>
      <c r="AY33" s="47"/>
    </row>
    <row r="34" spans="1:51" x14ac:dyDescent="0.4">
      <c r="A34" s="2">
        <v>4</v>
      </c>
      <c r="B34" s="12" t="s">
        <v>6</v>
      </c>
      <c r="C34" s="8">
        <f>H45</f>
        <v>2071.4285714285716</v>
      </c>
      <c r="D34" s="8">
        <f>$D$41/7</f>
        <v>428.57142857142856</v>
      </c>
      <c r="E34" s="8">
        <f>$E$41/7</f>
        <v>0</v>
      </c>
      <c r="F34" s="8">
        <f>$F$41/7</f>
        <v>71.428571428571431</v>
      </c>
      <c r="G34" s="8">
        <f>$G$41/7</f>
        <v>139.28571428571428</v>
      </c>
      <c r="H34" s="8">
        <f>$H$41/7</f>
        <v>235.71428571428572</v>
      </c>
      <c r="I34" s="8">
        <f>$I$41/7</f>
        <v>214.28571428571428</v>
      </c>
      <c r="J34" s="8">
        <f>$J$41/7</f>
        <v>35.714285714285715</v>
      </c>
      <c r="K34" s="8">
        <f>$K$41/6</f>
        <v>0</v>
      </c>
      <c r="L34" s="8">
        <f>$L$41/7</f>
        <v>17.142857142857142</v>
      </c>
      <c r="M34" s="8">
        <f>$M$41/7</f>
        <v>7.1428571428571432</v>
      </c>
      <c r="N34" s="8">
        <f t="shared" si="16"/>
        <v>3220.7142857142862</v>
      </c>
      <c r="AX34" t="s">
        <v>102</v>
      </c>
      <c r="AY34" s="48">
        <f>AY31-AY32</f>
        <v>4547</v>
      </c>
    </row>
    <row r="35" spans="1:51" x14ac:dyDescent="0.4">
      <c r="A35" s="2">
        <v>5</v>
      </c>
      <c r="B35" s="12" t="s">
        <v>57</v>
      </c>
      <c r="C35" s="8">
        <f>H45</f>
        <v>2071.4285714285716</v>
      </c>
      <c r="D35" s="8">
        <f>$D$41/7</f>
        <v>428.57142857142856</v>
      </c>
      <c r="E35" s="8">
        <f>$E$41/7</f>
        <v>0</v>
      </c>
      <c r="F35" s="8">
        <f>$F$41/7</f>
        <v>71.428571428571431</v>
      </c>
      <c r="G35" s="8">
        <f>$G$41/7</f>
        <v>139.28571428571428</v>
      </c>
      <c r="H35" s="8">
        <f>$H$41/7</f>
        <v>235.71428571428572</v>
      </c>
      <c r="I35" s="8">
        <f>$I$41/7</f>
        <v>214.28571428571428</v>
      </c>
      <c r="J35" s="8">
        <f>$J$41/7</f>
        <v>35.714285714285715</v>
      </c>
      <c r="K35" s="8"/>
      <c r="L35" s="8">
        <f>$L$41/7</f>
        <v>17.142857142857142</v>
      </c>
      <c r="M35" s="8">
        <f>$M$41/7</f>
        <v>7.1428571428571432</v>
      </c>
      <c r="N35" s="8">
        <f t="shared" si="16"/>
        <v>3220.7142857142862</v>
      </c>
      <c r="AY35" s="47"/>
    </row>
    <row r="36" spans="1:51" x14ac:dyDescent="0.4">
      <c r="A36" s="2">
        <v>6</v>
      </c>
      <c r="B36" s="12" t="s">
        <v>51</v>
      </c>
      <c r="C36" s="8">
        <f>H45</f>
        <v>2071.4285714285716</v>
      </c>
      <c r="D36" s="8">
        <f>$D$41/7</f>
        <v>428.57142857142856</v>
      </c>
      <c r="E36" s="8">
        <f>$E$41/7</f>
        <v>0</v>
      </c>
      <c r="F36" s="8">
        <f>$F$41/7</f>
        <v>71.428571428571431</v>
      </c>
      <c r="G36" s="8">
        <f>$G$41/7</f>
        <v>139.28571428571428</v>
      </c>
      <c r="H36" s="8">
        <f>$H$41/7</f>
        <v>235.71428571428572</v>
      </c>
      <c r="I36" s="8">
        <f>$I$41/7</f>
        <v>214.28571428571428</v>
      </c>
      <c r="J36" s="8">
        <f>$J$41/7</f>
        <v>35.714285714285715</v>
      </c>
      <c r="K36" s="8">
        <f>$K$41/6</f>
        <v>0</v>
      </c>
      <c r="L36" s="8">
        <f>$L$41/7</f>
        <v>17.142857142857142</v>
      </c>
      <c r="M36" s="8">
        <f>$M$41/7</f>
        <v>7.1428571428571432</v>
      </c>
      <c r="N36" s="8">
        <f t="shared" si="16"/>
        <v>3220.7142857142862</v>
      </c>
      <c r="AY36" s="47"/>
    </row>
    <row r="37" spans="1:51" x14ac:dyDescent="0.4">
      <c r="A37" s="2">
        <v>7</v>
      </c>
      <c r="B37" s="12" t="s">
        <v>7</v>
      </c>
      <c r="C37" s="8">
        <v>0</v>
      </c>
      <c r="D37" s="6">
        <v>0</v>
      </c>
      <c r="E37" s="8">
        <f>$E$41/7</f>
        <v>0</v>
      </c>
      <c r="F37" s="8">
        <f>$E$41/7</f>
        <v>0</v>
      </c>
      <c r="G37" s="8">
        <f t="shared" ref="G37:M38" si="17">$E$41/7</f>
        <v>0</v>
      </c>
      <c r="H37" s="8">
        <f t="shared" si="17"/>
        <v>0</v>
      </c>
      <c r="I37" s="8">
        <f t="shared" si="17"/>
        <v>0</v>
      </c>
      <c r="J37" s="8">
        <f t="shared" si="17"/>
        <v>0</v>
      </c>
      <c r="K37" s="8">
        <f t="shared" si="17"/>
        <v>0</v>
      </c>
      <c r="L37" s="8">
        <f t="shared" si="17"/>
        <v>0</v>
      </c>
      <c r="M37" s="8">
        <f t="shared" si="17"/>
        <v>0</v>
      </c>
      <c r="N37" s="8">
        <f t="shared" si="16"/>
        <v>0</v>
      </c>
      <c r="AY37" s="47"/>
    </row>
    <row r="38" spans="1:51" x14ac:dyDescent="0.4">
      <c r="A38" s="2">
        <v>8</v>
      </c>
      <c r="B38" s="12" t="s">
        <v>8</v>
      </c>
      <c r="C38" s="8">
        <v>0</v>
      </c>
      <c r="D38" s="6">
        <v>0</v>
      </c>
      <c r="E38" s="8">
        <f>$E$41/7</f>
        <v>0</v>
      </c>
      <c r="F38" s="8">
        <f>$E$41/7</f>
        <v>0</v>
      </c>
      <c r="G38" s="8">
        <f t="shared" si="17"/>
        <v>0</v>
      </c>
      <c r="H38" s="8">
        <f t="shared" si="17"/>
        <v>0</v>
      </c>
      <c r="I38" s="8">
        <f t="shared" si="17"/>
        <v>0</v>
      </c>
      <c r="J38" s="8">
        <f t="shared" si="17"/>
        <v>0</v>
      </c>
      <c r="K38" s="8">
        <f t="shared" si="17"/>
        <v>0</v>
      </c>
      <c r="L38" s="8">
        <f t="shared" si="17"/>
        <v>0</v>
      </c>
      <c r="M38" s="8">
        <f t="shared" si="17"/>
        <v>0</v>
      </c>
      <c r="N38" s="8">
        <f t="shared" si="16"/>
        <v>0</v>
      </c>
      <c r="AX38" t="s">
        <v>103</v>
      </c>
      <c r="AY38" s="47">
        <f>AY32-21100</f>
        <v>8500</v>
      </c>
    </row>
    <row r="39" spans="1:51" x14ac:dyDescent="0.4">
      <c r="A39" s="2">
        <v>9</v>
      </c>
      <c r="B39" s="12" t="s">
        <v>104</v>
      </c>
      <c r="C39" s="8">
        <f>H46</f>
        <v>2821.4285714285716</v>
      </c>
      <c r="D39" s="8">
        <f>$D$41/7</f>
        <v>428.57142857142856</v>
      </c>
      <c r="E39" s="8">
        <v>0</v>
      </c>
      <c r="F39" s="8">
        <f>$F$41/7</f>
        <v>71.428571428571431</v>
      </c>
      <c r="G39" s="8">
        <f>$G$41/7</f>
        <v>139.28571428571428</v>
      </c>
      <c r="H39" s="8">
        <f>$H$41/7</f>
        <v>235.71428571428572</v>
      </c>
      <c r="I39" s="8">
        <f>$I$41/7</f>
        <v>214.28571428571428</v>
      </c>
      <c r="J39" s="8">
        <f>$J$41/7</f>
        <v>35.714285714285715</v>
      </c>
      <c r="K39" s="8">
        <f>$K$41/6</f>
        <v>0</v>
      </c>
      <c r="L39" s="8">
        <f>$L$41/7</f>
        <v>17.142857142857142</v>
      </c>
      <c r="M39" s="8">
        <f>$M$41/7</f>
        <v>7.1428571428571432</v>
      </c>
      <c r="N39" s="8">
        <f>SUM(C39:M39)</f>
        <v>3970.7142857142862</v>
      </c>
    </row>
    <row r="40" spans="1:51" x14ac:dyDescent="0.4">
      <c r="A40" s="2">
        <v>10</v>
      </c>
      <c r="B40" s="12" t="s">
        <v>105</v>
      </c>
      <c r="C40" s="8">
        <f>H46</f>
        <v>2821.4285714285716</v>
      </c>
      <c r="D40" s="8">
        <f>$D$41/7</f>
        <v>428.57142857142856</v>
      </c>
      <c r="E40" s="8">
        <v>0</v>
      </c>
      <c r="F40" s="8">
        <f>$F$41/7</f>
        <v>71.428571428571431</v>
      </c>
      <c r="G40" s="8">
        <f>$G$41/7</f>
        <v>139.28571428571428</v>
      </c>
      <c r="H40" s="8">
        <f>$H$41/7</f>
        <v>235.71428571428572</v>
      </c>
      <c r="I40" s="8">
        <f>$I$41/7</f>
        <v>214.28571428571428</v>
      </c>
      <c r="J40" s="8">
        <f>$J$41/7</f>
        <v>35.714285714285715</v>
      </c>
      <c r="K40" s="8">
        <f>$K$41/6</f>
        <v>0</v>
      </c>
      <c r="L40" s="8">
        <f>$L$41/7</f>
        <v>17.142857142857142</v>
      </c>
      <c r="M40" s="8">
        <f>$M$41/7</f>
        <v>7.1428571428571432</v>
      </c>
      <c r="N40" s="8">
        <f>SUM(C40:M40)</f>
        <v>3970.7142857142862</v>
      </c>
    </row>
    <row r="41" spans="1:51" x14ac:dyDescent="0.4">
      <c r="C41" s="8">
        <f>SUM(C31:C40)</f>
        <v>18000.000000000004</v>
      </c>
      <c r="D41" s="40">
        <v>3000</v>
      </c>
      <c r="E41" s="8"/>
      <c r="F41" s="8">
        <f>500</f>
        <v>500</v>
      </c>
      <c r="G41" s="8">
        <f>975</f>
        <v>975</v>
      </c>
      <c r="H41" s="14">
        <v>1650</v>
      </c>
      <c r="I41" s="14">
        <v>1500</v>
      </c>
      <c r="J41" s="8">
        <f>250</f>
        <v>250</v>
      </c>
      <c r="K41" s="8">
        <f>0</f>
        <v>0</v>
      </c>
      <c r="L41" s="8">
        <f>120</f>
        <v>120</v>
      </c>
      <c r="M41" s="8">
        <v>50</v>
      </c>
      <c r="N41" s="8">
        <f>SUM(N31:N40)</f>
        <v>26045</v>
      </c>
      <c r="O41" s="9">
        <f>O48+O56</f>
        <v>26045.000000000004</v>
      </c>
      <c r="P41" s="9">
        <f>N41-O41</f>
        <v>0</v>
      </c>
    </row>
    <row r="43" spans="1:51" x14ac:dyDescent="0.4">
      <c r="N43" t="s">
        <v>61</v>
      </c>
      <c r="O43" s="9">
        <f>C41</f>
        <v>18000.000000000004</v>
      </c>
    </row>
    <row r="44" spans="1:51" x14ac:dyDescent="0.4">
      <c r="D44" s="1">
        <v>6000</v>
      </c>
      <c r="E44" s="1">
        <v>2</v>
      </c>
      <c r="F44" s="1">
        <f>D44/E44</f>
        <v>3000</v>
      </c>
      <c r="G44" s="1">
        <f>(500)/7</f>
        <v>71.428571428571431</v>
      </c>
      <c r="H44" s="11">
        <f>F44+G44</f>
        <v>3071.4285714285716</v>
      </c>
      <c r="I44" s="11">
        <f>H44*E44</f>
        <v>6142.8571428571431</v>
      </c>
      <c r="N44" t="s">
        <v>71</v>
      </c>
      <c r="O44" s="9">
        <f>G41</f>
        <v>975</v>
      </c>
    </row>
    <row r="45" spans="1:51" x14ac:dyDescent="0.4">
      <c r="D45" s="1">
        <v>6000</v>
      </c>
      <c r="E45" s="1">
        <v>3</v>
      </c>
      <c r="F45" s="1">
        <f t="shared" ref="F45:F46" si="18">D45/E45</f>
        <v>2000</v>
      </c>
      <c r="G45" s="1">
        <f>(500)/7</f>
        <v>71.428571428571431</v>
      </c>
      <c r="H45" s="11">
        <f t="shared" ref="H45" si="19">F45+G45</f>
        <v>2071.4285714285716</v>
      </c>
      <c r="I45" s="11">
        <f t="shared" ref="I45:I46" si="20">H45*E45</f>
        <v>6214.2857142857147</v>
      </c>
      <c r="N45" t="s">
        <v>72</v>
      </c>
      <c r="O45" s="9">
        <v>1500</v>
      </c>
    </row>
    <row r="46" spans="1:51" x14ac:dyDescent="0.4">
      <c r="D46" s="1">
        <v>5500</v>
      </c>
      <c r="E46" s="1">
        <v>2</v>
      </c>
      <c r="F46" s="11">
        <f t="shared" si="18"/>
        <v>2750</v>
      </c>
      <c r="G46" s="1">
        <f>(500)/7</f>
        <v>71.428571428571431</v>
      </c>
      <c r="H46" s="11">
        <f>F46+G46</f>
        <v>2821.4285714285716</v>
      </c>
      <c r="I46" s="11">
        <f t="shared" si="20"/>
        <v>5642.8571428571431</v>
      </c>
      <c r="N46" t="s">
        <v>73</v>
      </c>
      <c r="O46" s="9">
        <v>1650</v>
      </c>
    </row>
    <row r="47" spans="1:51" x14ac:dyDescent="0.4">
      <c r="D47" s="1">
        <f>SUM(D44:D46)</f>
        <v>17500</v>
      </c>
      <c r="E47" s="1"/>
      <c r="F47" s="1"/>
      <c r="G47" s="1"/>
      <c r="H47" s="1"/>
      <c r="I47" s="11">
        <f>SUM(I44:I46)</f>
        <v>18000</v>
      </c>
      <c r="N47" t="s">
        <v>74</v>
      </c>
      <c r="O47" s="9">
        <f>J41</f>
        <v>250</v>
      </c>
    </row>
    <row r="48" spans="1:51" x14ac:dyDescent="0.4">
      <c r="O48" s="9">
        <f>SUM(O43:O47)</f>
        <v>22375.000000000004</v>
      </c>
    </row>
    <row r="50" spans="14:16" x14ac:dyDescent="0.4">
      <c r="P50" s="9">
        <f>O48+O56</f>
        <v>26045.000000000004</v>
      </c>
    </row>
    <row r="51" spans="14:16" x14ac:dyDescent="0.4">
      <c r="N51" t="s">
        <v>12</v>
      </c>
      <c r="O51" s="9">
        <f>D41</f>
        <v>3000</v>
      </c>
    </row>
    <row r="52" spans="14:16" x14ac:dyDescent="0.4">
      <c r="N52" t="s">
        <v>13</v>
      </c>
      <c r="O52" s="9">
        <f>E41</f>
        <v>0</v>
      </c>
    </row>
    <row r="53" spans="14:16" x14ac:dyDescent="0.4">
      <c r="N53" t="s">
        <v>14</v>
      </c>
      <c r="O53" s="9">
        <f>F41</f>
        <v>500</v>
      </c>
    </row>
    <row r="54" spans="14:16" x14ac:dyDescent="0.4">
      <c r="N54" t="s">
        <v>20</v>
      </c>
      <c r="O54" s="9">
        <f>L41</f>
        <v>120</v>
      </c>
    </row>
    <row r="55" spans="14:16" x14ac:dyDescent="0.4">
      <c r="N55" t="s">
        <v>21</v>
      </c>
      <c r="O55" s="9">
        <f>M41</f>
        <v>50</v>
      </c>
    </row>
    <row r="56" spans="14:16" x14ac:dyDescent="0.4">
      <c r="O56" s="9">
        <f>SUM(O51:O55)</f>
        <v>3670</v>
      </c>
    </row>
    <row r="58" spans="14:16" x14ac:dyDescent="0.4">
      <c r="O58" s="9">
        <f>O48+O56</f>
        <v>26045.000000000004</v>
      </c>
    </row>
    <row r="59" spans="14:16" x14ac:dyDescent="0.4">
      <c r="O59" s="9">
        <f>N41-O58</f>
        <v>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BAE7-C154-405C-A3F3-9C2CE8D95EA1}">
  <dimension ref="A1:BK52"/>
  <sheetViews>
    <sheetView zoomScaleNormal="100" workbookViewId="0">
      <pane xSplit="2" ySplit="4" topLeftCell="C22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S8" sqref="AS8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5.898437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63" ht="14.55" customHeight="1" x14ac:dyDescent="0.4">
      <c r="C1" s="204" t="s">
        <v>119</v>
      </c>
      <c r="D1" s="204"/>
      <c r="E1" s="205">
        <f>AH22/AH12</f>
        <v>48.661746617466171</v>
      </c>
      <c r="F1" s="205"/>
    </row>
    <row r="2" spans="1:63" ht="25.5" customHeight="1" x14ac:dyDescent="0.4">
      <c r="C2" s="204"/>
      <c r="D2" s="204"/>
      <c r="E2" s="205"/>
      <c r="F2" s="205"/>
    </row>
    <row r="4" spans="1:63" ht="62.4" x14ac:dyDescent="0.4">
      <c r="A4" s="53" t="s">
        <v>0</v>
      </c>
      <c r="B4" s="53" t="s">
        <v>2</v>
      </c>
      <c r="C4" s="54">
        <v>44470</v>
      </c>
      <c r="D4" s="54">
        <v>44471</v>
      </c>
      <c r="E4" s="54">
        <v>44472</v>
      </c>
      <c r="F4" s="54">
        <v>44473</v>
      </c>
      <c r="G4" s="54">
        <v>44474</v>
      </c>
      <c r="H4" s="54">
        <v>44475</v>
      </c>
      <c r="I4" s="54">
        <v>44476</v>
      </c>
      <c r="J4" s="54">
        <v>44477</v>
      </c>
      <c r="K4" s="54">
        <v>44478</v>
      </c>
      <c r="L4" s="54">
        <v>44479</v>
      </c>
      <c r="M4" s="54">
        <v>44480</v>
      </c>
      <c r="N4" s="54">
        <v>44481</v>
      </c>
      <c r="O4" s="54">
        <v>44482</v>
      </c>
      <c r="P4" s="54">
        <v>44483</v>
      </c>
      <c r="Q4" s="54">
        <v>44484</v>
      </c>
      <c r="R4" s="54">
        <v>44485</v>
      </c>
      <c r="S4" s="54">
        <v>44486</v>
      </c>
      <c r="T4" s="54">
        <v>44487</v>
      </c>
      <c r="U4" s="54">
        <v>44488</v>
      </c>
      <c r="V4" s="54">
        <v>44489</v>
      </c>
      <c r="W4" s="54">
        <v>44490</v>
      </c>
      <c r="X4" s="54">
        <v>44491</v>
      </c>
      <c r="Y4" s="54">
        <v>44492</v>
      </c>
      <c r="Z4" s="54">
        <v>44493</v>
      </c>
      <c r="AA4" s="54">
        <v>44494</v>
      </c>
      <c r="AB4" s="54">
        <v>44495</v>
      </c>
      <c r="AC4" s="54">
        <v>44496</v>
      </c>
      <c r="AD4" s="54">
        <v>44497</v>
      </c>
      <c r="AE4" s="54">
        <v>44498</v>
      </c>
      <c r="AF4" s="54">
        <v>44499</v>
      </c>
      <c r="AG4" s="54">
        <v>44500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120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126</v>
      </c>
    </row>
    <row r="5" spans="1:63" x14ac:dyDescent="0.4">
      <c r="A5" s="2">
        <v>1</v>
      </c>
      <c r="B5" s="3" t="s">
        <v>5</v>
      </c>
      <c r="C5" s="7">
        <v>3.5</v>
      </c>
      <c r="D5" s="7">
        <v>0</v>
      </c>
      <c r="E5" s="7">
        <v>2.5</v>
      </c>
      <c r="F5" s="7">
        <v>2.5</v>
      </c>
      <c r="G5" s="7">
        <v>1</v>
      </c>
      <c r="H5" s="7">
        <v>2.5</v>
      </c>
      <c r="I5" s="7">
        <v>3.5</v>
      </c>
      <c r="J5" s="7">
        <v>1.5</v>
      </c>
      <c r="K5" s="7">
        <v>0</v>
      </c>
      <c r="L5" s="7">
        <v>1</v>
      </c>
      <c r="M5" s="7">
        <v>1.5</v>
      </c>
      <c r="N5" s="7">
        <v>1.5</v>
      </c>
      <c r="O5" s="7">
        <v>0</v>
      </c>
      <c r="P5" s="7">
        <v>0</v>
      </c>
      <c r="Q5" s="7">
        <v>0</v>
      </c>
      <c r="R5" s="7">
        <v>0</v>
      </c>
      <c r="S5" s="7">
        <v>2</v>
      </c>
      <c r="T5" s="7">
        <v>2.5</v>
      </c>
      <c r="U5" s="7">
        <v>2.5</v>
      </c>
      <c r="V5" s="7">
        <v>2.5</v>
      </c>
      <c r="W5" s="7">
        <v>3.5</v>
      </c>
      <c r="X5" s="7">
        <v>3.5</v>
      </c>
      <c r="Y5" s="7">
        <v>2.5</v>
      </c>
      <c r="Z5" s="7">
        <v>3.5</v>
      </c>
      <c r="AA5" s="7">
        <v>1.5</v>
      </c>
      <c r="AB5" s="7">
        <v>1.5</v>
      </c>
      <c r="AC5" s="7">
        <v>1.5</v>
      </c>
      <c r="AD5" s="7">
        <v>2.5</v>
      </c>
      <c r="AE5" s="7">
        <v>2.5</v>
      </c>
      <c r="AF5" s="7">
        <v>1.5</v>
      </c>
      <c r="AG5" s="7">
        <v>1.5</v>
      </c>
      <c r="AH5" s="56">
        <f>SUM(C5:AG5)</f>
        <v>56</v>
      </c>
      <c r="AJ5" s="2">
        <v>1</v>
      </c>
      <c r="AK5" s="3" t="s">
        <v>5</v>
      </c>
      <c r="AL5" s="16">
        <f>AH5*$E$1</f>
        <v>2725.0578105781055</v>
      </c>
      <c r="AM5" s="16">
        <f>AH15</f>
        <v>3810</v>
      </c>
      <c r="AN5" s="16">
        <f>AM5-AL5</f>
        <v>1084.9421894218945</v>
      </c>
      <c r="AO5" s="16">
        <f>N25</f>
        <v>4851.2857142857138</v>
      </c>
      <c r="AP5" s="16">
        <f t="shared" ref="AP5:AP11" si="0">AO5-AN5</f>
        <v>3766.3435248638193</v>
      </c>
      <c r="AQ5" s="68">
        <f>'Meal Septem''21 &amp; Rent October'!AU6</f>
        <v>11.083815934528047</v>
      </c>
      <c r="AR5" s="16">
        <f t="shared" ref="AR5:AR11" si="1">AP5-AQ5</f>
        <v>3755.2597089292913</v>
      </c>
      <c r="AS5" s="26">
        <f>500+625+1000+5300</f>
        <v>7425</v>
      </c>
      <c r="AT5" s="62"/>
      <c r="AU5" s="16">
        <f t="shared" ref="AU5:AU11" si="2">AS5-AR5</f>
        <v>3669.7402910707087</v>
      </c>
      <c r="AY5" s="9"/>
    </row>
    <row r="6" spans="1:63" x14ac:dyDescent="0.4">
      <c r="A6" s="2">
        <v>2</v>
      </c>
      <c r="B6" s="3" t="s">
        <v>111</v>
      </c>
      <c r="C6" s="7">
        <v>4</v>
      </c>
      <c r="D6" s="7">
        <v>5</v>
      </c>
      <c r="E6" s="7">
        <v>0</v>
      </c>
      <c r="F6" s="7">
        <v>1</v>
      </c>
      <c r="G6" s="7">
        <v>1</v>
      </c>
      <c r="H6" s="7">
        <v>1.5</v>
      </c>
      <c r="I6" s="7">
        <v>2</v>
      </c>
      <c r="J6" s="7">
        <v>5</v>
      </c>
      <c r="K6" s="7">
        <v>2</v>
      </c>
      <c r="L6" s="7">
        <v>1</v>
      </c>
      <c r="M6" s="7">
        <v>1</v>
      </c>
      <c r="N6" s="7">
        <v>1</v>
      </c>
      <c r="O6" s="7">
        <v>1</v>
      </c>
      <c r="P6" s="7">
        <v>2</v>
      </c>
      <c r="Q6" s="7">
        <v>3.5</v>
      </c>
      <c r="R6" s="7">
        <v>4.5</v>
      </c>
      <c r="S6" s="7">
        <v>1</v>
      </c>
      <c r="T6" s="7">
        <v>1.5</v>
      </c>
      <c r="U6" s="7">
        <v>1</v>
      </c>
      <c r="V6" s="7">
        <v>2.5</v>
      </c>
      <c r="W6" s="7">
        <v>1</v>
      </c>
      <c r="X6" s="7">
        <v>3.5</v>
      </c>
      <c r="Y6" s="7">
        <v>4</v>
      </c>
      <c r="Z6" s="7">
        <v>1.5</v>
      </c>
      <c r="AA6" s="7">
        <v>1.5</v>
      </c>
      <c r="AB6" s="7">
        <v>1</v>
      </c>
      <c r="AC6" s="7">
        <v>1</v>
      </c>
      <c r="AD6" s="7">
        <v>2</v>
      </c>
      <c r="AE6" s="7">
        <v>5</v>
      </c>
      <c r="AF6" s="7">
        <v>1</v>
      </c>
      <c r="AG6" s="7">
        <v>1</v>
      </c>
      <c r="AH6" s="56">
        <f t="shared" ref="AH6:AH11" si="3">SUM(C6:AG6)</f>
        <v>64</v>
      </c>
      <c r="AJ6" s="2">
        <v>2</v>
      </c>
      <c r="AK6" s="3" t="s">
        <v>111</v>
      </c>
      <c r="AL6" s="16">
        <f>AH6*$E$1</f>
        <v>3114.351783517835</v>
      </c>
      <c r="AM6" s="16">
        <f t="shared" ref="AM6:AM11" si="4">AH16</f>
        <v>3015</v>
      </c>
      <c r="AN6" s="16">
        <f>AM6-AL6</f>
        <v>-99.351783517834974</v>
      </c>
      <c r="AO6" s="16">
        <f t="shared" ref="AO6:AO8" si="5">N26</f>
        <v>4851.2857142857138</v>
      </c>
      <c r="AP6" s="16">
        <f t="shared" si="0"/>
        <v>4950.6374978035492</v>
      </c>
      <c r="AQ6" s="68">
        <f>'Meal Septem''21 &amp; Rent October'!AU7</f>
        <v>-0.42487684729076136</v>
      </c>
      <c r="AR6" s="16">
        <f t="shared" si="1"/>
        <v>4951.06237465084</v>
      </c>
      <c r="AS6" s="26">
        <f>500+4254+197</f>
        <v>4951</v>
      </c>
      <c r="AT6" s="62"/>
      <c r="AU6" s="16">
        <f t="shared" si="2"/>
        <v>-6.2374650839956303E-2</v>
      </c>
      <c r="AW6">
        <v>4254</v>
      </c>
      <c r="AY6" s="9"/>
    </row>
    <row r="7" spans="1:63" x14ac:dyDescent="0.4">
      <c r="A7" s="2">
        <v>3</v>
      </c>
      <c r="B7" s="3" t="s">
        <v>6</v>
      </c>
      <c r="C7" s="7">
        <v>2.5</v>
      </c>
      <c r="D7" s="7">
        <v>2.5</v>
      </c>
      <c r="E7" s="7">
        <v>1</v>
      </c>
      <c r="F7" s="7">
        <v>2.5</v>
      </c>
      <c r="G7" s="7">
        <v>2.5</v>
      </c>
      <c r="H7" s="7">
        <v>2.5</v>
      </c>
      <c r="I7" s="7">
        <v>2.5</v>
      </c>
      <c r="J7" s="7">
        <v>1.5</v>
      </c>
      <c r="K7" s="7">
        <v>1</v>
      </c>
      <c r="L7" s="7">
        <v>1</v>
      </c>
      <c r="M7" s="7">
        <v>2.5</v>
      </c>
      <c r="N7" s="7">
        <v>1.5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2.5</v>
      </c>
      <c r="W7" s="7">
        <v>3.5</v>
      </c>
      <c r="X7" s="7">
        <v>4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2.5</v>
      </c>
      <c r="AH7" s="56">
        <f t="shared" si="3"/>
        <v>56</v>
      </c>
      <c r="AJ7" s="2">
        <v>3</v>
      </c>
      <c r="AK7" s="3" t="s">
        <v>6</v>
      </c>
      <c r="AL7" s="16">
        <f t="shared" ref="AL7:AL11" si="6">AH7*$E$1</f>
        <v>2725.0578105781055</v>
      </c>
      <c r="AM7" s="16">
        <f t="shared" si="4"/>
        <v>1431</v>
      </c>
      <c r="AN7" s="16">
        <f t="shared" ref="AN7:AN11" si="7">AM7-AL7</f>
        <v>-1294.0578105781055</v>
      </c>
      <c r="AO7" s="16">
        <f t="shared" si="5"/>
        <v>3851.2857142857142</v>
      </c>
      <c r="AP7" s="16">
        <f t="shared" si="0"/>
        <v>5145.3435248638198</v>
      </c>
      <c r="AQ7" s="68">
        <f>'Meal Septem''21 &amp; Rent October'!AU8</f>
        <v>-341.10905611068665</v>
      </c>
      <c r="AR7" s="16">
        <f t="shared" si="1"/>
        <v>5486.4525809745064</v>
      </c>
      <c r="AS7" s="26">
        <v>4000</v>
      </c>
      <c r="AT7" s="62"/>
      <c r="AU7" s="16">
        <f t="shared" si="2"/>
        <v>-1486.4525809745064</v>
      </c>
      <c r="AY7" s="9"/>
    </row>
    <row r="8" spans="1:63" x14ac:dyDescent="0.4">
      <c r="A8" s="2">
        <v>4</v>
      </c>
      <c r="B8" s="3" t="s">
        <v>57</v>
      </c>
      <c r="C8" s="7">
        <v>2</v>
      </c>
      <c r="D8" s="7">
        <v>2.5</v>
      </c>
      <c r="E8" s="7">
        <v>1</v>
      </c>
      <c r="F8" s="7">
        <v>2.5</v>
      </c>
      <c r="G8" s="7">
        <v>1.5</v>
      </c>
      <c r="H8" s="7">
        <v>2.5</v>
      </c>
      <c r="I8" s="7">
        <v>3.5</v>
      </c>
      <c r="J8" s="7">
        <v>3.5</v>
      </c>
      <c r="K8" s="7">
        <v>2</v>
      </c>
      <c r="L8" s="7">
        <v>1</v>
      </c>
      <c r="M8" s="7">
        <v>1.5</v>
      </c>
      <c r="N8" s="7">
        <v>2.5</v>
      </c>
      <c r="O8" s="7">
        <v>1.5</v>
      </c>
      <c r="P8" s="7">
        <v>2.5</v>
      </c>
      <c r="Q8" s="7">
        <v>2.5</v>
      </c>
      <c r="R8" s="7">
        <v>2.5</v>
      </c>
      <c r="S8" s="7">
        <v>2.5</v>
      </c>
      <c r="T8" s="7">
        <v>2.5</v>
      </c>
      <c r="U8" s="7">
        <v>2</v>
      </c>
      <c r="V8" s="7">
        <v>2.5</v>
      </c>
      <c r="W8" s="7">
        <v>1</v>
      </c>
      <c r="X8" s="7">
        <v>2.5</v>
      </c>
      <c r="Y8" s="7">
        <v>2.5</v>
      </c>
      <c r="Z8" s="7">
        <v>3.5</v>
      </c>
      <c r="AA8" s="7">
        <v>2</v>
      </c>
      <c r="AB8" s="7">
        <v>2.5</v>
      </c>
      <c r="AC8" s="7">
        <v>2.5</v>
      </c>
      <c r="AD8" s="7">
        <v>3.5</v>
      </c>
      <c r="AE8" s="7">
        <v>3.5</v>
      </c>
      <c r="AF8" s="7">
        <v>2.5</v>
      </c>
      <c r="AG8" s="7">
        <v>2.5</v>
      </c>
      <c r="AH8" s="56">
        <f t="shared" si="3"/>
        <v>73</v>
      </c>
      <c r="AJ8" s="2">
        <v>4</v>
      </c>
      <c r="AK8" s="3" t="s">
        <v>57</v>
      </c>
      <c r="AL8" s="16">
        <f t="shared" si="6"/>
        <v>3552.3075030750306</v>
      </c>
      <c r="AM8" s="16">
        <f t="shared" si="4"/>
        <v>1780</v>
      </c>
      <c r="AN8" s="16">
        <f t="shared" si="7"/>
        <v>-1772.3075030750306</v>
      </c>
      <c r="AO8" s="16">
        <f t="shared" si="5"/>
        <v>3851.2857142857142</v>
      </c>
      <c r="AP8" s="16">
        <f t="shared" si="0"/>
        <v>5623.5932173607453</v>
      </c>
      <c r="AQ8" s="68">
        <f>'Meal Septem''21 &amp; Rent October'!AU9</f>
        <v>-324.90932996431593</v>
      </c>
      <c r="AR8" s="16">
        <f t="shared" si="1"/>
        <v>5948.5025473250607</v>
      </c>
      <c r="AS8" s="26">
        <f>120+3500</f>
        <v>3620</v>
      </c>
      <c r="AT8" s="62"/>
      <c r="AU8" s="16">
        <f t="shared" si="2"/>
        <v>-2328.5025473250607</v>
      </c>
      <c r="AV8" s="25"/>
      <c r="AW8">
        <v>3500</v>
      </c>
      <c r="AY8" s="9"/>
    </row>
    <row r="9" spans="1:63" x14ac:dyDescent="0.4">
      <c r="A9" s="2">
        <v>5</v>
      </c>
      <c r="B9" s="12" t="s">
        <v>51</v>
      </c>
      <c r="C9" s="7">
        <v>2</v>
      </c>
      <c r="D9" s="7">
        <v>3.5</v>
      </c>
      <c r="E9" s="7">
        <v>2</v>
      </c>
      <c r="F9" s="7">
        <v>1</v>
      </c>
      <c r="G9" s="7">
        <v>2.5</v>
      </c>
      <c r="H9" s="7">
        <v>1</v>
      </c>
      <c r="I9" s="7">
        <v>2</v>
      </c>
      <c r="J9" s="7">
        <v>5</v>
      </c>
      <c r="K9" s="7">
        <v>2</v>
      </c>
      <c r="L9" s="7">
        <v>1</v>
      </c>
      <c r="M9" s="7">
        <v>1</v>
      </c>
      <c r="N9" s="7">
        <v>2.5</v>
      </c>
      <c r="O9" s="7">
        <v>1</v>
      </c>
      <c r="P9" s="7">
        <v>1</v>
      </c>
      <c r="Q9" s="7">
        <v>3.5</v>
      </c>
      <c r="R9" s="7">
        <v>3.5</v>
      </c>
      <c r="S9" s="7">
        <v>1</v>
      </c>
      <c r="T9" s="7">
        <v>1</v>
      </c>
      <c r="U9" s="7">
        <v>1.5</v>
      </c>
      <c r="V9" s="7">
        <v>3.5</v>
      </c>
      <c r="W9" s="7">
        <v>3</v>
      </c>
      <c r="X9" s="7">
        <v>5</v>
      </c>
      <c r="Y9" s="7">
        <v>4</v>
      </c>
      <c r="Z9" s="7">
        <v>1</v>
      </c>
      <c r="AA9" s="7">
        <v>1</v>
      </c>
      <c r="AB9" s="7">
        <v>1</v>
      </c>
      <c r="AC9" s="7">
        <v>1</v>
      </c>
      <c r="AD9" s="7">
        <v>2.5</v>
      </c>
      <c r="AE9" s="7">
        <v>5</v>
      </c>
      <c r="AF9" s="7">
        <v>3</v>
      </c>
      <c r="AG9" s="7">
        <v>1.5</v>
      </c>
      <c r="AH9" s="56">
        <f t="shared" si="3"/>
        <v>69.5</v>
      </c>
      <c r="AJ9" s="2">
        <v>5</v>
      </c>
      <c r="AK9" s="12" t="s">
        <v>51</v>
      </c>
      <c r="AL9" s="16">
        <f t="shared" si="6"/>
        <v>3381.9913899138987</v>
      </c>
      <c r="AM9" s="16">
        <f t="shared" si="4"/>
        <v>3520</v>
      </c>
      <c r="AN9" s="16">
        <f t="shared" si="7"/>
        <v>138.00861008610127</v>
      </c>
      <c r="AO9" s="16">
        <f>N29</f>
        <v>3851.2857142857142</v>
      </c>
      <c r="AP9" s="16">
        <f>AO9-AN9</f>
        <v>3713.2771041996129</v>
      </c>
      <c r="AQ9" s="68">
        <f>'Meal Septem''21 &amp; Rent October'!AU10</f>
        <v>2181.688922762462</v>
      </c>
      <c r="AR9" s="16">
        <f t="shared" si="1"/>
        <v>1531.588181437151</v>
      </c>
      <c r="AS9" s="26">
        <f>3000+200</f>
        <v>3200</v>
      </c>
      <c r="AT9" s="62"/>
      <c r="AU9" s="16">
        <f t="shared" si="2"/>
        <v>1668.411818562849</v>
      </c>
    </row>
    <row r="10" spans="1:63" x14ac:dyDescent="0.4">
      <c r="A10" s="2">
        <v>6</v>
      </c>
      <c r="B10" s="1" t="s">
        <v>110</v>
      </c>
      <c r="C10" s="7">
        <v>1.5</v>
      </c>
      <c r="D10" s="7">
        <v>1</v>
      </c>
      <c r="E10" s="7">
        <v>1</v>
      </c>
      <c r="F10" s="7">
        <v>1.5</v>
      </c>
      <c r="G10" s="7">
        <v>1</v>
      </c>
      <c r="H10" s="7">
        <v>3.5</v>
      </c>
      <c r="I10" s="7">
        <v>3</v>
      </c>
      <c r="J10" s="7">
        <v>3</v>
      </c>
      <c r="K10" s="7">
        <v>1</v>
      </c>
      <c r="L10" s="7">
        <v>2</v>
      </c>
      <c r="M10" s="7">
        <v>3</v>
      </c>
      <c r="N10" s="7">
        <v>3</v>
      </c>
      <c r="O10" s="7">
        <v>3</v>
      </c>
      <c r="P10" s="7">
        <v>4</v>
      </c>
      <c r="Q10" s="7">
        <v>3</v>
      </c>
      <c r="R10" s="7">
        <v>2.5</v>
      </c>
      <c r="S10" s="7">
        <v>1</v>
      </c>
      <c r="T10" s="7">
        <v>1.5</v>
      </c>
      <c r="U10" s="7">
        <v>1.5</v>
      </c>
      <c r="V10" s="7">
        <v>1</v>
      </c>
      <c r="W10" s="7">
        <v>1.5</v>
      </c>
      <c r="X10" s="7">
        <v>2.5</v>
      </c>
      <c r="Y10" s="7">
        <v>1.5</v>
      </c>
      <c r="Z10" s="7">
        <v>1.5</v>
      </c>
      <c r="AA10" s="7">
        <v>1.5</v>
      </c>
      <c r="AB10" s="7">
        <v>1.5</v>
      </c>
      <c r="AC10" s="7">
        <v>1.5</v>
      </c>
      <c r="AD10" s="7">
        <v>1</v>
      </c>
      <c r="AE10" s="7">
        <v>2</v>
      </c>
      <c r="AF10" s="7">
        <v>2</v>
      </c>
      <c r="AG10" s="7">
        <v>1.5</v>
      </c>
      <c r="AH10" s="56">
        <f t="shared" si="3"/>
        <v>60</v>
      </c>
      <c r="AJ10" s="2">
        <v>6</v>
      </c>
      <c r="AK10" s="12" t="s">
        <v>104</v>
      </c>
      <c r="AL10" s="16">
        <f>AH10*$E$1</f>
        <v>2919.7047970479703</v>
      </c>
      <c r="AM10" s="16">
        <f>AH20</f>
        <v>3983</v>
      </c>
      <c r="AN10" s="16">
        <f t="shared" si="7"/>
        <v>1063.2952029520297</v>
      </c>
      <c r="AO10" s="16">
        <f>N30</f>
        <v>4601.2857142857138</v>
      </c>
      <c r="AP10" s="16">
        <f t="shared" si="0"/>
        <v>3537.990511333684</v>
      </c>
      <c r="AQ10" s="68">
        <f>'Meal Septem''21 &amp; Rent October'!AU13</f>
        <v>-288.60451389076206</v>
      </c>
      <c r="AR10" s="16">
        <f t="shared" si="1"/>
        <v>3826.5950252244461</v>
      </c>
      <c r="AS10" s="26">
        <f>950+3000</f>
        <v>3950</v>
      </c>
      <c r="AT10" s="62">
        <v>44536</v>
      </c>
      <c r="AU10" s="16">
        <f>AS10-AR10</f>
        <v>123.40497477555391</v>
      </c>
      <c r="AV10" s="47"/>
      <c r="AW10">
        <v>3000</v>
      </c>
    </row>
    <row r="11" spans="1:63" x14ac:dyDescent="0.4">
      <c r="A11" s="2">
        <v>7</v>
      </c>
      <c r="B11" s="3" t="s">
        <v>118</v>
      </c>
      <c r="C11" s="7">
        <v>0</v>
      </c>
      <c r="D11" s="7">
        <v>1</v>
      </c>
      <c r="E11" s="7">
        <v>1</v>
      </c>
      <c r="F11" s="7">
        <v>1</v>
      </c>
      <c r="G11" s="7">
        <v>2</v>
      </c>
      <c r="H11" s="7">
        <v>2</v>
      </c>
      <c r="I11" s="7">
        <v>2</v>
      </c>
      <c r="J11" s="7">
        <v>0</v>
      </c>
      <c r="K11" s="7">
        <v>0</v>
      </c>
      <c r="L11" s="7">
        <v>0</v>
      </c>
      <c r="M11" s="7">
        <v>2</v>
      </c>
      <c r="N11" s="7">
        <v>2</v>
      </c>
      <c r="O11" s="7">
        <v>2</v>
      </c>
      <c r="P11" s="7">
        <v>1</v>
      </c>
      <c r="Q11" s="7">
        <v>0</v>
      </c>
      <c r="R11" s="7">
        <v>0</v>
      </c>
      <c r="S11" s="7">
        <v>2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1</v>
      </c>
      <c r="AB11" s="7">
        <v>1</v>
      </c>
      <c r="AC11" s="7">
        <v>1</v>
      </c>
      <c r="AD11" s="7">
        <v>2</v>
      </c>
      <c r="AE11" s="7">
        <v>2</v>
      </c>
      <c r="AF11" s="7">
        <v>0</v>
      </c>
      <c r="AG11" s="7">
        <v>0</v>
      </c>
      <c r="AH11" s="56">
        <f t="shared" si="3"/>
        <v>28</v>
      </c>
      <c r="AJ11" s="2">
        <v>7</v>
      </c>
      <c r="AK11" s="3" t="s">
        <v>118</v>
      </c>
      <c r="AL11" s="16">
        <f t="shared" si="6"/>
        <v>1362.5289052890528</v>
      </c>
      <c r="AM11" s="16">
        <f t="shared" si="4"/>
        <v>2242</v>
      </c>
      <c r="AN11" s="16">
        <f t="shared" si="7"/>
        <v>879.47109471094723</v>
      </c>
      <c r="AO11" s="16">
        <f>N31</f>
        <v>4601.2857142857138</v>
      </c>
      <c r="AP11" s="16">
        <f t="shared" si="0"/>
        <v>3721.8146195747668</v>
      </c>
      <c r="AQ11" s="68">
        <f>'Meal Septem''21 &amp; Rent October'!AU14</f>
        <v>241.64359767776887</v>
      </c>
      <c r="AR11" s="16">
        <f t="shared" si="1"/>
        <v>3480.1710218969979</v>
      </c>
      <c r="AS11" s="61">
        <v>2800</v>
      </c>
      <c r="AT11" s="62">
        <v>44528</v>
      </c>
      <c r="AU11" s="16">
        <f t="shared" si="2"/>
        <v>-680.1710218969979</v>
      </c>
      <c r="AV11" s="9"/>
      <c r="AW11">
        <v>2800</v>
      </c>
    </row>
    <row r="12" spans="1:63" x14ac:dyDescent="0.4">
      <c r="C12" s="55">
        <f t="shared" ref="C12:AH12" si="8">SUM(C5:C11)</f>
        <v>15.5</v>
      </c>
      <c r="D12" s="55">
        <f t="shared" si="8"/>
        <v>15.5</v>
      </c>
      <c r="E12" s="55">
        <f t="shared" si="8"/>
        <v>8.5</v>
      </c>
      <c r="F12" s="55">
        <f t="shared" si="8"/>
        <v>12</v>
      </c>
      <c r="G12" s="55">
        <f t="shared" si="8"/>
        <v>11.5</v>
      </c>
      <c r="H12" s="55">
        <f t="shared" si="8"/>
        <v>15.5</v>
      </c>
      <c r="I12" s="55">
        <f t="shared" si="8"/>
        <v>18.5</v>
      </c>
      <c r="J12" s="55">
        <f t="shared" si="8"/>
        <v>19.5</v>
      </c>
      <c r="K12" s="55">
        <f t="shared" si="8"/>
        <v>8</v>
      </c>
      <c r="L12" s="55">
        <f t="shared" si="8"/>
        <v>7</v>
      </c>
      <c r="M12" s="55">
        <f t="shared" si="8"/>
        <v>12.5</v>
      </c>
      <c r="N12" s="55">
        <f t="shared" si="8"/>
        <v>14</v>
      </c>
      <c r="O12" s="55">
        <f t="shared" si="8"/>
        <v>8.5</v>
      </c>
      <c r="P12" s="55">
        <f t="shared" si="8"/>
        <v>10.5</v>
      </c>
      <c r="Q12" s="55">
        <f t="shared" si="8"/>
        <v>12.5</v>
      </c>
      <c r="R12" s="55">
        <f t="shared" si="8"/>
        <v>13</v>
      </c>
      <c r="S12" s="55">
        <f t="shared" si="8"/>
        <v>9.5</v>
      </c>
      <c r="T12" s="55">
        <f t="shared" si="8"/>
        <v>10</v>
      </c>
      <c r="U12" s="55">
        <f t="shared" si="8"/>
        <v>9.5</v>
      </c>
      <c r="V12" s="55">
        <f t="shared" si="8"/>
        <v>14.5</v>
      </c>
      <c r="W12" s="55">
        <f t="shared" si="8"/>
        <v>13.5</v>
      </c>
      <c r="X12" s="55">
        <f t="shared" si="8"/>
        <v>21</v>
      </c>
      <c r="Y12" s="55">
        <f t="shared" si="8"/>
        <v>17</v>
      </c>
      <c r="Z12" s="55">
        <f t="shared" si="8"/>
        <v>14.5</v>
      </c>
      <c r="AA12" s="55">
        <f t="shared" si="8"/>
        <v>11</v>
      </c>
      <c r="AB12" s="55">
        <f t="shared" si="8"/>
        <v>11</v>
      </c>
      <c r="AC12" s="55">
        <f t="shared" si="8"/>
        <v>11</v>
      </c>
      <c r="AD12" s="55">
        <f t="shared" si="8"/>
        <v>16</v>
      </c>
      <c r="AE12" s="55">
        <f t="shared" si="8"/>
        <v>22.5</v>
      </c>
      <c r="AF12" s="55">
        <f t="shared" si="8"/>
        <v>12.5</v>
      </c>
      <c r="AG12" s="55">
        <f t="shared" si="8"/>
        <v>10.5</v>
      </c>
      <c r="AH12" s="55">
        <f t="shared" si="8"/>
        <v>406.5</v>
      </c>
      <c r="AJ12" s="2"/>
      <c r="AK12" s="12"/>
      <c r="AL12" s="51">
        <f t="shared" ref="AL12:AQ12" si="9">SUM(AL5:AL11)</f>
        <v>19780.999999999996</v>
      </c>
      <c r="AM12" s="51">
        <f t="shared" si="9"/>
        <v>19781</v>
      </c>
      <c r="AN12" s="51">
        <f t="shared" si="9"/>
        <v>1.5916157281026244E-12</v>
      </c>
      <c r="AO12" s="51">
        <f t="shared" si="9"/>
        <v>30458.999999999996</v>
      </c>
      <c r="AP12" s="51">
        <f t="shared" si="9"/>
        <v>30459</v>
      </c>
      <c r="AQ12" s="69">
        <f t="shared" si="9"/>
        <v>1479.3685595617035</v>
      </c>
      <c r="AR12" s="51">
        <f>AP12-AQ12</f>
        <v>28979.631440438297</v>
      </c>
      <c r="AS12" s="63">
        <f>SUM(AS5:AS11)</f>
        <v>29946</v>
      </c>
      <c r="AT12" s="63"/>
      <c r="AU12" s="51">
        <f>SUM(AU5:AU11)</f>
        <v>966.36855956170666</v>
      </c>
      <c r="AV12" s="9"/>
    </row>
    <row r="13" spans="1:63" x14ac:dyDescent="0.4">
      <c r="AL13" s="25"/>
      <c r="AM13" s="9"/>
      <c r="AN13" s="9"/>
      <c r="AO13" s="9"/>
      <c r="AP13" s="9"/>
      <c r="AQ13" s="9"/>
      <c r="AR13" s="25"/>
      <c r="AS13" s="9"/>
      <c r="AT13" s="9"/>
      <c r="AU13" s="9"/>
      <c r="AV13" s="9"/>
      <c r="AW13" s="9"/>
      <c r="AX13" s="44" t="s">
        <v>88</v>
      </c>
      <c r="AY13" s="9"/>
    </row>
    <row r="14" spans="1:63" x14ac:dyDescent="0.4">
      <c r="B14" s="64" t="s">
        <v>121</v>
      </c>
      <c r="AX14" s="1" t="s">
        <v>89</v>
      </c>
      <c r="AY14" s="1" t="s">
        <v>95</v>
      </c>
    </row>
    <row r="15" spans="1:63" x14ac:dyDescent="0.4">
      <c r="A15" s="2">
        <v>1</v>
      </c>
      <c r="B15" s="3" t="s">
        <v>5</v>
      </c>
      <c r="C15" s="8">
        <v>2330</v>
      </c>
      <c r="D15" s="8">
        <v>1480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5">
        <f>SUM(C15:AG15)</f>
        <v>3810</v>
      </c>
      <c r="AR15" s="25"/>
      <c r="AU15" s="9"/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4">
      <c r="A16" s="2">
        <v>2</v>
      </c>
      <c r="B16" s="3" t="s">
        <v>111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120</v>
      </c>
      <c r="Q16" s="8">
        <v>880</v>
      </c>
      <c r="R16" s="8">
        <v>1015</v>
      </c>
      <c r="S16" s="8">
        <v>180</v>
      </c>
      <c r="T16" s="8">
        <v>215</v>
      </c>
      <c r="U16" s="8">
        <v>150</v>
      </c>
      <c r="V16" s="8">
        <v>455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10">SUM(C16:AG16)</f>
        <v>3015</v>
      </c>
      <c r="AX16" s="1" t="s">
        <v>91</v>
      </c>
      <c r="AY16" s="16">
        <f>-AQ12</f>
        <v>-1479.3685595617035</v>
      </c>
      <c r="BI16" s="1" t="s">
        <v>97</v>
      </c>
      <c r="BJ16" s="1">
        <v>4000</v>
      </c>
      <c r="BK16" s="1"/>
    </row>
    <row r="17" spans="1:63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490</v>
      </c>
      <c r="AC17" s="8">
        <v>400</v>
      </c>
      <c r="AD17" s="8">
        <v>111</v>
      </c>
      <c r="AE17" s="8">
        <v>365</v>
      </c>
      <c r="AF17" s="8">
        <v>65</v>
      </c>
      <c r="AG17" s="8"/>
      <c r="AH17" s="65">
        <f t="shared" si="10"/>
        <v>1431</v>
      </c>
      <c r="AR17" s="25"/>
      <c r="AX17" s="1"/>
      <c r="AY17" s="16">
        <f>SUM(AY15:AY16)</f>
        <v>-1479.3685595617035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1480</v>
      </c>
      <c r="N18" s="8">
        <v>250</v>
      </c>
      <c r="O18" s="8">
        <v>50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0"/>
        <v>1780</v>
      </c>
      <c r="AR18" s="25"/>
      <c r="BA18" s="9">
        <v>4547</v>
      </c>
      <c r="BI18" s="1" t="s">
        <v>37</v>
      </c>
      <c r="BJ18" s="1"/>
      <c r="BK18" s="1"/>
    </row>
    <row r="19" spans="1:63" x14ac:dyDescent="0.4">
      <c r="A19" s="2">
        <v>5</v>
      </c>
      <c r="B19" s="12" t="s">
        <v>51</v>
      </c>
      <c r="C19" s="8"/>
      <c r="D19" s="8"/>
      <c r="E19" s="8"/>
      <c r="F19" s="8"/>
      <c r="G19" s="8">
        <v>1460</v>
      </c>
      <c r="H19" s="8">
        <v>1570</v>
      </c>
      <c r="I19" s="8">
        <v>90</v>
      </c>
      <c r="J19" s="8">
        <v>270</v>
      </c>
      <c r="K19" s="8">
        <v>130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3520</v>
      </c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4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1983</v>
      </c>
      <c r="X20" s="8">
        <v>1150</v>
      </c>
      <c r="Y20" s="8">
        <v>850</v>
      </c>
      <c r="Z20" s="8"/>
      <c r="AA20" s="8"/>
      <c r="AB20" s="8"/>
      <c r="AC20" s="8"/>
      <c r="AD20" s="8"/>
      <c r="AE20" s="8"/>
      <c r="AF20" s="8"/>
      <c r="AG20" s="8"/>
      <c r="AH20" s="65">
        <f>SUM(C20:AG20)</f>
        <v>3983</v>
      </c>
      <c r="AV20" s="25"/>
      <c r="AX20" s="1" t="s">
        <v>93</v>
      </c>
      <c r="AY20" s="16">
        <f>-AU12</f>
        <v>-966.36855956170666</v>
      </c>
      <c r="BI20" s="1" t="s">
        <v>49</v>
      </c>
      <c r="BJ20" s="1">
        <f>$BJ$17</f>
        <v>666.66666666666663</v>
      </c>
      <c r="BK20" s="1"/>
    </row>
    <row r="21" spans="1:6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500</v>
      </c>
      <c r="AA21" s="8"/>
      <c r="AB21" s="8"/>
      <c r="AC21" s="8"/>
      <c r="AD21" s="8">
        <v>1250</v>
      </c>
      <c r="AE21" s="8"/>
      <c r="AF21" s="8"/>
      <c r="AG21" s="8">
        <v>492</v>
      </c>
      <c r="AH21" s="65">
        <f t="shared" si="10"/>
        <v>2242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19781</v>
      </c>
      <c r="AX22" s="1"/>
      <c r="AY22" s="16">
        <f>SUM(AY20:AY21)</f>
        <v>1033.6314404382933</v>
      </c>
      <c r="BI22" s="1" t="s">
        <v>99</v>
      </c>
      <c r="BJ22" s="1">
        <f>$BJ$17</f>
        <v>666.66666666666663</v>
      </c>
      <c r="BK22" s="1"/>
    </row>
    <row r="23" spans="1:63" x14ac:dyDescent="0.4">
      <c r="BI23" s="1" t="s">
        <v>40</v>
      </c>
      <c r="BJ23" s="1">
        <f>$BJ$17</f>
        <v>666.66666666666663</v>
      </c>
      <c r="BK23" s="1"/>
    </row>
    <row r="24" spans="1:63" x14ac:dyDescent="0.4">
      <c r="A24" s="4"/>
      <c r="B24" s="13" t="s">
        <v>122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11">$D$32/7</f>
        <v>428.57142857142856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139.28571428571428</v>
      </c>
      <c r="H25" s="8">
        <f t="shared" ref="H25:H31" si="14">$H$32/7</f>
        <v>273.42857142857144</v>
      </c>
      <c r="I25" s="8">
        <f t="shared" ref="I25:I31" si="15">$I$32/7</f>
        <v>275</v>
      </c>
      <c r="J25" s="8">
        <f t="shared" ref="J25:J31" si="16">$J$32/7</f>
        <v>35.714285714285715</v>
      </c>
      <c r="K25" s="8">
        <f>$K$32/7</f>
        <v>89.285714285714292</v>
      </c>
      <c r="L25" s="8">
        <f t="shared" ref="L25:L31" si="17">$L$32/7</f>
        <v>17.142857142857142</v>
      </c>
      <c r="M25" s="8">
        <f t="shared" ref="M25:M31" si="18">$M$32/7</f>
        <v>378.57142857142856</v>
      </c>
      <c r="N25" s="65">
        <f t="shared" ref="N25:N29" si="19">SUM(C25:M25)</f>
        <v>4851.2857142857138</v>
      </c>
      <c r="AX25" t="s">
        <v>90</v>
      </c>
      <c r="AY25" s="47">
        <v>23773</v>
      </c>
    </row>
    <row r="26" spans="1:63" x14ac:dyDescent="0.4">
      <c r="A26" s="2">
        <v>2</v>
      </c>
      <c r="B26" s="12" t="s">
        <v>111</v>
      </c>
      <c r="C26" s="8">
        <f>H35</f>
        <v>3142.8571428571427</v>
      </c>
      <c r="D26" s="8">
        <f t="shared" si="11"/>
        <v>428.57142857142856</v>
      </c>
      <c r="E26" s="8">
        <f>$E$32/7</f>
        <v>0</v>
      </c>
      <c r="F26" s="8">
        <f t="shared" si="12"/>
        <v>71.428571428571431</v>
      </c>
      <c r="G26" s="8">
        <f t="shared" si="13"/>
        <v>139.28571428571428</v>
      </c>
      <c r="H26" s="8">
        <f t="shared" si="14"/>
        <v>273.42857142857144</v>
      </c>
      <c r="I26" s="8">
        <f t="shared" si="15"/>
        <v>275</v>
      </c>
      <c r="J26" s="8">
        <f t="shared" si="16"/>
        <v>35.714285714285715</v>
      </c>
      <c r="K26" s="8">
        <f t="shared" ref="K26:K31" si="20">$K$32/7</f>
        <v>89.285714285714292</v>
      </c>
      <c r="L26" s="8">
        <f t="shared" si="17"/>
        <v>17.142857142857142</v>
      </c>
      <c r="M26" s="8">
        <f t="shared" si="18"/>
        <v>378.57142857142856</v>
      </c>
      <c r="N26" s="65">
        <f t="shared" si="19"/>
        <v>4851.2857142857138</v>
      </c>
      <c r="AX26" t="s">
        <v>91</v>
      </c>
      <c r="AY26" s="47">
        <v>10374</v>
      </c>
    </row>
    <row r="27" spans="1:63" x14ac:dyDescent="0.4">
      <c r="A27" s="2">
        <v>3</v>
      </c>
      <c r="B27" s="12" t="s">
        <v>6</v>
      </c>
      <c r="C27" s="8">
        <f>H36</f>
        <v>2142.8571428571427</v>
      </c>
      <c r="D27" s="8">
        <f t="shared" si="11"/>
        <v>428.57142857142856</v>
      </c>
      <c r="E27" s="8">
        <f>$E$32/7</f>
        <v>0</v>
      </c>
      <c r="F27" s="8">
        <f t="shared" si="12"/>
        <v>71.428571428571431</v>
      </c>
      <c r="G27" s="8">
        <f t="shared" si="13"/>
        <v>139.28571428571428</v>
      </c>
      <c r="H27" s="8">
        <f t="shared" si="14"/>
        <v>273.42857142857144</v>
      </c>
      <c r="I27" s="8">
        <f t="shared" si="15"/>
        <v>275</v>
      </c>
      <c r="J27" s="8">
        <f t="shared" si="16"/>
        <v>35.714285714285715</v>
      </c>
      <c r="K27" s="8">
        <f t="shared" si="20"/>
        <v>89.285714285714292</v>
      </c>
      <c r="L27" s="8">
        <f t="shared" si="17"/>
        <v>17.142857142857142</v>
      </c>
      <c r="M27" s="8">
        <f t="shared" si="18"/>
        <v>378.57142857142856</v>
      </c>
      <c r="N27" s="65">
        <f t="shared" si="19"/>
        <v>3851.2857142857142</v>
      </c>
      <c r="AY27" s="47">
        <f>SUM(AY25:AY26)</f>
        <v>34147</v>
      </c>
    </row>
    <row r="28" spans="1:63" x14ac:dyDescent="0.4">
      <c r="A28" s="2">
        <v>4</v>
      </c>
      <c r="B28" s="12" t="s">
        <v>57</v>
      </c>
      <c r="C28" s="8">
        <f>H36</f>
        <v>2142.8571428571427</v>
      </c>
      <c r="D28" s="8">
        <f t="shared" si="11"/>
        <v>428.57142857142856</v>
      </c>
      <c r="E28" s="8">
        <f>$E$32/7</f>
        <v>0</v>
      </c>
      <c r="F28" s="8">
        <f t="shared" si="12"/>
        <v>71.428571428571431</v>
      </c>
      <c r="G28" s="8">
        <f t="shared" si="13"/>
        <v>139.28571428571428</v>
      </c>
      <c r="H28" s="8">
        <f t="shared" si="14"/>
        <v>273.42857142857144</v>
      </c>
      <c r="I28" s="8">
        <f t="shared" si="15"/>
        <v>275</v>
      </c>
      <c r="J28" s="8">
        <f t="shared" si="16"/>
        <v>35.714285714285715</v>
      </c>
      <c r="K28" s="8">
        <f t="shared" si="20"/>
        <v>89.285714285714292</v>
      </c>
      <c r="L28" s="8">
        <f t="shared" si="17"/>
        <v>17.142857142857142</v>
      </c>
      <c r="M28" s="8">
        <f t="shared" si="18"/>
        <v>378.57142857142856</v>
      </c>
      <c r="N28" s="65">
        <f t="shared" si="19"/>
        <v>3851.2857142857142</v>
      </c>
      <c r="AX28" t="s">
        <v>101</v>
      </c>
      <c r="AY28" s="47">
        <v>29600</v>
      </c>
    </row>
    <row r="29" spans="1:63" x14ac:dyDescent="0.4">
      <c r="A29" s="2">
        <v>5</v>
      </c>
      <c r="B29" s="12" t="s">
        <v>51</v>
      </c>
      <c r="C29" s="8">
        <f>H36</f>
        <v>2142.8571428571427</v>
      </c>
      <c r="D29" s="8">
        <f t="shared" si="11"/>
        <v>428.57142857142856</v>
      </c>
      <c r="E29" s="8">
        <f>$E$32/7</f>
        <v>0</v>
      </c>
      <c r="F29" s="8">
        <f t="shared" si="12"/>
        <v>71.428571428571431</v>
      </c>
      <c r="G29" s="8">
        <f t="shared" si="13"/>
        <v>139.28571428571428</v>
      </c>
      <c r="H29" s="8">
        <f t="shared" si="14"/>
        <v>273.42857142857144</v>
      </c>
      <c r="I29" s="8">
        <f t="shared" si="15"/>
        <v>275</v>
      </c>
      <c r="J29" s="8">
        <f t="shared" si="16"/>
        <v>35.714285714285715</v>
      </c>
      <c r="K29" s="8">
        <f t="shared" si="20"/>
        <v>89.285714285714292</v>
      </c>
      <c r="L29" s="8">
        <f t="shared" si="17"/>
        <v>17.142857142857142</v>
      </c>
      <c r="M29" s="8">
        <f t="shared" si="18"/>
        <v>378.57142857142856</v>
      </c>
      <c r="N29" s="65">
        <f t="shared" si="19"/>
        <v>3851.2857142857142</v>
      </c>
      <c r="AX29" t="s">
        <v>102</v>
      </c>
      <c r="AY29" s="48">
        <f>AY27-AY28</f>
        <v>4547</v>
      </c>
    </row>
    <row r="30" spans="1:63" x14ac:dyDescent="0.4">
      <c r="A30" s="2">
        <v>6</v>
      </c>
      <c r="B30" s="12" t="s">
        <v>104</v>
      </c>
      <c r="C30" s="8">
        <f>H37</f>
        <v>2892.8571428571427</v>
      </c>
      <c r="D30" s="8">
        <f t="shared" si="11"/>
        <v>428.57142857142856</v>
      </c>
      <c r="E30" s="8">
        <v>0</v>
      </c>
      <c r="F30" s="8">
        <f t="shared" si="12"/>
        <v>71.428571428571431</v>
      </c>
      <c r="G30" s="8">
        <f t="shared" si="13"/>
        <v>139.28571428571428</v>
      </c>
      <c r="H30" s="8">
        <f t="shared" si="14"/>
        <v>273.42857142857144</v>
      </c>
      <c r="I30" s="8">
        <f t="shared" si="15"/>
        <v>275</v>
      </c>
      <c r="J30" s="8">
        <f t="shared" si="16"/>
        <v>35.714285714285715</v>
      </c>
      <c r="K30" s="8">
        <f t="shared" si="20"/>
        <v>89.285714285714292</v>
      </c>
      <c r="L30" s="8">
        <f t="shared" si="17"/>
        <v>17.142857142857142</v>
      </c>
      <c r="M30" s="8">
        <f t="shared" si="18"/>
        <v>378.57142857142856</v>
      </c>
      <c r="N30" s="65">
        <f>SUM(C30:M30)</f>
        <v>4601.2857142857138</v>
      </c>
      <c r="AY30" s="47"/>
    </row>
    <row r="31" spans="1:63" x14ac:dyDescent="0.4">
      <c r="A31" s="2">
        <v>7</v>
      </c>
      <c r="B31" s="12" t="s">
        <v>105</v>
      </c>
      <c r="C31" s="8">
        <f>H37</f>
        <v>2892.8571428571427</v>
      </c>
      <c r="D31" s="8">
        <f t="shared" si="11"/>
        <v>428.57142857142856</v>
      </c>
      <c r="E31" s="8">
        <v>0</v>
      </c>
      <c r="F31" s="8">
        <f t="shared" si="12"/>
        <v>71.428571428571431</v>
      </c>
      <c r="G31" s="8">
        <f t="shared" si="13"/>
        <v>139.28571428571428</v>
      </c>
      <c r="H31" s="8">
        <f t="shared" si="14"/>
        <v>273.42857142857144</v>
      </c>
      <c r="I31" s="8">
        <f t="shared" si="15"/>
        <v>275</v>
      </c>
      <c r="J31" s="8">
        <f t="shared" si="16"/>
        <v>35.714285714285715</v>
      </c>
      <c r="K31" s="8">
        <f t="shared" si="20"/>
        <v>89.285714285714292</v>
      </c>
      <c r="L31" s="8">
        <f t="shared" si="17"/>
        <v>17.142857142857142</v>
      </c>
      <c r="M31" s="8">
        <f t="shared" si="18"/>
        <v>378.57142857142856</v>
      </c>
      <c r="N31" s="65">
        <f>SUM(C31:M31)</f>
        <v>4601.2857142857138</v>
      </c>
      <c r="AY31" s="47"/>
    </row>
    <row r="32" spans="1:6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65">
        <v>1914</v>
      </c>
      <c r="I32" s="65">
        <v>1925</v>
      </c>
      <c r="J32" s="65">
        <f>250</f>
        <v>250</v>
      </c>
      <c r="K32" s="65">
        <v>625</v>
      </c>
      <c r="L32" s="65">
        <f>120</f>
        <v>120</v>
      </c>
      <c r="M32" s="65">
        <v>2650</v>
      </c>
      <c r="N32" s="65">
        <f>SUM(N25:N31)</f>
        <v>30458.999999999996</v>
      </c>
      <c r="AY32" s="47"/>
    </row>
    <row r="33" spans="4:51" x14ac:dyDescent="0.4">
      <c r="AX33" t="s">
        <v>103</v>
      </c>
      <c r="AY33" s="47">
        <f>AY28-21100</f>
        <v>8500</v>
      </c>
    </row>
    <row r="34" spans="4:51" x14ac:dyDescent="0.4">
      <c r="N34" t="s">
        <v>61</v>
      </c>
      <c r="O34" s="9">
        <f>C32</f>
        <v>18500</v>
      </c>
      <c r="P34" s="9"/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4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N36" t="s">
        <v>72</v>
      </c>
      <c r="O36" s="9">
        <f>I32</f>
        <v>1925</v>
      </c>
    </row>
    <row r="37" spans="4:51" x14ac:dyDescent="0.4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N37" t="s">
        <v>73</v>
      </c>
      <c r="O37" s="9">
        <f>H32</f>
        <v>1914</v>
      </c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4">
      <c r="O39" s="9">
        <f>SUM(O34:O38)</f>
        <v>23564</v>
      </c>
    </row>
    <row r="40" spans="4:51" x14ac:dyDescent="0.4">
      <c r="O40" s="9"/>
    </row>
    <row r="41" spans="4:51" x14ac:dyDescent="0.4">
      <c r="O41" s="9"/>
    </row>
    <row r="42" spans="4:51" x14ac:dyDescent="0.4">
      <c r="N42" t="s">
        <v>12</v>
      </c>
      <c r="O42" s="9">
        <f>D32</f>
        <v>3000</v>
      </c>
    </row>
    <row r="43" spans="4:51" x14ac:dyDescent="0.4">
      <c r="N43" t="s">
        <v>13</v>
      </c>
      <c r="O43" s="9">
        <f>E32</f>
        <v>0</v>
      </c>
      <c r="P43" s="9"/>
    </row>
    <row r="44" spans="4:51" x14ac:dyDescent="0.4">
      <c r="N44" t="s">
        <v>14</v>
      </c>
      <c r="O44" s="9">
        <f>F32</f>
        <v>500</v>
      </c>
    </row>
    <row r="45" spans="4:51" x14ac:dyDescent="0.4">
      <c r="N45" t="s">
        <v>20</v>
      </c>
      <c r="O45" s="9">
        <f>L32</f>
        <v>120</v>
      </c>
    </row>
    <row r="46" spans="4:51" x14ac:dyDescent="0.4">
      <c r="N46" t="s">
        <v>123</v>
      </c>
      <c r="O46" s="9">
        <f>K32</f>
        <v>625</v>
      </c>
    </row>
    <row r="47" spans="4:51" x14ac:dyDescent="0.4">
      <c r="N47" t="s">
        <v>21</v>
      </c>
      <c r="O47" s="9">
        <f>M32</f>
        <v>2650</v>
      </c>
    </row>
    <row r="48" spans="4:51" x14ac:dyDescent="0.4">
      <c r="O48" s="9">
        <f>SUM(O42:O47)</f>
        <v>6895</v>
      </c>
    </row>
    <row r="50" spans="14:15" x14ac:dyDescent="0.4">
      <c r="N50" s="70" t="s">
        <v>124</v>
      </c>
      <c r="O50" s="44">
        <f>O48+O39</f>
        <v>30459</v>
      </c>
    </row>
    <row r="52" spans="14:15" x14ac:dyDescent="0.4">
      <c r="N52" s="70" t="s">
        <v>125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U5:AU11">
    <cfRule type="cellIs" dxfId="24" priority="2" operator="lessThan">
      <formula>0</formula>
    </cfRule>
  </conditionalFormatting>
  <conditionalFormatting sqref="AN5:AN11">
    <cfRule type="cellIs" dxfId="23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E115-E144-4233-8632-CCF5B2CB7435}">
  <dimension ref="A1:BK52"/>
  <sheetViews>
    <sheetView zoomScaleNormal="100" workbookViewId="0">
      <pane xSplit="2" ySplit="4" topLeftCell="C17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P34" sqref="P34"/>
    </sheetView>
  </sheetViews>
  <sheetFormatPr defaultRowHeight="15.6" x14ac:dyDescent="0.4"/>
  <cols>
    <col min="1" max="1" width="7" bestFit="1" customWidth="1"/>
    <col min="2" max="2" width="18.8984375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5.8984375" customWidth="1"/>
    <col min="36" max="36" width="4.296875" customWidth="1"/>
    <col min="37" max="37" width="22.19921875" customWidth="1"/>
    <col min="38" max="38" width="10.3984375" customWidth="1"/>
    <col min="39" max="39" width="12.19921875" customWidth="1"/>
    <col min="40" max="40" width="10.19921875" customWidth="1"/>
    <col min="41" max="41" width="12" customWidth="1"/>
    <col min="42" max="42" width="10.19921875" customWidth="1"/>
    <col min="43" max="43" width="12.19921875" customWidth="1"/>
    <col min="44" max="44" width="17.3984375" customWidth="1"/>
    <col min="45" max="45" width="9.3984375" customWidth="1"/>
    <col min="46" max="46" width="10.296875" customWidth="1"/>
    <col min="47" max="47" width="9.1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63" ht="14.55" customHeight="1" x14ac:dyDescent="0.4">
      <c r="C1" s="204" t="s">
        <v>119</v>
      </c>
      <c r="D1" s="204"/>
      <c r="E1" s="205">
        <f>AH22/AH12</f>
        <v>59.584569732937688</v>
      </c>
      <c r="F1" s="205"/>
    </row>
    <row r="2" spans="1:63" ht="25.5" customHeight="1" x14ac:dyDescent="0.4">
      <c r="C2" s="204"/>
      <c r="D2" s="204"/>
      <c r="E2" s="205"/>
      <c r="F2" s="205"/>
    </row>
    <row r="4" spans="1:63" ht="62.4" x14ac:dyDescent="0.4">
      <c r="A4" s="53" t="s">
        <v>0</v>
      </c>
      <c r="B4" s="53" t="s">
        <v>2</v>
      </c>
      <c r="C4" s="54">
        <v>44501</v>
      </c>
      <c r="D4" s="54">
        <v>44502</v>
      </c>
      <c r="E4" s="54">
        <v>44503</v>
      </c>
      <c r="F4" s="54">
        <v>44504</v>
      </c>
      <c r="G4" s="54">
        <v>44505</v>
      </c>
      <c r="H4" s="54">
        <v>44506</v>
      </c>
      <c r="I4" s="54">
        <v>44507</v>
      </c>
      <c r="J4" s="54">
        <v>44508</v>
      </c>
      <c r="K4" s="54">
        <v>44509</v>
      </c>
      <c r="L4" s="54">
        <v>44510</v>
      </c>
      <c r="M4" s="54">
        <v>44511</v>
      </c>
      <c r="N4" s="54">
        <v>44512</v>
      </c>
      <c r="O4" s="54">
        <v>44513</v>
      </c>
      <c r="P4" s="54">
        <v>44514</v>
      </c>
      <c r="Q4" s="54">
        <v>44515</v>
      </c>
      <c r="R4" s="54">
        <v>44516</v>
      </c>
      <c r="S4" s="54">
        <v>44517</v>
      </c>
      <c r="T4" s="54">
        <v>44518</v>
      </c>
      <c r="U4" s="54">
        <v>44519</v>
      </c>
      <c r="V4" s="54">
        <v>44520</v>
      </c>
      <c r="W4" s="54">
        <v>44521</v>
      </c>
      <c r="X4" s="54">
        <v>44522</v>
      </c>
      <c r="Y4" s="54">
        <v>44523</v>
      </c>
      <c r="Z4" s="54">
        <v>44524</v>
      </c>
      <c r="AA4" s="54">
        <v>44525</v>
      </c>
      <c r="AB4" s="54">
        <v>44526</v>
      </c>
      <c r="AC4" s="54">
        <v>44527</v>
      </c>
      <c r="AD4" s="54">
        <v>44528</v>
      </c>
      <c r="AE4" s="54">
        <v>44529</v>
      </c>
      <c r="AF4" s="54">
        <v>44530</v>
      </c>
      <c r="AG4" s="54"/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120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126</v>
      </c>
    </row>
    <row r="5" spans="1:63" x14ac:dyDescent="0.4">
      <c r="A5" s="2">
        <v>1</v>
      </c>
      <c r="B5" s="3" t="s">
        <v>5</v>
      </c>
      <c r="C5" s="7">
        <v>0</v>
      </c>
      <c r="D5" s="7">
        <v>0.5</v>
      </c>
      <c r="E5" s="7">
        <v>1.5</v>
      </c>
      <c r="F5" s="7">
        <v>1</v>
      </c>
      <c r="G5" s="7">
        <v>2.5</v>
      </c>
      <c r="H5" s="7">
        <v>3</v>
      </c>
      <c r="I5" s="7">
        <v>2.5</v>
      </c>
      <c r="J5" s="7">
        <v>2.5</v>
      </c>
      <c r="K5" s="7">
        <v>2.5</v>
      </c>
      <c r="L5" s="7">
        <v>2.5</v>
      </c>
      <c r="M5" s="7">
        <v>2.5</v>
      </c>
      <c r="N5" s="7">
        <v>0.5</v>
      </c>
      <c r="O5" s="7">
        <v>2</v>
      </c>
      <c r="P5" s="7">
        <v>3.5</v>
      </c>
      <c r="Q5" s="7">
        <v>0</v>
      </c>
      <c r="R5" s="7">
        <v>2.5</v>
      </c>
      <c r="S5" s="7">
        <v>2.5</v>
      </c>
      <c r="T5" s="7">
        <v>2.5</v>
      </c>
      <c r="U5" s="7">
        <v>1.5</v>
      </c>
      <c r="V5" s="7">
        <v>1.5</v>
      </c>
      <c r="W5" s="7">
        <v>2.5</v>
      </c>
      <c r="X5" s="7">
        <v>2.5</v>
      </c>
      <c r="Y5" s="7">
        <v>2.5</v>
      </c>
      <c r="Z5" s="7">
        <v>1</v>
      </c>
      <c r="AA5" s="7">
        <v>2.5</v>
      </c>
      <c r="AB5" s="7">
        <v>1.5</v>
      </c>
      <c r="AC5" s="7">
        <v>3.5</v>
      </c>
      <c r="AD5" s="7">
        <v>2.5</v>
      </c>
      <c r="AE5" s="7">
        <v>2.5</v>
      </c>
      <c r="AF5" s="7">
        <v>0</v>
      </c>
      <c r="AG5" s="7"/>
      <c r="AH5" s="56">
        <f>SUM(C5:AG5)</f>
        <v>58.5</v>
      </c>
      <c r="AJ5" s="2">
        <v>1</v>
      </c>
      <c r="AK5" s="3" t="s">
        <v>5</v>
      </c>
      <c r="AL5" s="16">
        <f>AH5*$E$1</f>
        <v>3485.6973293768547</v>
      </c>
      <c r="AM5" s="16">
        <f>AH15</f>
        <v>4735</v>
      </c>
      <c r="AN5" s="16">
        <f>AM5-AL5</f>
        <v>1249.3026706231453</v>
      </c>
      <c r="AO5" s="16">
        <f>N25</f>
        <v>4264.2857142857129</v>
      </c>
      <c r="AP5" s="16">
        <f t="shared" ref="AP5:AP11" si="0">AO5-AN5</f>
        <v>3014.9830436625675</v>
      </c>
      <c r="AQ5" s="68">
        <f>'Meal October''21 &amp; Rent November'!AU5</f>
        <v>3669.7402910707087</v>
      </c>
      <c r="AR5" s="16">
        <f t="shared" ref="AR5:AR11" si="1">AP5-AQ5</f>
        <v>-654.75724740814121</v>
      </c>
      <c r="AS5" s="26">
        <f>500+120</f>
        <v>620</v>
      </c>
      <c r="AT5" s="62"/>
      <c r="AU5" s="16">
        <f t="shared" ref="AU5:AU11" si="2">AS5-AR5</f>
        <v>1274.7572474081412</v>
      </c>
      <c r="AY5" s="9"/>
    </row>
    <row r="6" spans="1:63" x14ac:dyDescent="0.4">
      <c r="A6" s="2">
        <v>2</v>
      </c>
      <c r="B6" s="3" t="s">
        <v>111</v>
      </c>
      <c r="C6" s="7">
        <v>1</v>
      </c>
      <c r="D6" s="7">
        <v>0</v>
      </c>
      <c r="E6" s="7">
        <v>1</v>
      </c>
      <c r="F6" s="7">
        <v>2.5</v>
      </c>
      <c r="G6" s="7">
        <v>4</v>
      </c>
      <c r="H6" s="7">
        <v>4</v>
      </c>
      <c r="I6" s="7">
        <v>1.5</v>
      </c>
      <c r="J6" s="7">
        <v>1</v>
      </c>
      <c r="K6" s="7">
        <v>1</v>
      </c>
      <c r="L6" s="7">
        <v>1</v>
      </c>
      <c r="M6" s="7">
        <v>1.5</v>
      </c>
      <c r="N6" s="7">
        <v>3.5</v>
      </c>
      <c r="O6" s="7">
        <v>2</v>
      </c>
      <c r="P6" s="7">
        <v>1.5</v>
      </c>
      <c r="Q6" s="7">
        <v>1</v>
      </c>
      <c r="R6" s="7">
        <v>1</v>
      </c>
      <c r="S6" s="7">
        <v>1</v>
      </c>
      <c r="T6" s="7">
        <v>1</v>
      </c>
      <c r="U6" s="7">
        <v>2.5</v>
      </c>
      <c r="V6" s="7">
        <v>2.5</v>
      </c>
      <c r="W6" s="7">
        <v>1</v>
      </c>
      <c r="X6" s="7">
        <v>1</v>
      </c>
      <c r="Y6" s="7">
        <v>1.5</v>
      </c>
      <c r="Z6" s="7">
        <v>1</v>
      </c>
      <c r="AA6" s="7">
        <v>2</v>
      </c>
      <c r="AB6" s="7">
        <v>4.5</v>
      </c>
      <c r="AC6" s="7">
        <v>3.5</v>
      </c>
      <c r="AD6" s="7">
        <v>2.5</v>
      </c>
      <c r="AE6" s="7">
        <v>2.5</v>
      </c>
      <c r="AF6" s="7">
        <v>0</v>
      </c>
      <c r="AG6" s="7"/>
      <c r="AH6" s="56">
        <f t="shared" ref="AH6:AH11" si="3">SUM(C6:AG6)</f>
        <v>54</v>
      </c>
      <c r="AJ6" s="2">
        <v>2</v>
      </c>
      <c r="AK6" s="3" t="s">
        <v>111</v>
      </c>
      <c r="AL6" s="16">
        <f>AH6*$E$1</f>
        <v>3217.5667655786351</v>
      </c>
      <c r="AM6" s="16">
        <f t="shared" ref="AM6:AM11" si="4">AH16</f>
        <v>2505</v>
      </c>
      <c r="AN6" s="16">
        <f>AM6-AL6</f>
        <v>-712.56676557863511</v>
      </c>
      <c r="AO6" s="16">
        <f t="shared" ref="AO6:AO8" si="5">N26</f>
        <v>4264.2857142857129</v>
      </c>
      <c r="AP6" s="16">
        <f t="shared" si="0"/>
        <v>4976.8524798643484</v>
      </c>
      <c r="AQ6" s="68">
        <f>'Meal October''21 &amp; Rent November'!AU6</f>
        <v>-6.2374650839956303E-2</v>
      </c>
      <c r="AR6" s="16">
        <f t="shared" si="1"/>
        <v>4976.9148545151884</v>
      </c>
      <c r="AS6" s="26">
        <f>3000+1980</f>
        <v>4980</v>
      </c>
      <c r="AT6" s="62"/>
      <c r="AU6" s="16">
        <f t="shared" si="2"/>
        <v>3.0851454848116191</v>
      </c>
      <c r="AY6" s="9"/>
    </row>
    <row r="7" spans="1:63" x14ac:dyDescent="0.4">
      <c r="A7" s="2">
        <v>3</v>
      </c>
      <c r="B7" s="3" t="s">
        <v>6</v>
      </c>
      <c r="C7" s="7">
        <v>1.5</v>
      </c>
      <c r="D7" s="7">
        <v>1.5</v>
      </c>
      <c r="E7" s="7">
        <v>1</v>
      </c>
      <c r="F7" s="7">
        <v>2.5</v>
      </c>
      <c r="G7" s="7">
        <v>2.5</v>
      </c>
      <c r="H7" s="7">
        <v>3.5</v>
      </c>
      <c r="I7" s="7">
        <v>2.5</v>
      </c>
      <c r="J7" s="7">
        <v>5</v>
      </c>
      <c r="K7" s="7">
        <v>2.5</v>
      </c>
      <c r="L7" s="7">
        <v>2.5</v>
      </c>
      <c r="M7" s="7">
        <v>1.5</v>
      </c>
      <c r="N7" s="7">
        <v>2.5</v>
      </c>
      <c r="O7" s="7">
        <v>1</v>
      </c>
      <c r="P7" s="7">
        <v>3.5</v>
      </c>
      <c r="Q7" s="7">
        <v>2.5</v>
      </c>
      <c r="R7" s="7">
        <v>1</v>
      </c>
      <c r="S7" s="7">
        <v>1.5</v>
      </c>
      <c r="T7" s="7">
        <v>1.5</v>
      </c>
      <c r="U7" s="7">
        <v>2.5</v>
      </c>
      <c r="V7" s="7">
        <v>1.5</v>
      </c>
      <c r="W7" s="7">
        <v>1</v>
      </c>
      <c r="X7" s="7">
        <v>2</v>
      </c>
      <c r="Y7" s="7">
        <v>1.5</v>
      </c>
      <c r="Z7" s="7">
        <v>1</v>
      </c>
      <c r="AA7" s="7">
        <v>1.5</v>
      </c>
      <c r="AB7" s="7">
        <v>1.5</v>
      </c>
      <c r="AC7" s="7">
        <v>1.5</v>
      </c>
      <c r="AD7" s="7">
        <v>1.5</v>
      </c>
      <c r="AE7" s="7">
        <v>1.5</v>
      </c>
      <c r="AF7" s="7">
        <v>0</v>
      </c>
      <c r="AG7" s="7"/>
      <c r="AH7" s="56">
        <f t="shared" si="3"/>
        <v>57</v>
      </c>
      <c r="AJ7" s="2">
        <v>3</v>
      </c>
      <c r="AK7" s="3" t="s">
        <v>6</v>
      </c>
      <c r="AL7" s="16">
        <f t="shared" ref="AL7:AL11" si="6">AH7*$E$1</f>
        <v>3396.320474777448</v>
      </c>
      <c r="AM7" s="16">
        <f t="shared" si="4"/>
        <v>2625</v>
      </c>
      <c r="AN7" s="16">
        <f t="shared" ref="AN7:AN11" si="7">AM7-AL7</f>
        <v>-771.320474777448</v>
      </c>
      <c r="AO7" s="16">
        <f t="shared" si="5"/>
        <v>3264.2857142857142</v>
      </c>
      <c r="AP7" s="16">
        <f t="shared" si="0"/>
        <v>4035.6061890631622</v>
      </c>
      <c r="AQ7" s="68">
        <f>'Meal October''21 &amp; Rent November'!AU7</f>
        <v>-1486.4525809745064</v>
      </c>
      <c r="AR7" s="16">
        <f t="shared" si="1"/>
        <v>5522.0587700376691</v>
      </c>
      <c r="AS7" s="26">
        <v>4850</v>
      </c>
      <c r="AT7" s="62"/>
      <c r="AU7" s="16">
        <f t="shared" si="2"/>
        <v>-672.05877003766909</v>
      </c>
      <c r="AY7" s="9"/>
    </row>
    <row r="8" spans="1:63" x14ac:dyDescent="0.4">
      <c r="A8" s="2">
        <v>4</v>
      </c>
      <c r="B8" s="3" t="s">
        <v>57</v>
      </c>
      <c r="C8" s="7">
        <v>2.5</v>
      </c>
      <c r="D8" s="7">
        <v>1.5</v>
      </c>
      <c r="E8" s="7">
        <v>1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2.5</v>
      </c>
      <c r="N8" s="7">
        <v>2.5</v>
      </c>
      <c r="O8" s="7">
        <v>1</v>
      </c>
      <c r="P8" s="7">
        <v>2.5</v>
      </c>
      <c r="Q8" s="7">
        <v>1.5</v>
      </c>
      <c r="R8" s="7">
        <v>1</v>
      </c>
      <c r="S8" s="7">
        <v>2.5</v>
      </c>
      <c r="T8" s="7">
        <v>1.5</v>
      </c>
      <c r="U8" s="7">
        <v>1</v>
      </c>
      <c r="V8" s="7">
        <v>2</v>
      </c>
      <c r="W8" s="7">
        <v>2.5</v>
      </c>
      <c r="X8" s="7">
        <v>2.5</v>
      </c>
      <c r="Y8" s="7">
        <v>1.5</v>
      </c>
      <c r="Z8" s="7">
        <v>0</v>
      </c>
      <c r="AA8" s="7">
        <v>1.5</v>
      </c>
      <c r="AB8" s="7">
        <v>2.5</v>
      </c>
      <c r="AC8" s="7">
        <v>1.5</v>
      </c>
      <c r="AD8" s="7">
        <v>1.5</v>
      </c>
      <c r="AE8" s="7">
        <v>2</v>
      </c>
      <c r="AF8" s="7">
        <v>0</v>
      </c>
      <c r="AG8" s="7"/>
      <c r="AH8" s="56">
        <f t="shared" si="3"/>
        <v>56</v>
      </c>
      <c r="AJ8" s="2">
        <v>4</v>
      </c>
      <c r="AK8" s="3" t="s">
        <v>57</v>
      </c>
      <c r="AL8" s="16">
        <f t="shared" si="6"/>
        <v>3336.7359050445107</v>
      </c>
      <c r="AM8" s="16">
        <f t="shared" si="4"/>
        <v>2025</v>
      </c>
      <c r="AN8" s="16">
        <f t="shared" si="7"/>
        <v>-1311.7359050445107</v>
      </c>
      <c r="AO8" s="16">
        <f t="shared" si="5"/>
        <v>3264.2857142857142</v>
      </c>
      <c r="AP8" s="16">
        <f t="shared" si="0"/>
        <v>4576.0216193302249</v>
      </c>
      <c r="AQ8" s="68">
        <f>'Meal October''21 &amp; Rent November'!AU8</f>
        <v>-2328.5025473250607</v>
      </c>
      <c r="AR8" s="16">
        <f t="shared" si="1"/>
        <v>6904.5241666552856</v>
      </c>
      <c r="AS8" s="26">
        <f>2000+200+1427+3300</f>
        <v>6927</v>
      </c>
      <c r="AT8" s="62"/>
      <c r="AU8" s="16">
        <f t="shared" si="2"/>
        <v>22.475833344714374</v>
      </c>
      <c r="AV8" s="25"/>
      <c r="AW8">
        <v>2000</v>
      </c>
      <c r="AY8" s="9"/>
    </row>
    <row r="9" spans="1:63" x14ac:dyDescent="0.4">
      <c r="A9" s="2">
        <v>5</v>
      </c>
      <c r="B9" s="12" t="s">
        <v>51</v>
      </c>
      <c r="C9" s="7">
        <v>1.5</v>
      </c>
      <c r="D9" s="7">
        <v>0.5</v>
      </c>
      <c r="E9" s="7">
        <v>1</v>
      </c>
      <c r="F9" s="7">
        <v>2</v>
      </c>
      <c r="G9" s="7">
        <v>5</v>
      </c>
      <c r="H9" s="7">
        <v>6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2.5</v>
      </c>
      <c r="O9" s="7">
        <v>1</v>
      </c>
      <c r="P9" s="7">
        <v>1</v>
      </c>
      <c r="Q9" s="7">
        <v>1</v>
      </c>
      <c r="R9" s="7">
        <v>1.5</v>
      </c>
      <c r="S9" s="7">
        <v>1</v>
      </c>
      <c r="T9" s="7">
        <v>1.5</v>
      </c>
      <c r="U9" s="7">
        <v>2.5</v>
      </c>
      <c r="V9" s="7">
        <v>2.5</v>
      </c>
      <c r="W9" s="7">
        <v>1</v>
      </c>
      <c r="X9" s="7">
        <v>1</v>
      </c>
      <c r="Y9" s="7">
        <v>1</v>
      </c>
      <c r="Z9" s="7">
        <v>1</v>
      </c>
      <c r="AA9" s="7">
        <v>1.5</v>
      </c>
      <c r="AB9" s="7">
        <v>3.5</v>
      </c>
      <c r="AC9" s="7">
        <v>2.5</v>
      </c>
      <c r="AD9" s="7">
        <v>2</v>
      </c>
      <c r="AE9" s="7">
        <v>5</v>
      </c>
      <c r="AF9" s="7">
        <v>0</v>
      </c>
      <c r="AG9" s="7"/>
      <c r="AH9" s="56">
        <f t="shared" si="3"/>
        <v>54</v>
      </c>
      <c r="AJ9" s="2">
        <v>5</v>
      </c>
      <c r="AK9" s="12" t="s">
        <v>51</v>
      </c>
      <c r="AL9" s="16">
        <f t="shared" si="6"/>
        <v>3217.5667655786351</v>
      </c>
      <c r="AM9" s="16">
        <f t="shared" si="4"/>
        <v>2570</v>
      </c>
      <c r="AN9" s="16">
        <f t="shared" si="7"/>
        <v>-647.56676557863511</v>
      </c>
      <c r="AO9" s="16">
        <f>N29</f>
        <v>3264.2857142857142</v>
      </c>
      <c r="AP9" s="16">
        <f>AO9-AN9</f>
        <v>3911.8524798643493</v>
      </c>
      <c r="AQ9" s="68">
        <f>'Meal October''21 &amp; Rent November'!AU9</f>
        <v>1668.411818562849</v>
      </c>
      <c r="AR9" s="16">
        <f t="shared" si="1"/>
        <v>2243.4406613015003</v>
      </c>
      <c r="AS9" s="26">
        <v>3000</v>
      </c>
      <c r="AT9" s="62"/>
      <c r="AU9" s="16">
        <f t="shared" si="2"/>
        <v>756.55933869849969</v>
      </c>
    </row>
    <row r="10" spans="1:63" x14ac:dyDescent="0.4">
      <c r="A10" s="2">
        <v>6</v>
      </c>
      <c r="B10" s="1" t="s">
        <v>110</v>
      </c>
      <c r="C10" s="7">
        <v>1.5</v>
      </c>
      <c r="D10" s="7">
        <v>1</v>
      </c>
      <c r="E10" s="7">
        <v>1</v>
      </c>
      <c r="F10" s="7">
        <v>1</v>
      </c>
      <c r="G10" s="7">
        <v>1.5</v>
      </c>
      <c r="H10" s="7">
        <v>1.5</v>
      </c>
      <c r="I10" s="7">
        <v>1.5</v>
      </c>
      <c r="J10" s="7">
        <v>1</v>
      </c>
      <c r="K10" s="7">
        <v>1.5</v>
      </c>
      <c r="L10" s="7">
        <v>1.5</v>
      </c>
      <c r="M10" s="7">
        <v>1.5</v>
      </c>
      <c r="N10" s="7">
        <v>1.5</v>
      </c>
      <c r="O10" s="7">
        <v>1</v>
      </c>
      <c r="P10" s="7">
        <v>1.5</v>
      </c>
      <c r="Q10" s="7">
        <v>2.5</v>
      </c>
      <c r="R10" s="7">
        <v>1.5</v>
      </c>
      <c r="S10" s="7">
        <v>1.5</v>
      </c>
      <c r="T10" s="7">
        <v>1.5</v>
      </c>
      <c r="U10" s="7">
        <v>1.5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1.5</v>
      </c>
      <c r="AB10" s="7">
        <v>1.5</v>
      </c>
      <c r="AC10" s="7">
        <v>2.5</v>
      </c>
      <c r="AD10" s="7">
        <v>1.5</v>
      </c>
      <c r="AE10" s="7">
        <v>2.5</v>
      </c>
      <c r="AF10" s="7">
        <v>0</v>
      </c>
      <c r="AG10" s="7"/>
      <c r="AH10" s="56">
        <f t="shared" si="3"/>
        <v>41.5</v>
      </c>
      <c r="AJ10" s="2">
        <v>6</v>
      </c>
      <c r="AK10" s="12" t="s">
        <v>104</v>
      </c>
      <c r="AL10" s="16">
        <f>AH10*$E$1</f>
        <v>2472.7596439169142</v>
      </c>
      <c r="AM10" s="16">
        <f>AH20</f>
        <v>3340</v>
      </c>
      <c r="AN10" s="16">
        <f t="shared" si="7"/>
        <v>867.24035608308577</v>
      </c>
      <c r="AO10" s="16">
        <f>N30</f>
        <v>4014.2857142857142</v>
      </c>
      <c r="AP10" s="16">
        <f t="shared" si="0"/>
        <v>3147.0453582026284</v>
      </c>
      <c r="AQ10" s="68">
        <f>'Meal October''21 &amp; Rent November'!AU10</f>
        <v>123.40497477555391</v>
      </c>
      <c r="AR10" s="16">
        <f t="shared" si="1"/>
        <v>3023.6403834270745</v>
      </c>
      <c r="AS10" s="26">
        <v>3050</v>
      </c>
      <c r="AT10" s="62"/>
      <c r="AU10" s="16">
        <f>AS10-AR10</f>
        <v>26.359616572925461</v>
      </c>
      <c r="AV10" s="47"/>
    </row>
    <row r="11" spans="1:63" x14ac:dyDescent="0.4">
      <c r="A11" s="2">
        <v>7</v>
      </c>
      <c r="B11" s="3" t="s">
        <v>118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2</v>
      </c>
      <c r="M11" s="7">
        <v>2</v>
      </c>
      <c r="N11" s="7">
        <v>0</v>
      </c>
      <c r="O11" s="7">
        <v>1</v>
      </c>
      <c r="P11" s="7">
        <v>2</v>
      </c>
      <c r="Q11" s="7">
        <v>2</v>
      </c>
      <c r="R11" s="7">
        <v>2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/>
      <c r="AH11" s="56">
        <f t="shared" si="3"/>
        <v>16</v>
      </c>
      <c r="AJ11" s="2">
        <v>7</v>
      </c>
      <c r="AK11" s="3" t="s">
        <v>118</v>
      </c>
      <c r="AL11" s="16">
        <f t="shared" si="6"/>
        <v>953.353115727003</v>
      </c>
      <c r="AM11" s="16">
        <f t="shared" si="4"/>
        <v>2280</v>
      </c>
      <c r="AN11" s="16">
        <f t="shared" si="7"/>
        <v>1326.6468842729969</v>
      </c>
      <c r="AO11" s="16">
        <f>N31</f>
        <v>4014.2857142857142</v>
      </c>
      <c r="AP11" s="16">
        <f t="shared" si="0"/>
        <v>2687.6388300127173</v>
      </c>
      <c r="AQ11" s="68">
        <f>'Meal October''21 &amp; Rent November'!AU11</f>
        <v>-680.1710218969979</v>
      </c>
      <c r="AR11" s="16">
        <f t="shared" si="1"/>
        <v>3367.8098519097152</v>
      </c>
      <c r="AS11" s="61">
        <f>2000+1370</f>
        <v>3370</v>
      </c>
      <c r="AT11" s="62"/>
      <c r="AU11" s="16">
        <f t="shared" si="2"/>
        <v>2.1901480902847652</v>
      </c>
      <c r="AV11" s="9"/>
    </row>
    <row r="12" spans="1:63" x14ac:dyDescent="0.4">
      <c r="C12" s="55">
        <f>SUM(C5:C11)</f>
        <v>8</v>
      </c>
      <c r="D12" s="55">
        <f t="shared" ref="D12:AF12" si="8">SUM(D5:D11)</f>
        <v>5</v>
      </c>
      <c r="E12" s="55">
        <f t="shared" si="8"/>
        <v>6.5</v>
      </c>
      <c r="F12" s="55">
        <f t="shared" si="8"/>
        <v>11.5</v>
      </c>
      <c r="G12" s="55">
        <f t="shared" si="8"/>
        <v>18</v>
      </c>
      <c r="H12" s="55">
        <f t="shared" si="8"/>
        <v>20.5</v>
      </c>
      <c r="I12" s="55">
        <f t="shared" si="8"/>
        <v>11.5</v>
      </c>
      <c r="J12" s="55">
        <f t="shared" si="8"/>
        <v>13</v>
      </c>
      <c r="K12" s="55">
        <f t="shared" si="8"/>
        <v>13</v>
      </c>
      <c r="L12" s="55">
        <f t="shared" si="8"/>
        <v>13</v>
      </c>
      <c r="M12" s="55">
        <f t="shared" si="8"/>
        <v>12.5</v>
      </c>
      <c r="N12" s="55">
        <f t="shared" si="8"/>
        <v>13</v>
      </c>
      <c r="O12" s="55">
        <f t="shared" si="8"/>
        <v>9</v>
      </c>
      <c r="P12" s="55">
        <f t="shared" si="8"/>
        <v>15.5</v>
      </c>
      <c r="Q12" s="55">
        <f t="shared" si="8"/>
        <v>10.5</v>
      </c>
      <c r="R12" s="55">
        <f t="shared" si="8"/>
        <v>10.5</v>
      </c>
      <c r="S12" s="55">
        <f t="shared" si="8"/>
        <v>11</v>
      </c>
      <c r="T12" s="55">
        <f t="shared" si="8"/>
        <v>10.5</v>
      </c>
      <c r="U12" s="55">
        <f t="shared" si="8"/>
        <v>11.5</v>
      </c>
      <c r="V12" s="55">
        <f t="shared" si="8"/>
        <v>11</v>
      </c>
      <c r="W12" s="55">
        <f t="shared" si="8"/>
        <v>9</v>
      </c>
      <c r="X12" s="55">
        <f t="shared" si="8"/>
        <v>10</v>
      </c>
      <c r="Y12" s="55">
        <f t="shared" si="8"/>
        <v>9</v>
      </c>
      <c r="Z12" s="55">
        <f t="shared" si="8"/>
        <v>5</v>
      </c>
      <c r="AA12" s="55">
        <f t="shared" si="8"/>
        <v>10.5</v>
      </c>
      <c r="AB12" s="55">
        <f t="shared" si="8"/>
        <v>15</v>
      </c>
      <c r="AC12" s="55">
        <f t="shared" si="8"/>
        <v>15</v>
      </c>
      <c r="AD12" s="55">
        <f t="shared" si="8"/>
        <v>12.5</v>
      </c>
      <c r="AE12" s="55">
        <f t="shared" si="8"/>
        <v>16</v>
      </c>
      <c r="AF12" s="55">
        <f t="shared" si="8"/>
        <v>0</v>
      </c>
      <c r="AG12" s="55"/>
      <c r="AH12" s="55">
        <f>SUM(AH5:AH11)</f>
        <v>337</v>
      </c>
      <c r="AJ12" s="2"/>
      <c r="AK12" s="12"/>
      <c r="AL12" s="51">
        <f t="shared" ref="AL12:AQ12" si="9">SUM(AL5:AL11)</f>
        <v>20080.000000000004</v>
      </c>
      <c r="AM12" s="51">
        <f t="shared" si="9"/>
        <v>20080</v>
      </c>
      <c r="AN12" s="51">
        <f t="shared" si="9"/>
        <v>0</v>
      </c>
      <c r="AO12" s="51">
        <f t="shared" si="9"/>
        <v>26349.999999999996</v>
      </c>
      <c r="AP12" s="51">
        <f t="shared" si="9"/>
        <v>26349.999999999996</v>
      </c>
      <c r="AQ12" s="69">
        <f t="shared" si="9"/>
        <v>966.36855956170666</v>
      </c>
      <c r="AR12" s="51">
        <f>AP12-AQ12</f>
        <v>25383.63144043829</v>
      </c>
      <c r="AS12" s="63">
        <f>SUM(AS5:AS11)</f>
        <v>26797</v>
      </c>
      <c r="AT12" s="63"/>
      <c r="AU12" s="51">
        <f>SUM(AU5:AU11)</f>
        <v>1413.368559561708</v>
      </c>
      <c r="AV12" s="9"/>
    </row>
    <row r="13" spans="1:63" x14ac:dyDescent="0.4">
      <c r="AL13" s="25"/>
      <c r="AM13" s="9"/>
      <c r="AN13" s="9"/>
      <c r="AO13" s="9"/>
      <c r="AP13" s="9"/>
      <c r="AQ13" s="9"/>
      <c r="AR13" s="25"/>
      <c r="AS13" s="9"/>
      <c r="AT13" s="9"/>
      <c r="AU13" s="9"/>
      <c r="AV13" s="9"/>
      <c r="AW13" s="9"/>
      <c r="AX13" s="44" t="s">
        <v>88</v>
      </c>
      <c r="AY13" s="9"/>
    </row>
    <row r="14" spans="1:63" x14ac:dyDescent="0.4">
      <c r="B14" s="64" t="s">
        <v>121</v>
      </c>
      <c r="AX14" s="1" t="s">
        <v>89</v>
      </c>
      <c r="AY14" s="1" t="s">
        <v>95</v>
      </c>
    </row>
    <row r="15" spans="1:63" x14ac:dyDescent="0.4">
      <c r="A15" s="2">
        <v>1</v>
      </c>
      <c r="B15" s="3" t="s">
        <v>5</v>
      </c>
      <c r="C15" s="8"/>
      <c r="D15" s="8"/>
      <c r="E15" s="8"/>
      <c r="F15" s="8"/>
      <c r="G15" s="8"/>
      <c r="H15" s="8">
        <v>2260</v>
      </c>
      <c r="I15" s="8">
        <v>1040</v>
      </c>
      <c r="J15" s="8"/>
      <c r="K15" s="8">
        <v>640</v>
      </c>
      <c r="L15" s="8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770</v>
      </c>
      <c r="AA15" s="8"/>
      <c r="AB15" s="8"/>
      <c r="AC15" s="8"/>
      <c r="AD15" s="8"/>
      <c r="AE15" s="8"/>
      <c r="AF15" s="8"/>
      <c r="AG15" s="8"/>
      <c r="AH15" s="65">
        <f>SUM(C15:AG15)</f>
        <v>4735</v>
      </c>
      <c r="AR15" s="25"/>
      <c r="AU15" s="9"/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4">
      <c r="A16" s="2">
        <v>2</v>
      </c>
      <c r="B16" s="3" t="s">
        <v>111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>
        <v>910</v>
      </c>
      <c r="V16" s="8">
        <v>1160</v>
      </c>
      <c r="W16" s="8">
        <v>185</v>
      </c>
      <c r="X16" s="8">
        <v>50</v>
      </c>
      <c r="Y16" s="8">
        <v>120</v>
      </c>
      <c r="Z16" s="8"/>
      <c r="AA16" s="8"/>
      <c r="AB16" s="8">
        <v>80</v>
      </c>
      <c r="AC16" s="8"/>
      <c r="AD16" s="8"/>
      <c r="AE16" s="8"/>
      <c r="AF16" s="8"/>
      <c r="AG16" s="8"/>
      <c r="AH16" s="65">
        <f t="shared" ref="AH16:AH21" si="10">SUM(C16:AG16)</f>
        <v>2505</v>
      </c>
      <c r="AX16" s="1" t="s">
        <v>91</v>
      </c>
      <c r="AY16" s="16">
        <f>-AQ12</f>
        <v>-966.36855956170666</v>
      </c>
      <c r="BI16" s="1" t="s">
        <v>97</v>
      </c>
      <c r="BJ16" s="1">
        <v>4000</v>
      </c>
      <c r="BK16" s="1"/>
    </row>
    <row r="17" spans="1:63" x14ac:dyDescent="0.4">
      <c r="A17" s="2">
        <v>3</v>
      </c>
      <c r="B17" s="3" t="s">
        <v>6</v>
      </c>
      <c r="C17" s="8"/>
      <c r="D17" s="8"/>
      <c r="E17" s="8"/>
      <c r="F17" s="8">
        <v>160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AA17" s="8">
        <v>2465</v>
      </c>
      <c r="AB17" s="8"/>
      <c r="AC17" s="8"/>
      <c r="AD17" s="8"/>
      <c r="AE17" s="8"/>
      <c r="AF17" s="8"/>
      <c r="AG17" s="8"/>
      <c r="AH17" s="65">
        <f t="shared" si="10"/>
        <v>2625</v>
      </c>
      <c r="AR17" s="25"/>
      <c r="AX17" s="1"/>
      <c r="AY17" s="16">
        <f>SUM(AY15:AY16)</f>
        <v>-966.36855956170666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>
        <v>1010</v>
      </c>
      <c r="R18" s="8">
        <v>705</v>
      </c>
      <c r="S18" s="8">
        <v>200</v>
      </c>
      <c r="T18" s="8">
        <v>110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0"/>
        <v>2025</v>
      </c>
      <c r="AR18" s="25"/>
      <c r="BA18" s="9">
        <v>4547</v>
      </c>
      <c r="BI18" s="1" t="s">
        <v>37</v>
      </c>
      <c r="BJ18" s="1"/>
      <c r="BK18" s="1"/>
    </row>
    <row r="19" spans="1:63" x14ac:dyDescent="0.4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>
        <v>1810</v>
      </c>
      <c r="N19" s="8">
        <v>270</v>
      </c>
      <c r="O19" s="8">
        <v>380</v>
      </c>
      <c r="P19" s="8">
        <v>110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2570</v>
      </c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4">
      <c r="A20" s="2">
        <v>6</v>
      </c>
      <c r="B20" s="1" t="s">
        <v>110</v>
      </c>
      <c r="C20" s="8">
        <v>2760</v>
      </c>
      <c r="D20" s="8">
        <v>580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5">
        <f>SUM(C20:AG20)</f>
        <v>3340</v>
      </c>
      <c r="AV20" s="25"/>
      <c r="AX20" s="1" t="s">
        <v>93</v>
      </c>
      <c r="AY20" s="16">
        <f>-AU12</f>
        <v>-1413.368559561708</v>
      </c>
      <c r="BI20" s="1" t="s">
        <v>49</v>
      </c>
      <c r="BJ20" s="1">
        <f>$BJ$17</f>
        <v>666.66666666666663</v>
      </c>
      <c r="BK20" s="1"/>
    </row>
    <row r="21" spans="1:6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>
        <v>2280</v>
      </c>
      <c r="AE21" s="8"/>
      <c r="AF21" s="8"/>
      <c r="AG21" s="8"/>
      <c r="AH21" s="65">
        <f t="shared" si="10"/>
        <v>2280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20080</v>
      </c>
      <c r="AX22" s="1"/>
      <c r="AY22" s="16">
        <f>SUM(AY20:AY21)</f>
        <v>586.63144043829197</v>
      </c>
      <c r="BI22" s="1" t="s">
        <v>99</v>
      </c>
      <c r="BJ22" s="1">
        <f>$BJ$17</f>
        <v>666.66666666666663</v>
      </c>
      <c r="BK22" s="1"/>
    </row>
    <row r="23" spans="1:63" x14ac:dyDescent="0.4">
      <c r="BI23" s="1" t="s">
        <v>40</v>
      </c>
      <c r="BJ23" s="1">
        <f>$BJ$17</f>
        <v>666.66666666666663</v>
      </c>
      <c r="BK23" s="1"/>
    </row>
    <row r="24" spans="1:63" x14ac:dyDescent="0.4">
      <c r="A24" s="4"/>
      <c r="B24" s="13" t="s">
        <v>132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11">$D$32/7</f>
        <v>428.57142857142856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139.28571428571428</v>
      </c>
      <c r="H25" s="8">
        <f t="shared" ref="H25:H31" si="14">$H$32/7</f>
        <v>143.57142857142858</v>
      </c>
      <c r="I25" s="8">
        <f t="shared" ref="I25:I31" si="15">$I$32/7</f>
        <v>257.14285714285717</v>
      </c>
      <c r="J25" s="8">
        <f t="shared" ref="J25:J31" si="16">$J$32/7</f>
        <v>35.714285714285715</v>
      </c>
      <c r="K25" s="8">
        <f>$K$32/7</f>
        <v>0</v>
      </c>
      <c r="L25" s="8">
        <f t="shared" ref="L25:L31" si="17">$L$32/7</f>
        <v>17.142857142857142</v>
      </c>
      <c r="M25" s="8">
        <f t="shared" ref="M25:M31" si="18">$M$32/7</f>
        <v>28.571428571428573</v>
      </c>
      <c r="N25" s="65">
        <f t="shared" ref="N25:N29" si="19">SUM(C25:M25)</f>
        <v>4264.2857142857129</v>
      </c>
      <c r="AX25" t="s">
        <v>90</v>
      </c>
      <c r="AY25" s="47">
        <v>23773</v>
      </c>
    </row>
    <row r="26" spans="1:63" x14ac:dyDescent="0.4">
      <c r="A26" s="2">
        <v>2</v>
      </c>
      <c r="B26" s="12" t="s">
        <v>111</v>
      </c>
      <c r="C26" s="8">
        <f>H35</f>
        <v>3142.8571428571427</v>
      </c>
      <c r="D26" s="8">
        <f t="shared" si="11"/>
        <v>428.57142857142856</v>
      </c>
      <c r="E26" s="8">
        <f>$E$32/7</f>
        <v>0</v>
      </c>
      <c r="F26" s="8">
        <f t="shared" si="12"/>
        <v>71.428571428571431</v>
      </c>
      <c r="G26" s="8">
        <f t="shared" si="13"/>
        <v>139.28571428571428</v>
      </c>
      <c r="H26" s="8">
        <f t="shared" si="14"/>
        <v>143.57142857142858</v>
      </c>
      <c r="I26" s="8">
        <f t="shared" si="15"/>
        <v>257.14285714285717</v>
      </c>
      <c r="J26" s="8">
        <f t="shared" si="16"/>
        <v>35.714285714285715</v>
      </c>
      <c r="K26" s="8">
        <f t="shared" ref="K26:K31" si="20">$K$32/7</f>
        <v>0</v>
      </c>
      <c r="L26" s="8">
        <f t="shared" si="17"/>
        <v>17.142857142857142</v>
      </c>
      <c r="M26" s="8">
        <f t="shared" si="18"/>
        <v>28.571428571428573</v>
      </c>
      <c r="N26" s="65">
        <f t="shared" si="19"/>
        <v>4264.2857142857129</v>
      </c>
      <c r="AX26" t="s">
        <v>91</v>
      </c>
      <c r="AY26" s="47">
        <v>10374</v>
      </c>
    </row>
    <row r="27" spans="1:63" x14ac:dyDescent="0.4">
      <c r="A27" s="2">
        <v>3</v>
      </c>
      <c r="B27" s="12" t="s">
        <v>6</v>
      </c>
      <c r="C27" s="8">
        <f>H36</f>
        <v>2142.8571428571427</v>
      </c>
      <c r="D27" s="8">
        <f t="shared" si="11"/>
        <v>428.57142857142856</v>
      </c>
      <c r="E27" s="8">
        <f>$E$32/7</f>
        <v>0</v>
      </c>
      <c r="F27" s="8">
        <f t="shared" si="12"/>
        <v>71.428571428571431</v>
      </c>
      <c r="G27" s="8">
        <f t="shared" si="13"/>
        <v>139.28571428571428</v>
      </c>
      <c r="H27" s="8">
        <f t="shared" si="14"/>
        <v>143.57142857142858</v>
      </c>
      <c r="I27" s="8">
        <f t="shared" si="15"/>
        <v>257.14285714285717</v>
      </c>
      <c r="J27" s="8">
        <f t="shared" si="16"/>
        <v>35.714285714285715</v>
      </c>
      <c r="K27" s="8">
        <f t="shared" si="20"/>
        <v>0</v>
      </c>
      <c r="L27" s="8">
        <f t="shared" si="17"/>
        <v>17.142857142857142</v>
      </c>
      <c r="M27" s="8">
        <f t="shared" si="18"/>
        <v>28.571428571428573</v>
      </c>
      <c r="N27" s="65">
        <f t="shared" si="19"/>
        <v>3264.2857142857142</v>
      </c>
      <c r="AY27" s="47">
        <f>SUM(AY25:AY26)</f>
        <v>34147</v>
      </c>
    </row>
    <row r="28" spans="1:63" x14ac:dyDescent="0.4">
      <c r="A28" s="2">
        <v>4</v>
      </c>
      <c r="B28" s="12" t="s">
        <v>57</v>
      </c>
      <c r="C28" s="8">
        <f>H36</f>
        <v>2142.8571428571427</v>
      </c>
      <c r="D28" s="8">
        <f t="shared" si="11"/>
        <v>428.57142857142856</v>
      </c>
      <c r="E28" s="8">
        <f>$E$32/7</f>
        <v>0</v>
      </c>
      <c r="F28" s="8">
        <f t="shared" si="12"/>
        <v>71.428571428571431</v>
      </c>
      <c r="G28" s="8">
        <f t="shared" si="13"/>
        <v>139.28571428571428</v>
      </c>
      <c r="H28" s="8">
        <f t="shared" si="14"/>
        <v>143.57142857142858</v>
      </c>
      <c r="I28" s="8">
        <f t="shared" si="15"/>
        <v>257.14285714285717</v>
      </c>
      <c r="J28" s="8">
        <f t="shared" si="16"/>
        <v>35.714285714285715</v>
      </c>
      <c r="K28" s="8">
        <f t="shared" si="20"/>
        <v>0</v>
      </c>
      <c r="L28" s="8">
        <f t="shared" si="17"/>
        <v>17.142857142857142</v>
      </c>
      <c r="M28" s="8">
        <f t="shared" si="18"/>
        <v>28.571428571428573</v>
      </c>
      <c r="N28" s="65">
        <f t="shared" si="19"/>
        <v>3264.2857142857142</v>
      </c>
      <c r="AX28" t="s">
        <v>101</v>
      </c>
      <c r="AY28" s="47">
        <v>29600</v>
      </c>
    </row>
    <row r="29" spans="1:63" x14ac:dyDescent="0.4">
      <c r="A29" s="2">
        <v>5</v>
      </c>
      <c r="B29" s="12" t="s">
        <v>51</v>
      </c>
      <c r="C29" s="8">
        <f>H36</f>
        <v>2142.8571428571427</v>
      </c>
      <c r="D29" s="8">
        <f t="shared" si="11"/>
        <v>428.57142857142856</v>
      </c>
      <c r="E29" s="8">
        <f>$E$32/7</f>
        <v>0</v>
      </c>
      <c r="F29" s="8">
        <f t="shared" si="12"/>
        <v>71.428571428571431</v>
      </c>
      <c r="G29" s="8">
        <f t="shared" si="13"/>
        <v>139.28571428571428</v>
      </c>
      <c r="H29" s="8">
        <f t="shared" si="14"/>
        <v>143.57142857142858</v>
      </c>
      <c r="I29" s="8">
        <f t="shared" si="15"/>
        <v>257.14285714285717</v>
      </c>
      <c r="J29" s="8">
        <f t="shared" si="16"/>
        <v>35.714285714285715</v>
      </c>
      <c r="K29" s="8">
        <f t="shared" si="20"/>
        <v>0</v>
      </c>
      <c r="L29" s="8">
        <f t="shared" si="17"/>
        <v>17.142857142857142</v>
      </c>
      <c r="M29" s="8">
        <f t="shared" si="18"/>
        <v>28.571428571428573</v>
      </c>
      <c r="N29" s="65">
        <f t="shared" si="19"/>
        <v>3264.2857142857142</v>
      </c>
      <c r="AX29" t="s">
        <v>102</v>
      </c>
      <c r="AY29" s="48">
        <f>AY27-AY28</f>
        <v>4547</v>
      </c>
    </row>
    <row r="30" spans="1:63" x14ac:dyDescent="0.4">
      <c r="A30" s="2">
        <v>6</v>
      </c>
      <c r="B30" s="12" t="s">
        <v>104</v>
      </c>
      <c r="C30" s="8">
        <f>H37</f>
        <v>2892.8571428571427</v>
      </c>
      <c r="D30" s="8">
        <f t="shared" si="11"/>
        <v>428.57142857142856</v>
      </c>
      <c r="E30" s="8">
        <v>0</v>
      </c>
      <c r="F30" s="8">
        <f t="shared" si="12"/>
        <v>71.428571428571431</v>
      </c>
      <c r="G30" s="8">
        <f t="shared" si="13"/>
        <v>139.28571428571428</v>
      </c>
      <c r="H30" s="8">
        <f t="shared" si="14"/>
        <v>143.57142857142858</v>
      </c>
      <c r="I30" s="8">
        <f t="shared" si="15"/>
        <v>257.14285714285717</v>
      </c>
      <c r="J30" s="8">
        <f t="shared" si="16"/>
        <v>35.714285714285715</v>
      </c>
      <c r="K30" s="8">
        <f t="shared" si="20"/>
        <v>0</v>
      </c>
      <c r="L30" s="8">
        <f t="shared" si="17"/>
        <v>17.142857142857142</v>
      </c>
      <c r="M30" s="8">
        <f t="shared" si="18"/>
        <v>28.571428571428573</v>
      </c>
      <c r="N30" s="65">
        <f>SUM(C30:M30)</f>
        <v>4014.2857142857142</v>
      </c>
      <c r="AY30" s="47"/>
    </row>
    <row r="31" spans="1:63" x14ac:dyDescent="0.4">
      <c r="A31" s="2">
        <v>7</v>
      </c>
      <c r="B31" s="12" t="s">
        <v>105</v>
      </c>
      <c r="C31" s="8">
        <f>H37</f>
        <v>2892.8571428571427</v>
      </c>
      <c r="D31" s="8">
        <f t="shared" si="11"/>
        <v>428.57142857142856</v>
      </c>
      <c r="E31" s="8">
        <v>0</v>
      </c>
      <c r="F31" s="8">
        <f t="shared" si="12"/>
        <v>71.428571428571431</v>
      </c>
      <c r="G31" s="8">
        <f t="shared" si="13"/>
        <v>139.28571428571428</v>
      </c>
      <c r="H31" s="8">
        <f t="shared" si="14"/>
        <v>143.57142857142858</v>
      </c>
      <c r="I31" s="8">
        <f t="shared" si="15"/>
        <v>257.14285714285717</v>
      </c>
      <c r="J31" s="8">
        <f t="shared" si="16"/>
        <v>35.714285714285715</v>
      </c>
      <c r="K31" s="8">
        <f t="shared" si="20"/>
        <v>0</v>
      </c>
      <c r="L31" s="8">
        <f t="shared" si="17"/>
        <v>17.142857142857142</v>
      </c>
      <c r="M31" s="8">
        <f t="shared" si="18"/>
        <v>28.571428571428573</v>
      </c>
      <c r="N31" s="65">
        <f>SUM(C31:M31)</f>
        <v>4014.2857142857142</v>
      </c>
      <c r="AY31" s="47"/>
    </row>
    <row r="32" spans="1:6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65">
        <v>1005</v>
      </c>
      <c r="I32" s="65">
        <v>1800</v>
      </c>
      <c r="J32" s="65">
        <f>250</f>
        <v>250</v>
      </c>
      <c r="K32" s="65">
        <v>0</v>
      </c>
      <c r="L32" s="65">
        <f>120</f>
        <v>120</v>
      </c>
      <c r="M32" s="65">
        <v>200</v>
      </c>
      <c r="N32" s="65">
        <f>SUM(N25:N31)</f>
        <v>26349.999999999996</v>
      </c>
      <c r="AY32" s="47"/>
    </row>
    <row r="33" spans="4:51" x14ac:dyDescent="0.4">
      <c r="AX33" t="s">
        <v>103</v>
      </c>
      <c r="AY33" s="47">
        <f>AY28-21100</f>
        <v>8500</v>
      </c>
    </row>
    <row r="34" spans="4:51" x14ac:dyDescent="0.4">
      <c r="N34" t="s">
        <v>61</v>
      </c>
      <c r="O34" s="9">
        <f>C32</f>
        <v>18500</v>
      </c>
      <c r="P34" s="9"/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4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N36" t="s">
        <v>72</v>
      </c>
      <c r="O36" s="9">
        <f>I32</f>
        <v>1800</v>
      </c>
    </row>
    <row r="37" spans="4:51" x14ac:dyDescent="0.4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N37" t="s">
        <v>73</v>
      </c>
      <c r="O37" s="9">
        <f>H32</f>
        <v>1005</v>
      </c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4">
      <c r="O39" s="9">
        <f>SUM(O34:O38)</f>
        <v>22530</v>
      </c>
    </row>
    <row r="40" spans="4:51" x14ac:dyDescent="0.4">
      <c r="O40" s="9"/>
    </row>
    <row r="41" spans="4:51" x14ac:dyDescent="0.4">
      <c r="O41" s="9"/>
    </row>
    <row r="42" spans="4:51" x14ac:dyDescent="0.4">
      <c r="N42" t="s">
        <v>12</v>
      </c>
      <c r="O42" s="9">
        <f>D32</f>
        <v>3000</v>
      </c>
    </row>
    <row r="43" spans="4:51" x14ac:dyDescent="0.4">
      <c r="N43" t="s">
        <v>13</v>
      </c>
      <c r="O43" s="9">
        <f>E32</f>
        <v>0</v>
      </c>
      <c r="P43" s="9"/>
    </row>
    <row r="44" spans="4:51" x14ac:dyDescent="0.4">
      <c r="N44" t="s">
        <v>14</v>
      </c>
      <c r="O44" s="9">
        <f>F32</f>
        <v>500</v>
      </c>
    </row>
    <row r="45" spans="4:51" x14ac:dyDescent="0.4">
      <c r="N45" t="s">
        <v>20</v>
      </c>
      <c r="O45" s="9">
        <f>L32</f>
        <v>120</v>
      </c>
    </row>
    <row r="46" spans="4:51" x14ac:dyDescent="0.4">
      <c r="N46" t="s">
        <v>123</v>
      </c>
      <c r="O46" s="9">
        <f>K32</f>
        <v>0</v>
      </c>
    </row>
    <row r="47" spans="4:51" x14ac:dyDescent="0.4">
      <c r="N47" t="s">
        <v>21</v>
      </c>
      <c r="O47" s="9">
        <f>M32</f>
        <v>200</v>
      </c>
    </row>
    <row r="48" spans="4:51" x14ac:dyDescent="0.4">
      <c r="O48" s="9">
        <f>SUM(O42:O47)</f>
        <v>3820</v>
      </c>
    </row>
    <row r="50" spans="14:15" x14ac:dyDescent="0.4">
      <c r="N50" s="70" t="s">
        <v>124</v>
      </c>
      <c r="O50" s="44">
        <f>O48+O39</f>
        <v>26350</v>
      </c>
    </row>
    <row r="52" spans="14:15" x14ac:dyDescent="0.4">
      <c r="N52" s="70" t="s">
        <v>125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U5:AU11">
    <cfRule type="cellIs" dxfId="22" priority="2" operator="lessThan">
      <formula>0</formula>
    </cfRule>
  </conditionalFormatting>
  <conditionalFormatting sqref="AN5:AN11">
    <cfRule type="cellIs" dxfId="21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AD25-9CD7-4895-92F3-1018EECE173E}">
  <dimension ref="A1:BK52"/>
  <sheetViews>
    <sheetView zoomScale="90" zoomScaleNormal="90" workbookViewId="0">
      <pane xSplit="2" ySplit="4" topLeftCell="C19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S5" sqref="AS5"/>
    </sheetView>
  </sheetViews>
  <sheetFormatPr defaultRowHeight="15.6" x14ac:dyDescent="0.4"/>
  <cols>
    <col min="1" max="1" width="7" bestFit="1" customWidth="1"/>
    <col min="2" max="2" width="20.0976562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5.8984375" customWidth="1"/>
    <col min="36" max="36" width="7.09765625" bestFit="1" customWidth="1"/>
    <col min="37" max="37" width="22.19921875" customWidth="1"/>
    <col min="38" max="38" width="13.09765625" customWidth="1"/>
    <col min="39" max="39" width="12.19921875" customWidth="1"/>
    <col min="40" max="40" width="12.59765625" customWidth="1"/>
    <col min="41" max="41" width="12" customWidth="1"/>
    <col min="42" max="42" width="10.19921875" customWidth="1"/>
    <col min="43" max="43" width="13.69921875" customWidth="1"/>
    <col min="44" max="44" width="17.796875" customWidth="1"/>
    <col min="45" max="45" width="9.3984375" customWidth="1"/>
    <col min="46" max="46" width="10.296875" customWidth="1"/>
    <col min="47" max="47" width="13.6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63" ht="14.55" customHeight="1" x14ac:dyDescent="0.4">
      <c r="C1" s="204" t="s">
        <v>127</v>
      </c>
      <c r="D1" s="204"/>
      <c r="E1" s="205">
        <f>AH22/AH12</f>
        <v>50.524193548387096</v>
      </c>
      <c r="F1" s="205"/>
    </row>
    <row r="2" spans="1:63" ht="25.5" customHeight="1" x14ac:dyDescent="0.4">
      <c r="C2" s="204"/>
      <c r="D2" s="204"/>
      <c r="E2" s="205"/>
      <c r="F2" s="205"/>
    </row>
    <row r="4" spans="1:63" ht="62.4" x14ac:dyDescent="0.4">
      <c r="A4" s="53" t="s">
        <v>0</v>
      </c>
      <c r="B4" s="53" t="s">
        <v>2</v>
      </c>
      <c r="C4" s="54">
        <v>44531</v>
      </c>
      <c r="D4" s="54">
        <v>44532</v>
      </c>
      <c r="E4" s="54">
        <v>44533</v>
      </c>
      <c r="F4" s="54">
        <v>44534</v>
      </c>
      <c r="G4" s="54">
        <v>44535</v>
      </c>
      <c r="H4" s="54">
        <v>44536</v>
      </c>
      <c r="I4" s="54">
        <v>44537</v>
      </c>
      <c r="J4" s="54">
        <v>44538</v>
      </c>
      <c r="K4" s="54">
        <v>44539</v>
      </c>
      <c r="L4" s="54">
        <v>44540</v>
      </c>
      <c r="M4" s="54">
        <v>44541</v>
      </c>
      <c r="N4" s="54">
        <v>44542</v>
      </c>
      <c r="O4" s="54">
        <v>44543</v>
      </c>
      <c r="P4" s="54">
        <v>44544</v>
      </c>
      <c r="Q4" s="54">
        <v>44545</v>
      </c>
      <c r="R4" s="54">
        <v>44546</v>
      </c>
      <c r="S4" s="54">
        <v>44547</v>
      </c>
      <c r="T4" s="54">
        <v>44548</v>
      </c>
      <c r="U4" s="54">
        <v>44549</v>
      </c>
      <c r="V4" s="54">
        <v>44550</v>
      </c>
      <c r="W4" s="54">
        <v>44551</v>
      </c>
      <c r="X4" s="54">
        <v>44552</v>
      </c>
      <c r="Y4" s="54">
        <v>44553</v>
      </c>
      <c r="Z4" s="54">
        <v>44554</v>
      </c>
      <c r="AA4" s="54">
        <v>44555</v>
      </c>
      <c r="AB4" s="54">
        <v>44556</v>
      </c>
      <c r="AC4" s="54">
        <v>44557</v>
      </c>
      <c r="AD4" s="54">
        <v>44558</v>
      </c>
      <c r="AE4" s="54">
        <v>44559</v>
      </c>
      <c r="AF4" s="54">
        <v>44560</v>
      </c>
      <c r="AG4" s="54">
        <v>44561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130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126</v>
      </c>
    </row>
    <row r="5" spans="1:63" x14ac:dyDescent="0.4">
      <c r="A5" s="2">
        <v>1</v>
      </c>
      <c r="B5" s="3" t="s">
        <v>5</v>
      </c>
      <c r="C5" s="7">
        <v>2.5</v>
      </c>
      <c r="D5" s="7">
        <v>2.5</v>
      </c>
      <c r="E5" s="7">
        <v>1.5</v>
      </c>
      <c r="F5" s="7">
        <v>2.5</v>
      </c>
      <c r="G5" s="7">
        <v>2.5</v>
      </c>
      <c r="H5" s="7">
        <v>2.5</v>
      </c>
      <c r="I5" s="7">
        <v>2.5</v>
      </c>
      <c r="J5" s="7">
        <v>2.5</v>
      </c>
      <c r="K5" s="7">
        <v>0.5</v>
      </c>
      <c r="L5" s="7">
        <v>3</v>
      </c>
      <c r="M5" s="7">
        <v>1</v>
      </c>
      <c r="N5" s="7">
        <v>2.5</v>
      </c>
      <c r="O5" s="7">
        <v>2.5</v>
      </c>
      <c r="P5" s="7">
        <v>0</v>
      </c>
      <c r="Q5" s="7">
        <v>2.5</v>
      </c>
      <c r="R5" s="7">
        <v>2.5</v>
      </c>
      <c r="S5" s="7">
        <v>1.5</v>
      </c>
      <c r="T5" s="7">
        <v>0</v>
      </c>
      <c r="U5" s="7">
        <v>2.5</v>
      </c>
      <c r="V5" s="7">
        <v>2.5</v>
      </c>
      <c r="W5" s="7">
        <v>2.5</v>
      </c>
      <c r="X5" s="7">
        <v>2.5</v>
      </c>
      <c r="Y5" s="7">
        <v>1.5</v>
      </c>
      <c r="Z5" s="7">
        <v>0.5</v>
      </c>
      <c r="AA5" s="7">
        <v>0</v>
      </c>
      <c r="AB5" s="7">
        <v>0</v>
      </c>
      <c r="AC5" s="7">
        <v>2</v>
      </c>
      <c r="AD5" s="7">
        <v>2.5</v>
      </c>
      <c r="AE5" s="7">
        <v>1.5</v>
      </c>
      <c r="AF5" s="7">
        <v>2.5</v>
      </c>
      <c r="AG5" s="7">
        <v>2.5</v>
      </c>
      <c r="AH5" s="56">
        <f>SUM(C5:AG5)</f>
        <v>58</v>
      </c>
      <c r="AJ5" s="2">
        <v>1</v>
      </c>
      <c r="AK5" s="3" t="s">
        <v>5</v>
      </c>
      <c r="AL5" s="16">
        <f>AH5*$E$1</f>
        <v>2930.4032258064517</v>
      </c>
      <c r="AM5" s="16">
        <f>AH15</f>
        <v>3623</v>
      </c>
      <c r="AN5" s="16">
        <f>AM5-AL5</f>
        <v>692.5967741935483</v>
      </c>
      <c r="AO5" s="16">
        <f>N25</f>
        <v>4386.8571428571413</v>
      </c>
      <c r="AP5" s="16">
        <f t="shared" ref="AP5:AP12" si="0">AO5-AN5</f>
        <v>3694.260368663593</v>
      </c>
      <c r="AQ5" s="68">
        <f>'Meal Nov''21 &amp; Rent Dec''21'!AU5</f>
        <v>1274.7572474081412</v>
      </c>
      <c r="AR5" s="16">
        <f t="shared" ref="AR5:AR12" si="1">AP5-AQ5</f>
        <v>2419.5031212554518</v>
      </c>
      <c r="AS5" s="26">
        <f>120+858+500</f>
        <v>1478</v>
      </c>
      <c r="AT5" s="62"/>
      <c r="AU5" s="16">
        <f t="shared" ref="AU5:AU12" si="2">AS5-AR5</f>
        <v>-941.50312125545179</v>
      </c>
      <c r="AY5" s="9"/>
    </row>
    <row r="6" spans="1:63" x14ac:dyDescent="0.4">
      <c r="A6" s="2">
        <v>2</v>
      </c>
      <c r="B6" s="3" t="s">
        <v>111</v>
      </c>
      <c r="C6" s="7">
        <v>2.5</v>
      </c>
      <c r="D6" s="7">
        <v>1.5</v>
      </c>
      <c r="E6" s="7">
        <v>1</v>
      </c>
      <c r="F6" s="7">
        <v>1</v>
      </c>
      <c r="G6" s="7">
        <v>0</v>
      </c>
      <c r="H6" s="7">
        <v>0</v>
      </c>
      <c r="I6" s="7">
        <v>1.5</v>
      </c>
      <c r="J6" s="7">
        <v>2.5</v>
      </c>
      <c r="K6" s="7">
        <v>2</v>
      </c>
      <c r="L6" s="7">
        <v>2</v>
      </c>
      <c r="M6" s="7">
        <v>1</v>
      </c>
      <c r="N6" s="7">
        <v>2.5</v>
      </c>
      <c r="O6" s="7">
        <v>2.5</v>
      </c>
      <c r="P6" s="7">
        <v>1.5</v>
      </c>
      <c r="Q6" s="7">
        <v>3</v>
      </c>
      <c r="R6" s="7">
        <v>5</v>
      </c>
      <c r="S6" s="7">
        <v>5</v>
      </c>
      <c r="T6" s="7">
        <v>2.5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56">
        <f t="shared" ref="AH6:AH11" si="3">SUM(C6:AG6)</f>
        <v>38</v>
      </c>
      <c r="AJ6" s="72">
        <v>2</v>
      </c>
      <c r="AK6" s="73" t="s">
        <v>111</v>
      </c>
      <c r="AL6" s="74">
        <f>AH6*$E$1</f>
        <v>1919.9193548387098</v>
      </c>
      <c r="AM6" s="74">
        <f t="shared" ref="AM6" si="4">AH16</f>
        <v>2365</v>
      </c>
      <c r="AN6" s="74">
        <f>AM6-AL6</f>
        <v>445.08064516129025</v>
      </c>
      <c r="AO6" s="74">
        <f>AO5-3000</f>
        <v>1386.8571428571413</v>
      </c>
      <c r="AP6" s="74">
        <f t="shared" si="0"/>
        <v>941.77649769585105</v>
      </c>
      <c r="AQ6" s="74">
        <f>'Meal Nov''21 &amp; Rent Dec''21'!AU6</f>
        <v>3.0851454848116191</v>
      </c>
      <c r="AR6" s="74">
        <f t="shared" si="1"/>
        <v>938.69135221103943</v>
      </c>
      <c r="AS6" s="75"/>
      <c r="AT6" s="76"/>
      <c r="AU6" s="74">
        <f t="shared" si="2"/>
        <v>-938.69135221103943</v>
      </c>
      <c r="AY6" s="9"/>
    </row>
    <row r="7" spans="1:63" x14ac:dyDescent="0.4">
      <c r="A7" s="2">
        <v>3</v>
      </c>
      <c r="B7" s="3" t="s">
        <v>6</v>
      </c>
      <c r="C7" s="7">
        <v>1.5</v>
      </c>
      <c r="D7" s="7">
        <v>1</v>
      </c>
      <c r="E7" s="7">
        <v>2.5</v>
      </c>
      <c r="F7" s="7">
        <v>3.5</v>
      </c>
      <c r="G7" s="7">
        <v>1.5</v>
      </c>
      <c r="H7" s="7">
        <v>2.5</v>
      </c>
      <c r="I7" s="7">
        <v>2</v>
      </c>
      <c r="J7" s="7">
        <v>2.5</v>
      </c>
      <c r="K7" s="7">
        <v>2.5</v>
      </c>
      <c r="L7" s="7">
        <v>2.5</v>
      </c>
      <c r="M7" s="7">
        <v>1</v>
      </c>
      <c r="N7" s="7">
        <v>2.5</v>
      </c>
      <c r="O7" s="7">
        <v>1.5</v>
      </c>
      <c r="P7" s="7">
        <v>1.5</v>
      </c>
      <c r="Q7" s="7">
        <v>2.5</v>
      </c>
      <c r="R7" s="7">
        <v>2.5</v>
      </c>
      <c r="S7" s="7">
        <v>1.5</v>
      </c>
      <c r="T7" s="7">
        <v>2.5</v>
      </c>
      <c r="U7" s="7">
        <v>2</v>
      </c>
      <c r="V7" s="7">
        <v>2</v>
      </c>
      <c r="W7" s="7">
        <v>2.5</v>
      </c>
      <c r="X7" s="7">
        <v>2.5</v>
      </c>
      <c r="Y7" s="7">
        <v>2.5</v>
      </c>
      <c r="Z7" s="7">
        <v>2</v>
      </c>
      <c r="AA7" s="7">
        <v>1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2.5</v>
      </c>
      <c r="AH7" s="56">
        <f t="shared" si="3"/>
        <v>67</v>
      </c>
      <c r="AJ7" s="2">
        <v>3</v>
      </c>
      <c r="AK7" s="3" t="s">
        <v>131</v>
      </c>
      <c r="AL7" s="16"/>
      <c r="AM7" s="16"/>
      <c r="AN7" s="16"/>
      <c r="AO7" s="16">
        <f>AO5-AO6</f>
        <v>3000</v>
      </c>
      <c r="AP7" s="16">
        <f t="shared" si="0"/>
        <v>3000</v>
      </c>
      <c r="AQ7" s="68"/>
      <c r="AR7" s="16">
        <f t="shared" si="1"/>
        <v>3000</v>
      </c>
      <c r="AS7" s="26"/>
      <c r="AT7" s="62"/>
      <c r="AU7" s="16">
        <f t="shared" si="2"/>
        <v>-3000</v>
      </c>
      <c r="AY7" s="9"/>
    </row>
    <row r="8" spans="1:63" x14ac:dyDescent="0.4">
      <c r="A8" s="2">
        <v>4</v>
      </c>
      <c r="B8" s="3" t="s">
        <v>57</v>
      </c>
      <c r="C8" s="7">
        <v>2.5</v>
      </c>
      <c r="D8" s="7">
        <v>1.5</v>
      </c>
      <c r="E8" s="7">
        <v>1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1</v>
      </c>
      <c r="N8" s="7">
        <v>2.5</v>
      </c>
      <c r="O8" s="7">
        <v>2.5</v>
      </c>
      <c r="P8" s="7">
        <v>1.5</v>
      </c>
      <c r="Q8" s="7">
        <v>2.5</v>
      </c>
      <c r="R8" s="7">
        <v>2.5</v>
      </c>
      <c r="S8" s="7">
        <v>2.5</v>
      </c>
      <c r="T8" s="7">
        <v>2.5</v>
      </c>
      <c r="U8" s="7">
        <v>2</v>
      </c>
      <c r="V8" s="7">
        <v>2</v>
      </c>
      <c r="W8" s="7">
        <v>2.5</v>
      </c>
      <c r="X8" s="7">
        <v>2.5</v>
      </c>
      <c r="Y8" s="7">
        <v>2.5</v>
      </c>
      <c r="Z8" s="7">
        <v>2</v>
      </c>
      <c r="AA8" s="7">
        <v>1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1.5</v>
      </c>
      <c r="AH8" s="56">
        <f t="shared" si="3"/>
        <v>68.5</v>
      </c>
      <c r="AJ8" s="2">
        <v>4</v>
      </c>
      <c r="AK8" s="3" t="s">
        <v>6</v>
      </c>
      <c r="AL8" s="16">
        <f>AH7*$E$1</f>
        <v>3385.1209677419356</v>
      </c>
      <c r="AM8" s="16">
        <f>AH17</f>
        <v>380</v>
      </c>
      <c r="AN8" s="16">
        <f t="shared" ref="AN8:AN12" si="5">AM8-AL8</f>
        <v>-3005.1209677419356</v>
      </c>
      <c r="AO8" s="16">
        <f>N27</f>
        <v>3386.8571428571427</v>
      </c>
      <c r="AP8" s="16">
        <f t="shared" si="0"/>
        <v>6391.9781105990787</v>
      </c>
      <c r="AQ8" s="68">
        <f>'Meal Nov''21 &amp; Rent Dec''21'!AU7</f>
        <v>-672.05877003766909</v>
      </c>
      <c r="AR8" s="16">
        <f t="shared" si="1"/>
        <v>7064.0368806367478</v>
      </c>
      <c r="AS8" s="26"/>
      <c r="AT8" s="62"/>
      <c r="AU8" s="16">
        <f>AS8-AR8</f>
        <v>-7064.0368806367478</v>
      </c>
      <c r="AV8" s="25"/>
      <c r="AW8">
        <v>2000</v>
      </c>
      <c r="AY8" s="9"/>
    </row>
    <row r="9" spans="1:63" x14ac:dyDescent="0.4">
      <c r="A9" s="2">
        <v>5</v>
      </c>
      <c r="B9" s="12" t="s">
        <v>51</v>
      </c>
      <c r="C9" s="7">
        <v>4</v>
      </c>
      <c r="D9" s="7">
        <v>5</v>
      </c>
      <c r="E9" s="7">
        <v>5</v>
      </c>
      <c r="F9" s="7">
        <v>2.5</v>
      </c>
      <c r="G9" s="7">
        <v>3.5</v>
      </c>
      <c r="H9" s="7">
        <v>4</v>
      </c>
      <c r="I9" s="7">
        <v>3</v>
      </c>
      <c r="J9" s="7">
        <v>1</v>
      </c>
      <c r="K9" s="7">
        <v>2.5</v>
      </c>
      <c r="L9" s="7">
        <v>2.5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2.5</v>
      </c>
      <c r="S9" s="7">
        <v>2</v>
      </c>
      <c r="T9" s="7">
        <v>1</v>
      </c>
      <c r="U9" s="7">
        <v>0</v>
      </c>
      <c r="V9" s="7">
        <v>1</v>
      </c>
      <c r="W9" s="7">
        <v>1</v>
      </c>
      <c r="X9" s="7">
        <v>1</v>
      </c>
      <c r="Y9" s="7">
        <v>1</v>
      </c>
      <c r="Z9" s="7">
        <v>2</v>
      </c>
      <c r="AA9" s="7">
        <v>1</v>
      </c>
      <c r="AB9" s="7">
        <v>1.5</v>
      </c>
      <c r="AC9" s="7">
        <v>1</v>
      </c>
      <c r="AD9" s="7">
        <v>1</v>
      </c>
      <c r="AE9" s="7">
        <v>1</v>
      </c>
      <c r="AF9" s="7">
        <v>1</v>
      </c>
      <c r="AG9" s="7">
        <v>2.5</v>
      </c>
      <c r="AH9" s="56">
        <f t="shared" si="3"/>
        <v>58.5</v>
      </c>
      <c r="AJ9" s="2">
        <v>5</v>
      </c>
      <c r="AK9" s="3" t="s">
        <v>57</v>
      </c>
      <c r="AL9" s="16">
        <f>AH8*$E$1</f>
        <v>3460.9072580645161</v>
      </c>
      <c r="AM9" s="16">
        <f>AH18</f>
        <v>2284</v>
      </c>
      <c r="AN9" s="16">
        <f t="shared" si="5"/>
        <v>-1176.9072580645161</v>
      </c>
      <c r="AO9" s="16">
        <f>N28</f>
        <v>3386.8571428571427</v>
      </c>
      <c r="AP9" s="16">
        <f t="shared" si="0"/>
        <v>4563.7644009216583</v>
      </c>
      <c r="AQ9" s="68">
        <f>'Meal Nov''21 &amp; Rent Dec''21'!AU8</f>
        <v>22.475833344714374</v>
      </c>
      <c r="AR9" s="16">
        <f t="shared" si="1"/>
        <v>4541.2885675769439</v>
      </c>
      <c r="AS9" s="26"/>
      <c r="AT9" s="62"/>
      <c r="AU9" s="16">
        <f t="shared" si="2"/>
        <v>-4541.2885675769439</v>
      </c>
    </row>
    <row r="10" spans="1:63" x14ac:dyDescent="0.4">
      <c r="A10" s="2">
        <v>6</v>
      </c>
      <c r="B10" s="1" t="s">
        <v>110</v>
      </c>
      <c r="C10" s="7">
        <v>2.5</v>
      </c>
      <c r="D10" s="7">
        <v>2.5</v>
      </c>
      <c r="E10" s="7">
        <v>2.5</v>
      </c>
      <c r="F10" s="7">
        <v>2.5</v>
      </c>
      <c r="G10" s="7">
        <v>2.5</v>
      </c>
      <c r="H10" s="7">
        <v>2.5</v>
      </c>
      <c r="I10" s="7">
        <v>2.5</v>
      </c>
      <c r="J10" s="7">
        <v>2</v>
      </c>
      <c r="K10" s="7">
        <v>2.5</v>
      </c>
      <c r="L10" s="7">
        <v>3</v>
      </c>
      <c r="M10" s="7">
        <v>1</v>
      </c>
      <c r="N10" s="7">
        <v>2.5</v>
      </c>
      <c r="O10" s="7">
        <v>2.5</v>
      </c>
      <c r="P10" s="7">
        <v>1</v>
      </c>
      <c r="Q10" s="7">
        <v>2.5</v>
      </c>
      <c r="R10" s="7">
        <v>2.5</v>
      </c>
      <c r="S10" s="7">
        <v>2.5</v>
      </c>
      <c r="T10" s="7">
        <v>2.5</v>
      </c>
      <c r="U10" s="7">
        <v>2.5</v>
      </c>
      <c r="V10" s="7">
        <v>2.5</v>
      </c>
      <c r="W10" s="7">
        <v>2.5</v>
      </c>
      <c r="X10" s="7">
        <v>2.5</v>
      </c>
      <c r="Y10" s="7">
        <v>0.5</v>
      </c>
      <c r="Z10" s="7">
        <v>0</v>
      </c>
      <c r="AA10" s="7">
        <v>1</v>
      </c>
      <c r="AB10" s="7">
        <v>1</v>
      </c>
      <c r="AC10" s="7">
        <v>1</v>
      </c>
      <c r="AD10" s="7">
        <v>2.5</v>
      </c>
      <c r="AE10" s="7">
        <v>1</v>
      </c>
      <c r="AF10" s="7">
        <v>2.5</v>
      </c>
      <c r="AG10" s="7">
        <v>2.5</v>
      </c>
      <c r="AH10" s="56">
        <f t="shared" si="3"/>
        <v>64</v>
      </c>
      <c r="AJ10" s="2">
        <v>6</v>
      </c>
      <c r="AK10" s="12" t="s">
        <v>51</v>
      </c>
      <c r="AL10" s="16">
        <f>AH9*$E$1</f>
        <v>2955.6653225806449</v>
      </c>
      <c r="AM10" s="16">
        <f>AH19</f>
        <v>3180</v>
      </c>
      <c r="AN10" s="16">
        <f t="shared" si="5"/>
        <v>224.3346774193551</v>
      </c>
      <c r="AO10" s="16">
        <f>N29</f>
        <v>3386.8571428571427</v>
      </c>
      <c r="AP10" s="16">
        <f>AO10-AN10</f>
        <v>3162.5224654377876</v>
      </c>
      <c r="AQ10" s="68">
        <f>'Meal Nov''21 &amp; Rent Dec''21'!AU9</f>
        <v>756.55933869849969</v>
      </c>
      <c r="AR10" s="16">
        <f t="shared" si="1"/>
        <v>2405.9631267392879</v>
      </c>
      <c r="AS10" s="26">
        <f>3000</f>
        <v>3000</v>
      </c>
      <c r="AT10" s="62"/>
      <c r="AU10" s="16">
        <f t="shared" si="2"/>
        <v>594.03687326071213</v>
      </c>
      <c r="AV10" s="47"/>
    </row>
    <row r="11" spans="1:63" x14ac:dyDescent="0.4">
      <c r="A11" s="2">
        <v>7</v>
      </c>
      <c r="B11" s="3" t="s">
        <v>118</v>
      </c>
      <c r="C11" s="7">
        <v>0</v>
      </c>
      <c r="D11" s="7">
        <v>0</v>
      </c>
      <c r="E11" s="7">
        <v>0</v>
      </c>
      <c r="F11" s="7">
        <v>0</v>
      </c>
      <c r="G11" s="7">
        <v>2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1</v>
      </c>
      <c r="X11" s="7">
        <v>1</v>
      </c>
      <c r="Y11" s="7">
        <v>1</v>
      </c>
      <c r="Z11" s="7">
        <v>0</v>
      </c>
      <c r="AA11" s="7">
        <v>0</v>
      </c>
      <c r="AB11" s="7">
        <v>1</v>
      </c>
      <c r="AC11" s="7">
        <v>1</v>
      </c>
      <c r="AD11" s="7">
        <v>1</v>
      </c>
      <c r="AE11" s="7">
        <v>1</v>
      </c>
      <c r="AF11" s="7">
        <v>0</v>
      </c>
      <c r="AG11" s="7">
        <v>0</v>
      </c>
      <c r="AH11" s="56">
        <f t="shared" si="3"/>
        <v>18</v>
      </c>
      <c r="AJ11" s="2">
        <v>7</v>
      </c>
      <c r="AK11" s="12" t="s">
        <v>104</v>
      </c>
      <c r="AL11" s="16">
        <f>AH10*$E$1</f>
        <v>3233.5483870967741</v>
      </c>
      <c r="AM11" s="16">
        <f>AH20</f>
        <v>4298</v>
      </c>
      <c r="AN11" s="16">
        <f t="shared" si="5"/>
        <v>1064.4516129032259</v>
      </c>
      <c r="AO11" s="16">
        <f>N30</f>
        <v>4136.8571428571422</v>
      </c>
      <c r="AP11" s="16">
        <f t="shared" si="0"/>
        <v>3072.4055299539164</v>
      </c>
      <c r="AQ11" s="68">
        <f>'Meal Nov''21 &amp; Rent Dec''21'!AU10</f>
        <v>26.359616572925461</v>
      </c>
      <c r="AR11" s="16">
        <f t="shared" si="1"/>
        <v>3046.0459133809909</v>
      </c>
      <c r="AS11" s="26"/>
      <c r="AT11" s="62"/>
      <c r="AU11" s="16">
        <f>AS11-AR11</f>
        <v>-3046.0459133809909</v>
      </c>
      <c r="AV11" s="9"/>
    </row>
    <row r="12" spans="1:63" x14ac:dyDescent="0.4">
      <c r="C12" s="55">
        <f>SUM(C5:C11)</f>
        <v>15.5</v>
      </c>
      <c r="D12" s="55">
        <f t="shared" ref="D12:AF12" si="6">SUM(D5:D11)</f>
        <v>14</v>
      </c>
      <c r="E12" s="55">
        <f t="shared" si="6"/>
        <v>13.5</v>
      </c>
      <c r="F12" s="55">
        <f t="shared" si="6"/>
        <v>14.5</v>
      </c>
      <c r="G12" s="55">
        <f t="shared" si="6"/>
        <v>14.5</v>
      </c>
      <c r="H12" s="55">
        <f t="shared" si="6"/>
        <v>16</v>
      </c>
      <c r="I12" s="55">
        <f t="shared" si="6"/>
        <v>15</v>
      </c>
      <c r="J12" s="55">
        <f t="shared" si="6"/>
        <v>13</v>
      </c>
      <c r="K12" s="55">
        <f t="shared" si="6"/>
        <v>12.5</v>
      </c>
      <c r="L12" s="55">
        <f t="shared" si="6"/>
        <v>15.5</v>
      </c>
      <c r="M12" s="55">
        <f t="shared" si="6"/>
        <v>7</v>
      </c>
      <c r="N12" s="55">
        <f t="shared" si="6"/>
        <v>14.5</v>
      </c>
      <c r="O12" s="55">
        <f t="shared" si="6"/>
        <v>13.5</v>
      </c>
      <c r="P12" s="55">
        <f t="shared" si="6"/>
        <v>7.5</v>
      </c>
      <c r="Q12" s="55">
        <f t="shared" si="6"/>
        <v>15</v>
      </c>
      <c r="R12" s="55">
        <f t="shared" si="6"/>
        <v>17.5</v>
      </c>
      <c r="S12" s="55">
        <f t="shared" si="6"/>
        <v>15</v>
      </c>
      <c r="T12" s="55">
        <f t="shared" si="6"/>
        <v>11</v>
      </c>
      <c r="U12" s="55">
        <f t="shared" si="6"/>
        <v>9</v>
      </c>
      <c r="V12" s="55">
        <f t="shared" si="6"/>
        <v>11</v>
      </c>
      <c r="W12" s="55">
        <f t="shared" si="6"/>
        <v>12</v>
      </c>
      <c r="X12" s="55">
        <f t="shared" si="6"/>
        <v>12</v>
      </c>
      <c r="Y12" s="55">
        <f t="shared" si="6"/>
        <v>9</v>
      </c>
      <c r="Z12" s="55">
        <f t="shared" si="6"/>
        <v>6.5</v>
      </c>
      <c r="AA12" s="55">
        <f t="shared" si="6"/>
        <v>4</v>
      </c>
      <c r="AB12" s="55">
        <f t="shared" si="6"/>
        <v>8.5</v>
      </c>
      <c r="AC12" s="55">
        <f t="shared" si="6"/>
        <v>10</v>
      </c>
      <c r="AD12" s="55">
        <f t="shared" si="6"/>
        <v>12</v>
      </c>
      <c r="AE12" s="55">
        <f t="shared" si="6"/>
        <v>9.5</v>
      </c>
      <c r="AF12" s="55">
        <f t="shared" si="6"/>
        <v>12</v>
      </c>
      <c r="AG12" s="55"/>
      <c r="AH12" s="55">
        <f>SUM(AH5:AH11)</f>
        <v>372</v>
      </c>
      <c r="AJ12" s="2">
        <v>8</v>
      </c>
      <c r="AK12" s="3" t="s">
        <v>118</v>
      </c>
      <c r="AL12" s="16">
        <f>AH11*$E$1</f>
        <v>909.43548387096769</v>
      </c>
      <c r="AM12" s="16">
        <f>AH21</f>
        <v>2665</v>
      </c>
      <c r="AN12" s="16">
        <f t="shared" si="5"/>
        <v>1755.5645161290322</v>
      </c>
      <c r="AO12" s="16">
        <f>N31</f>
        <v>4136.8571428571422</v>
      </c>
      <c r="AP12" s="16">
        <f t="shared" si="0"/>
        <v>2381.29262672811</v>
      </c>
      <c r="AQ12" s="68">
        <f>'Meal Nov''21 &amp; Rent Dec''21'!AU11</f>
        <v>2.1901480902847652</v>
      </c>
      <c r="AR12" s="16">
        <f t="shared" si="1"/>
        <v>2379.1024786378252</v>
      </c>
      <c r="AS12" s="61"/>
      <c r="AT12" s="62"/>
      <c r="AU12" s="16">
        <f t="shared" si="2"/>
        <v>-2379.1024786378252</v>
      </c>
      <c r="AV12" s="9"/>
    </row>
    <row r="13" spans="1:63" x14ac:dyDescent="0.4">
      <c r="AJ13" s="2"/>
      <c r="AK13" s="12"/>
      <c r="AL13" s="51">
        <f t="shared" ref="AL13:AQ13" si="7">SUM(AL5:AL12)</f>
        <v>18794.999999999996</v>
      </c>
      <c r="AM13" s="51">
        <f t="shared" si="7"/>
        <v>18795</v>
      </c>
      <c r="AN13" s="51">
        <f t="shared" si="7"/>
        <v>0</v>
      </c>
      <c r="AO13" s="51">
        <f t="shared" si="7"/>
        <v>27207.999999999993</v>
      </c>
      <c r="AP13" s="51">
        <f t="shared" si="7"/>
        <v>27207.999999999996</v>
      </c>
      <c r="AQ13" s="69">
        <f t="shared" si="7"/>
        <v>1413.368559561708</v>
      </c>
      <c r="AR13" s="51">
        <f>AP13-AQ13</f>
        <v>25794.631440438287</v>
      </c>
      <c r="AS13" s="63">
        <f>SUM(AS5:AS12)</f>
        <v>4478</v>
      </c>
      <c r="AT13" s="63"/>
      <c r="AU13" s="51">
        <f>SUM(AU5:AU12)</f>
        <v>-21316.631440438287</v>
      </c>
      <c r="AV13" s="9"/>
      <c r="AW13" s="9"/>
      <c r="AX13" s="44" t="s">
        <v>88</v>
      </c>
      <c r="AY13" s="9"/>
    </row>
    <row r="14" spans="1:63" x14ac:dyDescent="0.4">
      <c r="B14" s="64" t="s">
        <v>128</v>
      </c>
      <c r="AL14" s="25"/>
      <c r="AM14" s="9"/>
      <c r="AN14" s="9"/>
      <c r="AO14" s="9"/>
      <c r="AP14" s="9"/>
      <c r="AQ14" s="9"/>
      <c r="AR14" s="25"/>
      <c r="AS14" s="9"/>
      <c r="AT14" s="9"/>
      <c r="AU14" s="9"/>
      <c r="AX14" s="1" t="s">
        <v>89</v>
      </c>
      <c r="AY14" s="1" t="s">
        <v>95</v>
      </c>
    </row>
    <row r="15" spans="1:63" x14ac:dyDescent="0.4">
      <c r="A15" s="2">
        <v>1</v>
      </c>
      <c r="B15" s="3" t="s">
        <v>5</v>
      </c>
      <c r="C15" s="8"/>
      <c r="D15" s="8">
        <v>538</v>
      </c>
      <c r="E15" s="8">
        <v>2540</v>
      </c>
      <c r="F15" s="8">
        <v>220</v>
      </c>
      <c r="G15" s="8">
        <v>170</v>
      </c>
      <c r="H15" s="8">
        <v>155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5">
        <f>SUM(C15:AG15)</f>
        <v>3623</v>
      </c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4">
      <c r="A16" s="2">
        <v>2</v>
      </c>
      <c r="B16" s="3" t="s">
        <v>111</v>
      </c>
      <c r="C16" s="8"/>
      <c r="D16" s="8"/>
      <c r="E16" s="8"/>
      <c r="F16" s="8"/>
      <c r="G16" s="8"/>
      <c r="H16" s="8"/>
      <c r="I16" s="8"/>
      <c r="J16" s="8"/>
      <c r="K16" s="8"/>
      <c r="L16" s="8">
        <v>1510</v>
      </c>
      <c r="M16" s="8">
        <v>320</v>
      </c>
      <c r="N16" s="8">
        <v>430</v>
      </c>
      <c r="O16" s="8">
        <v>105</v>
      </c>
      <c r="P16" s="8"/>
      <c r="Q16" s="8"/>
      <c r="R16" s="8"/>
      <c r="S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8">SUM(C16:AG16)</f>
        <v>2365</v>
      </c>
      <c r="AR16" s="25"/>
      <c r="AU16" s="9"/>
      <c r="AX16" s="1" t="s">
        <v>91</v>
      </c>
      <c r="AY16" s="16">
        <f>-AQ13</f>
        <v>-1413.368559561708</v>
      </c>
      <c r="BI16" s="1" t="s">
        <v>97</v>
      </c>
      <c r="BJ16" s="1">
        <v>4000</v>
      </c>
      <c r="BK16" s="1"/>
    </row>
    <row r="17" spans="1:63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380</v>
      </c>
      <c r="Y17" s="8"/>
      <c r="Z17">
        <f>150-150</f>
        <v>0</v>
      </c>
      <c r="AA17" s="8"/>
      <c r="AB17" s="8"/>
      <c r="AC17" s="8"/>
      <c r="AD17" s="8"/>
      <c r="AE17" s="8"/>
      <c r="AF17" s="8"/>
      <c r="AG17" s="8"/>
      <c r="AH17" s="65">
        <f t="shared" si="8"/>
        <v>380</v>
      </c>
      <c r="AX17" s="1"/>
      <c r="AY17" s="16">
        <f>SUM(AY15:AY16)</f>
        <v>-1413.368559561708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>
        <v>950</v>
      </c>
      <c r="R18" s="8">
        <v>650</v>
      </c>
      <c r="S18" s="8">
        <v>394</v>
      </c>
      <c r="T18" s="8">
        <v>290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8"/>
        <v>2284</v>
      </c>
      <c r="AR18" s="25"/>
      <c r="BA18" s="9">
        <v>4547</v>
      </c>
      <c r="BI18" s="1" t="s">
        <v>37</v>
      </c>
      <c r="BJ18" s="1"/>
      <c r="BK18" s="1"/>
    </row>
    <row r="19" spans="1:63" x14ac:dyDescent="0.4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>
        <v>1650</v>
      </c>
      <c r="J19" s="8">
        <v>430</v>
      </c>
      <c r="K19" s="8">
        <v>1100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8"/>
        <v>3180</v>
      </c>
      <c r="AR19" s="25"/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4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>
        <v>2118</v>
      </c>
      <c r="V20" s="8">
        <v>1710</v>
      </c>
      <c r="W20" s="8">
        <v>470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5">
        <f>SUM(C20:AG20)</f>
        <v>4298</v>
      </c>
      <c r="AV20" s="25"/>
      <c r="AX20" s="1" t="s">
        <v>93</v>
      </c>
      <c r="AY20" s="16">
        <f>-AU13</f>
        <v>21316.631440438287</v>
      </c>
      <c r="BI20" s="1" t="s">
        <v>49</v>
      </c>
      <c r="BJ20" s="1">
        <f>$BJ$17</f>
        <v>666.66666666666663</v>
      </c>
      <c r="BK20" s="1"/>
    </row>
    <row r="21" spans="1:6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520</v>
      </c>
      <c r="Z21" s="8"/>
      <c r="AA21" s="8">
        <v>1330</v>
      </c>
      <c r="AB21" s="8"/>
      <c r="AC21" s="8"/>
      <c r="AD21" s="8">
        <v>655</v>
      </c>
      <c r="AE21" s="8"/>
      <c r="AF21" s="8">
        <v>160</v>
      </c>
      <c r="AG21" s="8"/>
      <c r="AH21" s="65">
        <f t="shared" si="8"/>
        <v>2665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18795</v>
      </c>
      <c r="AX22" s="1"/>
      <c r="AY22" s="16">
        <f>SUM(AY20:AY21)</f>
        <v>23316.631440438287</v>
      </c>
      <c r="BI22" s="1" t="s">
        <v>99</v>
      </c>
      <c r="BJ22" s="1">
        <f>$BJ$17</f>
        <v>666.66666666666663</v>
      </c>
      <c r="BK22" s="1"/>
    </row>
    <row r="23" spans="1:63" x14ac:dyDescent="0.4">
      <c r="BI23" s="1" t="s">
        <v>40</v>
      </c>
      <c r="BJ23" s="1">
        <f>$BJ$17</f>
        <v>666.66666666666663</v>
      </c>
      <c r="BK23" s="1"/>
    </row>
    <row r="24" spans="1:63" x14ac:dyDescent="0.4">
      <c r="A24" s="4"/>
      <c r="B24" s="13" t="s">
        <v>129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9">$D$32/7</f>
        <v>428.57142857142856</v>
      </c>
      <c r="E25" s="8">
        <f>$E$32/7</f>
        <v>0</v>
      </c>
      <c r="F25" s="8">
        <f t="shared" ref="F25:F31" si="10">$F$32/7</f>
        <v>71.428571428571431</v>
      </c>
      <c r="G25" s="8">
        <f t="shared" ref="G25:G31" si="11">$G$32/7</f>
        <v>139.28571428571428</v>
      </c>
      <c r="H25" s="8">
        <f t="shared" ref="H25:H31" si="12">$H$32/7</f>
        <v>143.57142857142858</v>
      </c>
      <c r="I25" s="8">
        <f t="shared" ref="I25:I31" si="13">$I$32/7</f>
        <v>257.14285714285717</v>
      </c>
      <c r="J25" s="8">
        <f t="shared" ref="J25:J31" si="14">$J$32/7</f>
        <v>35.714285714285715</v>
      </c>
      <c r="K25" s="8">
        <f>$K$32/7</f>
        <v>122.57142857142857</v>
      </c>
      <c r="L25" s="8">
        <f t="shared" ref="L25:L31" si="15">$L$32/7</f>
        <v>17.142857142857142</v>
      </c>
      <c r="M25" s="8">
        <f t="shared" ref="M25:M31" si="16">$M$32/7</f>
        <v>28.571428571428573</v>
      </c>
      <c r="N25" s="65">
        <f t="shared" ref="N25:N29" si="17">SUM(C25:M25)</f>
        <v>4386.8571428571413</v>
      </c>
      <c r="AX25" t="s">
        <v>90</v>
      </c>
      <c r="AY25" s="47">
        <v>23773</v>
      </c>
    </row>
    <row r="26" spans="1:63" x14ac:dyDescent="0.4">
      <c r="A26" s="2">
        <v>2</v>
      </c>
      <c r="B26" s="12" t="s">
        <v>131</v>
      </c>
      <c r="C26" s="8">
        <f>H35</f>
        <v>3142.8571428571427</v>
      </c>
      <c r="D26" s="8">
        <f t="shared" si="9"/>
        <v>428.57142857142856</v>
      </c>
      <c r="E26" s="8">
        <f>$E$32/7</f>
        <v>0</v>
      </c>
      <c r="F26" s="8">
        <f t="shared" si="10"/>
        <v>71.428571428571431</v>
      </c>
      <c r="G26" s="8">
        <f t="shared" si="11"/>
        <v>139.28571428571428</v>
      </c>
      <c r="H26" s="8">
        <f t="shared" si="12"/>
        <v>143.57142857142858</v>
      </c>
      <c r="I26" s="8">
        <f t="shared" si="13"/>
        <v>257.14285714285717</v>
      </c>
      <c r="J26" s="8">
        <f t="shared" si="14"/>
        <v>35.714285714285715</v>
      </c>
      <c r="K26" s="8">
        <f t="shared" ref="K26:K31" si="18">$K$32/7</f>
        <v>122.57142857142857</v>
      </c>
      <c r="L26" s="8">
        <f t="shared" si="15"/>
        <v>17.142857142857142</v>
      </c>
      <c r="M26" s="8">
        <f t="shared" si="16"/>
        <v>28.571428571428573</v>
      </c>
      <c r="N26" s="65">
        <f t="shared" si="17"/>
        <v>4386.8571428571413</v>
      </c>
      <c r="AX26" t="s">
        <v>91</v>
      </c>
      <c r="AY26" s="47">
        <v>10374</v>
      </c>
    </row>
    <row r="27" spans="1:63" x14ac:dyDescent="0.4">
      <c r="A27" s="2">
        <v>3</v>
      </c>
      <c r="B27" s="12" t="s">
        <v>6</v>
      </c>
      <c r="C27" s="8">
        <f>H36</f>
        <v>2142.8571428571427</v>
      </c>
      <c r="D27" s="8">
        <f t="shared" si="9"/>
        <v>428.57142857142856</v>
      </c>
      <c r="E27" s="8">
        <f>$E$32/7</f>
        <v>0</v>
      </c>
      <c r="F27" s="8">
        <f t="shared" si="10"/>
        <v>71.428571428571431</v>
      </c>
      <c r="G27" s="8">
        <f t="shared" si="11"/>
        <v>139.28571428571428</v>
      </c>
      <c r="H27" s="8">
        <f t="shared" si="12"/>
        <v>143.57142857142858</v>
      </c>
      <c r="I27" s="8">
        <f t="shared" si="13"/>
        <v>257.14285714285717</v>
      </c>
      <c r="J27" s="8">
        <f t="shared" si="14"/>
        <v>35.714285714285715</v>
      </c>
      <c r="K27" s="8">
        <f t="shared" si="18"/>
        <v>122.57142857142857</v>
      </c>
      <c r="L27" s="8">
        <f t="shared" si="15"/>
        <v>17.142857142857142</v>
      </c>
      <c r="M27" s="8">
        <f t="shared" si="16"/>
        <v>28.571428571428573</v>
      </c>
      <c r="N27" s="65">
        <f t="shared" si="17"/>
        <v>3386.8571428571427</v>
      </c>
      <c r="AY27" s="47">
        <f>SUM(AY25:AY26)</f>
        <v>34147</v>
      </c>
    </row>
    <row r="28" spans="1:63" x14ac:dyDescent="0.4">
      <c r="A28" s="2">
        <v>4</v>
      </c>
      <c r="B28" s="12" t="s">
        <v>57</v>
      </c>
      <c r="C28" s="8">
        <f>H36</f>
        <v>2142.8571428571427</v>
      </c>
      <c r="D28" s="8">
        <f t="shared" si="9"/>
        <v>428.57142857142856</v>
      </c>
      <c r="E28" s="8">
        <f>$E$32/7</f>
        <v>0</v>
      </c>
      <c r="F28" s="8">
        <f t="shared" si="10"/>
        <v>71.428571428571431</v>
      </c>
      <c r="G28" s="8">
        <f t="shared" si="11"/>
        <v>139.28571428571428</v>
      </c>
      <c r="H28" s="8">
        <f t="shared" si="12"/>
        <v>143.57142857142858</v>
      </c>
      <c r="I28" s="8">
        <f t="shared" si="13"/>
        <v>257.14285714285717</v>
      </c>
      <c r="J28" s="8">
        <f t="shared" si="14"/>
        <v>35.714285714285715</v>
      </c>
      <c r="K28" s="8">
        <f t="shared" si="18"/>
        <v>122.57142857142857</v>
      </c>
      <c r="L28" s="8">
        <f t="shared" si="15"/>
        <v>17.142857142857142</v>
      </c>
      <c r="M28" s="8">
        <f t="shared" si="16"/>
        <v>28.571428571428573</v>
      </c>
      <c r="N28" s="65">
        <f t="shared" si="17"/>
        <v>3386.8571428571427</v>
      </c>
      <c r="AX28" t="s">
        <v>101</v>
      </c>
      <c r="AY28" s="47">
        <v>29600</v>
      </c>
    </row>
    <row r="29" spans="1:63" x14ac:dyDescent="0.4">
      <c r="A29" s="2">
        <v>5</v>
      </c>
      <c r="B29" s="12" t="s">
        <v>51</v>
      </c>
      <c r="C29" s="8">
        <f>H36</f>
        <v>2142.8571428571427</v>
      </c>
      <c r="D29" s="8">
        <f t="shared" si="9"/>
        <v>428.57142857142856</v>
      </c>
      <c r="E29" s="8">
        <f>$E$32/7</f>
        <v>0</v>
      </c>
      <c r="F29" s="8">
        <f t="shared" si="10"/>
        <v>71.428571428571431</v>
      </c>
      <c r="G29" s="8">
        <f t="shared" si="11"/>
        <v>139.28571428571428</v>
      </c>
      <c r="H29" s="8">
        <f t="shared" si="12"/>
        <v>143.57142857142858</v>
      </c>
      <c r="I29" s="8">
        <f t="shared" si="13"/>
        <v>257.14285714285717</v>
      </c>
      <c r="J29" s="8">
        <f t="shared" si="14"/>
        <v>35.714285714285715</v>
      </c>
      <c r="K29" s="8">
        <f t="shared" si="18"/>
        <v>122.57142857142857</v>
      </c>
      <c r="L29" s="8">
        <f t="shared" si="15"/>
        <v>17.142857142857142</v>
      </c>
      <c r="M29" s="8">
        <f t="shared" si="16"/>
        <v>28.571428571428573</v>
      </c>
      <c r="N29" s="65">
        <f t="shared" si="17"/>
        <v>3386.8571428571427</v>
      </c>
      <c r="AX29" t="s">
        <v>102</v>
      </c>
      <c r="AY29" s="48">
        <f>AY27-AY28</f>
        <v>4547</v>
      </c>
    </row>
    <row r="30" spans="1:63" x14ac:dyDescent="0.4">
      <c r="A30" s="2">
        <v>6</v>
      </c>
      <c r="B30" s="12" t="s">
        <v>104</v>
      </c>
      <c r="C30" s="8">
        <f>H37</f>
        <v>2892.8571428571427</v>
      </c>
      <c r="D30" s="8">
        <f t="shared" si="9"/>
        <v>428.57142857142856</v>
      </c>
      <c r="E30" s="8">
        <v>0</v>
      </c>
      <c r="F30" s="8">
        <f t="shared" si="10"/>
        <v>71.428571428571431</v>
      </c>
      <c r="G30" s="8">
        <f t="shared" si="11"/>
        <v>139.28571428571428</v>
      </c>
      <c r="H30" s="8">
        <f t="shared" si="12"/>
        <v>143.57142857142858</v>
      </c>
      <c r="I30" s="8">
        <f t="shared" si="13"/>
        <v>257.14285714285717</v>
      </c>
      <c r="J30" s="8">
        <f t="shared" si="14"/>
        <v>35.714285714285715</v>
      </c>
      <c r="K30" s="8">
        <f t="shared" si="18"/>
        <v>122.57142857142857</v>
      </c>
      <c r="L30" s="8">
        <f t="shared" si="15"/>
        <v>17.142857142857142</v>
      </c>
      <c r="M30" s="8">
        <f t="shared" si="16"/>
        <v>28.571428571428573</v>
      </c>
      <c r="N30" s="65">
        <f>SUM(C30:M30)</f>
        <v>4136.8571428571422</v>
      </c>
      <c r="AY30" s="47"/>
    </row>
    <row r="31" spans="1:63" x14ac:dyDescent="0.4">
      <c r="A31" s="2">
        <v>7</v>
      </c>
      <c r="B31" s="12" t="s">
        <v>105</v>
      </c>
      <c r="C31" s="8">
        <f>H37</f>
        <v>2892.8571428571427</v>
      </c>
      <c r="D31" s="8">
        <f t="shared" si="9"/>
        <v>428.57142857142856</v>
      </c>
      <c r="E31" s="8">
        <v>0</v>
      </c>
      <c r="F31" s="8">
        <f t="shared" si="10"/>
        <v>71.428571428571431</v>
      </c>
      <c r="G31" s="8">
        <f t="shared" si="11"/>
        <v>139.28571428571428</v>
      </c>
      <c r="H31" s="8">
        <f t="shared" si="12"/>
        <v>143.57142857142858</v>
      </c>
      <c r="I31" s="8">
        <f t="shared" si="13"/>
        <v>257.14285714285717</v>
      </c>
      <c r="J31" s="8">
        <f t="shared" si="14"/>
        <v>35.714285714285715</v>
      </c>
      <c r="K31" s="8">
        <f t="shared" si="18"/>
        <v>122.57142857142857</v>
      </c>
      <c r="L31" s="8">
        <f t="shared" si="15"/>
        <v>17.142857142857142</v>
      </c>
      <c r="M31" s="8">
        <f t="shared" si="16"/>
        <v>28.571428571428573</v>
      </c>
      <c r="N31" s="65">
        <f>SUM(C31:M31)</f>
        <v>4136.8571428571422</v>
      </c>
      <c r="AY31" s="47"/>
    </row>
    <row r="32" spans="1:6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65">
        <v>1005</v>
      </c>
      <c r="I32" s="65">
        <v>1800</v>
      </c>
      <c r="J32" s="65">
        <f>250</f>
        <v>250</v>
      </c>
      <c r="K32" s="65">
        <f>408+430+20</f>
        <v>858</v>
      </c>
      <c r="L32" s="65">
        <f>120</f>
        <v>120</v>
      </c>
      <c r="M32" s="65">
        <v>200</v>
      </c>
      <c r="N32" s="65">
        <f>SUM(N25:N31)</f>
        <v>27207.999999999993</v>
      </c>
      <c r="AY32" s="47"/>
    </row>
    <row r="33" spans="4:51" x14ac:dyDescent="0.4">
      <c r="AX33" t="s">
        <v>103</v>
      </c>
      <c r="AY33" s="47">
        <f>AY28-21100</f>
        <v>8500</v>
      </c>
    </row>
    <row r="34" spans="4:51" x14ac:dyDescent="0.4">
      <c r="N34" t="s">
        <v>61</v>
      </c>
      <c r="O34" s="9">
        <f>C32</f>
        <v>18500</v>
      </c>
      <c r="P34" s="9"/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4">
      <c r="D36" s="1">
        <v>6000</v>
      </c>
      <c r="E36" s="1">
        <v>3</v>
      </c>
      <c r="F36" s="1">
        <f t="shared" ref="F36:F37" si="19">D36/E36</f>
        <v>2000</v>
      </c>
      <c r="G36" s="1">
        <f t="shared" ref="G36:G37" si="20">(500+500)/7</f>
        <v>142.85714285714286</v>
      </c>
      <c r="H36" s="11">
        <f t="shared" ref="H36" si="21">F36+G36</f>
        <v>2142.8571428571427</v>
      </c>
      <c r="I36" s="11">
        <f t="shared" ref="I36:I37" si="22">H36*E36</f>
        <v>6428.5714285714275</v>
      </c>
      <c r="N36" t="s">
        <v>72</v>
      </c>
      <c r="O36" s="9">
        <f>I32</f>
        <v>1800</v>
      </c>
    </row>
    <row r="37" spans="4:51" x14ac:dyDescent="0.4">
      <c r="D37" s="1">
        <v>5500</v>
      </c>
      <c r="E37" s="1">
        <v>2</v>
      </c>
      <c r="F37" s="11">
        <f t="shared" si="19"/>
        <v>2750</v>
      </c>
      <c r="G37" s="1">
        <f t="shared" si="20"/>
        <v>142.85714285714286</v>
      </c>
      <c r="H37" s="11">
        <f>F37+G37</f>
        <v>2892.8571428571427</v>
      </c>
      <c r="I37" s="11">
        <f t="shared" si="22"/>
        <v>5785.7142857142853</v>
      </c>
      <c r="N37" t="s">
        <v>73</v>
      </c>
      <c r="O37" s="9">
        <f>H32</f>
        <v>1005</v>
      </c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4">
      <c r="O39" s="9">
        <f>SUM(O34:O38)</f>
        <v>22530</v>
      </c>
    </row>
    <row r="40" spans="4:51" x14ac:dyDescent="0.4">
      <c r="O40" s="9"/>
    </row>
    <row r="41" spans="4:51" x14ac:dyDescent="0.4">
      <c r="O41" s="9"/>
    </row>
    <row r="42" spans="4:51" x14ac:dyDescent="0.4">
      <c r="N42" t="s">
        <v>12</v>
      </c>
      <c r="O42" s="9">
        <f>D32</f>
        <v>3000</v>
      </c>
    </row>
    <row r="43" spans="4:51" x14ac:dyDescent="0.4">
      <c r="N43" t="s">
        <v>13</v>
      </c>
      <c r="O43" s="9">
        <f>E32</f>
        <v>0</v>
      </c>
      <c r="P43" s="9"/>
    </row>
    <row r="44" spans="4:51" x14ac:dyDescent="0.4">
      <c r="N44" t="s">
        <v>14</v>
      </c>
      <c r="O44" s="9">
        <f>F32</f>
        <v>500</v>
      </c>
    </row>
    <row r="45" spans="4:51" x14ac:dyDescent="0.4">
      <c r="N45" t="s">
        <v>20</v>
      </c>
      <c r="O45" s="9">
        <f>L32</f>
        <v>120</v>
      </c>
    </row>
    <row r="46" spans="4:51" x14ac:dyDescent="0.4">
      <c r="N46" t="s">
        <v>123</v>
      </c>
      <c r="O46" s="9">
        <f>K32</f>
        <v>858</v>
      </c>
    </row>
    <row r="47" spans="4:51" x14ac:dyDescent="0.4">
      <c r="N47" t="s">
        <v>21</v>
      </c>
      <c r="O47" s="9">
        <f>M32</f>
        <v>200</v>
      </c>
    </row>
    <row r="48" spans="4:51" x14ac:dyDescent="0.4">
      <c r="O48" s="9">
        <f>SUM(O42:O47)</f>
        <v>4678</v>
      </c>
    </row>
    <row r="50" spans="14:15" x14ac:dyDescent="0.4">
      <c r="N50" s="70" t="s">
        <v>124</v>
      </c>
      <c r="O50" s="44">
        <f>O48+O39</f>
        <v>27208</v>
      </c>
    </row>
    <row r="52" spans="14:15" x14ac:dyDescent="0.4">
      <c r="N52" s="70" t="s">
        <v>125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N5:AN12 AU5:AU12">
    <cfRule type="cellIs" dxfId="2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707A-77E4-4D7D-85D3-C1A18FF6DA49}">
  <dimension ref="A1:BK52"/>
  <sheetViews>
    <sheetView zoomScale="90" zoomScaleNormal="90" workbookViewId="0">
      <pane xSplit="2" ySplit="4" topLeftCell="AL5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S5" sqref="AS5"/>
    </sheetView>
  </sheetViews>
  <sheetFormatPr defaultRowHeight="15.6" x14ac:dyDescent="0.4"/>
  <cols>
    <col min="1" max="1" width="7" bestFit="1" customWidth="1"/>
    <col min="2" max="2" width="20.0976562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5.8984375" customWidth="1"/>
    <col min="36" max="36" width="7.09765625" bestFit="1" customWidth="1"/>
    <col min="37" max="37" width="22.19921875" customWidth="1"/>
    <col min="38" max="38" width="13.09765625" customWidth="1"/>
    <col min="39" max="39" width="12.19921875" customWidth="1"/>
    <col min="40" max="40" width="12.59765625" customWidth="1"/>
    <col min="41" max="41" width="12" customWidth="1"/>
    <col min="42" max="42" width="10.19921875" customWidth="1"/>
    <col min="43" max="43" width="13.69921875" customWidth="1"/>
    <col min="44" max="44" width="17.796875" customWidth="1"/>
    <col min="45" max="45" width="9.3984375" customWidth="1"/>
    <col min="46" max="46" width="10.296875" customWidth="1"/>
    <col min="47" max="47" width="13.6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63" ht="14.55" customHeight="1" x14ac:dyDescent="0.4">
      <c r="C1" s="204" t="s">
        <v>127</v>
      </c>
      <c r="D1" s="204"/>
      <c r="E1" s="205">
        <f>AH22/AH12</f>
        <v>50.524193548387096</v>
      </c>
      <c r="F1" s="205"/>
    </row>
    <row r="2" spans="1:63" ht="25.5" customHeight="1" x14ac:dyDescent="0.4">
      <c r="C2" s="204"/>
      <c r="D2" s="204"/>
      <c r="E2" s="205"/>
      <c r="F2" s="205"/>
    </row>
    <row r="4" spans="1:63" ht="62.4" x14ac:dyDescent="0.4">
      <c r="A4" s="53" t="s">
        <v>0</v>
      </c>
      <c r="B4" s="53" t="s">
        <v>2</v>
      </c>
      <c r="C4" s="54">
        <v>44531</v>
      </c>
      <c r="D4" s="54">
        <v>44532</v>
      </c>
      <c r="E4" s="54">
        <v>44533</v>
      </c>
      <c r="F4" s="54">
        <v>44534</v>
      </c>
      <c r="G4" s="54">
        <v>44535</v>
      </c>
      <c r="H4" s="54">
        <v>44536</v>
      </c>
      <c r="I4" s="54">
        <v>44537</v>
      </c>
      <c r="J4" s="54">
        <v>44538</v>
      </c>
      <c r="K4" s="54">
        <v>44539</v>
      </c>
      <c r="L4" s="54">
        <v>44540</v>
      </c>
      <c r="M4" s="54">
        <v>44541</v>
      </c>
      <c r="N4" s="54">
        <v>44542</v>
      </c>
      <c r="O4" s="54">
        <v>44543</v>
      </c>
      <c r="P4" s="54">
        <v>44544</v>
      </c>
      <c r="Q4" s="54">
        <v>44545</v>
      </c>
      <c r="R4" s="54">
        <v>44546</v>
      </c>
      <c r="S4" s="54">
        <v>44547</v>
      </c>
      <c r="T4" s="54">
        <v>44548</v>
      </c>
      <c r="U4" s="54">
        <v>44549</v>
      </c>
      <c r="V4" s="54">
        <v>44550</v>
      </c>
      <c r="W4" s="54">
        <v>44551</v>
      </c>
      <c r="X4" s="54">
        <v>44552</v>
      </c>
      <c r="Y4" s="54">
        <v>44553</v>
      </c>
      <c r="Z4" s="54">
        <v>44554</v>
      </c>
      <c r="AA4" s="54">
        <v>44555</v>
      </c>
      <c r="AB4" s="54">
        <v>44556</v>
      </c>
      <c r="AC4" s="54">
        <v>44557</v>
      </c>
      <c r="AD4" s="54">
        <v>44558</v>
      </c>
      <c r="AE4" s="54">
        <v>44559</v>
      </c>
      <c r="AF4" s="54">
        <v>44560</v>
      </c>
      <c r="AG4" s="54">
        <v>44561</v>
      </c>
      <c r="AH4" s="53" t="s">
        <v>1</v>
      </c>
      <c r="AJ4" s="49" t="s">
        <v>0</v>
      </c>
      <c r="AK4" s="49" t="s">
        <v>2</v>
      </c>
      <c r="AL4" s="50" t="s">
        <v>23</v>
      </c>
      <c r="AM4" s="50" t="s">
        <v>24</v>
      </c>
      <c r="AN4" s="50" t="s">
        <v>26</v>
      </c>
      <c r="AO4" s="50" t="s">
        <v>130</v>
      </c>
      <c r="AP4" s="50" t="s">
        <v>27</v>
      </c>
      <c r="AQ4" s="50" t="s">
        <v>30</v>
      </c>
      <c r="AR4" s="50" t="s">
        <v>32</v>
      </c>
      <c r="AS4" s="50" t="s">
        <v>28</v>
      </c>
      <c r="AT4" s="50" t="s">
        <v>29</v>
      </c>
      <c r="AU4" s="50" t="s">
        <v>31</v>
      </c>
      <c r="AW4" s="71" t="s">
        <v>126</v>
      </c>
    </row>
    <row r="5" spans="1:63" x14ac:dyDescent="0.4">
      <c r="A5" s="2">
        <v>1</v>
      </c>
      <c r="B5" s="3" t="s">
        <v>5</v>
      </c>
      <c r="C5" s="7">
        <v>2.5</v>
      </c>
      <c r="D5" s="7">
        <v>2.5</v>
      </c>
      <c r="E5" s="7">
        <v>1.5</v>
      </c>
      <c r="F5" s="7">
        <v>2.5</v>
      </c>
      <c r="G5" s="7">
        <v>2.5</v>
      </c>
      <c r="H5" s="7">
        <v>2.5</v>
      </c>
      <c r="I5" s="7">
        <v>2.5</v>
      </c>
      <c r="J5" s="7">
        <v>2.5</v>
      </c>
      <c r="K5" s="7">
        <v>0.5</v>
      </c>
      <c r="L5" s="7">
        <v>3</v>
      </c>
      <c r="M5" s="7">
        <v>1</v>
      </c>
      <c r="N5" s="7">
        <v>2.5</v>
      </c>
      <c r="O5" s="7">
        <v>2.5</v>
      </c>
      <c r="P5" s="7">
        <v>0</v>
      </c>
      <c r="Q5" s="7">
        <v>2.5</v>
      </c>
      <c r="R5" s="7">
        <v>2.5</v>
      </c>
      <c r="S5" s="7">
        <v>1.5</v>
      </c>
      <c r="T5" s="7">
        <v>0</v>
      </c>
      <c r="U5" s="7">
        <v>2.5</v>
      </c>
      <c r="V5" s="7">
        <v>2.5</v>
      </c>
      <c r="W5" s="7">
        <v>2.5</v>
      </c>
      <c r="X5" s="7">
        <v>2.5</v>
      </c>
      <c r="Y5" s="7">
        <v>1.5</v>
      </c>
      <c r="Z5" s="7">
        <v>0.5</v>
      </c>
      <c r="AA5" s="7">
        <v>0</v>
      </c>
      <c r="AB5" s="7">
        <v>0</v>
      </c>
      <c r="AC5" s="7">
        <v>2</v>
      </c>
      <c r="AD5" s="7">
        <v>2.5</v>
      </c>
      <c r="AE5" s="7">
        <v>1.5</v>
      </c>
      <c r="AF5" s="7">
        <v>2.5</v>
      </c>
      <c r="AG5" s="7">
        <v>2.5</v>
      </c>
      <c r="AH5" s="56">
        <f>SUM(C5:AG5)</f>
        <v>58</v>
      </c>
      <c r="AJ5" s="2">
        <v>1</v>
      </c>
      <c r="AK5" s="3" t="s">
        <v>5</v>
      </c>
      <c r="AL5" s="16">
        <f>AH5*$E$1</f>
        <v>2930.4032258064517</v>
      </c>
      <c r="AM5" s="16">
        <f>AH15</f>
        <v>3623</v>
      </c>
      <c r="AN5" s="16">
        <f>AM5-AL5</f>
        <v>692.5967741935483</v>
      </c>
      <c r="AO5" s="16">
        <f>N25</f>
        <v>4326.8571428571422</v>
      </c>
      <c r="AP5" s="16">
        <f t="shared" ref="AP5:AP12" si="0">AO5-AN5</f>
        <v>3634.2603686635939</v>
      </c>
      <c r="AQ5" s="68">
        <f>'Meal Nov''21 &amp; Rent Dec''21'!AU5</f>
        <v>1274.7572474081412</v>
      </c>
      <c r="AR5" s="16">
        <f t="shared" ref="AR5:AR12" si="1">AP5-AQ5</f>
        <v>2359.5031212554527</v>
      </c>
      <c r="AS5" s="26">
        <f>120+858+500+1810</f>
        <v>3288</v>
      </c>
      <c r="AT5" s="62"/>
      <c r="AU5" s="16">
        <f t="shared" ref="AU5:AU12" si="2">AS5-AR5</f>
        <v>928.4968787445473</v>
      </c>
      <c r="AY5" s="9"/>
    </row>
    <row r="6" spans="1:63" x14ac:dyDescent="0.4">
      <c r="A6" s="2">
        <v>2</v>
      </c>
      <c r="B6" s="3" t="s">
        <v>111</v>
      </c>
      <c r="C6" s="7">
        <v>2.5</v>
      </c>
      <c r="D6" s="7">
        <v>1.5</v>
      </c>
      <c r="E6" s="7">
        <v>1</v>
      </c>
      <c r="F6" s="7">
        <v>1</v>
      </c>
      <c r="G6" s="7">
        <v>0</v>
      </c>
      <c r="H6" s="7">
        <v>0</v>
      </c>
      <c r="I6" s="7">
        <v>1.5</v>
      </c>
      <c r="J6" s="7">
        <v>2.5</v>
      </c>
      <c r="K6" s="7">
        <v>2</v>
      </c>
      <c r="L6" s="7">
        <v>2</v>
      </c>
      <c r="M6" s="7">
        <v>1</v>
      </c>
      <c r="N6" s="7">
        <v>2.5</v>
      </c>
      <c r="O6" s="7">
        <v>2.5</v>
      </c>
      <c r="P6" s="7">
        <v>1.5</v>
      </c>
      <c r="Q6" s="7">
        <v>3</v>
      </c>
      <c r="R6" s="7">
        <v>5</v>
      </c>
      <c r="S6" s="7">
        <v>5</v>
      </c>
      <c r="T6" s="7">
        <v>2.5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56">
        <f t="shared" ref="AH6:AH11" si="3">SUM(C6:AG6)</f>
        <v>38</v>
      </c>
      <c r="AJ6" s="72">
        <v>2</v>
      </c>
      <c r="AK6" s="73" t="s">
        <v>111</v>
      </c>
      <c r="AL6" s="74">
        <f>AH6*$E$1</f>
        <v>1919.9193548387098</v>
      </c>
      <c r="AM6" s="74">
        <f t="shared" ref="AM6" si="4">AH16</f>
        <v>2365</v>
      </c>
      <c r="AN6" s="74">
        <f>AM6-AL6</f>
        <v>445.08064516129025</v>
      </c>
      <c r="AO6" s="74">
        <f>AO5-3000</f>
        <v>1326.8571428571422</v>
      </c>
      <c r="AP6" s="74">
        <f t="shared" si="0"/>
        <v>881.77649769585196</v>
      </c>
      <c r="AQ6" s="74">
        <f>'Meal Nov''21 &amp; Rent Dec''21'!AU6</f>
        <v>3.0851454848116191</v>
      </c>
      <c r="AR6" s="74">
        <f t="shared" si="1"/>
        <v>878.69135221104034</v>
      </c>
      <c r="AS6" s="75">
        <v>879</v>
      </c>
      <c r="AT6" s="76"/>
      <c r="AU6" s="74">
        <f t="shared" si="2"/>
        <v>0.30864778895966083</v>
      </c>
      <c r="AY6" s="9"/>
    </row>
    <row r="7" spans="1:63" x14ac:dyDescent="0.4">
      <c r="A7" s="2">
        <v>3</v>
      </c>
      <c r="B7" s="3" t="s">
        <v>6</v>
      </c>
      <c r="C7" s="7">
        <v>1.5</v>
      </c>
      <c r="D7" s="7">
        <v>1</v>
      </c>
      <c r="E7" s="7">
        <v>2.5</v>
      </c>
      <c r="F7" s="7">
        <v>3.5</v>
      </c>
      <c r="G7" s="7">
        <v>1.5</v>
      </c>
      <c r="H7" s="7">
        <v>2.5</v>
      </c>
      <c r="I7" s="7">
        <v>2</v>
      </c>
      <c r="J7" s="7">
        <v>2.5</v>
      </c>
      <c r="K7" s="7">
        <v>2.5</v>
      </c>
      <c r="L7" s="7">
        <v>2.5</v>
      </c>
      <c r="M7" s="7">
        <v>1</v>
      </c>
      <c r="N7" s="7">
        <v>2.5</v>
      </c>
      <c r="O7" s="7">
        <v>1.5</v>
      </c>
      <c r="P7" s="7">
        <v>1.5</v>
      </c>
      <c r="Q7" s="7">
        <v>2.5</v>
      </c>
      <c r="R7" s="7">
        <v>2.5</v>
      </c>
      <c r="S7" s="7">
        <v>1.5</v>
      </c>
      <c r="T7" s="7">
        <v>2.5</v>
      </c>
      <c r="U7" s="7">
        <v>2</v>
      </c>
      <c r="V7" s="7">
        <v>2</v>
      </c>
      <c r="W7" s="7">
        <v>2.5</v>
      </c>
      <c r="X7" s="7">
        <v>2.5</v>
      </c>
      <c r="Y7" s="7">
        <v>2.5</v>
      </c>
      <c r="Z7" s="7">
        <v>2</v>
      </c>
      <c r="AA7" s="7">
        <v>1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2.5</v>
      </c>
      <c r="AH7" s="56">
        <f t="shared" si="3"/>
        <v>67</v>
      </c>
      <c r="AJ7" s="2">
        <v>3</v>
      </c>
      <c r="AK7" s="3" t="s">
        <v>131</v>
      </c>
      <c r="AL7" s="16"/>
      <c r="AM7" s="16"/>
      <c r="AN7" s="16"/>
      <c r="AO7" s="16">
        <f>AO5-AO6</f>
        <v>3000</v>
      </c>
      <c r="AP7" s="16">
        <f t="shared" si="0"/>
        <v>3000</v>
      </c>
      <c r="AQ7" s="68"/>
      <c r="AR7" s="16">
        <f t="shared" si="1"/>
        <v>3000</v>
      </c>
      <c r="AS7" s="26">
        <f>4000-AS6</f>
        <v>3121</v>
      </c>
      <c r="AT7" s="62"/>
      <c r="AU7" s="16">
        <f t="shared" si="2"/>
        <v>121</v>
      </c>
      <c r="AY7" s="9"/>
    </row>
    <row r="8" spans="1:63" x14ac:dyDescent="0.4">
      <c r="A8" s="2">
        <v>4</v>
      </c>
      <c r="B8" s="3" t="s">
        <v>57</v>
      </c>
      <c r="C8" s="7">
        <v>2.5</v>
      </c>
      <c r="D8" s="7">
        <v>1.5</v>
      </c>
      <c r="E8" s="7">
        <v>1</v>
      </c>
      <c r="F8" s="7">
        <v>2.5</v>
      </c>
      <c r="G8" s="7">
        <v>2.5</v>
      </c>
      <c r="H8" s="7">
        <v>2.5</v>
      </c>
      <c r="I8" s="7">
        <v>2.5</v>
      </c>
      <c r="J8" s="7">
        <v>2.5</v>
      </c>
      <c r="K8" s="7">
        <v>2.5</v>
      </c>
      <c r="L8" s="7">
        <v>2.5</v>
      </c>
      <c r="M8" s="7">
        <v>1</v>
      </c>
      <c r="N8" s="7">
        <v>2.5</v>
      </c>
      <c r="O8" s="7">
        <v>2.5</v>
      </c>
      <c r="P8" s="7">
        <v>1.5</v>
      </c>
      <c r="Q8" s="7">
        <v>2.5</v>
      </c>
      <c r="R8" s="7">
        <v>2.5</v>
      </c>
      <c r="S8" s="7">
        <v>2.5</v>
      </c>
      <c r="T8" s="7">
        <v>2.5</v>
      </c>
      <c r="U8" s="7">
        <v>2</v>
      </c>
      <c r="V8" s="7">
        <v>2</v>
      </c>
      <c r="W8" s="7">
        <v>2.5</v>
      </c>
      <c r="X8" s="7">
        <v>2.5</v>
      </c>
      <c r="Y8" s="7">
        <v>2.5</v>
      </c>
      <c r="Z8" s="7">
        <v>2</v>
      </c>
      <c r="AA8" s="7">
        <v>1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1.5</v>
      </c>
      <c r="AH8" s="56">
        <f t="shared" si="3"/>
        <v>68.5</v>
      </c>
      <c r="AJ8" s="2">
        <v>4</v>
      </c>
      <c r="AK8" s="3" t="s">
        <v>6</v>
      </c>
      <c r="AL8" s="16">
        <f>AH7*$E$1</f>
        <v>3385.1209677419356</v>
      </c>
      <c r="AM8" s="16">
        <f>AH17</f>
        <v>380</v>
      </c>
      <c r="AN8" s="16">
        <f t="shared" ref="AN8:AN12" si="5">AM8-AL8</f>
        <v>-3005.1209677419356</v>
      </c>
      <c r="AO8" s="16">
        <f>N27</f>
        <v>3326.8571428571427</v>
      </c>
      <c r="AP8" s="16">
        <f t="shared" si="0"/>
        <v>6331.9781105990787</v>
      </c>
      <c r="AQ8" s="68">
        <f>'Meal Nov''21 &amp; Rent Dec''21'!AU7</f>
        <v>-672.05877003766909</v>
      </c>
      <c r="AR8" s="16">
        <f t="shared" si="1"/>
        <v>7004.0368806367478</v>
      </c>
      <c r="AS8" s="26">
        <f>3800+2500</f>
        <v>6300</v>
      </c>
      <c r="AT8" s="62"/>
      <c r="AU8" s="16">
        <f>AS8-AR8</f>
        <v>-704.03688063674781</v>
      </c>
      <c r="AV8" s="25"/>
      <c r="AW8">
        <v>2000</v>
      </c>
      <c r="AY8" s="9"/>
    </row>
    <row r="9" spans="1:63" x14ac:dyDescent="0.4">
      <c r="A9" s="2">
        <v>5</v>
      </c>
      <c r="B9" s="12" t="s">
        <v>51</v>
      </c>
      <c r="C9" s="7">
        <v>4</v>
      </c>
      <c r="D9" s="7">
        <v>5</v>
      </c>
      <c r="E9" s="7">
        <v>5</v>
      </c>
      <c r="F9" s="7">
        <v>2.5</v>
      </c>
      <c r="G9" s="7">
        <v>3.5</v>
      </c>
      <c r="H9" s="7">
        <v>4</v>
      </c>
      <c r="I9" s="7">
        <v>3</v>
      </c>
      <c r="J9" s="7">
        <v>1</v>
      </c>
      <c r="K9" s="7">
        <v>2.5</v>
      </c>
      <c r="L9" s="7">
        <v>2.5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2.5</v>
      </c>
      <c r="S9" s="7">
        <v>2</v>
      </c>
      <c r="T9" s="7">
        <v>1</v>
      </c>
      <c r="U9" s="7">
        <v>0</v>
      </c>
      <c r="V9" s="7">
        <v>1</v>
      </c>
      <c r="W9" s="7">
        <v>1</v>
      </c>
      <c r="X9" s="7">
        <v>1</v>
      </c>
      <c r="Y9" s="7">
        <v>1</v>
      </c>
      <c r="Z9" s="7">
        <v>2</v>
      </c>
      <c r="AA9" s="7">
        <v>1</v>
      </c>
      <c r="AB9" s="7">
        <v>1.5</v>
      </c>
      <c r="AC9" s="7">
        <v>1</v>
      </c>
      <c r="AD9" s="7">
        <v>1</v>
      </c>
      <c r="AE9" s="7">
        <v>1</v>
      </c>
      <c r="AF9" s="7">
        <v>1</v>
      </c>
      <c r="AG9" s="7">
        <v>2.5</v>
      </c>
      <c r="AH9" s="56">
        <f t="shared" si="3"/>
        <v>58.5</v>
      </c>
      <c r="AJ9" s="2">
        <v>5</v>
      </c>
      <c r="AK9" s="3" t="s">
        <v>57</v>
      </c>
      <c r="AL9" s="16">
        <f>AH8*$E$1</f>
        <v>3460.9072580645161</v>
      </c>
      <c r="AM9" s="16">
        <f>AH18</f>
        <v>2284</v>
      </c>
      <c r="AN9" s="16">
        <f t="shared" si="5"/>
        <v>-1176.9072580645161</v>
      </c>
      <c r="AO9" s="16">
        <f>N28</f>
        <v>3326.8571428571427</v>
      </c>
      <c r="AP9" s="16">
        <f t="shared" si="0"/>
        <v>4503.7644009216583</v>
      </c>
      <c r="AQ9" s="68">
        <f>'Meal Nov''21 &amp; Rent Dec''21'!AU8</f>
        <v>22.475833344714374</v>
      </c>
      <c r="AR9" s="16">
        <f t="shared" si="1"/>
        <v>4481.2885675769439</v>
      </c>
      <c r="AS9" s="26">
        <v>4500</v>
      </c>
      <c r="AT9" s="62"/>
      <c r="AU9" s="16">
        <f t="shared" si="2"/>
        <v>18.711432423056067</v>
      </c>
    </row>
    <row r="10" spans="1:63" x14ac:dyDescent="0.4">
      <c r="A10" s="2">
        <v>6</v>
      </c>
      <c r="B10" s="1" t="s">
        <v>110</v>
      </c>
      <c r="C10" s="7">
        <v>2.5</v>
      </c>
      <c r="D10" s="7">
        <v>2.5</v>
      </c>
      <c r="E10" s="7">
        <v>2.5</v>
      </c>
      <c r="F10" s="7">
        <v>2.5</v>
      </c>
      <c r="G10" s="7">
        <v>2.5</v>
      </c>
      <c r="H10" s="7">
        <v>2.5</v>
      </c>
      <c r="I10" s="7">
        <v>2.5</v>
      </c>
      <c r="J10" s="7">
        <v>2</v>
      </c>
      <c r="K10" s="7">
        <v>2.5</v>
      </c>
      <c r="L10" s="7">
        <v>3</v>
      </c>
      <c r="M10" s="7">
        <v>1</v>
      </c>
      <c r="N10" s="7">
        <v>2.5</v>
      </c>
      <c r="O10" s="7">
        <v>2.5</v>
      </c>
      <c r="P10" s="7">
        <v>1</v>
      </c>
      <c r="Q10" s="7">
        <v>2.5</v>
      </c>
      <c r="R10" s="7">
        <v>2.5</v>
      </c>
      <c r="S10" s="7">
        <v>2.5</v>
      </c>
      <c r="T10" s="7">
        <v>2.5</v>
      </c>
      <c r="U10" s="7">
        <v>2.5</v>
      </c>
      <c r="V10" s="7">
        <v>2.5</v>
      </c>
      <c r="W10" s="7">
        <v>2.5</v>
      </c>
      <c r="X10" s="7">
        <v>2.5</v>
      </c>
      <c r="Y10" s="7">
        <v>0.5</v>
      </c>
      <c r="Z10" s="7">
        <v>0</v>
      </c>
      <c r="AA10" s="7">
        <v>1</v>
      </c>
      <c r="AB10" s="7">
        <v>1</v>
      </c>
      <c r="AC10" s="7">
        <v>1</v>
      </c>
      <c r="AD10" s="7">
        <v>2.5</v>
      </c>
      <c r="AE10" s="7">
        <v>1</v>
      </c>
      <c r="AF10" s="7">
        <v>2.5</v>
      </c>
      <c r="AG10" s="7">
        <v>2.5</v>
      </c>
      <c r="AH10" s="56">
        <f t="shared" si="3"/>
        <v>64</v>
      </c>
      <c r="AJ10" s="2">
        <v>6</v>
      </c>
      <c r="AK10" s="12" t="s">
        <v>51</v>
      </c>
      <c r="AL10" s="16">
        <f>AH9*$E$1</f>
        <v>2955.6653225806449</v>
      </c>
      <c r="AM10" s="16">
        <f>AH19</f>
        <v>3180</v>
      </c>
      <c r="AN10" s="16">
        <f t="shared" si="5"/>
        <v>224.3346774193551</v>
      </c>
      <c r="AO10" s="16">
        <f>N29</f>
        <v>3326.8571428571427</v>
      </c>
      <c r="AP10" s="16">
        <f>AO10-AN10</f>
        <v>3102.5224654377876</v>
      </c>
      <c r="AQ10" s="68">
        <f>'Meal Nov''21 &amp; Rent Dec''21'!AU9</f>
        <v>756.55933869849969</v>
      </c>
      <c r="AR10" s="16">
        <f t="shared" si="1"/>
        <v>2345.9631267392879</v>
      </c>
      <c r="AS10" s="26">
        <v>3000</v>
      </c>
      <c r="AT10" s="62"/>
      <c r="AU10" s="16">
        <f t="shared" si="2"/>
        <v>654.03687326071213</v>
      </c>
      <c r="AV10" s="47"/>
    </row>
    <row r="11" spans="1:63" x14ac:dyDescent="0.4">
      <c r="A11" s="2">
        <v>7</v>
      </c>
      <c r="B11" s="3" t="s">
        <v>118</v>
      </c>
      <c r="C11" s="7">
        <v>0</v>
      </c>
      <c r="D11" s="7">
        <v>0</v>
      </c>
      <c r="E11" s="7">
        <v>0</v>
      </c>
      <c r="F11" s="7">
        <v>0</v>
      </c>
      <c r="G11" s="7">
        <v>2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1</v>
      </c>
      <c r="X11" s="7">
        <v>1</v>
      </c>
      <c r="Y11" s="7">
        <v>1</v>
      </c>
      <c r="Z11" s="7">
        <v>0</v>
      </c>
      <c r="AA11" s="7">
        <v>0</v>
      </c>
      <c r="AB11" s="7">
        <v>1</v>
      </c>
      <c r="AC11" s="7">
        <v>1</v>
      </c>
      <c r="AD11" s="7">
        <v>1</v>
      </c>
      <c r="AE11" s="7">
        <v>1</v>
      </c>
      <c r="AF11" s="7">
        <v>0</v>
      </c>
      <c r="AG11" s="7">
        <v>0</v>
      </c>
      <c r="AH11" s="56">
        <f t="shared" si="3"/>
        <v>18</v>
      </c>
      <c r="AJ11" s="2">
        <v>7</v>
      </c>
      <c r="AK11" s="12" t="s">
        <v>104</v>
      </c>
      <c r="AL11" s="16">
        <f>AH10*$E$1</f>
        <v>3233.5483870967741</v>
      </c>
      <c r="AM11" s="16">
        <f>AH20</f>
        <v>4298</v>
      </c>
      <c r="AN11" s="16">
        <f t="shared" si="5"/>
        <v>1064.4516129032259</v>
      </c>
      <c r="AO11" s="16">
        <f>N30</f>
        <v>4076.8571428571427</v>
      </c>
      <c r="AP11" s="16">
        <f t="shared" si="0"/>
        <v>3012.4055299539168</v>
      </c>
      <c r="AQ11" s="68">
        <f>'Meal Nov''21 &amp; Rent Dec''21'!AU10</f>
        <v>26.359616572925461</v>
      </c>
      <c r="AR11" s="16">
        <f t="shared" si="1"/>
        <v>2986.0459133809914</v>
      </c>
      <c r="AS11" s="26">
        <v>3100</v>
      </c>
      <c r="AT11" s="62"/>
      <c r="AU11" s="16">
        <f>AS11-AR11</f>
        <v>113.95408661900865</v>
      </c>
      <c r="AV11" s="9"/>
    </row>
    <row r="12" spans="1:63" x14ac:dyDescent="0.4">
      <c r="C12" s="55">
        <f>SUM(C5:C11)</f>
        <v>15.5</v>
      </c>
      <c r="D12" s="55">
        <f t="shared" ref="D12:AF12" si="6">SUM(D5:D11)</f>
        <v>14</v>
      </c>
      <c r="E12" s="55">
        <f t="shared" si="6"/>
        <v>13.5</v>
      </c>
      <c r="F12" s="55">
        <f t="shared" si="6"/>
        <v>14.5</v>
      </c>
      <c r="G12" s="55">
        <f t="shared" si="6"/>
        <v>14.5</v>
      </c>
      <c r="H12" s="55">
        <f t="shared" si="6"/>
        <v>16</v>
      </c>
      <c r="I12" s="55">
        <f t="shared" si="6"/>
        <v>15</v>
      </c>
      <c r="J12" s="55">
        <f t="shared" si="6"/>
        <v>13</v>
      </c>
      <c r="K12" s="55">
        <f t="shared" si="6"/>
        <v>12.5</v>
      </c>
      <c r="L12" s="55">
        <f t="shared" si="6"/>
        <v>15.5</v>
      </c>
      <c r="M12" s="55">
        <f t="shared" si="6"/>
        <v>7</v>
      </c>
      <c r="N12" s="55">
        <f t="shared" si="6"/>
        <v>14.5</v>
      </c>
      <c r="O12" s="55">
        <f t="shared" si="6"/>
        <v>13.5</v>
      </c>
      <c r="P12" s="55">
        <f t="shared" si="6"/>
        <v>7.5</v>
      </c>
      <c r="Q12" s="55">
        <f t="shared" si="6"/>
        <v>15</v>
      </c>
      <c r="R12" s="55">
        <f t="shared" si="6"/>
        <v>17.5</v>
      </c>
      <c r="S12" s="55">
        <f t="shared" si="6"/>
        <v>15</v>
      </c>
      <c r="T12" s="55">
        <f t="shared" si="6"/>
        <v>11</v>
      </c>
      <c r="U12" s="55">
        <f t="shared" si="6"/>
        <v>9</v>
      </c>
      <c r="V12" s="55">
        <f t="shared" si="6"/>
        <v>11</v>
      </c>
      <c r="W12" s="55">
        <f t="shared" si="6"/>
        <v>12</v>
      </c>
      <c r="X12" s="55">
        <f t="shared" si="6"/>
        <v>12</v>
      </c>
      <c r="Y12" s="55">
        <f t="shared" si="6"/>
        <v>9</v>
      </c>
      <c r="Z12" s="55">
        <f t="shared" si="6"/>
        <v>6.5</v>
      </c>
      <c r="AA12" s="55">
        <f t="shared" si="6"/>
        <v>4</v>
      </c>
      <c r="AB12" s="55">
        <f t="shared" si="6"/>
        <v>8.5</v>
      </c>
      <c r="AC12" s="55">
        <f t="shared" si="6"/>
        <v>10</v>
      </c>
      <c r="AD12" s="55">
        <f t="shared" si="6"/>
        <v>12</v>
      </c>
      <c r="AE12" s="55">
        <f t="shared" si="6"/>
        <v>9.5</v>
      </c>
      <c r="AF12" s="55">
        <f t="shared" si="6"/>
        <v>12</v>
      </c>
      <c r="AG12" s="55"/>
      <c r="AH12" s="55">
        <f>SUM(AH5:AH11)</f>
        <v>372</v>
      </c>
      <c r="AJ12" s="2">
        <v>8</v>
      </c>
      <c r="AK12" s="3" t="s">
        <v>118</v>
      </c>
      <c r="AL12" s="16">
        <f>AH11*$E$1</f>
        <v>909.43548387096769</v>
      </c>
      <c r="AM12" s="16">
        <f>AH21</f>
        <v>2665</v>
      </c>
      <c r="AN12" s="16">
        <f t="shared" si="5"/>
        <v>1755.5645161290322</v>
      </c>
      <c r="AO12" s="16">
        <f>N31</f>
        <v>4076.8571428571427</v>
      </c>
      <c r="AP12" s="16">
        <f t="shared" si="0"/>
        <v>2321.2926267281105</v>
      </c>
      <c r="AQ12" s="68">
        <f>'Meal Nov''21 &amp; Rent Dec''21'!AU11</f>
        <v>2.1901480902847652</v>
      </c>
      <c r="AR12" s="16">
        <f t="shared" si="1"/>
        <v>2319.1024786378257</v>
      </c>
      <c r="AS12" s="61">
        <v>2400</v>
      </c>
      <c r="AT12" s="62"/>
      <c r="AU12" s="16">
        <f t="shared" si="2"/>
        <v>80.897521362174302</v>
      </c>
      <c r="AV12" s="9"/>
    </row>
    <row r="13" spans="1:63" x14ac:dyDescent="0.4">
      <c r="AJ13" s="2"/>
      <c r="AK13" s="12"/>
      <c r="AL13" s="51">
        <f t="shared" ref="AL13:AQ13" si="7">SUM(AL5:AL12)</f>
        <v>18794.999999999996</v>
      </c>
      <c r="AM13" s="51">
        <f t="shared" si="7"/>
        <v>18795</v>
      </c>
      <c r="AN13" s="51">
        <f t="shared" si="7"/>
        <v>0</v>
      </c>
      <c r="AO13" s="51">
        <f t="shared" si="7"/>
        <v>26787.999999999996</v>
      </c>
      <c r="AP13" s="51">
        <f t="shared" si="7"/>
        <v>26788</v>
      </c>
      <c r="AQ13" s="69">
        <f t="shared" si="7"/>
        <v>1413.368559561708</v>
      </c>
      <c r="AR13" s="51">
        <f>AP13-AQ13</f>
        <v>25374.631440438294</v>
      </c>
      <c r="AS13" s="63">
        <f>SUM(AS5:AS12)</f>
        <v>26588</v>
      </c>
      <c r="AT13" s="63"/>
      <c r="AU13" s="51">
        <f>SUM(AU5:AU12)</f>
        <v>1213.3685595617103</v>
      </c>
      <c r="AV13" s="9"/>
      <c r="AW13" s="9"/>
      <c r="AX13" s="44" t="s">
        <v>88</v>
      </c>
      <c r="AY13" s="9"/>
    </row>
    <row r="14" spans="1:63" x14ac:dyDescent="0.4">
      <c r="B14" s="64" t="s">
        <v>128</v>
      </c>
      <c r="AL14" s="25"/>
      <c r="AM14" s="9"/>
      <c r="AN14" s="9"/>
      <c r="AO14" s="9"/>
      <c r="AP14" s="9"/>
      <c r="AQ14" s="9"/>
      <c r="AR14" s="25"/>
      <c r="AS14" s="9"/>
      <c r="AT14" s="9"/>
      <c r="AU14" s="9"/>
      <c r="AX14" s="1" t="s">
        <v>89</v>
      </c>
      <c r="AY14" s="1" t="s">
        <v>95</v>
      </c>
    </row>
    <row r="15" spans="1:63" x14ac:dyDescent="0.4">
      <c r="A15" s="2">
        <v>1</v>
      </c>
      <c r="B15" s="3" t="s">
        <v>5</v>
      </c>
      <c r="C15" s="8"/>
      <c r="D15" s="8">
        <v>538</v>
      </c>
      <c r="E15" s="8">
        <v>2540</v>
      </c>
      <c r="F15" s="8">
        <v>220</v>
      </c>
      <c r="G15" s="8">
        <v>170</v>
      </c>
      <c r="H15" s="8">
        <v>155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5">
        <f>SUM(C15:AG15)</f>
        <v>3623</v>
      </c>
      <c r="AX15" s="1" t="s">
        <v>107</v>
      </c>
      <c r="AY15" s="16">
        <f>O41</f>
        <v>0</v>
      </c>
      <c r="BI15" s="1" t="s">
        <v>96</v>
      </c>
      <c r="BJ15" s="1"/>
      <c r="BK15" s="1"/>
    </row>
    <row r="16" spans="1:63" x14ac:dyDescent="0.4">
      <c r="A16" s="2">
        <v>2</v>
      </c>
      <c r="B16" s="3" t="s">
        <v>111</v>
      </c>
      <c r="C16" s="8"/>
      <c r="D16" s="8"/>
      <c r="E16" s="8"/>
      <c r="F16" s="8"/>
      <c r="G16" s="8"/>
      <c r="H16" s="8"/>
      <c r="I16" s="8"/>
      <c r="J16" s="8"/>
      <c r="K16" s="8"/>
      <c r="L16" s="8">
        <v>1510</v>
      </c>
      <c r="M16" s="8">
        <v>320</v>
      </c>
      <c r="N16" s="8">
        <v>430</v>
      </c>
      <c r="O16" s="8">
        <v>105</v>
      </c>
      <c r="P16" s="8"/>
      <c r="Q16" s="8"/>
      <c r="R16" s="8"/>
      <c r="S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8">SUM(C16:AG16)</f>
        <v>2365</v>
      </c>
      <c r="AR16" s="25"/>
      <c r="AU16" s="9"/>
      <c r="AX16" s="1" t="s">
        <v>91</v>
      </c>
      <c r="AY16" s="16">
        <f>-AQ13</f>
        <v>-1413.368559561708</v>
      </c>
      <c r="BI16" s="1" t="s">
        <v>97</v>
      </c>
      <c r="BJ16" s="1">
        <v>4000</v>
      </c>
      <c r="BK16" s="1"/>
    </row>
    <row r="17" spans="1:63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380</v>
      </c>
      <c r="Y17" s="8"/>
      <c r="Z17">
        <f>150-150</f>
        <v>0</v>
      </c>
      <c r="AA17" s="8"/>
      <c r="AB17" s="8"/>
      <c r="AC17" s="8"/>
      <c r="AD17" s="8"/>
      <c r="AE17" s="8"/>
      <c r="AF17" s="8"/>
      <c r="AG17" s="8"/>
      <c r="AH17" s="65">
        <f t="shared" si="8"/>
        <v>380</v>
      </c>
      <c r="AX17" s="1"/>
      <c r="AY17" s="16">
        <f>SUM(AY15:AY16)</f>
        <v>-1413.368559561708</v>
      </c>
      <c r="BI17" s="1" t="s">
        <v>36</v>
      </c>
      <c r="BJ17" s="1">
        <f>BJ16/6</f>
        <v>666.66666666666663</v>
      </c>
      <c r="BK17" s="1">
        <f>BJ17*5</f>
        <v>3333.333333333333</v>
      </c>
    </row>
    <row r="18" spans="1:6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>
        <v>950</v>
      </c>
      <c r="R18" s="8">
        <v>650</v>
      </c>
      <c r="S18" s="8">
        <v>394</v>
      </c>
      <c r="T18" s="8">
        <v>290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8"/>
        <v>2284</v>
      </c>
      <c r="AR18" s="25"/>
      <c r="BA18" s="9">
        <v>4547</v>
      </c>
      <c r="BI18" s="1" t="s">
        <v>37</v>
      </c>
      <c r="BJ18" s="1"/>
      <c r="BK18" s="1"/>
    </row>
    <row r="19" spans="1:63" x14ac:dyDescent="0.4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>
        <v>1650</v>
      </c>
      <c r="J19" s="8">
        <v>430</v>
      </c>
      <c r="K19" s="8">
        <v>1100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8"/>
        <v>3180</v>
      </c>
      <c r="AR19" s="25"/>
      <c r="AX19" s="1" t="s">
        <v>92</v>
      </c>
      <c r="AY19" s="1"/>
      <c r="BA19" s="9">
        <f>AY15+BA18</f>
        <v>4547</v>
      </c>
      <c r="BI19" s="1" t="s">
        <v>98</v>
      </c>
      <c r="BJ19" s="1">
        <f>$BJ$17</f>
        <v>666.66666666666663</v>
      </c>
      <c r="BK19" s="1"/>
    </row>
    <row r="20" spans="1:63" x14ac:dyDescent="0.4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>
        <v>2118</v>
      </c>
      <c r="V20" s="8">
        <v>1710</v>
      </c>
      <c r="W20" s="8">
        <v>470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5">
        <f>SUM(C20:AG20)</f>
        <v>4298</v>
      </c>
      <c r="AV20" s="25"/>
      <c r="AX20" s="1" t="s">
        <v>93</v>
      </c>
      <c r="AY20" s="16">
        <f>-AU13</f>
        <v>-1213.3685595617103</v>
      </c>
      <c r="BI20" s="1" t="s">
        <v>49</v>
      </c>
      <c r="BJ20" s="1">
        <f>$BJ$17</f>
        <v>666.66666666666663</v>
      </c>
      <c r="BK20" s="1"/>
    </row>
    <row r="21" spans="1:6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520</v>
      </c>
      <c r="Z21" s="8"/>
      <c r="AA21" s="8">
        <v>1330</v>
      </c>
      <c r="AB21" s="8"/>
      <c r="AC21" s="8"/>
      <c r="AD21" s="8">
        <v>655</v>
      </c>
      <c r="AE21" s="8"/>
      <c r="AF21" s="8">
        <v>160</v>
      </c>
      <c r="AG21" s="8"/>
      <c r="AH21" s="65">
        <f t="shared" si="8"/>
        <v>2665</v>
      </c>
      <c r="AX21" s="1" t="s">
        <v>94</v>
      </c>
      <c r="AY21" s="1">
        <v>2000</v>
      </c>
      <c r="BI21" s="1" t="s">
        <v>38</v>
      </c>
      <c r="BJ21" s="1">
        <f>$BJ$17</f>
        <v>666.66666666666663</v>
      </c>
      <c r="BK21" s="1"/>
    </row>
    <row r="22" spans="1:6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18795</v>
      </c>
      <c r="AX22" s="1"/>
      <c r="AY22" s="16">
        <f>SUM(AY20:AY21)</f>
        <v>786.6314404382897</v>
      </c>
      <c r="BI22" s="1" t="s">
        <v>99</v>
      </c>
      <c r="BJ22" s="1">
        <f>$BJ$17</f>
        <v>666.66666666666663</v>
      </c>
      <c r="BK22" s="1"/>
    </row>
    <row r="23" spans="1:63" x14ac:dyDescent="0.4">
      <c r="BI23" s="1" t="s">
        <v>40</v>
      </c>
      <c r="BJ23" s="1">
        <f>$BJ$17</f>
        <v>666.66666666666663</v>
      </c>
      <c r="BK23" s="1"/>
    </row>
    <row r="24" spans="1:63" x14ac:dyDescent="0.4">
      <c r="A24" s="4"/>
      <c r="B24" s="13" t="s">
        <v>129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X24" t="s">
        <v>100</v>
      </c>
      <c r="BI24" s="1"/>
      <c r="BJ24" s="1">
        <f>SUM(BJ19:BJ23)</f>
        <v>3333.333333333333</v>
      </c>
      <c r="BK24" s="1"/>
    </row>
    <row r="25" spans="1:6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9">$D$32/7</f>
        <v>428.57142857142856</v>
      </c>
      <c r="E25" s="8">
        <f>$E$32/7</f>
        <v>0</v>
      </c>
      <c r="F25" s="8">
        <f t="shared" ref="F25:F31" si="10">$F$32/7</f>
        <v>71.428571428571431</v>
      </c>
      <c r="G25" s="8">
        <f t="shared" ref="G25:G31" si="11">$G$32/7</f>
        <v>139.28571428571428</v>
      </c>
      <c r="H25" s="8">
        <f t="shared" ref="H25:H31" si="12">$H$32/7</f>
        <v>96.428571428571431</v>
      </c>
      <c r="I25" s="8">
        <f t="shared" ref="I25:I31" si="13">$I$32/7</f>
        <v>244.28571428571428</v>
      </c>
      <c r="J25" s="8">
        <f t="shared" ref="J25:J31" si="14">$J$32/7</f>
        <v>35.714285714285715</v>
      </c>
      <c r="K25" s="8">
        <f>$K$32/7</f>
        <v>122.57142857142857</v>
      </c>
      <c r="L25" s="8">
        <f t="shared" ref="L25:L31" si="15">$L$32/7</f>
        <v>17.142857142857142</v>
      </c>
      <c r="M25" s="8">
        <f t="shared" ref="M25:M31" si="16">$M$32/7</f>
        <v>28.571428571428573</v>
      </c>
      <c r="N25" s="65">
        <f t="shared" ref="N25:N29" si="17">SUM(C25:M25)</f>
        <v>4326.8571428571422</v>
      </c>
      <c r="AX25" t="s">
        <v>90</v>
      </c>
      <c r="AY25" s="47">
        <v>23773</v>
      </c>
    </row>
    <row r="26" spans="1:63" x14ac:dyDescent="0.4">
      <c r="A26" s="2">
        <v>2</v>
      </c>
      <c r="B26" s="12" t="s">
        <v>131</v>
      </c>
      <c r="C26" s="8">
        <f>H35</f>
        <v>3142.8571428571427</v>
      </c>
      <c r="D26" s="8">
        <f t="shared" si="9"/>
        <v>428.57142857142856</v>
      </c>
      <c r="E26" s="8">
        <f>$E$32/7</f>
        <v>0</v>
      </c>
      <c r="F26" s="8">
        <f t="shared" si="10"/>
        <v>71.428571428571431</v>
      </c>
      <c r="G26" s="8">
        <f t="shared" si="11"/>
        <v>139.28571428571428</v>
      </c>
      <c r="H26" s="8">
        <f t="shared" si="12"/>
        <v>96.428571428571431</v>
      </c>
      <c r="I26" s="8">
        <f t="shared" si="13"/>
        <v>244.28571428571428</v>
      </c>
      <c r="J26" s="8">
        <f t="shared" si="14"/>
        <v>35.714285714285715</v>
      </c>
      <c r="K26" s="8">
        <f t="shared" ref="K26:K31" si="18">$K$32/7</f>
        <v>122.57142857142857</v>
      </c>
      <c r="L26" s="8">
        <f t="shared" si="15"/>
        <v>17.142857142857142</v>
      </c>
      <c r="M26" s="8">
        <f t="shared" si="16"/>
        <v>28.571428571428573</v>
      </c>
      <c r="N26" s="65">
        <f t="shared" si="17"/>
        <v>4326.8571428571422</v>
      </c>
      <c r="AX26" t="s">
        <v>91</v>
      </c>
      <c r="AY26" s="47">
        <v>10374</v>
      </c>
    </row>
    <row r="27" spans="1:63" x14ac:dyDescent="0.4">
      <c r="A27" s="2">
        <v>3</v>
      </c>
      <c r="B27" s="12" t="s">
        <v>6</v>
      </c>
      <c r="C27" s="8">
        <f>H36</f>
        <v>2142.8571428571427</v>
      </c>
      <c r="D27" s="8">
        <f t="shared" si="9"/>
        <v>428.57142857142856</v>
      </c>
      <c r="E27" s="8">
        <f>$E$32/7</f>
        <v>0</v>
      </c>
      <c r="F27" s="8">
        <f t="shared" si="10"/>
        <v>71.428571428571431</v>
      </c>
      <c r="G27" s="8">
        <f t="shared" si="11"/>
        <v>139.28571428571428</v>
      </c>
      <c r="H27" s="8">
        <f t="shared" si="12"/>
        <v>96.428571428571431</v>
      </c>
      <c r="I27" s="8">
        <f t="shared" si="13"/>
        <v>244.28571428571428</v>
      </c>
      <c r="J27" s="8">
        <f t="shared" si="14"/>
        <v>35.714285714285715</v>
      </c>
      <c r="K27" s="8">
        <f t="shared" si="18"/>
        <v>122.57142857142857</v>
      </c>
      <c r="L27" s="8">
        <f t="shared" si="15"/>
        <v>17.142857142857142</v>
      </c>
      <c r="M27" s="8">
        <f t="shared" si="16"/>
        <v>28.571428571428573</v>
      </c>
      <c r="N27" s="65">
        <f t="shared" si="17"/>
        <v>3326.8571428571427</v>
      </c>
      <c r="AY27" s="47">
        <f>SUM(AY25:AY26)</f>
        <v>34147</v>
      </c>
    </row>
    <row r="28" spans="1:63" x14ac:dyDescent="0.4">
      <c r="A28" s="2">
        <v>4</v>
      </c>
      <c r="B28" s="12" t="s">
        <v>57</v>
      </c>
      <c r="C28" s="8">
        <f>H36</f>
        <v>2142.8571428571427</v>
      </c>
      <c r="D28" s="8">
        <f t="shared" si="9"/>
        <v>428.57142857142856</v>
      </c>
      <c r="E28" s="8">
        <f>$E$32/7</f>
        <v>0</v>
      </c>
      <c r="F28" s="8">
        <f t="shared" si="10"/>
        <v>71.428571428571431</v>
      </c>
      <c r="G28" s="8">
        <f t="shared" si="11"/>
        <v>139.28571428571428</v>
      </c>
      <c r="H28" s="8">
        <f t="shared" si="12"/>
        <v>96.428571428571431</v>
      </c>
      <c r="I28" s="8">
        <f t="shared" si="13"/>
        <v>244.28571428571428</v>
      </c>
      <c r="J28" s="8">
        <f t="shared" si="14"/>
        <v>35.714285714285715</v>
      </c>
      <c r="K28" s="8">
        <f t="shared" si="18"/>
        <v>122.57142857142857</v>
      </c>
      <c r="L28" s="8">
        <f t="shared" si="15"/>
        <v>17.142857142857142</v>
      </c>
      <c r="M28" s="8">
        <f t="shared" si="16"/>
        <v>28.571428571428573</v>
      </c>
      <c r="N28" s="65">
        <f t="shared" si="17"/>
        <v>3326.8571428571427</v>
      </c>
      <c r="AX28" t="s">
        <v>101</v>
      </c>
      <c r="AY28" s="47">
        <v>29600</v>
      </c>
    </row>
    <row r="29" spans="1:63" x14ac:dyDescent="0.4">
      <c r="A29" s="2">
        <v>5</v>
      </c>
      <c r="B29" s="12" t="s">
        <v>51</v>
      </c>
      <c r="C29" s="8">
        <f>H36</f>
        <v>2142.8571428571427</v>
      </c>
      <c r="D29" s="8">
        <f t="shared" si="9"/>
        <v>428.57142857142856</v>
      </c>
      <c r="E29" s="8">
        <f>$E$32/7</f>
        <v>0</v>
      </c>
      <c r="F29" s="8">
        <f t="shared" si="10"/>
        <v>71.428571428571431</v>
      </c>
      <c r="G29" s="8">
        <f t="shared" si="11"/>
        <v>139.28571428571428</v>
      </c>
      <c r="H29" s="8">
        <f t="shared" si="12"/>
        <v>96.428571428571431</v>
      </c>
      <c r="I29" s="8">
        <f t="shared" si="13"/>
        <v>244.28571428571428</v>
      </c>
      <c r="J29" s="8">
        <f t="shared" si="14"/>
        <v>35.714285714285715</v>
      </c>
      <c r="K29" s="8">
        <f t="shared" si="18"/>
        <v>122.57142857142857</v>
      </c>
      <c r="L29" s="8">
        <f t="shared" si="15"/>
        <v>17.142857142857142</v>
      </c>
      <c r="M29" s="8">
        <f t="shared" si="16"/>
        <v>28.571428571428573</v>
      </c>
      <c r="N29" s="65">
        <f t="shared" si="17"/>
        <v>3326.8571428571427</v>
      </c>
      <c r="AX29" t="s">
        <v>102</v>
      </c>
      <c r="AY29" s="48">
        <f>AY27-AY28</f>
        <v>4547</v>
      </c>
    </row>
    <row r="30" spans="1:63" x14ac:dyDescent="0.4">
      <c r="A30" s="2">
        <v>6</v>
      </c>
      <c r="B30" s="12" t="s">
        <v>104</v>
      </c>
      <c r="C30" s="8">
        <f>H37</f>
        <v>2892.8571428571427</v>
      </c>
      <c r="D30" s="8">
        <f t="shared" si="9"/>
        <v>428.57142857142856</v>
      </c>
      <c r="E30" s="8">
        <v>0</v>
      </c>
      <c r="F30" s="8">
        <f t="shared" si="10"/>
        <v>71.428571428571431</v>
      </c>
      <c r="G30" s="8">
        <f t="shared" si="11"/>
        <v>139.28571428571428</v>
      </c>
      <c r="H30" s="8">
        <f t="shared" si="12"/>
        <v>96.428571428571431</v>
      </c>
      <c r="I30" s="8">
        <f t="shared" si="13"/>
        <v>244.28571428571428</v>
      </c>
      <c r="J30" s="8">
        <f t="shared" si="14"/>
        <v>35.714285714285715</v>
      </c>
      <c r="K30" s="8">
        <f t="shared" si="18"/>
        <v>122.57142857142857</v>
      </c>
      <c r="L30" s="8">
        <f t="shared" si="15"/>
        <v>17.142857142857142</v>
      </c>
      <c r="M30" s="8">
        <f t="shared" si="16"/>
        <v>28.571428571428573</v>
      </c>
      <c r="N30" s="65">
        <f>SUM(C30:M30)</f>
        <v>4076.8571428571427</v>
      </c>
      <c r="AY30" s="47"/>
    </row>
    <row r="31" spans="1:63" x14ac:dyDescent="0.4">
      <c r="A31" s="2">
        <v>7</v>
      </c>
      <c r="B31" s="12" t="s">
        <v>105</v>
      </c>
      <c r="C31" s="8">
        <f>H37</f>
        <v>2892.8571428571427</v>
      </c>
      <c r="D31" s="8">
        <f t="shared" si="9"/>
        <v>428.57142857142856</v>
      </c>
      <c r="E31" s="8">
        <v>0</v>
      </c>
      <c r="F31" s="8">
        <f t="shared" si="10"/>
        <v>71.428571428571431</v>
      </c>
      <c r="G31" s="8">
        <f t="shared" si="11"/>
        <v>139.28571428571428</v>
      </c>
      <c r="H31" s="8">
        <f t="shared" si="12"/>
        <v>96.428571428571431</v>
      </c>
      <c r="I31" s="8">
        <f t="shared" si="13"/>
        <v>244.28571428571428</v>
      </c>
      <c r="J31" s="8">
        <f t="shared" si="14"/>
        <v>35.714285714285715</v>
      </c>
      <c r="K31" s="8">
        <f t="shared" si="18"/>
        <v>122.57142857142857</v>
      </c>
      <c r="L31" s="8">
        <f t="shared" si="15"/>
        <v>17.142857142857142</v>
      </c>
      <c r="M31" s="8">
        <f t="shared" si="16"/>
        <v>28.571428571428573</v>
      </c>
      <c r="N31" s="65">
        <f>SUM(C31:M31)</f>
        <v>4076.8571428571427</v>
      </c>
      <c r="AY31" s="47"/>
    </row>
    <row r="32" spans="1:6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65">
        <v>675</v>
      </c>
      <c r="I32" s="65">
        <v>1710</v>
      </c>
      <c r="J32" s="65">
        <f>250</f>
        <v>250</v>
      </c>
      <c r="K32" s="65">
        <f>408+430+20</f>
        <v>858</v>
      </c>
      <c r="L32" s="65">
        <f>120</f>
        <v>120</v>
      </c>
      <c r="M32" s="65">
        <v>200</v>
      </c>
      <c r="N32" s="65">
        <f>SUM(N25:N31)</f>
        <v>26787.999999999996</v>
      </c>
      <c r="AY32" s="47"/>
    </row>
    <row r="33" spans="4:51" x14ac:dyDescent="0.4">
      <c r="AX33" t="s">
        <v>103</v>
      </c>
      <c r="AY33" s="47">
        <f>AY28-21100</f>
        <v>8500</v>
      </c>
    </row>
    <row r="34" spans="4:51" x14ac:dyDescent="0.4">
      <c r="N34" t="s">
        <v>61</v>
      </c>
      <c r="O34" s="9">
        <f>C32</f>
        <v>18500</v>
      </c>
      <c r="P34" s="9"/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N35" t="s">
        <v>71</v>
      </c>
      <c r="O35" s="9">
        <f>G32</f>
        <v>975</v>
      </c>
    </row>
    <row r="36" spans="4:51" x14ac:dyDescent="0.4">
      <c r="D36" s="1">
        <v>6000</v>
      </c>
      <c r="E36" s="1">
        <v>3</v>
      </c>
      <c r="F36" s="1">
        <f t="shared" ref="F36:F37" si="19">D36/E36</f>
        <v>2000</v>
      </c>
      <c r="G36" s="1">
        <f t="shared" ref="G36:G37" si="20">(500+500)/7</f>
        <v>142.85714285714286</v>
      </c>
      <c r="H36" s="11">
        <f t="shared" ref="H36" si="21">F36+G36</f>
        <v>2142.8571428571427</v>
      </c>
      <c r="I36" s="11">
        <f t="shared" ref="I36:I37" si="22">H36*E36</f>
        <v>6428.5714285714275</v>
      </c>
      <c r="N36" t="s">
        <v>72</v>
      </c>
      <c r="O36" s="9">
        <f>I32</f>
        <v>1710</v>
      </c>
    </row>
    <row r="37" spans="4:51" x14ac:dyDescent="0.4">
      <c r="D37" s="1">
        <v>5500</v>
      </c>
      <c r="E37" s="1">
        <v>2</v>
      </c>
      <c r="F37" s="11">
        <f t="shared" si="19"/>
        <v>2750</v>
      </c>
      <c r="G37" s="1">
        <f t="shared" si="20"/>
        <v>142.85714285714286</v>
      </c>
      <c r="H37" s="11">
        <f>F37+G37</f>
        <v>2892.8571428571427</v>
      </c>
      <c r="I37" s="11">
        <f t="shared" si="22"/>
        <v>5785.7142857142853</v>
      </c>
      <c r="N37" t="s">
        <v>73</v>
      </c>
      <c r="O37" s="9">
        <f>H32</f>
        <v>675</v>
      </c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N38" t="s">
        <v>74</v>
      </c>
      <c r="O38" s="9">
        <f>J32</f>
        <v>250</v>
      </c>
    </row>
    <row r="39" spans="4:51" x14ac:dyDescent="0.4">
      <c r="O39" s="9">
        <f>SUM(O34:O38)</f>
        <v>22110</v>
      </c>
    </row>
    <row r="40" spans="4:51" x14ac:dyDescent="0.4">
      <c r="O40" s="9"/>
    </row>
    <row r="41" spans="4:51" x14ac:dyDescent="0.4">
      <c r="O41" s="9"/>
    </row>
    <row r="42" spans="4:51" x14ac:dyDescent="0.4">
      <c r="N42" t="s">
        <v>12</v>
      </c>
      <c r="O42" s="9">
        <f>D32</f>
        <v>3000</v>
      </c>
    </row>
    <row r="43" spans="4:51" x14ac:dyDescent="0.4">
      <c r="N43" t="s">
        <v>13</v>
      </c>
      <c r="O43" s="9">
        <f>E32</f>
        <v>0</v>
      </c>
      <c r="P43" s="9"/>
    </row>
    <row r="44" spans="4:51" x14ac:dyDescent="0.4">
      <c r="N44" t="s">
        <v>14</v>
      </c>
      <c r="O44" s="9">
        <f>F32</f>
        <v>500</v>
      </c>
    </row>
    <row r="45" spans="4:51" x14ac:dyDescent="0.4">
      <c r="N45" t="s">
        <v>20</v>
      </c>
      <c r="O45" s="9">
        <f>L32</f>
        <v>120</v>
      </c>
    </row>
    <row r="46" spans="4:51" x14ac:dyDescent="0.4">
      <c r="N46" t="s">
        <v>123</v>
      </c>
      <c r="O46" s="9">
        <f>K32</f>
        <v>858</v>
      </c>
    </row>
    <row r="47" spans="4:51" x14ac:dyDescent="0.4">
      <c r="N47" t="s">
        <v>21</v>
      </c>
      <c r="O47" s="9">
        <f>M32</f>
        <v>200</v>
      </c>
    </row>
    <row r="48" spans="4:51" x14ac:dyDescent="0.4">
      <c r="O48" s="9">
        <f>SUM(O42:O47)</f>
        <v>4678</v>
      </c>
    </row>
    <row r="50" spans="14:15" x14ac:dyDescent="0.4">
      <c r="N50" s="70" t="s">
        <v>124</v>
      </c>
      <c r="O50" s="44">
        <f>O48+O39</f>
        <v>26788</v>
      </c>
    </row>
    <row r="52" spans="14:15" x14ac:dyDescent="0.4">
      <c r="N52" s="70" t="s">
        <v>125</v>
      </c>
      <c r="O52" s="9">
        <f>N32-O50</f>
        <v>0</v>
      </c>
    </row>
  </sheetData>
  <mergeCells count="3">
    <mergeCell ref="C1:D2"/>
    <mergeCell ref="E1:F2"/>
    <mergeCell ref="A32:B32"/>
  </mergeCells>
  <conditionalFormatting sqref="AN5:AN12 AU5:AU12">
    <cfRule type="cellIs" dxfId="19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B664-E763-4A7D-9CE8-C10620718F8E}">
  <dimension ref="A1:BE52"/>
  <sheetViews>
    <sheetView showGridLines="0" zoomScale="104" zoomScaleNormal="110" workbookViewId="0">
      <pane xSplit="2" ySplit="4" topLeftCell="AM5" activePane="bottomRight" state="frozen"/>
      <selection activeCell="E11" sqref="E11:F11"/>
      <selection pane="topRight" activeCell="E11" sqref="E11:F11"/>
      <selection pane="bottomLeft" activeCell="E11" sqref="E11:F11"/>
      <selection pane="bottomRight" activeCell="AS8" sqref="AS8"/>
    </sheetView>
  </sheetViews>
  <sheetFormatPr defaultRowHeight="15.6" x14ac:dyDescent="0.4"/>
  <cols>
    <col min="1" max="1" width="7" bestFit="1" customWidth="1"/>
    <col min="2" max="2" width="20.09765625" bestFit="1" customWidth="1"/>
    <col min="3" max="5" width="9.19921875" bestFit="1" customWidth="1"/>
    <col min="6" max="6" width="11.59765625" customWidth="1"/>
    <col min="7" max="7" width="12" bestFit="1" customWidth="1"/>
    <col min="8" max="8" width="10.8984375" customWidth="1"/>
    <col min="9" max="9" width="9.796875" customWidth="1"/>
    <col min="10" max="10" width="9.19921875" bestFit="1" customWidth="1"/>
    <col min="11" max="11" width="10.3984375" customWidth="1"/>
    <col min="12" max="13" width="10.19921875" bestFit="1" customWidth="1"/>
    <col min="14" max="14" width="11.59765625" bestFit="1" customWidth="1"/>
    <col min="15" max="34" width="10.19921875" bestFit="1" customWidth="1"/>
    <col min="35" max="35" width="5.8984375" customWidth="1"/>
    <col min="36" max="36" width="7.09765625" bestFit="1" customWidth="1"/>
    <col min="37" max="37" width="22.19921875" customWidth="1"/>
    <col min="38" max="38" width="13.09765625" customWidth="1"/>
    <col min="39" max="39" width="12.19921875" customWidth="1"/>
    <col min="40" max="40" width="12.59765625" customWidth="1"/>
    <col min="41" max="41" width="12" customWidth="1"/>
    <col min="42" max="42" width="10.19921875" customWidth="1"/>
    <col min="43" max="43" width="13.69921875" customWidth="1"/>
    <col min="44" max="44" width="17.796875" customWidth="1"/>
    <col min="45" max="45" width="9.3984375" customWidth="1"/>
    <col min="46" max="46" width="10.296875" customWidth="1"/>
    <col min="47" max="47" width="13.69921875" customWidth="1"/>
    <col min="48" max="48" width="11.19921875" bestFit="1" customWidth="1"/>
    <col min="49" max="49" width="10.19921875" bestFit="1" customWidth="1"/>
    <col min="50" max="50" width="30.19921875" bestFit="1" customWidth="1"/>
    <col min="51" max="51" width="10.09765625" bestFit="1" customWidth="1"/>
  </cols>
  <sheetData>
    <row r="1" spans="1:57" ht="14.55" customHeight="1" x14ac:dyDescent="0.4">
      <c r="C1" s="209" t="s">
        <v>133</v>
      </c>
      <c r="D1" s="209"/>
      <c r="E1" s="210">
        <f>AH22/AH12</f>
        <v>53.190597394819584</v>
      </c>
      <c r="F1" s="210"/>
    </row>
    <row r="2" spans="1:57" ht="25.5" customHeight="1" x14ac:dyDescent="0.4">
      <c r="C2" s="209"/>
      <c r="D2" s="209"/>
      <c r="E2" s="210"/>
      <c r="F2" s="210"/>
    </row>
    <row r="4" spans="1:57" ht="62.4" x14ac:dyDescent="0.4">
      <c r="A4" s="53" t="s">
        <v>0</v>
      </c>
      <c r="B4" s="53" t="s">
        <v>2</v>
      </c>
      <c r="C4" s="54">
        <v>44562</v>
      </c>
      <c r="D4" s="54">
        <v>44563</v>
      </c>
      <c r="E4" s="54">
        <v>44564</v>
      </c>
      <c r="F4" s="54">
        <v>44565</v>
      </c>
      <c r="G4" s="54">
        <v>44566</v>
      </c>
      <c r="H4" s="54">
        <v>44567</v>
      </c>
      <c r="I4" s="54">
        <v>44568</v>
      </c>
      <c r="J4" s="54">
        <v>44569</v>
      </c>
      <c r="K4" s="54">
        <v>44570</v>
      </c>
      <c r="L4" s="54">
        <v>44571</v>
      </c>
      <c r="M4" s="54">
        <v>44572</v>
      </c>
      <c r="N4" s="54">
        <v>44573</v>
      </c>
      <c r="O4" s="54">
        <v>44574</v>
      </c>
      <c r="P4" s="54">
        <v>44575</v>
      </c>
      <c r="Q4" s="54">
        <v>44576</v>
      </c>
      <c r="R4" s="54">
        <v>44577</v>
      </c>
      <c r="S4" s="54">
        <v>44578</v>
      </c>
      <c r="T4" s="54">
        <v>44579</v>
      </c>
      <c r="U4" s="54">
        <v>44580</v>
      </c>
      <c r="V4" s="54">
        <v>44581</v>
      </c>
      <c r="W4" s="54">
        <v>44582</v>
      </c>
      <c r="X4" s="54">
        <v>44583</v>
      </c>
      <c r="Y4" s="54">
        <v>44584</v>
      </c>
      <c r="Z4" s="54">
        <v>44585</v>
      </c>
      <c r="AA4" s="54">
        <v>44586</v>
      </c>
      <c r="AB4" s="54">
        <v>44587</v>
      </c>
      <c r="AC4" s="54">
        <v>44588</v>
      </c>
      <c r="AD4" s="54">
        <v>44589</v>
      </c>
      <c r="AE4" s="54">
        <v>44590</v>
      </c>
      <c r="AF4" s="54">
        <v>44591</v>
      </c>
      <c r="AG4" s="54">
        <v>44592</v>
      </c>
      <c r="AH4" s="53" t="s">
        <v>1</v>
      </c>
      <c r="AJ4" s="49" t="s">
        <v>0</v>
      </c>
      <c r="AK4" s="81" t="s">
        <v>2</v>
      </c>
      <c r="AL4" s="82" t="s">
        <v>23</v>
      </c>
      <c r="AM4" s="82" t="s">
        <v>24</v>
      </c>
      <c r="AN4" s="82" t="s">
        <v>26</v>
      </c>
      <c r="AO4" s="82" t="s">
        <v>136</v>
      </c>
      <c r="AP4" s="82" t="s">
        <v>27</v>
      </c>
      <c r="AQ4" s="82" t="s">
        <v>30</v>
      </c>
      <c r="AR4" s="82" t="s">
        <v>32</v>
      </c>
      <c r="AS4" s="82" t="s">
        <v>28</v>
      </c>
      <c r="AT4" s="82" t="s">
        <v>29</v>
      </c>
      <c r="AU4" s="82" t="s">
        <v>31</v>
      </c>
    </row>
    <row r="5" spans="1:57" x14ac:dyDescent="0.4">
      <c r="A5" s="2">
        <v>1</v>
      </c>
      <c r="B5" s="3" t="s">
        <v>5</v>
      </c>
      <c r="C5" s="7">
        <v>1.5</v>
      </c>
      <c r="D5" s="7">
        <v>1</v>
      </c>
      <c r="E5" s="7">
        <v>2.5</v>
      </c>
      <c r="F5" s="7">
        <v>1.5</v>
      </c>
      <c r="G5" s="7">
        <v>1.5</v>
      </c>
      <c r="H5" s="7">
        <v>1.5</v>
      </c>
      <c r="I5" s="7">
        <v>0</v>
      </c>
      <c r="J5" s="7">
        <v>0</v>
      </c>
      <c r="K5" s="7">
        <v>1</v>
      </c>
      <c r="L5" s="7">
        <v>1</v>
      </c>
      <c r="M5" s="7">
        <v>1.5</v>
      </c>
      <c r="N5" s="7">
        <v>1.5</v>
      </c>
      <c r="O5" s="7">
        <v>0</v>
      </c>
      <c r="P5" s="7">
        <v>2.5</v>
      </c>
      <c r="Q5" s="7">
        <v>1.5</v>
      </c>
      <c r="R5" s="7">
        <v>1.5</v>
      </c>
      <c r="S5" s="7">
        <v>1.5</v>
      </c>
      <c r="T5" s="7">
        <v>1.5</v>
      </c>
      <c r="U5" s="7">
        <v>1.5</v>
      </c>
      <c r="V5" s="7">
        <v>1.5</v>
      </c>
      <c r="W5" s="7">
        <v>1</v>
      </c>
      <c r="X5" s="7">
        <v>2.5</v>
      </c>
      <c r="Y5" s="7">
        <v>2.5</v>
      </c>
      <c r="Z5" s="7">
        <v>0.5</v>
      </c>
      <c r="AA5" s="7">
        <v>0</v>
      </c>
      <c r="AB5" s="7">
        <v>1</v>
      </c>
      <c r="AC5" s="7">
        <v>1.5</v>
      </c>
      <c r="AD5" s="7">
        <v>0</v>
      </c>
      <c r="AE5" s="7">
        <v>2.5</v>
      </c>
      <c r="AF5" s="7">
        <v>2.5</v>
      </c>
      <c r="AG5" s="7">
        <v>1.5</v>
      </c>
      <c r="AH5" s="56">
        <f>SUM(C5:AG5)</f>
        <v>41.5</v>
      </c>
      <c r="AJ5" s="2">
        <v>1</v>
      </c>
      <c r="AK5" s="83" t="s">
        <v>5</v>
      </c>
      <c r="AL5" s="8">
        <f>AH5*$E$1</f>
        <v>2207.4097918850125</v>
      </c>
      <c r="AM5" s="8">
        <f>AH15</f>
        <v>4087</v>
      </c>
      <c r="AN5" s="8">
        <f>AM5-AL5</f>
        <v>1879.5902081149875</v>
      </c>
      <c r="AO5" s="8">
        <f>N25</f>
        <v>4258.2857142857138</v>
      </c>
      <c r="AP5" s="8">
        <f t="shared" ref="AP5:AP11" si="0">AO5-AN5</f>
        <v>2378.6955061707263</v>
      </c>
      <c r="AQ5" s="40">
        <v>0</v>
      </c>
      <c r="AR5" s="8">
        <f t="shared" ref="AR5:AR11" si="1">AP5-AQ5</f>
        <v>2378.6955061707263</v>
      </c>
      <c r="AS5" s="26">
        <f>500+1879</f>
        <v>2379</v>
      </c>
      <c r="AT5" s="26"/>
      <c r="AU5" s="8">
        <f t="shared" ref="AU5:AU11" si="2">AS5-AR5</f>
        <v>0.30449382927372426</v>
      </c>
      <c r="AY5" s="9"/>
    </row>
    <row r="6" spans="1:57" x14ac:dyDescent="0.4">
      <c r="A6" s="2">
        <v>2</v>
      </c>
      <c r="B6" s="3" t="s">
        <v>131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3</v>
      </c>
      <c r="I6" s="7"/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56">
        <f>SUM(C6:AG6)</f>
        <v>13</v>
      </c>
      <c r="AJ6" s="2">
        <v>2</v>
      </c>
      <c r="AK6" s="83" t="s">
        <v>131</v>
      </c>
      <c r="AL6" s="8">
        <f t="shared" ref="AL6:AL11" si="3">AH6*$E$1</f>
        <v>691.47776613265455</v>
      </c>
      <c r="AM6" s="8">
        <f t="shared" ref="AM6:AM7" si="4">AH16</f>
        <v>2710</v>
      </c>
      <c r="AN6" s="8">
        <f t="shared" ref="AN6:AN9" si="5">AM6-AL6</f>
        <v>2018.5222338673454</v>
      </c>
      <c r="AO6" s="8">
        <f t="shared" ref="AO6:AO9" si="6">N26</f>
        <v>4258.2857142857138</v>
      </c>
      <c r="AP6" s="8">
        <f t="shared" si="0"/>
        <v>2239.7634804183681</v>
      </c>
      <c r="AQ6" s="40">
        <v>0</v>
      </c>
      <c r="AR6" s="8">
        <f t="shared" si="1"/>
        <v>2239.7634804183681</v>
      </c>
      <c r="AS6" s="26">
        <f>121+3000</f>
        <v>3121</v>
      </c>
      <c r="AT6" s="26"/>
      <c r="AU6" s="8">
        <f t="shared" si="2"/>
        <v>881.23651958163191</v>
      </c>
      <c r="AX6">
        <v>7273</v>
      </c>
      <c r="AY6" s="9"/>
    </row>
    <row r="7" spans="1:57" x14ac:dyDescent="0.4">
      <c r="A7" s="2">
        <v>3</v>
      </c>
      <c r="B7" s="3" t="s">
        <v>6</v>
      </c>
      <c r="C7" s="7">
        <v>2.5</v>
      </c>
      <c r="D7" s="7">
        <v>1</v>
      </c>
      <c r="E7" s="7">
        <v>2.5</v>
      </c>
      <c r="F7" s="7">
        <v>2.5</v>
      </c>
      <c r="G7" s="7">
        <v>2.5</v>
      </c>
      <c r="H7" s="7">
        <v>3.5</v>
      </c>
      <c r="I7" s="7">
        <v>5</v>
      </c>
      <c r="J7" s="7">
        <v>4.5</v>
      </c>
      <c r="K7" s="7">
        <v>4.5</v>
      </c>
      <c r="L7" s="7">
        <v>2.5</v>
      </c>
      <c r="M7" s="7">
        <v>3</v>
      </c>
      <c r="N7" s="7">
        <v>2.5</v>
      </c>
      <c r="O7" s="7">
        <v>0</v>
      </c>
      <c r="P7" s="7">
        <v>5</v>
      </c>
      <c r="Q7" s="7">
        <v>5</v>
      </c>
      <c r="R7" s="7">
        <v>3</v>
      </c>
      <c r="S7" s="7">
        <v>3</v>
      </c>
      <c r="T7" s="7">
        <v>3.5</v>
      </c>
      <c r="U7" s="7">
        <v>1.5</v>
      </c>
      <c r="V7" s="7">
        <v>3.5</v>
      </c>
      <c r="W7" s="7">
        <v>4.5</v>
      </c>
      <c r="X7" s="7">
        <v>3</v>
      </c>
      <c r="Y7" s="7">
        <v>3.5</v>
      </c>
      <c r="Z7" s="7">
        <v>3.5</v>
      </c>
      <c r="AA7" s="7">
        <v>1.5</v>
      </c>
      <c r="AB7" s="7">
        <v>2</v>
      </c>
      <c r="AC7" s="7">
        <v>4</v>
      </c>
      <c r="AD7" s="7">
        <v>2.5</v>
      </c>
      <c r="AE7" s="7">
        <v>1</v>
      </c>
      <c r="AF7" s="7">
        <v>1</v>
      </c>
      <c r="AG7" s="7">
        <v>1</v>
      </c>
      <c r="AH7" s="56">
        <f t="shared" ref="AH7:AH11" si="7">SUM(C7:AG7)</f>
        <v>88.5</v>
      </c>
      <c r="AJ7" s="2">
        <v>3</v>
      </c>
      <c r="AK7" s="83" t="s">
        <v>6</v>
      </c>
      <c r="AL7" s="8">
        <f t="shared" si="3"/>
        <v>4707.367869441533</v>
      </c>
      <c r="AM7" s="8">
        <f t="shared" si="4"/>
        <v>693</v>
      </c>
      <c r="AN7" s="8">
        <f t="shared" si="5"/>
        <v>-4014.367869441533</v>
      </c>
      <c r="AO7" s="8">
        <f t="shared" si="6"/>
        <v>3258.2857142857142</v>
      </c>
      <c r="AP7" s="8">
        <f t="shared" si="0"/>
        <v>7272.6535837272477</v>
      </c>
      <c r="AQ7" s="40">
        <v>0</v>
      </c>
      <c r="AR7" s="8">
        <f t="shared" si="1"/>
        <v>7272.6535837272477</v>
      </c>
      <c r="AS7" s="26">
        <f>188+7050+35</f>
        <v>7273</v>
      </c>
      <c r="AT7" s="26"/>
      <c r="AU7" s="8">
        <f>AS7-AR7</f>
        <v>0.34641627275232167</v>
      </c>
      <c r="AX7">
        <v>188</v>
      </c>
      <c r="AY7" s="9">
        <f>AX6-AX7</f>
        <v>7085</v>
      </c>
      <c r="AZ7">
        <v>50</v>
      </c>
      <c r="BA7" s="9">
        <f>AY7-AZ7</f>
        <v>7035</v>
      </c>
      <c r="BB7" s="9">
        <v>35</v>
      </c>
      <c r="BC7" s="9">
        <f>BA7+BB7</f>
        <v>7070</v>
      </c>
      <c r="BD7" s="9">
        <f>AY7-BC7</f>
        <v>15</v>
      </c>
    </row>
    <row r="8" spans="1:57" x14ac:dyDescent="0.4">
      <c r="A8" s="2">
        <v>4</v>
      </c>
      <c r="B8" s="3" t="s">
        <v>57</v>
      </c>
      <c r="C8" s="7">
        <v>2.5</v>
      </c>
      <c r="D8" s="7">
        <v>1</v>
      </c>
      <c r="E8" s="7">
        <v>2.5</v>
      </c>
      <c r="F8" s="7">
        <v>2.5</v>
      </c>
      <c r="G8" s="7">
        <v>2.5</v>
      </c>
      <c r="H8" s="7">
        <v>3.5</v>
      </c>
      <c r="I8" s="7">
        <v>3</v>
      </c>
      <c r="J8" s="7">
        <v>2.5</v>
      </c>
      <c r="K8" s="7">
        <v>1</v>
      </c>
      <c r="L8" s="7">
        <v>2.5</v>
      </c>
      <c r="M8" s="7">
        <v>2.5</v>
      </c>
      <c r="N8" s="7">
        <v>1.5</v>
      </c>
      <c r="O8" s="7">
        <v>0</v>
      </c>
      <c r="P8" s="7">
        <v>4.5</v>
      </c>
      <c r="Q8" s="7">
        <v>3.5</v>
      </c>
      <c r="R8" s="7">
        <v>2.5</v>
      </c>
      <c r="S8" s="7">
        <v>5</v>
      </c>
      <c r="T8" s="7">
        <v>3</v>
      </c>
      <c r="U8" s="7">
        <v>2.5</v>
      </c>
      <c r="V8" s="7">
        <v>2.5</v>
      </c>
      <c r="W8" s="7">
        <v>4.5</v>
      </c>
      <c r="X8" s="7">
        <v>1.5</v>
      </c>
      <c r="Y8" s="7">
        <v>2.5</v>
      </c>
      <c r="Z8" s="7">
        <v>2.5</v>
      </c>
      <c r="AA8" s="7">
        <v>1.5</v>
      </c>
      <c r="AB8" s="7">
        <v>1</v>
      </c>
      <c r="AC8" s="7">
        <v>4.5</v>
      </c>
      <c r="AD8" s="7">
        <v>2.5</v>
      </c>
      <c r="AE8" s="7">
        <v>1</v>
      </c>
      <c r="AF8" s="7">
        <v>4</v>
      </c>
      <c r="AG8" s="7">
        <v>3</v>
      </c>
      <c r="AH8" s="56">
        <f t="shared" si="7"/>
        <v>79.5</v>
      </c>
      <c r="AJ8" s="2">
        <v>4</v>
      </c>
      <c r="AK8" s="83" t="s">
        <v>57</v>
      </c>
      <c r="AL8" s="8">
        <f t="shared" si="3"/>
        <v>4228.6524928881572</v>
      </c>
      <c r="AM8" s="8">
        <f>AH18</f>
        <v>2445</v>
      </c>
      <c r="AN8" s="8">
        <f t="shared" si="5"/>
        <v>-1783.6524928881572</v>
      </c>
      <c r="AO8" s="8">
        <f t="shared" si="6"/>
        <v>3258.2857142857142</v>
      </c>
      <c r="AP8" s="8">
        <f t="shared" si="0"/>
        <v>5041.938207173871</v>
      </c>
      <c r="AQ8" s="40">
        <v>0</v>
      </c>
      <c r="AR8" s="8">
        <f t="shared" si="1"/>
        <v>5041.938207173871</v>
      </c>
      <c r="AS8" s="26">
        <f>120+4922</f>
        <v>5042</v>
      </c>
      <c r="AT8" s="26"/>
      <c r="AU8" s="8">
        <f t="shared" si="2"/>
        <v>6.1792826129021705E-2</v>
      </c>
      <c r="AV8" s="25"/>
      <c r="AY8" s="9"/>
    </row>
    <row r="9" spans="1:57" x14ac:dyDescent="0.4">
      <c r="A9" s="2">
        <v>5</v>
      </c>
      <c r="B9" s="12" t="s">
        <v>51</v>
      </c>
      <c r="C9" s="7">
        <v>1.5</v>
      </c>
      <c r="D9" s="7">
        <v>2</v>
      </c>
      <c r="E9" s="7">
        <v>3</v>
      </c>
      <c r="F9" s="7">
        <v>1</v>
      </c>
      <c r="G9" s="7">
        <v>1</v>
      </c>
      <c r="H9" s="7">
        <v>2</v>
      </c>
      <c r="I9" s="7">
        <v>5.5</v>
      </c>
      <c r="J9" s="7">
        <v>2.5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6</v>
      </c>
      <c r="Q9" s="7">
        <v>2.5</v>
      </c>
      <c r="R9" s="7">
        <v>1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1</v>
      </c>
      <c r="Y9" s="7">
        <v>1</v>
      </c>
      <c r="Z9" s="7">
        <v>1</v>
      </c>
      <c r="AA9" s="7">
        <v>0</v>
      </c>
      <c r="AB9" s="7">
        <v>1</v>
      </c>
      <c r="AC9" s="7">
        <v>1</v>
      </c>
      <c r="AD9" s="7">
        <v>2.5</v>
      </c>
      <c r="AE9" s="7">
        <v>2.5</v>
      </c>
      <c r="AF9" s="7">
        <v>2.5</v>
      </c>
      <c r="AG9" s="7">
        <v>1.5</v>
      </c>
      <c r="AH9" s="56">
        <f t="shared" si="7"/>
        <v>49</v>
      </c>
      <c r="AJ9" s="2">
        <v>5</v>
      </c>
      <c r="AK9" s="84" t="s">
        <v>51</v>
      </c>
      <c r="AL9" s="8">
        <f t="shared" si="3"/>
        <v>2606.3392723461598</v>
      </c>
      <c r="AM9" s="8">
        <f>AH19</f>
        <v>2630</v>
      </c>
      <c r="AN9" s="8">
        <f t="shared" si="5"/>
        <v>23.66072765384024</v>
      </c>
      <c r="AO9" s="8">
        <f t="shared" si="6"/>
        <v>3258.2857142857142</v>
      </c>
      <c r="AP9" s="8">
        <f>AO9-AN9</f>
        <v>3234.624986631874</v>
      </c>
      <c r="AQ9" s="40">
        <v>0</v>
      </c>
      <c r="AR9" s="8">
        <f t="shared" si="1"/>
        <v>3234.624986631874</v>
      </c>
      <c r="AS9" s="26">
        <f>3000+235</f>
        <v>3235</v>
      </c>
      <c r="AT9" s="26"/>
      <c r="AU9" s="8">
        <f t="shared" si="2"/>
        <v>0.37501336812601949</v>
      </c>
      <c r="AX9" s="9">
        <v>2318</v>
      </c>
    </row>
    <row r="10" spans="1:57" x14ac:dyDescent="0.4">
      <c r="A10" s="2">
        <v>6</v>
      </c>
      <c r="B10" s="1" t="s">
        <v>110</v>
      </c>
      <c r="C10" s="7">
        <v>1.5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1.5</v>
      </c>
      <c r="J10" s="7">
        <v>2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1.45</v>
      </c>
      <c r="Q10" s="7">
        <v>1.5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1.5</v>
      </c>
      <c r="X10" s="7">
        <v>2.5</v>
      </c>
      <c r="Y10" s="7">
        <v>2.5</v>
      </c>
      <c r="Z10" s="7">
        <v>2.5</v>
      </c>
      <c r="AA10" s="7">
        <v>1.5</v>
      </c>
      <c r="AB10" s="7">
        <v>1</v>
      </c>
      <c r="AC10" s="7">
        <v>2.5</v>
      </c>
      <c r="AD10" s="7">
        <v>1.5</v>
      </c>
      <c r="AE10" s="7">
        <v>2.5</v>
      </c>
      <c r="AF10" s="7">
        <v>2.5</v>
      </c>
      <c r="AG10" s="7">
        <v>2</v>
      </c>
      <c r="AH10" s="56">
        <f t="shared" si="7"/>
        <v>45.45</v>
      </c>
      <c r="AJ10" s="2">
        <v>6</v>
      </c>
      <c r="AK10" s="84" t="s">
        <v>104</v>
      </c>
      <c r="AL10" s="8">
        <f t="shared" si="3"/>
        <v>2417.5126515945503</v>
      </c>
      <c r="AM10" s="8">
        <f>AH20</f>
        <v>2603</v>
      </c>
      <c r="AN10" s="8">
        <f t="shared" ref="AN10:AN11" si="8">AM10-AL10</f>
        <v>185.48734840544967</v>
      </c>
      <c r="AO10" s="8">
        <f>N30</f>
        <v>4008.2857142857142</v>
      </c>
      <c r="AP10" s="8">
        <f t="shared" si="0"/>
        <v>3822.7983658802646</v>
      </c>
      <c r="AQ10" s="40">
        <v>0</v>
      </c>
      <c r="AR10" s="8">
        <f t="shared" si="1"/>
        <v>3822.7983658802646</v>
      </c>
      <c r="AS10" s="26">
        <f>250+3573</f>
        <v>3823</v>
      </c>
      <c r="AT10" s="26"/>
      <c r="AU10" s="8">
        <f>AS10-AR10</f>
        <v>0.20163411973544498</v>
      </c>
      <c r="AV10" s="47"/>
      <c r="AW10" s="9"/>
      <c r="AX10">
        <v>4922</v>
      </c>
    </row>
    <row r="11" spans="1:57" x14ac:dyDescent="0.4">
      <c r="A11" s="2">
        <v>7</v>
      </c>
      <c r="B11" s="3" t="s">
        <v>118</v>
      </c>
      <c r="C11" s="7">
        <v>0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2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1</v>
      </c>
      <c r="Z11" s="7">
        <v>2</v>
      </c>
      <c r="AA11" s="7">
        <v>1</v>
      </c>
      <c r="AB11" s="7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56">
        <f t="shared" si="7"/>
        <v>17</v>
      </c>
      <c r="AJ11" s="2">
        <v>7</v>
      </c>
      <c r="AK11" s="83" t="s">
        <v>118</v>
      </c>
      <c r="AL11" s="8">
        <f t="shared" si="3"/>
        <v>904.24015571193297</v>
      </c>
      <c r="AM11" s="8">
        <f>AH21</f>
        <v>2595</v>
      </c>
      <c r="AN11" s="8">
        <f t="shared" si="8"/>
        <v>1690.7598442880671</v>
      </c>
      <c r="AO11" s="8">
        <f>N31</f>
        <v>4008.2857142857142</v>
      </c>
      <c r="AP11" s="8">
        <f t="shared" si="0"/>
        <v>2317.5258699976471</v>
      </c>
      <c r="AQ11" s="40">
        <v>0</v>
      </c>
      <c r="AR11" s="8">
        <f t="shared" si="1"/>
        <v>2317.5258699976471</v>
      </c>
      <c r="AS11" s="26">
        <f>2318</f>
        <v>2318</v>
      </c>
      <c r="AT11" s="26"/>
      <c r="AU11" s="8">
        <f t="shared" si="2"/>
        <v>0.47413000235292202</v>
      </c>
      <c r="AV11" s="9"/>
      <c r="AX11">
        <v>2000</v>
      </c>
    </row>
    <row r="12" spans="1:57" x14ac:dyDescent="0.4">
      <c r="A12" s="1"/>
      <c r="B12" s="1"/>
      <c r="C12" s="55">
        <f>SUM(C5:C11)</f>
        <v>11.5</v>
      </c>
      <c r="D12" s="55">
        <f t="shared" ref="D12:AG12" si="9">SUM(D5:D11)</f>
        <v>9</v>
      </c>
      <c r="E12" s="55">
        <f t="shared" si="9"/>
        <v>14.5</v>
      </c>
      <c r="F12" s="55">
        <f t="shared" si="9"/>
        <v>10.5</v>
      </c>
      <c r="G12" s="55">
        <f t="shared" si="9"/>
        <v>10.5</v>
      </c>
      <c r="H12" s="55">
        <f t="shared" si="9"/>
        <v>15.5</v>
      </c>
      <c r="I12" s="55">
        <f t="shared" si="9"/>
        <v>15</v>
      </c>
      <c r="J12" s="55">
        <f t="shared" si="9"/>
        <v>11.5</v>
      </c>
      <c r="K12" s="55">
        <f t="shared" si="9"/>
        <v>8.5</v>
      </c>
      <c r="L12" s="55">
        <f t="shared" si="9"/>
        <v>8</v>
      </c>
      <c r="M12" s="55">
        <f t="shared" si="9"/>
        <v>10</v>
      </c>
      <c r="N12" s="55">
        <f t="shared" si="9"/>
        <v>8.5</v>
      </c>
      <c r="O12" s="55">
        <f t="shared" si="9"/>
        <v>1</v>
      </c>
      <c r="P12" s="55">
        <f t="shared" si="9"/>
        <v>19.45</v>
      </c>
      <c r="Q12" s="55">
        <f t="shared" si="9"/>
        <v>14</v>
      </c>
      <c r="R12" s="55">
        <f t="shared" si="9"/>
        <v>10</v>
      </c>
      <c r="S12" s="55">
        <f t="shared" si="9"/>
        <v>13.5</v>
      </c>
      <c r="T12" s="55">
        <f t="shared" si="9"/>
        <v>11</v>
      </c>
      <c r="U12" s="55">
        <f t="shared" si="9"/>
        <v>8.5</v>
      </c>
      <c r="V12" s="55">
        <f t="shared" si="9"/>
        <v>9.5</v>
      </c>
      <c r="W12" s="55">
        <f t="shared" si="9"/>
        <v>11.5</v>
      </c>
      <c r="X12" s="55">
        <f t="shared" si="9"/>
        <v>10.5</v>
      </c>
      <c r="Y12" s="55">
        <f t="shared" si="9"/>
        <v>13</v>
      </c>
      <c r="Z12" s="55">
        <f t="shared" si="9"/>
        <v>12</v>
      </c>
      <c r="AA12" s="55">
        <f t="shared" si="9"/>
        <v>5.5</v>
      </c>
      <c r="AB12" s="55">
        <f t="shared" si="9"/>
        <v>7</v>
      </c>
      <c r="AC12" s="55">
        <f t="shared" si="9"/>
        <v>14.5</v>
      </c>
      <c r="AD12" s="55">
        <f t="shared" si="9"/>
        <v>9</v>
      </c>
      <c r="AE12" s="55">
        <f t="shared" si="9"/>
        <v>9.5</v>
      </c>
      <c r="AF12" s="55">
        <f t="shared" si="9"/>
        <v>12.5</v>
      </c>
      <c r="AG12" s="55">
        <f t="shared" si="9"/>
        <v>9</v>
      </c>
      <c r="AH12" s="55">
        <f>SUM(AH5:AH11)</f>
        <v>333.95</v>
      </c>
      <c r="AJ12" s="2"/>
      <c r="AK12" s="84"/>
      <c r="AL12" s="65">
        <f t="shared" ref="AL12:AQ12" si="10">SUM(AL5:AL11)</f>
        <v>17763.000000000004</v>
      </c>
      <c r="AM12" s="65">
        <f t="shared" si="10"/>
        <v>17763</v>
      </c>
      <c r="AN12" s="65">
        <f t="shared" si="10"/>
        <v>0</v>
      </c>
      <c r="AO12" s="65">
        <f t="shared" si="10"/>
        <v>26307.999999999996</v>
      </c>
      <c r="AP12" s="65">
        <f t="shared" si="10"/>
        <v>26308.000000000004</v>
      </c>
      <c r="AQ12" s="67">
        <f t="shared" si="10"/>
        <v>0</v>
      </c>
      <c r="AR12" s="65">
        <f>AP12-AQ12</f>
        <v>26308.000000000004</v>
      </c>
      <c r="AS12" s="77">
        <f>SUM(AS5:AS11)</f>
        <v>27191</v>
      </c>
      <c r="AT12" s="77"/>
      <c r="AU12" s="65">
        <f>SUM(AU5:AU11)</f>
        <v>883.00000000000136</v>
      </c>
      <c r="AV12" s="9"/>
      <c r="AX12">
        <v>3000</v>
      </c>
    </row>
    <row r="13" spans="1:57" x14ac:dyDescent="0.4">
      <c r="AL13" s="25"/>
      <c r="AM13" s="9"/>
      <c r="AN13" s="9"/>
      <c r="AP13" s="9"/>
      <c r="AQ13" s="9"/>
      <c r="AR13" s="25"/>
      <c r="AS13" s="9"/>
      <c r="AT13" s="9"/>
      <c r="AU13" s="9"/>
      <c r="AV13" s="9"/>
      <c r="AW13" s="9"/>
      <c r="AX13">
        <v>3500</v>
      </c>
    </row>
    <row r="14" spans="1:57" x14ac:dyDescent="0.4">
      <c r="B14" s="64" t="s">
        <v>134</v>
      </c>
      <c r="AK14" s="44" t="s">
        <v>140</v>
      </c>
      <c r="AL14" s="9"/>
      <c r="AU14" s="9"/>
      <c r="AV14">
        <v>22250</v>
      </c>
      <c r="AX14" s="25">
        <v>235</v>
      </c>
      <c r="BC14">
        <v>7100</v>
      </c>
      <c r="BD14">
        <v>18</v>
      </c>
      <c r="BE14">
        <f>BC14-BD14</f>
        <v>7082</v>
      </c>
    </row>
    <row r="15" spans="1:57" x14ac:dyDescent="0.4">
      <c r="A15" s="2">
        <v>1</v>
      </c>
      <c r="B15" s="3" t="s">
        <v>5</v>
      </c>
      <c r="C15" s="8">
        <v>1782</v>
      </c>
      <c r="D15" s="8">
        <v>1450</v>
      </c>
      <c r="E15" s="8">
        <v>610</v>
      </c>
      <c r="F15" s="8"/>
      <c r="G15" s="8"/>
      <c r="H15" s="8"/>
      <c r="I15" s="8"/>
      <c r="J15" s="8">
        <v>165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80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5">
        <f>SUM(C15:AG15)</f>
        <v>4087</v>
      </c>
      <c r="AK15" s="1" t="s">
        <v>89</v>
      </c>
      <c r="AL15" s="1" t="s">
        <v>95</v>
      </c>
      <c r="AR15" s="25"/>
      <c r="AU15" s="9"/>
      <c r="AV15" s="9">
        <f>AV14+AU6</f>
        <v>23131.236519581631</v>
      </c>
      <c r="AX15" s="25">
        <v>7050</v>
      </c>
    </row>
    <row r="16" spans="1:57" x14ac:dyDescent="0.4">
      <c r="A16" s="2">
        <v>2</v>
      </c>
      <c r="B16" s="3" t="s">
        <v>131</v>
      </c>
      <c r="C16" s="8"/>
      <c r="D16" s="8"/>
      <c r="E16" s="8"/>
      <c r="F16" s="8"/>
      <c r="G16" s="8">
        <v>2710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11">SUM(C16:AG16)</f>
        <v>2710</v>
      </c>
      <c r="AK16" s="1" t="s">
        <v>137</v>
      </c>
      <c r="AL16" s="16">
        <f>N40</f>
        <v>22250</v>
      </c>
      <c r="AQ16" s="9"/>
      <c r="AR16" s="25"/>
      <c r="AU16" s="9"/>
      <c r="AX16" s="9">
        <f>SUM(AX9:AX15)</f>
        <v>23025</v>
      </c>
    </row>
    <row r="17" spans="1:53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115</v>
      </c>
      <c r="X17" s="8"/>
      <c r="Y17" s="8">
        <v>135</v>
      </c>
      <c r="Z17">
        <v>198</v>
      </c>
      <c r="AA17" s="8">
        <v>245</v>
      </c>
      <c r="AB17" s="8"/>
      <c r="AC17" s="8"/>
      <c r="AD17" s="8"/>
      <c r="AE17" s="8"/>
      <c r="AF17" s="8"/>
      <c r="AG17" s="8"/>
      <c r="AH17" s="65">
        <f t="shared" si="11"/>
        <v>693</v>
      </c>
      <c r="AK17" s="1" t="s">
        <v>142</v>
      </c>
      <c r="AL17" s="16">
        <v>0</v>
      </c>
      <c r="AR17" s="25"/>
      <c r="AU17" s="9"/>
      <c r="AX17" s="25"/>
    </row>
    <row r="18" spans="1:5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610</v>
      </c>
      <c r="Q18" s="8">
        <v>270</v>
      </c>
      <c r="R18" s="8"/>
      <c r="S18" s="8">
        <v>950</v>
      </c>
      <c r="T18" s="8">
        <v>455</v>
      </c>
      <c r="U18" s="8">
        <v>160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1"/>
        <v>2445</v>
      </c>
      <c r="AK18" s="78" t="s">
        <v>138</v>
      </c>
      <c r="AL18" s="51">
        <f>SUM(AL16:AL17)</f>
        <v>22250</v>
      </c>
      <c r="AQ18" s="9">
        <f>AL16+AU6</f>
        <v>23131.236519581631</v>
      </c>
      <c r="AR18" s="25">
        <f>23130</f>
        <v>23130</v>
      </c>
      <c r="AS18" s="25">
        <f>AQ18-AR18</f>
        <v>1.2365195816310006</v>
      </c>
      <c r="AT18" s="25"/>
      <c r="BA18" s="9"/>
    </row>
    <row r="19" spans="1:53" x14ac:dyDescent="0.4">
      <c r="A19" s="2">
        <v>5</v>
      </c>
      <c r="B19" s="12" t="s">
        <v>51</v>
      </c>
      <c r="C19" s="8"/>
      <c r="D19" s="8"/>
      <c r="E19" s="8"/>
      <c r="F19" s="8"/>
      <c r="G19" s="8"/>
      <c r="H19" s="8"/>
      <c r="I19" s="8"/>
      <c r="J19" s="8"/>
      <c r="K19" s="8">
        <v>2290</v>
      </c>
      <c r="L19" s="8"/>
      <c r="M19" s="8"/>
      <c r="N19" s="8">
        <v>340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1"/>
        <v>2630</v>
      </c>
      <c r="BA19" s="9"/>
    </row>
    <row r="20" spans="1:53" x14ac:dyDescent="0.4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2200</v>
      </c>
      <c r="AD20" s="8">
        <v>403</v>
      </c>
      <c r="AE20" s="8"/>
      <c r="AF20" s="8"/>
      <c r="AG20" s="8"/>
      <c r="AH20" s="65">
        <f>SUM(C20:AG20)</f>
        <v>2603</v>
      </c>
      <c r="AK20" s="1" t="s">
        <v>92</v>
      </c>
      <c r="AL20" s="1"/>
      <c r="AV20" s="25"/>
      <c r="AY20">
        <v>7100</v>
      </c>
    </row>
    <row r="21" spans="1:5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790</v>
      </c>
      <c r="Y21" s="8"/>
      <c r="Z21" s="8"/>
      <c r="AA21" s="8"/>
      <c r="AB21" s="8">
        <v>1805</v>
      </c>
      <c r="AC21" s="8"/>
      <c r="AD21" s="8"/>
      <c r="AE21" s="8"/>
      <c r="AF21" s="8"/>
      <c r="AG21" s="8"/>
      <c r="AH21" s="65">
        <f t="shared" si="11"/>
        <v>2595</v>
      </c>
      <c r="AK21" s="1" t="s">
        <v>93</v>
      </c>
      <c r="AL21" s="16">
        <f>-AU12</f>
        <v>-883.00000000000136</v>
      </c>
      <c r="AS21" s="25"/>
      <c r="AY21">
        <v>50</v>
      </c>
    </row>
    <row r="22" spans="1:5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17763</v>
      </c>
      <c r="AK22" s="1" t="s">
        <v>141</v>
      </c>
      <c r="AL22" s="1">
        <v>2000</v>
      </c>
      <c r="AY22">
        <f>AY20-AY21</f>
        <v>7050</v>
      </c>
    </row>
    <row r="23" spans="1:53" x14ac:dyDescent="0.4">
      <c r="AK23" s="78" t="s">
        <v>139</v>
      </c>
      <c r="AL23" s="51">
        <f>SUM(AL21:AL22)</f>
        <v>1116.9999999999986</v>
      </c>
      <c r="AY23">
        <v>18</v>
      </c>
    </row>
    <row r="24" spans="1:53" x14ac:dyDescent="0.4">
      <c r="A24" s="4"/>
      <c r="B24" s="13" t="s">
        <v>135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AY24">
        <f>AY22-AY23</f>
        <v>7032</v>
      </c>
    </row>
    <row r="25" spans="1:5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12">$D$32/7</f>
        <v>428.57142857142856</v>
      </c>
      <c r="E25" s="8">
        <f>$E$32/7</f>
        <v>0</v>
      </c>
      <c r="F25" s="8">
        <f t="shared" ref="F25:F31" si="13">$F$32/7</f>
        <v>71.428571428571431</v>
      </c>
      <c r="G25" s="8">
        <f t="shared" ref="G25:G31" si="14">$G$32/7</f>
        <v>139.28571428571428</v>
      </c>
      <c r="H25" s="26">
        <f t="shared" ref="H25:H31" si="15">$H$32/7</f>
        <v>70.714285714285708</v>
      </c>
      <c r="I25" s="8">
        <f t="shared" ref="I25:I31" si="16">$I$32/7</f>
        <v>290</v>
      </c>
      <c r="J25" s="8">
        <f t="shared" ref="J25:J31" si="17">$J$32/7</f>
        <v>35.714285714285715</v>
      </c>
      <c r="K25" s="26">
        <f>$K$32/7</f>
        <v>62.571428571428569</v>
      </c>
      <c r="L25" s="40">
        <f t="shared" ref="L25:L31" si="18">$L$32/7</f>
        <v>17.142857142857142</v>
      </c>
      <c r="M25" s="8">
        <f t="shared" ref="M25:M31" si="19">$M$32/7</f>
        <v>0</v>
      </c>
      <c r="N25" s="65">
        <f t="shared" ref="N25:N29" si="20">SUM(C25:M25)</f>
        <v>4258.2857142857138</v>
      </c>
      <c r="AK25" s="70" t="s">
        <v>125</v>
      </c>
      <c r="AL25" s="44">
        <f>AL18-AL23</f>
        <v>21133</v>
      </c>
      <c r="AY25" s="47">
        <v>50</v>
      </c>
    </row>
    <row r="26" spans="1:53" x14ac:dyDescent="0.4">
      <c r="A26" s="2">
        <v>2</v>
      </c>
      <c r="B26" s="12" t="s">
        <v>131</v>
      </c>
      <c r="C26" s="8">
        <f>H35</f>
        <v>3142.8571428571427</v>
      </c>
      <c r="D26" s="8">
        <f t="shared" si="12"/>
        <v>428.57142857142856</v>
      </c>
      <c r="E26" s="8">
        <f>$E$32/7</f>
        <v>0</v>
      </c>
      <c r="F26" s="8">
        <f t="shared" si="13"/>
        <v>71.428571428571431</v>
      </c>
      <c r="G26" s="8">
        <f t="shared" si="14"/>
        <v>139.28571428571428</v>
      </c>
      <c r="H26" s="26">
        <f t="shared" si="15"/>
        <v>70.714285714285708</v>
      </c>
      <c r="I26" s="8">
        <f t="shared" si="16"/>
        <v>290</v>
      </c>
      <c r="J26" s="8">
        <f t="shared" si="17"/>
        <v>35.714285714285715</v>
      </c>
      <c r="K26" s="26">
        <f t="shared" ref="K26:K31" si="21">$K$32/7</f>
        <v>62.571428571428569</v>
      </c>
      <c r="L26" s="40">
        <f t="shared" si="18"/>
        <v>17.142857142857142</v>
      </c>
      <c r="M26" s="8">
        <f t="shared" si="19"/>
        <v>0</v>
      </c>
      <c r="N26" s="65">
        <f t="shared" si="20"/>
        <v>4258.2857142857138</v>
      </c>
      <c r="AY26" s="47">
        <f>AY24+AY25</f>
        <v>7082</v>
      </c>
    </row>
    <row r="27" spans="1:53" x14ac:dyDescent="0.4">
      <c r="A27" s="2">
        <v>3</v>
      </c>
      <c r="B27" s="12" t="s">
        <v>6</v>
      </c>
      <c r="C27" s="8">
        <f>H36</f>
        <v>2142.8571428571427</v>
      </c>
      <c r="D27" s="8">
        <f t="shared" si="12"/>
        <v>428.57142857142856</v>
      </c>
      <c r="E27" s="8">
        <f>$E$32/7</f>
        <v>0</v>
      </c>
      <c r="F27" s="8">
        <f t="shared" si="13"/>
        <v>71.428571428571431</v>
      </c>
      <c r="G27" s="8">
        <f t="shared" si="14"/>
        <v>139.28571428571428</v>
      </c>
      <c r="H27" s="26">
        <f t="shared" si="15"/>
        <v>70.714285714285708</v>
      </c>
      <c r="I27" s="8">
        <f t="shared" si="16"/>
        <v>290</v>
      </c>
      <c r="J27" s="8">
        <f t="shared" si="17"/>
        <v>35.714285714285715</v>
      </c>
      <c r="K27" s="26">
        <f t="shared" si="21"/>
        <v>62.571428571428569</v>
      </c>
      <c r="L27" s="40">
        <f t="shared" si="18"/>
        <v>17.142857142857142</v>
      </c>
      <c r="M27" s="8">
        <f t="shared" si="19"/>
        <v>0</v>
      </c>
      <c r="N27" s="65">
        <f t="shared" si="20"/>
        <v>3258.2857142857142</v>
      </c>
      <c r="AY27" s="47"/>
    </row>
    <row r="28" spans="1:53" x14ac:dyDescent="0.4">
      <c r="A28" s="2">
        <v>4</v>
      </c>
      <c r="B28" s="12" t="s">
        <v>57</v>
      </c>
      <c r="C28" s="8">
        <f>H36</f>
        <v>2142.8571428571427</v>
      </c>
      <c r="D28" s="8">
        <f t="shared" si="12"/>
        <v>428.57142857142856</v>
      </c>
      <c r="E28" s="8">
        <f>$E$32/7</f>
        <v>0</v>
      </c>
      <c r="F28" s="8">
        <f t="shared" si="13"/>
        <v>71.428571428571431</v>
      </c>
      <c r="G28" s="8">
        <f t="shared" si="14"/>
        <v>139.28571428571428</v>
      </c>
      <c r="H28" s="26">
        <f t="shared" si="15"/>
        <v>70.714285714285708</v>
      </c>
      <c r="I28" s="8">
        <f t="shared" si="16"/>
        <v>290</v>
      </c>
      <c r="J28" s="8">
        <f t="shared" si="17"/>
        <v>35.714285714285715</v>
      </c>
      <c r="K28" s="26">
        <f t="shared" si="21"/>
        <v>62.571428571428569</v>
      </c>
      <c r="L28" s="40">
        <f t="shared" si="18"/>
        <v>17.142857142857142</v>
      </c>
      <c r="M28" s="8">
        <f t="shared" si="19"/>
        <v>0</v>
      </c>
      <c r="N28" s="65">
        <f t="shared" si="20"/>
        <v>3258.2857142857142</v>
      </c>
      <c r="AY28" s="47"/>
    </row>
    <row r="29" spans="1:53" x14ac:dyDescent="0.4">
      <c r="A29" s="2">
        <v>5</v>
      </c>
      <c r="B29" s="12" t="s">
        <v>51</v>
      </c>
      <c r="C29" s="8">
        <f>H36</f>
        <v>2142.8571428571427</v>
      </c>
      <c r="D29" s="8">
        <f t="shared" si="12"/>
        <v>428.57142857142856</v>
      </c>
      <c r="E29" s="8">
        <f>$E$32/7</f>
        <v>0</v>
      </c>
      <c r="F29" s="8">
        <f t="shared" si="13"/>
        <v>71.428571428571431</v>
      </c>
      <c r="G29" s="8">
        <f t="shared" si="14"/>
        <v>139.28571428571428</v>
      </c>
      <c r="H29" s="26">
        <f t="shared" si="15"/>
        <v>70.714285714285708</v>
      </c>
      <c r="I29" s="8">
        <f t="shared" si="16"/>
        <v>290</v>
      </c>
      <c r="J29" s="8">
        <f t="shared" si="17"/>
        <v>35.714285714285715</v>
      </c>
      <c r="K29" s="26">
        <f t="shared" si="21"/>
        <v>62.571428571428569</v>
      </c>
      <c r="L29" s="40">
        <f t="shared" si="18"/>
        <v>17.142857142857142</v>
      </c>
      <c r="M29" s="8">
        <f t="shared" si="19"/>
        <v>0</v>
      </c>
      <c r="N29" s="65">
        <f t="shared" si="20"/>
        <v>3258.2857142857142</v>
      </c>
      <c r="AY29" s="48"/>
    </row>
    <row r="30" spans="1:53" x14ac:dyDescent="0.4">
      <c r="A30" s="2">
        <v>6</v>
      </c>
      <c r="B30" s="12" t="s">
        <v>104</v>
      </c>
      <c r="C30" s="8">
        <f>H37</f>
        <v>2892.8571428571427</v>
      </c>
      <c r="D30" s="8">
        <f t="shared" si="12"/>
        <v>428.57142857142856</v>
      </c>
      <c r="E30" s="8">
        <v>0</v>
      </c>
      <c r="F30" s="8">
        <f t="shared" si="13"/>
        <v>71.428571428571431</v>
      </c>
      <c r="G30" s="8">
        <f t="shared" si="14"/>
        <v>139.28571428571428</v>
      </c>
      <c r="H30" s="26">
        <f t="shared" si="15"/>
        <v>70.714285714285708</v>
      </c>
      <c r="I30" s="8">
        <f t="shared" si="16"/>
        <v>290</v>
      </c>
      <c r="J30" s="8">
        <f t="shared" si="17"/>
        <v>35.714285714285715</v>
      </c>
      <c r="K30" s="26">
        <f t="shared" si="21"/>
        <v>62.571428571428569</v>
      </c>
      <c r="L30" s="40">
        <f t="shared" si="18"/>
        <v>17.142857142857142</v>
      </c>
      <c r="M30" s="8">
        <f t="shared" si="19"/>
        <v>0</v>
      </c>
      <c r="N30" s="65">
        <f>SUM(C30:M30)</f>
        <v>4008.2857142857142</v>
      </c>
      <c r="AY30" s="47"/>
    </row>
    <row r="31" spans="1:53" x14ac:dyDescent="0.4">
      <c r="A31" s="2">
        <v>7</v>
      </c>
      <c r="B31" s="3" t="s">
        <v>118</v>
      </c>
      <c r="C31" s="8">
        <f>H37</f>
        <v>2892.8571428571427</v>
      </c>
      <c r="D31" s="8">
        <f t="shared" si="12"/>
        <v>428.57142857142856</v>
      </c>
      <c r="E31" s="8">
        <v>0</v>
      </c>
      <c r="F31" s="8">
        <f t="shared" si="13"/>
        <v>71.428571428571431</v>
      </c>
      <c r="G31" s="8">
        <f t="shared" si="14"/>
        <v>139.28571428571428</v>
      </c>
      <c r="H31" s="26">
        <f t="shared" si="15"/>
        <v>70.714285714285708</v>
      </c>
      <c r="I31" s="8">
        <f t="shared" si="16"/>
        <v>290</v>
      </c>
      <c r="J31" s="8">
        <f t="shared" si="17"/>
        <v>35.714285714285715</v>
      </c>
      <c r="K31" s="26">
        <f t="shared" si="21"/>
        <v>62.571428571428569</v>
      </c>
      <c r="L31" s="40">
        <f t="shared" si="18"/>
        <v>17.142857142857142</v>
      </c>
      <c r="M31" s="8">
        <f t="shared" si="19"/>
        <v>0</v>
      </c>
      <c r="N31" s="65">
        <f>SUM(C31:M31)</f>
        <v>4008.2857142857142</v>
      </c>
      <c r="AY31" s="47"/>
    </row>
    <row r="32" spans="1:5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77">
        <v>495</v>
      </c>
      <c r="I32" s="65">
        <v>2030</v>
      </c>
      <c r="J32" s="65">
        <f>250</f>
        <v>250</v>
      </c>
      <c r="K32" s="77">
        <v>438</v>
      </c>
      <c r="L32" s="67">
        <f>120</f>
        <v>120</v>
      </c>
      <c r="M32" s="65"/>
      <c r="N32" s="65">
        <f>SUM(N25:N31)</f>
        <v>26307.999999999996</v>
      </c>
      <c r="AY32" s="47"/>
    </row>
    <row r="33" spans="4:51" x14ac:dyDescent="0.4">
      <c r="AY33" s="47"/>
    </row>
    <row r="34" spans="4:51" x14ac:dyDescent="0.4">
      <c r="P34" s="9"/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M35" s="1" t="s">
        <v>61</v>
      </c>
      <c r="N35" s="16">
        <f>C32</f>
        <v>18500</v>
      </c>
    </row>
    <row r="36" spans="4:51" x14ac:dyDescent="0.4">
      <c r="D36" s="1">
        <v>6000</v>
      </c>
      <c r="E36" s="1">
        <v>3</v>
      </c>
      <c r="F36" s="1">
        <f t="shared" ref="F36:F37" si="22">D36/E36</f>
        <v>2000</v>
      </c>
      <c r="G36" s="1">
        <f t="shared" ref="G36:G37" si="23">(500+500)/7</f>
        <v>142.85714285714286</v>
      </c>
      <c r="H36" s="11">
        <f t="shared" ref="H36" si="24">F36+G36</f>
        <v>2142.8571428571427</v>
      </c>
      <c r="I36" s="11">
        <f t="shared" ref="I36:I37" si="25">H36*E36</f>
        <v>6428.5714285714275</v>
      </c>
      <c r="M36" s="1" t="s">
        <v>71</v>
      </c>
      <c r="N36" s="16">
        <f>G32</f>
        <v>975</v>
      </c>
    </row>
    <row r="37" spans="4:51" x14ac:dyDescent="0.4">
      <c r="D37" s="1">
        <v>5500</v>
      </c>
      <c r="E37" s="1">
        <v>2</v>
      </c>
      <c r="F37" s="11">
        <f t="shared" si="22"/>
        <v>2750</v>
      </c>
      <c r="G37" s="1">
        <f t="shared" si="23"/>
        <v>142.85714285714286</v>
      </c>
      <c r="H37" s="11">
        <f>F37+G37</f>
        <v>2892.8571428571427</v>
      </c>
      <c r="I37" s="11">
        <f t="shared" si="25"/>
        <v>5785.7142857142853</v>
      </c>
      <c r="M37" s="1" t="s">
        <v>72</v>
      </c>
      <c r="N37" s="16">
        <f>I32</f>
        <v>2030</v>
      </c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M38" s="1" t="s">
        <v>73</v>
      </c>
      <c r="N38" s="16">
        <f>H32</f>
        <v>495</v>
      </c>
    </row>
    <row r="39" spans="4:51" x14ac:dyDescent="0.4">
      <c r="M39" s="1" t="s">
        <v>74</v>
      </c>
      <c r="N39" s="16">
        <f>J32</f>
        <v>250</v>
      </c>
    </row>
    <row r="40" spans="4:51" x14ac:dyDescent="0.4">
      <c r="M40" s="78" t="s">
        <v>47</v>
      </c>
      <c r="N40" s="51">
        <f>SUM(N35:N39)</f>
        <v>22250</v>
      </c>
    </row>
    <row r="41" spans="4:51" x14ac:dyDescent="0.4">
      <c r="N41" s="9"/>
    </row>
    <row r="42" spans="4:51" x14ac:dyDescent="0.4">
      <c r="M42" s="1" t="s">
        <v>12</v>
      </c>
      <c r="N42" s="16">
        <f>D32</f>
        <v>3000</v>
      </c>
    </row>
    <row r="43" spans="4:51" x14ac:dyDescent="0.4">
      <c r="M43" s="1" t="s">
        <v>13</v>
      </c>
      <c r="N43" s="16">
        <f>E32</f>
        <v>0</v>
      </c>
      <c r="P43" s="9"/>
    </row>
    <row r="44" spans="4:51" x14ac:dyDescent="0.4">
      <c r="M44" s="1" t="s">
        <v>14</v>
      </c>
      <c r="N44" s="16">
        <f>F32</f>
        <v>500</v>
      </c>
    </row>
    <row r="45" spans="4:51" x14ac:dyDescent="0.4">
      <c r="M45" s="1" t="s">
        <v>20</v>
      </c>
      <c r="N45" s="16">
        <f>L32</f>
        <v>120</v>
      </c>
    </row>
    <row r="46" spans="4:51" x14ac:dyDescent="0.4">
      <c r="M46" s="1" t="s">
        <v>123</v>
      </c>
      <c r="N46" s="16">
        <f>K32</f>
        <v>438</v>
      </c>
    </row>
    <row r="47" spans="4:51" x14ac:dyDescent="0.4">
      <c r="M47" s="1" t="s">
        <v>21</v>
      </c>
      <c r="N47" s="16">
        <f>M32</f>
        <v>0</v>
      </c>
    </row>
    <row r="48" spans="4:51" x14ac:dyDescent="0.4">
      <c r="M48" s="78" t="s">
        <v>47</v>
      </c>
      <c r="N48" s="51">
        <f>SUM(N42:N47)</f>
        <v>4058</v>
      </c>
    </row>
    <row r="50" spans="13:14" ht="16.2" thickBot="1" x14ac:dyDescent="0.45">
      <c r="M50" s="79" t="s">
        <v>124</v>
      </c>
      <c r="N50" s="80">
        <f>N48+N40</f>
        <v>26308</v>
      </c>
    </row>
    <row r="51" spans="13:14" ht="16.2" thickTop="1" x14ac:dyDescent="0.4"/>
    <row r="52" spans="13:14" x14ac:dyDescent="0.4">
      <c r="M52" s="78" t="s">
        <v>125</v>
      </c>
      <c r="N52" s="16">
        <f>N32-N50</f>
        <v>0</v>
      </c>
    </row>
  </sheetData>
  <mergeCells count="3">
    <mergeCell ref="C1:D2"/>
    <mergeCell ref="E1:F2"/>
    <mergeCell ref="A32:B32"/>
  </mergeCells>
  <conditionalFormatting sqref="AU5:AU11 AN5:AN11">
    <cfRule type="cellIs" dxfId="18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26FF-14BC-4ADE-AEB1-CCB697E9F9A0}">
  <dimension ref="A1:BD52"/>
  <sheetViews>
    <sheetView showGridLines="0" zoomScale="104" zoomScaleNormal="110" workbookViewId="0">
      <pane xSplit="2" ySplit="4" topLeftCell="AM5" activePane="bottomRight" state="frozen"/>
      <selection pane="topRight" activeCell="C1" sqref="C1"/>
      <selection pane="bottomLeft" activeCell="A5" sqref="A5"/>
      <selection pane="bottomRight" activeCell="AS8" sqref="AS8"/>
    </sheetView>
  </sheetViews>
  <sheetFormatPr defaultRowHeight="15.6" x14ac:dyDescent="0.4"/>
  <cols>
    <col min="1" max="1" width="7" bestFit="1" customWidth="1"/>
    <col min="2" max="2" width="20.09765625" bestFit="1" customWidth="1"/>
    <col min="3" max="3" width="9.19921875" bestFit="1" customWidth="1"/>
    <col min="4" max="4" width="9.3984375" customWidth="1"/>
    <col min="5" max="5" width="9.19921875" bestFit="1" customWidth="1"/>
    <col min="6" max="6" width="11.59765625" customWidth="1"/>
    <col min="7" max="7" width="12" bestFit="1" customWidth="1"/>
    <col min="8" max="8" width="12" customWidth="1"/>
    <col min="9" max="9" width="9.796875" customWidth="1"/>
    <col min="10" max="10" width="9.19921875" bestFit="1" customWidth="1"/>
    <col min="11" max="11" width="10.3984375" customWidth="1"/>
    <col min="12" max="13" width="10.19921875" bestFit="1" customWidth="1"/>
    <col min="14" max="14" width="11.59765625" bestFit="1" customWidth="1"/>
    <col min="15" max="15" width="10.19921875" bestFit="1" customWidth="1"/>
    <col min="16" max="16" width="24.59765625" customWidth="1"/>
    <col min="17" max="19" width="10.19921875" bestFit="1" customWidth="1"/>
    <col min="20" max="20" width="13" customWidth="1"/>
    <col min="21" max="30" width="10.19921875" bestFit="1" customWidth="1"/>
    <col min="31" max="33" width="10.19921875" hidden="1" customWidth="1"/>
    <col min="34" max="34" width="10.19921875" bestFit="1" customWidth="1"/>
    <col min="35" max="35" width="5.8984375" customWidth="1"/>
    <col min="36" max="36" width="7.09765625" bestFit="1" customWidth="1"/>
    <col min="37" max="37" width="22.19921875" customWidth="1"/>
    <col min="38" max="38" width="13.09765625" customWidth="1"/>
    <col min="39" max="39" width="12.19921875" customWidth="1"/>
    <col min="40" max="40" width="12.59765625" customWidth="1"/>
    <col min="41" max="41" width="12" customWidth="1"/>
    <col min="42" max="42" width="10.19921875" customWidth="1"/>
    <col min="43" max="43" width="13.69921875" customWidth="1"/>
    <col min="44" max="44" width="17.796875" customWidth="1"/>
    <col min="45" max="45" width="9.3984375" customWidth="1"/>
    <col min="46" max="46" width="10.296875" customWidth="1"/>
    <col min="47" max="47" width="13.69921875" style="47" customWidth="1"/>
    <col min="48" max="48" width="11.19921875" bestFit="1" customWidth="1"/>
    <col min="49" max="49" width="10.19921875" bestFit="1" customWidth="1"/>
    <col min="50" max="50" width="14.19921875" customWidth="1"/>
    <col min="51" max="51" width="10.09765625" bestFit="1" customWidth="1"/>
  </cols>
  <sheetData>
    <row r="1" spans="1:56" ht="14.55" customHeight="1" x14ac:dyDescent="0.4">
      <c r="C1" s="211" t="s">
        <v>159</v>
      </c>
      <c r="D1" s="211"/>
      <c r="E1" s="212">
        <f>AH22/AH12</f>
        <v>55.321178715285143</v>
      </c>
      <c r="F1" s="212"/>
    </row>
    <row r="2" spans="1:56" ht="18.600000000000001" customHeight="1" x14ac:dyDescent="0.4">
      <c r="C2" s="211"/>
      <c r="D2" s="211"/>
      <c r="E2" s="212"/>
      <c r="F2" s="212"/>
    </row>
    <row r="3" spans="1:56" ht="4.8" customHeight="1" x14ac:dyDescent="0.4"/>
    <row r="4" spans="1:56" ht="62.4" x14ac:dyDescent="0.4">
      <c r="A4" s="53" t="s">
        <v>0</v>
      </c>
      <c r="B4" s="53" t="s">
        <v>2</v>
      </c>
      <c r="C4" s="54">
        <v>44593</v>
      </c>
      <c r="D4" s="54">
        <v>44594</v>
      </c>
      <c r="E4" s="54">
        <v>44595</v>
      </c>
      <c r="F4" s="54">
        <v>44596</v>
      </c>
      <c r="G4" s="54">
        <v>44597</v>
      </c>
      <c r="H4" s="54">
        <v>44598</v>
      </c>
      <c r="I4" s="54">
        <v>44599</v>
      </c>
      <c r="J4" s="54">
        <v>44600</v>
      </c>
      <c r="K4" s="54">
        <v>44601</v>
      </c>
      <c r="L4" s="54">
        <v>44602</v>
      </c>
      <c r="M4" s="54">
        <v>44603</v>
      </c>
      <c r="N4" s="54">
        <v>44604</v>
      </c>
      <c r="O4" s="54">
        <v>44605</v>
      </c>
      <c r="P4" s="54">
        <v>44606</v>
      </c>
      <c r="Q4" s="54">
        <v>44607</v>
      </c>
      <c r="R4" s="54">
        <v>44608</v>
      </c>
      <c r="S4" s="54">
        <v>44609</v>
      </c>
      <c r="T4" s="54">
        <v>44610</v>
      </c>
      <c r="U4" s="54">
        <v>44611</v>
      </c>
      <c r="V4" s="54">
        <v>44612</v>
      </c>
      <c r="W4" s="54">
        <v>44613</v>
      </c>
      <c r="X4" s="54">
        <v>44614</v>
      </c>
      <c r="Y4" s="54">
        <v>44615</v>
      </c>
      <c r="Z4" s="54">
        <v>44616</v>
      </c>
      <c r="AA4" s="54">
        <v>44617</v>
      </c>
      <c r="AB4" s="54">
        <v>44618</v>
      </c>
      <c r="AC4" s="54">
        <v>44619</v>
      </c>
      <c r="AD4" s="54">
        <v>44620</v>
      </c>
      <c r="AE4" s="54"/>
      <c r="AF4" s="54"/>
      <c r="AG4" s="54"/>
      <c r="AH4" s="53" t="s">
        <v>1</v>
      </c>
      <c r="AJ4" s="49" t="s">
        <v>0</v>
      </c>
      <c r="AK4" s="81" t="s">
        <v>2</v>
      </c>
      <c r="AL4" s="82" t="s">
        <v>23</v>
      </c>
      <c r="AM4" s="82" t="s">
        <v>24</v>
      </c>
      <c r="AN4" s="82" t="s">
        <v>26</v>
      </c>
      <c r="AO4" s="82" t="s">
        <v>146</v>
      </c>
      <c r="AP4" s="82" t="s">
        <v>27</v>
      </c>
      <c r="AQ4" s="82" t="s">
        <v>30</v>
      </c>
      <c r="AR4" s="82" t="s">
        <v>32</v>
      </c>
      <c r="AS4" s="82" t="s">
        <v>28</v>
      </c>
      <c r="AT4" s="82" t="s">
        <v>29</v>
      </c>
      <c r="AU4" s="82" t="s">
        <v>31</v>
      </c>
      <c r="AV4" s="94" t="s">
        <v>126</v>
      </c>
    </row>
    <row r="5" spans="1:56" x14ac:dyDescent="0.4">
      <c r="A5" s="2">
        <v>1</v>
      </c>
      <c r="B5" s="3" t="s">
        <v>5</v>
      </c>
      <c r="C5" s="7">
        <v>2.5</v>
      </c>
      <c r="D5" s="7">
        <v>1</v>
      </c>
      <c r="E5" s="7">
        <v>1.5</v>
      </c>
      <c r="F5" s="7">
        <v>1.5</v>
      </c>
      <c r="G5" s="7">
        <v>1</v>
      </c>
      <c r="H5" s="7">
        <v>1.5</v>
      </c>
      <c r="I5" s="7">
        <v>1.5</v>
      </c>
      <c r="J5" s="7">
        <v>1.5</v>
      </c>
      <c r="K5" s="7">
        <v>1.5</v>
      </c>
      <c r="L5" s="7">
        <v>1.5</v>
      </c>
      <c r="M5" s="7">
        <v>1.5</v>
      </c>
      <c r="N5" s="7">
        <v>0</v>
      </c>
      <c r="O5" s="7">
        <v>1.5</v>
      </c>
      <c r="P5" s="7">
        <v>1.5</v>
      </c>
      <c r="Q5" s="7">
        <v>1.5</v>
      </c>
      <c r="R5" s="7">
        <v>2.5</v>
      </c>
      <c r="S5" s="7">
        <v>1</v>
      </c>
      <c r="T5" s="7">
        <v>0</v>
      </c>
      <c r="U5" s="7">
        <v>0</v>
      </c>
      <c r="V5" s="7">
        <v>0</v>
      </c>
      <c r="W5" s="7">
        <v>2</v>
      </c>
      <c r="X5" s="7">
        <v>4</v>
      </c>
      <c r="Y5" s="7">
        <v>5</v>
      </c>
      <c r="Z5" s="7">
        <v>5</v>
      </c>
      <c r="AA5" s="7">
        <v>5</v>
      </c>
      <c r="AB5" s="7">
        <v>5</v>
      </c>
      <c r="AC5" s="7">
        <v>2.5</v>
      </c>
      <c r="AD5" s="7">
        <v>0</v>
      </c>
      <c r="AE5" s="7"/>
      <c r="AF5" s="7"/>
      <c r="AG5" s="7"/>
      <c r="AH5" s="56">
        <f>SUM(C5:AG5)</f>
        <v>53</v>
      </c>
      <c r="AJ5" s="2">
        <v>1</v>
      </c>
      <c r="AK5" s="83" t="s">
        <v>5</v>
      </c>
      <c r="AL5" s="8">
        <f>AH5*$E$1</f>
        <v>2932.0224719101125</v>
      </c>
      <c r="AM5" s="8">
        <f>AH15</f>
        <v>3900</v>
      </c>
      <c r="AN5" s="8">
        <f>AM5-AL5</f>
        <v>967.97752808988753</v>
      </c>
      <c r="AO5" s="8">
        <f>N25</f>
        <v>4280.7142857142853</v>
      </c>
      <c r="AP5" s="8">
        <f t="shared" ref="AP5:AP11" si="0">AO5-AN5</f>
        <v>3312.7367576243978</v>
      </c>
      <c r="AQ5" s="40">
        <v>0</v>
      </c>
      <c r="AR5" s="8">
        <f t="shared" ref="AR5:AR11" si="1">AP5-AQ5</f>
        <v>3312.7367576243978</v>
      </c>
      <c r="AS5" s="1">
        <f>500+3000-184</f>
        <v>3316</v>
      </c>
      <c r="AT5" s="95">
        <v>44639</v>
      </c>
      <c r="AU5" s="8">
        <f t="shared" ref="AU5:AU11" si="2">AS5-AR5</f>
        <v>3.2632423756022035</v>
      </c>
      <c r="AV5" s="102">
        <v>3000</v>
      </c>
      <c r="AY5" s="9"/>
    </row>
    <row r="6" spans="1:56" x14ac:dyDescent="0.4">
      <c r="A6" s="2">
        <v>2</v>
      </c>
      <c r="B6" s="3" t="s">
        <v>131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/>
      <c r="AF6" s="7"/>
      <c r="AG6" s="7"/>
      <c r="AH6" s="56">
        <f>SUM(C6:AG6)</f>
        <v>0</v>
      </c>
      <c r="AJ6" s="2">
        <v>2</v>
      </c>
      <c r="AK6" s="83" t="s">
        <v>131</v>
      </c>
      <c r="AL6" s="8">
        <f t="shared" ref="AL6:AL11" si="3">AH6*$E$1</f>
        <v>0</v>
      </c>
      <c r="AM6" s="8">
        <f t="shared" ref="AM6:AM7" si="4">AH16</f>
        <v>0</v>
      </c>
      <c r="AN6" s="8">
        <f t="shared" ref="AN6:AN11" si="5">AM6-AL6</f>
        <v>0</v>
      </c>
      <c r="AO6" s="8">
        <f t="shared" ref="AO6:AO9" si="6">N26</f>
        <v>4280.7142857142853</v>
      </c>
      <c r="AP6" s="8">
        <f t="shared" si="0"/>
        <v>4280.7142857142853</v>
      </c>
      <c r="AQ6" s="40">
        <f>'Meal Jan''22 &amp; Rent Feb''22 '!AU6</f>
        <v>881.23651958163191</v>
      </c>
      <c r="AR6" s="8">
        <f t="shared" si="1"/>
        <v>3399.4777661326534</v>
      </c>
      <c r="AS6" s="1">
        <f>4000</f>
        <v>4000</v>
      </c>
      <c r="AT6" s="95">
        <v>44639</v>
      </c>
      <c r="AU6" s="8">
        <f t="shared" si="2"/>
        <v>600.52223386734659</v>
      </c>
      <c r="AV6" s="102">
        <v>4000</v>
      </c>
      <c r="AY6" s="9"/>
    </row>
    <row r="7" spans="1:56" x14ac:dyDescent="0.4">
      <c r="A7" s="2">
        <v>3</v>
      </c>
      <c r="B7" s="3" t="s">
        <v>6</v>
      </c>
      <c r="C7" s="7">
        <v>1</v>
      </c>
      <c r="D7" s="7">
        <v>2</v>
      </c>
      <c r="E7" s="7">
        <v>1</v>
      </c>
      <c r="F7" s="7">
        <v>3.5</v>
      </c>
      <c r="G7" s="7">
        <v>3</v>
      </c>
      <c r="H7" s="7">
        <v>3.5</v>
      </c>
      <c r="I7" s="7">
        <v>3.5</v>
      </c>
      <c r="J7" s="7">
        <v>3.5</v>
      </c>
      <c r="K7" s="7">
        <v>3.5</v>
      </c>
      <c r="L7" s="7">
        <v>2.5</v>
      </c>
      <c r="M7" s="7">
        <v>2.5</v>
      </c>
      <c r="N7" s="7">
        <v>1</v>
      </c>
      <c r="O7" s="7">
        <v>2.5</v>
      </c>
      <c r="P7" s="7">
        <v>5.5</v>
      </c>
      <c r="Q7" s="7">
        <v>3.5</v>
      </c>
      <c r="R7" s="7">
        <v>3.5</v>
      </c>
      <c r="S7" s="7">
        <v>2</v>
      </c>
      <c r="T7" s="7">
        <v>2</v>
      </c>
      <c r="U7" s="7">
        <v>2</v>
      </c>
      <c r="V7" s="7">
        <v>2</v>
      </c>
      <c r="W7" s="7">
        <v>4</v>
      </c>
      <c r="X7" s="7">
        <v>3</v>
      </c>
      <c r="Y7" s="7">
        <v>3.5</v>
      </c>
      <c r="Z7" s="7">
        <v>3.5</v>
      </c>
      <c r="AA7" s="7">
        <v>5</v>
      </c>
      <c r="AB7" s="7">
        <v>2.5</v>
      </c>
      <c r="AC7" s="7">
        <v>4.5</v>
      </c>
      <c r="AD7" s="7">
        <v>4</v>
      </c>
      <c r="AE7" s="7"/>
      <c r="AF7" s="7"/>
      <c r="AG7" s="7"/>
      <c r="AH7" s="56">
        <f t="shared" ref="AH7:AH11" si="7">SUM(C7:AG7)</f>
        <v>83.5</v>
      </c>
      <c r="AJ7" s="2">
        <v>3</v>
      </c>
      <c r="AK7" s="83" t="s">
        <v>6</v>
      </c>
      <c r="AL7" s="8">
        <f t="shared" si="3"/>
        <v>4619.3184227263091</v>
      </c>
      <c r="AM7" s="8">
        <f t="shared" si="4"/>
        <v>2292</v>
      </c>
      <c r="AN7" s="8">
        <f t="shared" si="5"/>
        <v>-2327.3184227263091</v>
      </c>
      <c r="AO7" s="8">
        <f t="shared" si="6"/>
        <v>3280.7142857142858</v>
      </c>
      <c r="AP7" s="8">
        <f t="shared" si="0"/>
        <v>5608.0327084405944</v>
      </c>
      <c r="AQ7" s="40">
        <v>0</v>
      </c>
      <c r="AR7" s="8">
        <f t="shared" si="1"/>
        <v>5608.0327084405944</v>
      </c>
      <c r="AS7">
        <f>-92+(5700)</f>
        <v>5608</v>
      </c>
      <c r="AT7" s="95">
        <v>44642</v>
      </c>
      <c r="AU7" s="8">
        <f>AS7-AR7</f>
        <v>-3.2708440594433341E-2</v>
      </c>
      <c r="AV7" s="102">
        <v>6400</v>
      </c>
      <c r="AW7" s="98">
        <v>6400</v>
      </c>
      <c r="AX7" s="96">
        <v>5700</v>
      </c>
      <c r="AY7" s="97">
        <v>881</v>
      </c>
      <c r="AZ7" s="44">
        <f>AX7+AY7</f>
        <v>6581</v>
      </c>
      <c r="BA7" s="99">
        <f>AW7-AZ7</f>
        <v>-181</v>
      </c>
      <c r="BB7" s="9" t="s">
        <v>168</v>
      </c>
      <c r="BC7" s="9"/>
      <c r="BD7" s="9"/>
    </row>
    <row r="8" spans="1:56" x14ac:dyDescent="0.4">
      <c r="A8" s="2">
        <v>4</v>
      </c>
      <c r="B8" s="3" t="s">
        <v>57</v>
      </c>
      <c r="C8" s="7">
        <v>3.5</v>
      </c>
      <c r="D8" s="7">
        <v>3</v>
      </c>
      <c r="E8" s="7">
        <v>1.5</v>
      </c>
      <c r="F8" s="7">
        <v>2.5</v>
      </c>
      <c r="G8" s="7">
        <v>2.5</v>
      </c>
      <c r="H8" s="7">
        <v>4.5</v>
      </c>
      <c r="I8" s="7">
        <v>2</v>
      </c>
      <c r="J8" s="7">
        <v>3</v>
      </c>
      <c r="K8" s="7">
        <v>3</v>
      </c>
      <c r="L8" s="7">
        <v>3.5</v>
      </c>
      <c r="M8" s="7">
        <v>3</v>
      </c>
      <c r="N8" s="7">
        <v>0</v>
      </c>
      <c r="O8" s="7">
        <v>1.5</v>
      </c>
      <c r="P8" s="7">
        <v>2.5</v>
      </c>
      <c r="Q8" s="7">
        <v>1.5</v>
      </c>
      <c r="R8" s="7">
        <v>1.52</v>
      </c>
      <c r="S8" s="7">
        <v>2</v>
      </c>
      <c r="T8" s="7">
        <v>4</v>
      </c>
      <c r="U8" s="7">
        <v>1</v>
      </c>
      <c r="V8" s="7">
        <v>1</v>
      </c>
      <c r="W8" s="7">
        <v>3.5</v>
      </c>
      <c r="X8" s="7">
        <v>1</v>
      </c>
      <c r="Y8" s="7">
        <v>1.5</v>
      </c>
      <c r="Z8" s="7">
        <v>3.5</v>
      </c>
      <c r="AA8" s="7">
        <v>4.5</v>
      </c>
      <c r="AB8" s="7">
        <v>2</v>
      </c>
      <c r="AC8" s="7">
        <v>1.5</v>
      </c>
      <c r="AD8" s="7">
        <v>1.5</v>
      </c>
      <c r="AE8" s="7"/>
      <c r="AF8" s="7"/>
      <c r="AG8" s="7"/>
      <c r="AH8" s="56">
        <f t="shared" si="7"/>
        <v>66.02000000000001</v>
      </c>
      <c r="AJ8" s="2">
        <v>4</v>
      </c>
      <c r="AK8" s="83" t="s">
        <v>57</v>
      </c>
      <c r="AL8" s="8">
        <f t="shared" si="3"/>
        <v>3652.3042187831256</v>
      </c>
      <c r="AM8" s="8">
        <f>AH18</f>
        <v>2873</v>
      </c>
      <c r="AN8" s="8">
        <f t="shared" si="5"/>
        <v>-779.30421878312563</v>
      </c>
      <c r="AO8" s="8">
        <f t="shared" si="6"/>
        <v>3280.7142857142858</v>
      </c>
      <c r="AP8" s="8">
        <f t="shared" si="0"/>
        <v>4060.0185044974114</v>
      </c>
      <c r="AQ8" s="40">
        <v>0</v>
      </c>
      <c r="AR8" s="8">
        <f t="shared" si="1"/>
        <v>4060.0185044974114</v>
      </c>
      <c r="AS8" s="1">
        <f>120+3940</f>
        <v>4060</v>
      </c>
      <c r="AT8" s="95">
        <v>44640</v>
      </c>
      <c r="AU8" s="8">
        <f t="shared" si="2"/>
        <v>-1.8504497411413467E-2</v>
      </c>
      <c r="AV8" s="102">
        <v>3940</v>
      </c>
      <c r="AY8" s="9"/>
      <c r="BA8">
        <v>3</v>
      </c>
      <c r="BB8" t="s">
        <v>164</v>
      </c>
    </row>
    <row r="9" spans="1:56" x14ac:dyDescent="0.4">
      <c r="A9" s="2">
        <v>5</v>
      </c>
      <c r="B9" s="12" t="s">
        <v>51</v>
      </c>
      <c r="C9" s="7">
        <v>1.5</v>
      </c>
      <c r="D9" s="7">
        <v>1</v>
      </c>
      <c r="E9" s="7">
        <v>0</v>
      </c>
      <c r="F9" s="7">
        <v>2.5</v>
      </c>
      <c r="G9" s="7">
        <v>5</v>
      </c>
      <c r="H9" s="7">
        <v>3</v>
      </c>
      <c r="I9" s="7">
        <v>2.5</v>
      </c>
      <c r="J9" s="7">
        <v>1</v>
      </c>
      <c r="K9" s="7">
        <v>1</v>
      </c>
      <c r="L9" s="7">
        <v>1</v>
      </c>
      <c r="M9" s="7">
        <v>2.5</v>
      </c>
      <c r="N9" s="7">
        <v>1</v>
      </c>
      <c r="O9" s="7">
        <v>1</v>
      </c>
      <c r="P9" s="7">
        <v>1</v>
      </c>
      <c r="Q9" s="7">
        <v>1</v>
      </c>
      <c r="R9" s="7">
        <v>1.5</v>
      </c>
      <c r="S9" s="7">
        <v>1</v>
      </c>
      <c r="T9" s="7"/>
      <c r="U9" s="7"/>
      <c r="V9" s="7"/>
      <c r="W9" s="7"/>
      <c r="X9" s="7">
        <v>1</v>
      </c>
      <c r="Y9" s="7">
        <v>1</v>
      </c>
      <c r="Z9" s="7"/>
      <c r="AA9" s="7">
        <v>1</v>
      </c>
      <c r="AB9" s="7">
        <v>1</v>
      </c>
      <c r="AC9" s="7">
        <v>1</v>
      </c>
      <c r="AD9" s="7">
        <v>1</v>
      </c>
      <c r="AE9" s="7"/>
      <c r="AF9" s="7"/>
      <c r="AG9" s="7"/>
      <c r="AH9" s="56">
        <f t="shared" si="7"/>
        <v>33.5</v>
      </c>
      <c r="AJ9" s="2">
        <v>5</v>
      </c>
      <c r="AK9" s="84" t="s">
        <v>51</v>
      </c>
      <c r="AL9" s="8">
        <f t="shared" si="3"/>
        <v>1853.2594869620523</v>
      </c>
      <c r="AM9" s="8">
        <f>AH19</f>
        <v>3405</v>
      </c>
      <c r="AN9" s="8">
        <f t="shared" si="5"/>
        <v>1551.7405130379477</v>
      </c>
      <c r="AO9" s="8">
        <f t="shared" si="6"/>
        <v>3280.7142857142858</v>
      </c>
      <c r="AP9" s="8">
        <f>AO9-AN9</f>
        <v>1728.9737726763381</v>
      </c>
      <c r="AQ9" s="40">
        <v>0</v>
      </c>
      <c r="AR9" s="8">
        <f t="shared" si="1"/>
        <v>1728.9737726763381</v>
      </c>
      <c r="AS9" s="1">
        <f>3000</f>
        <v>3000</v>
      </c>
      <c r="AT9" s="95"/>
      <c r="AU9" s="8">
        <f t="shared" si="2"/>
        <v>1271.0262273236619</v>
      </c>
      <c r="AV9" s="102">
        <v>0</v>
      </c>
      <c r="AX9" s="9"/>
      <c r="BA9" s="104">
        <f>ABS(BA7)+BA8</f>
        <v>184</v>
      </c>
      <c r="BB9" t="s">
        <v>167</v>
      </c>
    </row>
    <row r="10" spans="1:56" x14ac:dyDescent="0.4">
      <c r="A10" s="2">
        <v>6</v>
      </c>
      <c r="B10" s="1" t="s">
        <v>110</v>
      </c>
      <c r="C10" s="7">
        <v>2.5</v>
      </c>
      <c r="D10" s="7">
        <v>2.5</v>
      </c>
      <c r="E10" s="7">
        <v>1.5</v>
      </c>
      <c r="F10" s="7">
        <v>1.5</v>
      </c>
      <c r="G10" s="7">
        <v>2.5</v>
      </c>
      <c r="H10" s="7">
        <v>1</v>
      </c>
      <c r="I10" s="7">
        <v>1</v>
      </c>
      <c r="J10" s="7">
        <v>1.5</v>
      </c>
      <c r="K10" s="7">
        <v>1.5</v>
      </c>
      <c r="L10" s="7">
        <v>1</v>
      </c>
      <c r="M10" s="7">
        <v>2.5</v>
      </c>
      <c r="N10" s="7">
        <v>1</v>
      </c>
      <c r="O10" s="7">
        <v>2.5</v>
      </c>
      <c r="P10" s="7">
        <v>2</v>
      </c>
      <c r="Q10" s="7">
        <v>2.5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0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/>
      <c r="AF10" s="7"/>
      <c r="AG10" s="7"/>
      <c r="AH10" s="56">
        <f t="shared" si="7"/>
        <v>44</v>
      </c>
      <c r="AJ10" s="2">
        <v>6</v>
      </c>
      <c r="AK10" s="84" t="s">
        <v>104</v>
      </c>
      <c r="AL10" s="8">
        <f t="shared" si="3"/>
        <v>2434.1318634725462</v>
      </c>
      <c r="AM10" s="8">
        <f>AH20</f>
        <v>3187</v>
      </c>
      <c r="AN10" s="8">
        <f t="shared" si="5"/>
        <v>752.86813652745377</v>
      </c>
      <c r="AO10" s="8">
        <f>N30</f>
        <v>4030.7142857142858</v>
      </c>
      <c r="AP10" s="8">
        <f t="shared" si="0"/>
        <v>3277.846149186832</v>
      </c>
      <c r="AQ10" s="40">
        <v>0</v>
      </c>
      <c r="AR10" s="8">
        <f t="shared" si="1"/>
        <v>3277.846149186832</v>
      </c>
      <c r="AS10" s="1">
        <v>3300</v>
      </c>
      <c r="AT10" s="95">
        <v>44641</v>
      </c>
      <c r="AU10" s="8">
        <f>AS10-AR10</f>
        <v>22.153850813167992</v>
      </c>
      <c r="AV10" s="102">
        <v>3300</v>
      </c>
      <c r="AW10" s="9"/>
      <c r="AX10" s="9"/>
    </row>
    <row r="11" spans="1:56" x14ac:dyDescent="0.4">
      <c r="A11" s="2">
        <v>7</v>
      </c>
      <c r="B11" s="3" t="s">
        <v>118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 t="shared" si="7"/>
        <v>3</v>
      </c>
      <c r="AJ11" s="2">
        <v>7</v>
      </c>
      <c r="AK11" s="83" t="s">
        <v>147</v>
      </c>
      <c r="AL11" s="8">
        <f t="shared" si="3"/>
        <v>165.96353614585541</v>
      </c>
      <c r="AM11" s="8">
        <f>AH21</f>
        <v>0</v>
      </c>
      <c r="AN11" s="8">
        <f t="shared" si="5"/>
        <v>-165.96353614585541</v>
      </c>
      <c r="AO11" s="8">
        <f>N31</f>
        <v>4030.7142857142858</v>
      </c>
      <c r="AP11" s="8">
        <f t="shared" si="0"/>
        <v>4196.6778218601412</v>
      </c>
      <c r="AQ11" s="40">
        <v>0</v>
      </c>
      <c r="AR11" s="8">
        <f t="shared" si="1"/>
        <v>4196.6778218601412</v>
      </c>
      <c r="AS11" s="1">
        <f>500+3700</f>
        <v>4200</v>
      </c>
      <c r="AT11" s="95">
        <v>44639</v>
      </c>
      <c r="AU11" s="8">
        <f t="shared" si="2"/>
        <v>3.3221781398588064</v>
      </c>
      <c r="AV11" s="102">
        <v>3700</v>
      </c>
      <c r="AX11" s="9"/>
    </row>
    <row r="12" spans="1:56" x14ac:dyDescent="0.4">
      <c r="A12" s="1"/>
      <c r="B12" s="1"/>
      <c r="C12" s="55">
        <f>SUM(C5:C11)</f>
        <v>12</v>
      </c>
      <c r="D12" s="55">
        <f t="shared" ref="D12:AD12" si="8">SUM(D5:D11)</f>
        <v>9.5</v>
      </c>
      <c r="E12" s="55">
        <f t="shared" si="8"/>
        <v>5.5</v>
      </c>
      <c r="F12" s="55">
        <f t="shared" si="8"/>
        <v>11.5</v>
      </c>
      <c r="G12" s="55">
        <f t="shared" si="8"/>
        <v>14</v>
      </c>
      <c r="H12" s="55">
        <f t="shared" si="8"/>
        <v>13.5</v>
      </c>
      <c r="I12" s="55">
        <f t="shared" si="8"/>
        <v>10.5</v>
      </c>
      <c r="J12" s="55">
        <f t="shared" si="8"/>
        <v>10.5</v>
      </c>
      <c r="K12" s="55">
        <f t="shared" si="8"/>
        <v>11.5</v>
      </c>
      <c r="L12" s="55">
        <f t="shared" si="8"/>
        <v>10.5</v>
      </c>
      <c r="M12" s="55">
        <f t="shared" si="8"/>
        <v>12</v>
      </c>
      <c r="N12" s="55">
        <f t="shared" si="8"/>
        <v>3</v>
      </c>
      <c r="O12" s="55">
        <f t="shared" si="8"/>
        <v>9</v>
      </c>
      <c r="P12" s="55">
        <f t="shared" si="8"/>
        <v>12.5</v>
      </c>
      <c r="Q12" s="55">
        <f t="shared" si="8"/>
        <v>10</v>
      </c>
      <c r="R12" s="55">
        <f t="shared" si="8"/>
        <v>11.02</v>
      </c>
      <c r="S12" s="55">
        <f t="shared" si="8"/>
        <v>8</v>
      </c>
      <c r="T12" s="55">
        <f t="shared" si="8"/>
        <v>8</v>
      </c>
      <c r="U12" s="55">
        <f t="shared" si="8"/>
        <v>5</v>
      </c>
      <c r="V12" s="55">
        <f t="shared" si="8"/>
        <v>5</v>
      </c>
      <c r="W12" s="55">
        <f t="shared" si="8"/>
        <v>9.5</v>
      </c>
      <c r="X12" s="55">
        <f t="shared" si="8"/>
        <v>10</v>
      </c>
      <c r="Y12" s="55">
        <f t="shared" si="8"/>
        <v>12</v>
      </c>
      <c r="Z12" s="55">
        <f t="shared" si="8"/>
        <v>13</v>
      </c>
      <c r="AA12" s="55">
        <f t="shared" si="8"/>
        <v>16.5</v>
      </c>
      <c r="AB12" s="55">
        <f t="shared" si="8"/>
        <v>11.5</v>
      </c>
      <c r="AC12" s="55">
        <f t="shared" si="8"/>
        <v>10.5</v>
      </c>
      <c r="AD12" s="55">
        <f t="shared" si="8"/>
        <v>7.5</v>
      </c>
      <c r="AE12" s="55"/>
      <c r="AF12" s="55"/>
      <c r="AG12" s="55"/>
      <c r="AH12" s="55">
        <f>SUM(AH5:AH11)</f>
        <v>283.02</v>
      </c>
      <c r="AJ12" s="2"/>
      <c r="AK12" s="84"/>
      <c r="AL12" s="65">
        <f t="shared" ref="AL12:AQ12" si="9">SUM(AL5:AL11)</f>
        <v>15657</v>
      </c>
      <c r="AM12" s="65">
        <f t="shared" si="9"/>
        <v>15657</v>
      </c>
      <c r="AN12" s="65">
        <f t="shared" si="9"/>
        <v>-1.1368683772161603E-12</v>
      </c>
      <c r="AO12" s="65">
        <f t="shared" si="9"/>
        <v>26465</v>
      </c>
      <c r="AP12" s="65">
        <f t="shared" si="9"/>
        <v>26465</v>
      </c>
      <c r="AQ12" s="67">
        <f t="shared" si="9"/>
        <v>881.23651958163191</v>
      </c>
      <c r="AR12" s="65">
        <f>AP12-AQ12</f>
        <v>25583.763480418369</v>
      </c>
      <c r="AS12" s="77">
        <f>SUM(AS5:AS11)</f>
        <v>27484</v>
      </c>
      <c r="AT12" s="67"/>
      <c r="AU12" s="65">
        <f>SUM(AU5:AU11)</f>
        <v>1900.2365195816317</v>
      </c>
      <c r="AV12" s="103">
        <f>SUM(AV5:AV11)</f>
        <v>24340</v>
      </c>
      <c r="AX12" s="9"/>
    </row>
    <row r="13" spans="1:56" x14ac:dyDescent="0.4">
      <c r="AL13" s="25"/>
      <c r="AM13" s="9"/>
      <c r="AN13" s="9"/>
      <c r="AP13" s="9"/>
      <c r="AQ13" s="9"/>
      <c r="AR13" s="25"/>
      <c r="AS13" s="9"/>
      <c r="AT13" s="9"/>
      <c r="AV13" s="9"/>
      <c r="AW13" s="9"/>
      <c r="AX13" s="9"/>
    </row>
    <row r="14" spans="1:56" x14ac:dyDescent="0.4">
      <c r="B14" s="64" t="s">
        <v>143</v>
      </c>
      <c r="AK14" s="44" t="s">
        <v>160</v>
      </c>
      <c r="AL14" s="9"/>
      <c r="AX14" s="25"/>
    </row>
    <row r="15" spans="1:56" x14ac:dyDescent="0.4">
      <c r="A15" s="2">
        <v>1</v>
      </c>
      <c r="B15" s="3" t="s">
        <v>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>
        <v>2420</v>
      </c>
      <c r="P15" s="8">
        <v>340</v>
      </c>
      <c r="Q15" s="8">
        <v>270</v>
      </c>
      <c r="R15" s="8"/>
      <c r="S15" s="8"/>
      <c r="T15" s="8"/>
      <c r="U15" s="8"/>
      <c r="V15" s="8">
        <v>50</v>
      </c>
      <c r="W15" s="8"/>
      <c r="X15" s="8">
        <v>390</v>
      </c>
      <c r="Y15" s="8">
        <v>430</v>
      </c>
      <c r="Z15" s="8"/>
      <c r="AA15" s="8"/>
      <c r="AB15" s="8"/>
      <c r="AC15" s="8"/>
      <c r="AD15" s="8"/>
      <c r="AE15" s="8"/>
      <c r="AF15" s="8"/>
      <c r="AG15" s="8"/>
      <c r="AH15" s="65">
        <f>SUM(C15:AG15)</f>
        <v>3900</v>
      </c>
      <c r="AK15" s="78" t="s">
        <v>161</v>
      </c>
      <c r="AL15" s="78" t="s">
        <v>95</v>
      </c>
      <c r="AS15" s="9"/>
      <c r="AT15" s="9">
        <f>AV12-22440</f>
        <v>1900</v>
      </c>
      <c r="AV15" s="9"/>
      <c r="AX15" s="25"/>
    </row>
    <row r="16" spans="1:56" x14ac:dyDescent="0.4">
      <c r="A16" s="2">
        <v>2</v>
      </c>
      <c r="B16" s="3" t="s">
        <v>131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5">
        <f t="shared" ref="AH16:AH21" si="10">SUM(C16:AG16)</f>
        <v>0</v>
      </c>
      <c r="AK16" s="1" t="s">
        <v>158</v>
      </c>
      <c r="AL16" s="16">
        <v>0</v>
      </c>
      <c r="AQ16" s="9"/>
      <c r="AR16" s="25"/>
      <c r="AS16" s="9"/>
      <c r="AU16" s="100">
        <v>100</v>
      </c>
      <c r="AV16" s="101" t="s">
        <v>163</v>
      </c>
      <c r="AX16" s="44"/>
      <c r="AY16" s="25"/>
    </row>
    <row r="17" spans="1:53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650</v>
      </c>
      <c r="S17" s="8">
        <v>640</v>
      </c>
      <c r="T17" s="8"/>
      <c r="U17" s="8">
        <v>132</v>
      </c>
      <c r="V17" s="8"/>
      <c r="W17" s="8"/>
      <c r="X17" s="8"/>
      <c r="Y17" s="8"/>
      <c r="Z17">
        <v>240</v>
      </c>
      <c r="AA17" s="8">
        <v>355</v>
      </c>
      <c r="AB17" s="8"/>
      <c r="AC17" s="8">
        <v>275</v>
      </c>
      <c r="AD17" s="8"/>
      <c r="AE17" s="8"/>
      <c r="AF17" s="8"/>
      <c r="AG17" s="8"/>
      <c r="AH17" s="65">
        <f t="shared" si="10"/>
        <v>2292</v>
      </c>
      <c r="AK17" s="1" t="s">
        <v>162</v>
      </c>
      <c r="AL17" s="16">
        <f>AU12</f>
        <v>1900.2365195816317</v>
      </c>
      <c r="AR17" s="25"/>
      <c r="AS17" s="44"/>
      <c r="AT17" s="104">
        <f>AT15-AU16</f>
        <v>1800</v>
      </c>
      <c r="AU17" s="105" t="s">
        <v>165</v>
      </c>
      <c r="AX17" s="25"/>
    </row>
    <row r="18" spans="1:53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>
        <v>910</v>
      </c>
      <c r="K18" s="8">
        <v>940</v>
      </c>
      <c r="L18" s="8">
        <v>200</v>
      </c>
      <c r="M18" s="8">
        <v>140</v>
      </c>
      <c r="N18" s="8">
        <v>38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645</v>
      </c>
      <c r="AC18" s="8"/>
      <c r="AD18" s="8"/>
      <c r="AE18" s="8"/>
      <c r="AF18" s="8"/>
      <c r="AG18" s="8"/>
      <c r="AH18" s="65">
        <f t="shared" si="10"/>
        <v>2873</v>
      </c>
      <c r="AK18" s="78" t="s">
        <v>138</v>
      </c>
      <c r="AL18" s="51">
        <f>SUM(AL16:AL17)</f>
        <v>1900.2365195816317</v>
      </c>
      <c r="AQ18" s="9"/>
      <c r="AR18" s="25"/>
      <c r="AS18" s="25"/>
      <c r="AT18" s="25"/>
      <c r="BA18" s="9"/>
    </row>
    <row r="19" spans="1:53" x14ac:dyDescent="0.4">
      <c r="A19" s="2">
        <v>5</v>
      </c>
      <c r="B19" s="12" t="s">
        <v>51</v>
      </c>
      <c r="C19" s="8"/>
      <c r="D19" s="8"/>
      <c r="E19" s="8"/>
      <c r="F19" s="8">
        <v>2110</v>
      </c>
      <c r="G19" s="8">
        <v>550</v>
      </c>
      <c r="H19" s="8">
        <v>360</v>
      </c>
      <c r="I19" s="8">
        <v>385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3405</v>
      </c>
      <c r="BA19" s="9"/>
    </row>
    <row r="20" spans="1:53" x14ac:dyDescent="0.4">
      <c r="A20" s="2">
        <v>6</v>
      </c>
      <c r="B20" s="1" t="s">
        <v>110</v>
      </c>
      <c r="C20" s="8">
        <v>2602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585</v>
      </c>
      <c r="AE20" s="8"/>
      <c r="AF20" s="8"/>
      <c r="AG20" s="8"/>
      <c r="AH20" s="65">
        <f>SUM(C20:AG20)</f>
        <v>3187</v>
      </c>
      <c r="AK20" s="78" t="s">
        <v>92</v>
      </c>
      <c r="AL20" s="78" t="s">
        <v>95</v>
      </c>
      <c r="AV20" s="25"/>
    </row>
    <row r="21" spans="1:53" x14ac:dyDescent="0.4">
      <c r="A21" s="2">
        <v>7</v>
      </c>
      <c r="B21" s="3" t="s">
        <v>118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65">
        <f t="shared" si="10"/>
        <v>0</v>
      </c>
      <c r="AK21" s="1" t="s">
        <v>166</v>
      </c>
      <c r="AL21" s="16">
        <v>100</v>
      </c>
      <c r="AS21" s="25"/>
    </row>
    <row r="22" spans="1:5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15657</v>
      </c>
      <c r="AK22" s="1" t="s">
        <v>94</v>
      </c>
      <c r="AL22" s="16">
        <f>1800</f>
        <v>1800</v>
      </c>
      <c r="AM22" s="9"/>
      <c r="AN22" s="9"/>
    </row>
    <row r="23" spans="1:53" x14ac:dyDescent="0.4">
      <c r="AK23" s="78" t="s">
        <v>139</v>
      </c>
      <c r="AL23" s="51">
        <f>SUM(AL21:AL22)</f>
        <v>1900</v>
      </c>
    </row>
    <row r="24" spans="1:53" x14ac:dyDescent="0.4">
      <c r="A24" s="4"/>
      <c r="B24" s="13" t="s">
        <v>144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  <c r="P24" s="70" t="s">
        <v>149</v>
      </c>
    </row>
    <row r="25" spans="1:53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11">$D$32/7</f>
        <v>428.57142857142856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139.28571428571428</v>
      </c>
      <c r="H25" s="26">
        <f t="shared" ref="H25:H31" si="14">$H$32/7</f>
        <v>97.428571428571431</v>
      </c>
      <c r="I25" s="8">
        <f t="shared" ref="I25:I31" si="15">$I$32/7</f>
        <v>290</v>
      </c>
      <c r="J25" s="8">
        <f t="shared" ref="J25:J31" si="16">$J$32/7</f>
        <v>35.714285714285715</v>
      </c>
      <c r="K25" s="26">
        <f t="shared" ref="K25:K31" si="17">$K$32/7</f>
        <v>58.285714285714285</v>
      </c>
      <c r="L25" s="40">
        <f t="shared" ref="L25:L31" si="18">$L$32/7</f>
        <v>17.142857142857142</v>
      </c>
      <c r="M25" s="8">
        <f t="shared" ref="M25:M31" si="19">$M$32/7</f>
        <v>0</v>
      </c>
      <c r="N25" s="65">
        <f t="shared" ref="N25:N29" si="20">SUM(C25:M25)</f>
        <v>4280.7142857142853</v>
      </c>
      <c r="P25" s="86" t="s">
        <v>148</v>
      </c>
      <c r="Q25" s="86" t="s">
        <v>147</v>
      </c>
      <c r="R25" s="86" t="s">
        <v>118</v>
      </c>
      <c r="AK25" s="70" t="s">
        <v>125</v>
      </c>
      <c r="AL25" s="44">
        <f>AL18-AL23</f>
        <v>0.23651958163168274</v>
      </c>
      <c r="AY25" s="47"/>
    </row>
    <row r="26" spans="1:53" x14ac:dyDescent="0.4">
      <c r="A26" s="2">
        <v>2</v>
      </c>
      <c r="B26" s="12" t="s">
        <v>131</v>
      </c>
      <c r="C26" s="8">
        <f>H35</f>
        <v>3142.8571428571427</v>
      </c>
      <c r="D26" s="8">
        <f t="shared" si="11"/>
        <v>428.57142857142856</v>
      </c>
      <c r="E26" s="8">
        <f>$E$32/7</f>
        <v>0</v>
      </c>
      <c r="F26" s="8">
        <f t="shared" si="12"/>
        <v>71.428571428571431</v>
      </c>
      <c r="G26" s="8">
        <f t="shared" si="13"/>
        <v>139.28571428571428</v>
      </c>
      <c r="H26" s="26">
        <f t="shared" si="14"/>
        <v>97.428571428571431</v>
      </c>
      <c r="I26" s="8">
        <f t="shared" si="15"/>
        <v>290</v>
      </c>
      <c r="J26" s="8">
        <f t="shared" si="16"/>
        <v>35.714285714285715</v>
      </c>
      <c r="K26" s="26">
        <f t="shared" si="17"/>
        <v>58.285714285714285</v>
      </c>
      <c r="L26" s="40">
        <f t="shared" si="18"/>
        <v>17.142857142857142</v>
      </c>
      <c r="M26" s="8">
        <f t="shared" si="19"/>
        <v>0</v>
      </c>
      <c r="N26" s="65">
        <f t="shared" si="20"/>
        <v>4280.7142857142853</v>
      </c>
      <c r="P26" s="8" t="s">
        <v>11</v>
      </c>
      <c r="Q26" s="8">
        <f>C31</f>
        <v>2892.8571428571427</v>
      </c>
      <c r="R26" s="8">
        <v>0</v>
      </c>
      <c r="AY26" s="47"/>
    </row>
    <row r="27" spans="1:53" x14ac:dyDescent="0.4">
      <c r="A27" s="2">
        <v>3</v>
      </c>
      <c r="B27" s="12" t="s">
        <v>6</v>
      </c>
      <c r="C27" s="8">
        <f>H36</f>
        <v>2142.8571428571427</v>
      </c>
      <c r="D27" s="8">
        <f t="shared" si="11"/>
        <v>428.57142857142856</v>
      </c>
      <c r="E27" s="8">
        <f>$E$32/7</f>
        <v>0</v>
      </c>
      <c r="F27" s="8">
        <f t="shared" si="12"/>
        <v>71.428571428571431</v>
      </c>
      <c r="G27" s="8">
        <f t="shared" si="13"/>
        <v>139.28571428571428</v>
      </c>
      <c r="H27" s="26">
        <f t="shared" si="14"/>
        <v>97.428571428571431</v>
      </c>
      <c r="I27" s="8">
        <f t="shared" si="15"/>
        <v>290</v>
      </c>
      <c r="J27" s="8">
        <f t="shared" si="16"/>
        <v>35.714285714285715</v>
      </c>
      <c r="K27" s="26">
        <f t="shared" si="17"/>
        <v>58.285714285714285</v>
      </c>
      <c r="L27" s="40">
        <f t="shared" si="18"/>
        <v>17.142857142857142</v>
      </c>
      <c r="M27" s="8">
        <f t="shared" si="19"/>
        <v>0</v>
      </c>
      <c r="N27" s="65">
        <f t="shared" si="20"/>
        <v>3280.7142857142858</v>
      </c>
      <c r="P27" s="8" t="s">
        <v>12</v>
      </c>
      <c r="Q27" s="8">
        <v>0</v>
      </c>
      <c r="R27" s="8">
        <f>D$31</f>
        <v>428.57142857142856</v>
      </c>
      <c r="AY27" s="47"/>
    </row>
    <row r="28" spans="1:53" x14ac:dyDescent="0.4">
      <c r="A28" s="2">
        <v>4</v>
      </c>
      <c r="B28" s="12" t="s">
        <v>57</v>
      </c>
      <c r="C28" s="8">
        <f>H36</f>
        <v>2142.8571428571427</v>
      </c>
      <c r="D28" s="8">
        <f t="shared" si="11"/>
        <v>428.57142857142856</v>
      </c>
      <c r="E28" s="8">
        <f>$E$32/7</f>
        <v>0</v>
      </c>
      <c r="F28" s="8">
        <f t="shared" si="12"/>
        <v>71.428571428571431</v>
      </c>
      <c r="G28" s="8">
        <f t="shared" si="13"/>
        <v>139.28571428571428</v>
      </c>
      <c r="H28" s="26">
        <f t="shared" si="14"/>
        <v>97.428571428571431</v>
      </c>
      <c r="I28" s="8">
        <f t="shared" si="15"/>
        <v>290</v>
      </c>
      <c r="J28" s="8">
        <f t="shared" si="16"/>
        <v>35.714285714285715</v>
      </c>
      <c r="K28" s="26">
        <f t="shared" si="17"/>
        <v>58.285714285714285</v>
      </c>
      <c r="L28" s="40">
        <f t="shared" si="18"/>
        <v>17.142857142857142</v>
      </c>
      <c r="M28" s="8">
        <f t="shared" si="19"/>
        <v>0</v>
      </c>
      <c r="N28" s="65">
        <f t="shared" si="20"/>
        <v>3280.7142857142858</v>
      </c>
      <c r="P28" s="8" t="s">
        <v>13</v>
      </c>
      <c r="Q28" s="8">
        <v>0</v>
      </c>
      <c r="R28" s="8">
        <f>E31</f>
        <v>0</v>
      </c>
      <c r="AY28" s="47"/>
    </row>
    <row r="29" spans="1:53" x14ac:dyDescent="0.4">
      <c r="A29" s="2">
        <v>5</v>
      </c>
      <c r="B29" s="12" t="s">
        <v>51</v>
      </c>
      <c r="C29" s="8">
        <f>H36</f>
        <v>2142.8571428571427</v>
      </c>
      <c r="D29" s="8">
        <f t="shared" si="11"/>
        <v>428.57142857142856</v>
      </c>
      <c r="E29" s="8">
        <f>$E$32/7</f>
        <v>0</v>
      </c>
      <c r="F29" s="8">
        <f t="shared" si="12"/>
        <v>71.428571428571431</v>
      </c>
      <c r="G29" s="8">
        <f t="shared" si="13"/>
        <v>139.28571428571428</v>
      </c>
      <c r="H29" s="26">
        <f t="shared" si="14"/>
        <v>97.428571428571431</v>
      </c>
      <c r="I29" s="8">
        <f t="shared" si="15"/>
        <v>290</v>
      </c>
      <c r="J29" s="8">
        <f t="shared" si="16"/>
        <v>35.714285714285715</v>
      </c>
      <c r="K29" s="26">
        <f t="shared" si="17"/>
        <v>58.285714285714285</v>
      </c>
      <c r="L29" s="40">
        <f t="shared" si="18"/>
        <v>17.142857142857142</v>
      </c>
      <c r="M29" s="8">
        <f t="shared" si="19"/>
        <v>0</v>
      </c>
      <c r="N29" s="65">
        <f t="shared" si="20"/>
        <v>3280.7142857142858</v>
      </c>
      <c r="P29" s="8" t="s">
        <v>14</v>
      </c>
      <c r="Q29" s="8">
        <v>0</v>
      </c>
      <c r="R29" s="8">
        <f>F31</f>
        <v>71.428571428571431</v>
      </c>
      <c r="AY29" s="48"/>
    </row>
    <row r="30" spans="1:53" x14ac:dyDescent="0.4">
      <c r="A30" s="2">
        <v>6</v>
      </c>
      <c r="B30" s="12" t="s">
        <v>104</v>
      </c>
      <c r="C30" s="8">
        <f>H37</f>
        <v>2892.8571428571427</v>
      </c>
      <c r="D30" s="8">
        <f t="shared" si="11"/>
        <v>428.57142857142856</v>
      </c>
      <c r="E30" s="8">
        <v>0</v>
      </c>
      <c r="F30" s="8">
        <f t="shared" si="12"/>
        <v>71.428571428571431</v>
      </c>
      <c r="G30" s="8">
        <f t="shared" si="13"/>
        <v>139.28571428571428</v>
      </c>
      <c r="H30" s="26">
        <f t="shared" si="14"/>
        <v>97.428571428571431</v>
      </c>
      <c r="I30" s="8">
        <f t="shared" si="15"/>
        <v>290</v>
      </c>
      <c r="J30" s="8">
        <f t="shared" si="16"/>
        <v>35.714285714285715</v>
      </c>
      <c r="K30" s="26">
        <f t="shared" si="17"/>
        <v>58.285714285714285</v>
      </c>
      <c r="L30" s="40">
        <f t="shared" si="18"/>
        <v>17.142857142857142</v>
      </c>
      <c r="M30" s="8">
        <f t="shared" si="19"/>
        <v>0</v>
      </c>
      <c r="N30" s="65">
        <f>SUM(C30:M30)</f>
        <v>4030.7142857142858</v>
      </c>
      <c r="P30" s="8" t="s">
        <v>15</v>
      </c>
      <c r="Q30" s="8">
        <v>0</v>
      </c>
      <c r="R30" s="8">
        <f>G31</f>
        <v>139.28571428571428</v>
      </c>
      <c r="AY30" s="47"/>
    </row>
    <row r="31" spans="1:53" x14ac:dyDescent="0.4">
      <c r="A31" s="2">
        <v>7</v>
      </c>
      <c r="B31" s="3" t="s">
        <v>145</v>
      </c>
      <c r="C31" s="8">
        <f>H37</f>
        <v>2892.8571428571427</v>
      </c>
      <c r="D31" s="8">
        <f t="shared" si="11"/>
        <v>428.57142857142856</v>
      </c>
      <c r="E31" s="8">
        <v>0</v>
      </c>
      <c r="F31" s="8">
        <f t="shared" si="12"/>
        <v>71.428571428571431</v>
      </c>
      <c r="G31" s="8">
        <f t="shared" si="13"/>
        <v>139.28571428571428</v>
      </c>
      <c r="H31" s="26">
        <f t="shared" si="14"/>
        <v>97.428571428571431</v>
      </c>
      <c r="I31" s="8">
        <f t="shared" si="15"/>
        <v>290</v>
      </c>
      <c r="J31" s="8">
        <f t="shared" si="16"/>
        <v>35.714285714285715</v>
      </c>
      <c r="K31" s="26">
        <f t="shared" si="17"/>
        <v>58.285714285714285</v>
      </c>
      <c r="L31" s="40">
        <f t="shared" si="18"/>
        <v>17.142857142857142</v>
      </c>
      <c r="M31" s="8">
        <f t="shared" si="19"/>
        <v>0</v>
      </c>
      <c r="N31" s="65">
        <f>SUM(C31:M31)</f>
        <v>4030.7142857142858</v>
      </c>
      <c r="P31" s="8" t="s">
        <v>16</v>
      </c>
      <c r="Q31" s="8">
        <v>0</v>
      </c>
      <c r="R31" s="8">
        <f>H31</f>
        <v>97.428571428571431</v>
      </c>
      <c r="AY31" s="47"/>
    </row>
    <row r="32" spans="1:53" x14ac:dyDescent="0.4">
      <c r="A32" s="208" t="s">
        <v>47</v>
      </c>
      <c r="B32" s="208"/>
      <c r="C32" s="65">
        <f>SUM(C25:C31)</f>
        <v>18500</v>
      </c>
      <c r="D32" s="67">
        <v>3000</v>
      </c>
      <c r="E32" s="65"/>
      <c r="F32" s="65">
        <f>500</f>
        <v>500</v>
      </c>
      <c r="G32" s="65">
        <f>975</f>
        <v>975</v>
      </c>
      <c r="H32" s="77">
        <v>682</v>
      </c>
      <c r="I32" s="65">
        <v>2030</v>
      </c>
      <c r="J32" s="65">
        <f>250</f>
        <v>250</v>
      </c>
      <c r="K32" s="77">
        <v>408</v>
      </c>
      <c r="L32" s="67">
        <f>120</f>
        <v>120</v>
      </c>
      <c r="M32" s="65"/>
      <c r="N32" s="65">
        <f>SUM(N25:N31)</f>
        <v>26465</v>
      </c>
      <c r="P32" s="8" t="s">
        <v>17</v>
      </c>
      <c r="Q32" s="8">
        <v>0</v>
      </c>
      <c r="R32" s="8">
        <f>I31</f>
        <v>290</v>
      </c>
      <c r="AY32" s="47"/>
    </row>
    <row r="33" spans="4:51" x14ac:dyDescent="0.4">
      <c r="P33" s="8" t="s">
        <v>18</v>
      </c>
      <c r="Q33" s="8">
        <v>0</v>
      </c>
      <c r="R33" s="8">
        <f>J31</f>
        <v>35.714285714285715</v>
      </c>
      <c r="AY33" s="47"/>
    </row>
    <row r="34" spans="4:51" x14ac:dyDescent="0.4">
      <c r="P34" s="8" t="s">
        <v>19</v>
      </c>
      <c r="Q34" s="8">
        <v>0</v>
      </c>
      <c r="R34" s="8">
        <f>K31</f>
        <v>58.285714285714285</v>
      </c>
    </row>
    <row r="35" spans="4:51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M35" s="1" t="s">
        <v>61</v>
      </c>
      <c r="N35" s="16">
        <f>C32</f>
        <v>18500</v>
      </c>
      <c r="P35" s="8" t="s">
        <v>20</v>
      </c>
      <c r="Q35" s="8">
        <v>0</v>
      </c>
      <c r="R35" s="8">
        <f>L31</f>
        <v>17.142857142857142</v>
      </c>
      <c r="U35" s="9"/>
    </row>
    <row r="36" spans="4:51" x14ac:dyDescent="0.4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M36" s="1" t="s">
        <v>71</v>
      </c>
      <c r="N36" s="16">
        <f>G32</f>
        <v>975</v>
      </c>
      <c r="P36" s="8" t="s">
        <v>21</v>
      </c>
      <c r="Q36" s="8">
        <v>0</v>
      </c>
      <c r="R36" s="8">
        <f>M31</f>
        <v>0</v>
      </c>
      <c r="T36" s="9"/>
    </row>
    <row r="37" spans="4:51" x14ac:dyDescent="0.4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M37" s="1" t="s">
        <v>72</v>
      </c>
      <c r="N37" s="16">
        <f>I32</f>
        <v>2030</v>
      </c>
      <c r="P37" s="67" t="s">
        <v>151</v>
      </c>
      <c r="Q37" s="65">
        <f>SUM(Q26:Q36)</f>
        <v>2892.8571428571427</v>
      </c>
      <c r="R37" s="65">
        <f>SUM(R26:R36)</f>
        <v>1137.8571428571429</v>
      </c>
      <c r="T37" s="9"/>
    </row>
    <row r="38" spans="4:51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M38" s="1" t="s">
        <v>73</v>
      </c>
      <c r="N38" s="16">
        <f>H32</f>
        <v>682</v>
      </c>
      <c r="P38" s="85" t="s">
        <v>116</v>
      </c>
      <c r="Q38" s="85">
        <v>0</v>
      </c>
      <c r="R38" s="85">
        <v>2750</v>
      </c>
      <c r="T38" s="9"/>
      <c r="V38" s="9"/>
    </row>
    <row r="39" spans="4:51" x14ac:dyDescent="0.4">
      <c r="M39" s="1" t="s">
        <v>74</v>
      </c>
      <c r="N39" s="16">
        <f>J32</f>
        <v>250</v>
      </c>
      <c r="P39" s="85" t="s">
        <v>112</v>
      </c>
      <c r="Q39" s="85">
        <v>0</v>
      </c>
      <c r="R39" s="85">
        <v>1000</v>
      </c>
      <c r="T39" s="44"/>
      <c r="U39" s="9"/>
    </row>
    <row r="40" spans="4:51" x14ac:dyDescent="0.4">
      <c r="M40" s="78" t="s">
        <v>47</v>
      </c>
      <c r="N40" s="51">
        <f>SUM(N35:N39)</f>
        <v>22437</v>
      </c>
      <c r="P40" s="67" t="s">
        <v>150</v>
      </c>
      <c r="Q40" s="65">
        <f>SUM(Q38:Q39)</f>
        <v>0</v>
      </c>
      <c r="R40" s="65">
        <f>SUM(R38:R39)</f>
        <v>3750</v>
      </c>
    </row>
    <row r="41" spans="4:51" x14ac:dyDescent="0.4">
      <c r="N41" s="9"/>
      <c r="P41" s="87" t="s">
        <v>153</v>
      </c>
      <c r="Q41" s="87">
        <v>0</v>
      </c>
      <c r="R41" s="87">
        <f>AL11</f>
        <v>165.96353614585541</v>
      </c>
    </row>
    <row r="42" spans="4:51" x14ac:dyDescent="0.4">
      <c r="M42" s="1" t="s">
        <v>12</v>
      </c>
      <c r="N42" s="16">
        <f>D32</f>
        <v>3000</v>
      </c>
      <c r="P42" s="88" t="s">
        <v>152</v>
      </c>
      <c r="Q42" s="89">
        <f>Q40-Q37-Q41</f>
        <v>-2892.8571428571427</v>
      </c>
      <c r="R42" s="89">
        <f>R40-R37-R41</f>
        <v>2446.1793209970015</v>
      </c>
      <c r="U42" s="9"/>
    </row>
    <row r="43" spans="4:51" x14ac:dyDescent="0.4">
      <c r="M43" s="1" t="s">
        <v>13</v>
      </c>
      <c r="N43" s="16">
        <f>E32</f>
        <v>0</v>
      </c>
      <c r="P43" s="90" t="s">
        <v>152</v>
      </c>
      <c r="Q43" s="93">
        <f>ABS(Q42)</f>
        <v>2892.8571428571427</v>
      </c>
      <c r="R43" s="93">
        <f>ABS(R42)</f>
        <v>2446.1793209970015</v>
      </c>
      <c r="U43" s="25"/>
      <c r="V43" s="9"/>
      <c r="W43" s="25"/>
    </row>
    <row r="44" spans="4:51" x14ac:dyDescent="0.4">
      <c r="M44" s="1" t="s">
        <v>14</v>
      </c>
      <c r="N44" s="16">
        <f>F32</f>
        <v>500</v>
      </c>
      <c r="P44" s="1" t="s">
        <v>156</v>
      </c>
      <c r="Q44" s="92"/>
      <c r="R44" s="91">
        <f>Q37+R37+R41</f>
        <v>4196.6778218601412</v>
      </c>
      <c r="U44" s="9"/>
    </row>
    <row r="45" spans="4:51" x14ac:dyDescent="0.4">
      <c r="M45" s="1" t="s">
        <v>20</v>
      </c>
      <c r="N45" s="16">
        <f>L32</f>
        <v>120</v>
      </c>
      <c r="P45" s="9"/>
    </row>
    <row r="46" spans="4:51" x14ac:dyDescent="0.4">
      <c r="M46" s="1" t="s">
        <v>123</v>
      </c>
      <c r="N46" s="16">
        <f>K32</f>
        <v>408</v>
      </c>
      <c r="P46" t="s">
        <v>154</v>
      </c>
      <c r="R46" s="9">
        <f>R42</f>
        <v>2446.1793209970015</v>
      </c>
    </row>
    <row r="47" spans="4:51" x14ac:dyDescent="0.4">
      <c r="M47" s="1" t="s">
        <v>21</v>
      </c>
      <c r="N47" s="16">
        <f>M32</f>
        <v>0</v>
      </c>
      <c r="P47" t="s">
        <v>155</v>
      </c>
      <c r="R47" s="25">
        <f>(Q37+R37+R41)</f>
        <v>4196.6778218601412</v>
      </c>
    </row>
    <row r="48" spans="4:51" x14ac:dyDescent="0.4">
      <c r="M48" s="78" t="s">
        <v>47</v>
      </c>
      <c r="N48" s="51">
        <f>SUM(N42:N47)</f>
        <v>4028</v>
      </c>
      <c r="P48" t="s">
        <v>157</v>
      </c>
      <c r="R48" s="44">
        <f>SUM(R46:R47)</f>
        <v>6642.8571428571431</v>
      </c>
    </row>
    <row r="50" spans="13:21" ht="16.2" thickBot="1" x14ac:dyDescent="0.45">
      <c r="M50" s="79" t="s">
        <v>124</v>
      </c>
      <c r="N50" s="80">
        <f>N48+N40</f>
        <v>26465</v>
      </c>
      <c r="U50" s="9"/>
    </row>
    <row r="51" spans="13:21" ht="16.2" thickTop="1" x14ac:dyDescent="0.4"/>
    <row r="52" spans="13:21" x14ac:dyDescent="0.4">
      <c r="M52" s="78" t="s">
        <v>125</v>
      </c>
      <c r="N52" s="16">
        <f>N32-N50</f>
        <v>0</v>
      </c>
    </row>
  </sheetData>
  <mergeCells count="3">
    <mergeCell ref="C1:D2"/>
    <mergeCell ref="E1:F2"/>
    <mergeCell ref="A32:B32"/>
  </mergeCells>
  <conditionalFormatting sqref="AU5:AU11 AN5:AN11">
    <cfRule type="cellIs" dxfId="17" priority="2" operator="lessThan">
      <formula>0</formula>
    </cfRule>
  </conditionalFormatting>
  <conditionalFormatting sqref="AU5:AU12">
    <cfRule type="cellIs" dxfId="16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AB7B-1D3E-417F-B16E-E4533F1D8F30}">
  <dimension ref="A1:AZ52"/>
  <sheetViews>
    <sheetView showGridLines="0" zoomScale="104" zoomScaleNormal="110" workbookViewId="0">
      <pane xSplit="2" ySplit="4" topLeftCell="AQ5" activePane="bottomRight" state="frozen"/>
      <selection pane="topRight" activeCell="C1" sqref="C1"/>
      <selection pane="bottomLeft" activeCell="A5" sqref="A5"/>
      <selection pane="bottomRight" activeCell="AU20" sqref="AU20"/>
    </sheetView>
  </sheetViews>
  <sheetFormatPr defaultRowHeight="15.6" x14ac:dyDescent="0.4"/>
  <cols>
    <col min="1" max="1" width="7" bestFit="1" customWidth="1"/>
    <col min="2" max="2" width="23.69921875" customWidth="1"/>
    <col min="3" max="3" width="11.19921875" customWidth="1"/>
    <col min="4" max="4" width="9.3984375" customWidth="1"/>
    <col min="5" max="5" width="9.19921875" bestFit="1" customWidth="1"/>
    <col min="6" max="6" width="11.59765625" customWidth="1"/>
    <col min="7" max="7" width="12" bestFit="1" customWidth="1"/>
    <col min="8" max="8" width="12" customWidth="1"/>
    <col min="9" max="9" width="9.796875" customWidth="1"/>
    <col min="10" max="10" width="9.19921875" bestFit="1" customWidth="1"/>
    <col min="11" max="11" width="10.3984375" customWidth="1"/>
    <col min="12" max="13" width="10.19921875" bestFit="1" customWidth="1"/>
    <col min="14" max="14" width="11.59765625" bestFit="1" customWidth="1"/>
    <col min="15" max="15" width="10.19921875" bestFit="1" customWidth="1"/>
    <col min="16" max="16" width="9.8984375" bestFit="1" customWidth="1"/>
    <col min="17" max="19" width="10.19921875" bestFit="1" customWidth="1"/>
    <col min="20" max="20" width="13" customWidth="1"/>
    <col min="21" max="30" width="10.19921875" bestFit="1" customWidth="1"/>
    <col min="31" max="33" width="10.19921875" customWidth="1"/>
    <col min="34" max="34" width="10.19921875" bestFit="1" customWidth="1"/>
    <col min="35" max="36" width="5.8984375" customWidth="1"/>
    <col min="37" max="37" width="21.296875" customWidth="1"/>
    <col min="38" max="38" width="13.09765625" customWidth="1"/>
    <col min="39" max="39" width="11.296875" customWidth="1"/>
    <col min="40" max="40" width="13.296875" customWidth="1"/>
    <col min="41" max="41" width="14.09765625" customWidth="1"/>
    <col min="42" max="42" width="13.69921875" customWidth="1"/>
    <col min="43" max="43" width="16.8984375" customWidth="1"/>
    <col min="44" max="44" width="23.8984375" customWidth="1"/>
    <col min="45" max="45" width="10" customWidth="1"/>
    <col min="46" max="46" width="12.796875" customWidth="1"/>
    <col min="47" max="47" width="9.8984375" customWidth="1"/>
    <col min="48" max="48" width="10.3984375" style="47" customWidth="1"/>
    <col min="49" max="49" width="11.69921875" bestFit="1" customWidth="1"/>
    <col min="50" max="50" width="10" bestFit="1" customWidth="1"/>
  </cols>
  <sheetData>
    <row r="1" spans="1:50" ht="14.55" customHeight="1" x14ac:dyDescent="0.4">
      <c r="C1" s="211" t="s">
        <v>170</v>
      </c>
      <c r="D1" s="211"/>
      <c r="E1" s="212">
        <f>AH22/AH12</f>
        <v>54.984162895927604</v>
      </c>
      <c r="F1" s="212"/>
    </row>
    <row r="2" spans="1:50" ht="18.600000000000001" customHeight="1" x14ac:dyDescent="0.4">
      <c r="C2" s="211"/>
      <c r="D2" s="211"/>
      <c r="E2" s="212"/>
      <c r="F2" s="212"/>
    </row>
    <row r="3" spans="1:50" ht="4.8" customHeight="1" x14ac:dyDescent="0.4"/>
    <row r="4" spans="1:50" ht="47.4" customHeight="1" x14ac:dyDescent="0.4">
      <c r="A4" s="53" t="s">
        <v>0</v>
      </c>
      <c r="B4" s="53" t="s">
        <v>2</v>
      </c>
      <c r="C4" s="54">
        <v>44621</v>
      </c>
      <c r="D4" s="54">
        <v>44622</v>
      </c>
      <c r="E4" s="54">
        <v>44623</v>
      </c>
      <c r="F4" s="54">
        <v>44624</v>
      </c>
      <c r="G4" s="54">
        <v>44625</v>
      </c>
      <c r="H4" s="54">
        <v>44626</v>
      </c>
      <c r="I4" s="54">
        <v>44627</v>
      </c>
      <c r="J4" s="54">
        <v>44628</v>
      </c>
      <c r="K4" s="54">
        <v>44629</v>
      </c>
      <c r="L4" s="54">
        <v>44630</v>
      </c>
      <c r="M4" s="54">
        <v>44631</v>
      </c>
      <c r="N4" s="54">
        <v>44632</v>
      </c>
      <c r="O4" s="54">
        <v>44633</v>
      </c>
      <c r="P4" s="54">
        <v>44634</v>
      </c>
      <c r="Q4" s="54">
        <v>44635</v>
      </c>
      <c r="R4" s="54">
        <v>44636</v>
      </c>
      <c r="S4" s="54">
        <v>44637</v>
      </c>
      <c r="T4" s="54">
        <v>44638</v>
      </c>
      <c r="U4" s="54">
        <v>44639</v>
      </c>
      <c r="V4" s="54">
        <v>44640</v>
      </c>
      <c r="W4" s="54">
        <v>44641</v>
      </c>
      <c r="X4" s="54">
        <v>44642</v>
      </c>
      <c r="Y4" s="54">
        <v>44643</v>
      </c>
      <c r="Z4" s="54">
        <v>44644</v>
      </c>
      <c r="AA4" s="54">
        <v>44645</v>
      </c>
      <c r="AB4" s="54">
        <v>44646</v>
      </c>
      <c r="AC4" s="54">
        <v>44647</v>
      </c>
      <c r="AD4" s="54">
        <v>44648</v>
      </c>
      <c r="AE4" s="54">
        <v>44649</v>
      </c>
      <c r="AF4" s="54">
        <v>44650</v>
      </c>
      <c r="AG4" s="54">
        <v>44651</v>
      </c>
      <c r="AH4" s="53" t="s">
        <v>1</v>
      </c>
      <c r="AJ4" s="49" t="s">
        <v>0</v>
      </c>
      <c r="AK4" s="116" t="s">
        <v>2</v>
      </c>
      <c r="AL4" s="82" t="s">
        <v>23</v>
      </c>
      <c r="AM4" s="82" t="s">
        <v>24</v>
      </c>
      <c r="AN4" s="82" t="s">
        <v>26</v>
      </c>
      <c r="AO4" s="82" t="s">
        <v>172</v>
      </c>
      <c r="AP4" s="82" t="s">
        <v>27</v>
      </c>
      <c r="AQ4" s="82" t="s">
        <v>30</v>
      </c>
      <c r="AR4" s="82" t="s">
        <v>32</v>
      </c>
      <c r="AS4" s="82" t="s">
        <v>28</v>
      </c>
      <c r="AT4" s="82" t="s">
        <v>31</v>
      </c>
      <c r="AU4" s="94" t="s">
        <v>126</v>
      </c>
      <c r="AV4" s="82" t="s">
        <v>29</v>
      </c>
      <c r="AW4" s="82" t="s">
        <v>175</v>
      </c>
    </row>
    <row r="5" spans="1:50" x14ac:dyDescent="0.4">
      <c r="A5" s="2">
        <v>1</v>
      </c>
      <c r="B5" s="3" t="s">
        <v>5</v>
      </c>
      <c r="C5" s="7">
        <v>5</v>
      </c>
      <c r="D5" s="7">
        <v>5</v>
      </c>
      <c r="E5" s="7">
        <v>3</v>
      </c>
      <c r="F5" s="7">
        <v>1.5</v>
      </c>
      <c r="G5" s="7">
        <v>3.5</v>
      </c>
      <c r="H5" s="7">
        <v>4</v>
      </c>
      <c r="I5" s="7">
        <v>4</v>
      </c>
      <c r="J5" s="7">
        <v>5</v>
      </c>
      <c r="K5" s="7">
        <v>5</v>
      </c>
      <c r="L5" s="7">
        <v>2</v>
      </c>
      <c r="M5" s="7">
        <v>2</v>
      </c>
      <c r="N5" s="7">
        <v>4</v>
      </c>
      <c r="O5" s="7">
        <v>4</v>
      </c>
      <c r="P5" s="7">
        <v>2.5</v>
      </c>
      <c r="Q5" s="7">
        <v>5</v>
      </c>
      <c r="R5" s="7">
        <v>5</v>
      </c>
      <c r="S5" s="7">
        <v>4</v>
      </c>
      <c r="T5" s="7">
        <v>2.5</v>
      </c>
      <c r="U5" s="7">
        <v>3.5</v>
      </c>
      <c r="V5" s="7">
        <v>4</v>
      </c>
      <c r="W5" s="7">
        <v>4</v>
      </c>
      <c r="X5" s="7">
        <v>4</v>
      </c>
      <c r="Y5" s="7">
        <v>2</v>
      </c>
      <c r="Z5" s="7">
        <v>5</v>
      </c>
      <c r="AA5" s="7">
        <v>5</v>
      </c>
      <c r="AB5" s="7">
        <v>5</v>
      </c>
      <c r="AC5" s="7">
        <v>3.5</v>
      </c>
      <c r="AD5" s="7">
        <v>2.5</v>
      </c>
      <c r="AE5" s="7">
        <v>5</v>
      </c>
      <c r="AF5" s="7">
        <v>4</v>
      </c>
      <c r="AG5" s="7">
        <v>4</v>
      </c>
      <c r="AH5" s="56">
        <f>SUM(C5:AG5)</f>
        <v>118.5</v>
      </c>
      <c r="AJ5" s="2">
        <v>1</v>
      </c>
      <c r="AK5" s="3" t="s">
        <v>5</v>
      </c>
      <c r="AL5" s="8">
        <f>AH5*$E$1</f>
        <v>6515.623303167421</v>
      </c>
      <c r="AM5" s="8">
        <f>AH15</f>
        <v>5585</v>
      </c>
      <c r="AN5" s="8">
        <f t="shared" ref="AN5:AN11" si="0">AM5-AL5</f>
        <v>-930.623303167421</v>
      </c>
      <c r="AO5" s="8">
        <f>N25</f>
        <v>4436.7142857142844</v>
      </c>
      <c r="AP5" s="8">
        <f t="shared" ref="AP5:AP11" si="1">AO5-AN5</f>
        <v>5367.3375888817054</v>
      </c>
      <c r="AQ5" s="40">
        <f>'Meal Feb 22 &amp; Rent Mar 22'!AU5</f>
        <v>3.2632423756022035</v>
      </c>
      <c r="AR5" s="8">
        <f t="shared" ref="AR5:AR11" si="2">AP5-AQ5</f>
        <v>5364.0743465061032</v>
      </c>
      <c r="AS5" s="1">
        <f>500+5000</f>
        <v>5500</v>
      </c>
      <c r="AT5" s="8">
        <f t="shared" ref="AT5:AT11" si="3">AS5-AR5</f>
        <v>135.92565349389679</v>
      </c>
      <c r="AU5" s="102">
        <v>5000</v>
      </c>
      <c r="AV5" s="95">
        <v>44670</v>
      </c>
      <c r="AW5" s="8">
        <f t="shared" ref="AW5:AW11" si="4">SUBTOTAL(2,C15:AG15)</f>
        <v>6</v>
      </c>
    </row>
    <row r="6" spans="1:50" x14ac:dyDescent="0.4">
      <c r="A6" s="2">
        <v>2</v>
      </c>
      <c r="B6" s="3" t="s">
        <v>131</v>
      </c>
      <c r="C6" s="7">
        <v>0</v>
      </c>
      <c r="D6" s="7">
        <v>0</v>
      </c>
      <c r="E6" s="7">
        <v>0</v>
      </c>
      <c r="F6" s="7">
        <v>1</v>
      </c>
      <c r="G6" s="7">
        <v>2</v>
      </c>
      <c r="H6" s="7">
        <v>1</v>
      </c>
      <c r="I6" s="7">
        <v>1</v>
      </c>
      <c r="J6" s="7">
        <v>1</v>
      </c>
      <c r="K6" s="7">
        <v>1</v>
      </c>
      <c r="L6" s="7">
        <v>0</v>
      </c>
      <c r="M6" s="7">
        <v>1</v>
      </c>
      <c r="N6" s="7">
        <v>1.5</v>
      </c>
      <c r="O6" s="7">
        <v>1</v>
      </c>
      <c r="P6" s="7">
        <v>1</v>
      </c>
      <c r="Q6" s="7">
        <v>1</v>
      </c>
      <c r="R6" s="7">
        <v>1</v>
      </c>
      <c r="S6" s="7">
        <v>2</v>
      </c>
      <c r="T6" s="7">
        <v>2</v>
      </c>
      <c r="U6" s="7">
        <v>2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2</v>
      </c>
      <c r="AB6" s="7">
        <v>1</v>
      </c>
      <c r="AC6" s="7">
        <v>2</v>
      </c>
      <c r="AD6" s="7">
        <v>2</v>
      </c>
      <c r="AE6" s="7">
        <v>2</v>
      </c>
      <c r="AF6" s="7">
        <v>2</v>
      </c>
      <c r="AG6" s="7">
        <v>1</v>
      </c>
      <c r="AH6" s="56">
        <f>SUM(C6:AG6)</f>
        <v>36.5</v>
      </c>
      <c r="AJ6" s="2">
        <v>2</v>
      </c>
      <c r="AK6" s="3" t="s">
        <v>131</v>
      </c>
      <c r="AL6" s="8">
        <f t="shared" ref="AL6:AL11" si="5">AH6*$E$1</f>
        <v>2006.9219457013576</v>
      </c>
      <c r="AM6" s="8">
        <f t="shared" ref="AM6:AM7" si="6">AH16</f>
        <v>3406</v>
      </c>
      <c r="AN6" s="8">
        <f t="shared" si="0"/>
        <v>1399.0780542986424</v>
      </c>
      <c r="AO6" s="8">
        <f t="shared" ref="AO6:AO9" si="7">N26</f>
        <v>4436.7142857142844</v>
      </c>
      <c r="AP6" s="8">
        <f t="shared" si="1"/>
        <v>3037.6362314156422</v>
      </c>
      <c r="AQ6" s="40">
        <f>'Meal Feb 22 &amp; Rent Mar 22'!AU6</f>
        <v>600.52223386734659</v>
      </c>
      <c r="AR6" s="8">
        <f t="shared" si="2"/>
        <v>2437.1139975482956</v>
      </c>
      <c r="AS6" s="1">
        <v>3000</v>
      </c>
      <c r="AT6" s="8">
        <f t="shared" si="3"/>
        <v>562.88600245170437</v>
      </c>
      <c r="AU6" s="102">
        <f>4000-1000</f>
        <v>3000</v>
      </c>
      <c r="AV6" s="95">
        <v>44670</v>
      </c>
      <c r="AW6" s="8">
        <f t="shared" si="4"/>
        <v>5</v>
      </c>
    </row>
    <row r="7" spans="1:50" x14ac:dyDescent="0.4">
      <c r="A7" s="2">
        <v>3</v>
      </c>
      <c r="B7" s="3" t="s">
        <v>6</v>
      </c>
      <c r="C7" s="7">
        <v>2.5</v>
      </c>
      <c r="D7" s="7">
        <v>3.5</v>
      </c>
      <c r="E7" s="7">
        <v>7</v>
      </c>
      <c r="F7" s="7">
        <v>3.5</v>
      </c>
      <c r="G7" s="7">
        <v>2.5</v>
      </c>
      <c r="H7" s="7">
        <v>2</v>
      </c>
      <c r="I7" s="7">
        <v>2.5</v>
      </c>
      <c r="J7" s="7">
        <v>3.5</v>
      </c>
      <c r="K7" s="7">
        <v>3</v>
      </c>
      <c r="L7" s="7">
        <v>1</v>
      </c>
      <c r="M7" s="7">
        <v>2</v>
      </c>
      <c r="N7" s="7">
        <v>2.5</v>
      </c>
      <c r="O7" s="7">
        <v>2.5</v>
      </c>
      <c r="P7" s="7">
        <v>1.5</v>
      </c>
      <c r="Q7" s="7">
        <v>2.5</v>
      </c>
      <c r="R7" s="7">
        <v>4</v>
      </c>
      <c r="S7" s="7">
        <v>3.5</v>
      </c>
      <c r="T7" s="7">
        <v>5</v>
      </c>
      <c r="U7" s="7">
        <v>5</v>
      </c>
      <c r="V7" s="7">
        <v>3</v>
      </c>
      <c r="W7" s="7">
        <v>2.5</v>
      </c>
      <c r="X7" s="7">
        <v>1.5</v>
      </c>
      <c r="Y7" s="7">
        <v>2</v>
      </c>
      <c r="Z7" s="7">
        <v>2.5</v>
      </c>
      <c r="AA7" s="7">
        <v>2.5</v>
      </c>
      <c r="AB7" s="7">
        <v>2</v>
      </c>
      <c r="AC7" s="7">
        <v>2.5</v>
      </c>
      <c r="AD7" s="7">
        <v>2.5</v>
      </c>
      <c r="AE7" s="7">
        <v>2.5</v>
      </c>
      <c r="AF7" s="7">
        <v>2.5</v>
      </c>
      <c r="AG7" s="7">
        <v>4.5</v>
      </c>
      <c r="AH7" s="56">
        <f t="shared" ref="AH7:AH10" si="8">SUM(C7:AG7)</f>
        <v>90</v>
      </c>
      <c r="AJ7" s="2">
        <v>3</v>
      </c>
      <c r="AK7" s="3" t="s">
        <v>6</v>
      </c>
      <c r="AL7" s="8">
        <f t="shared" si="5"/>
        <v>4948.5746606334842</v>
      </c>
      <c r="AM7" s="8">
        <f t="shared" si="6"/>
        <v>2890</v>
      </c>
      <c r="AN7" s="8">
        <f t="shared" si="0"/>
        <v>-2058.5746606334842</v>
      </c>
      <c r="AO7" s="8">
        <f t="shared" si="7"/>
        <v>3436.7142857142858</v>
      </c>
      <c r="AP7" s="8">
        <f t="shared" si="1"/>
        <v>5495.2889463477695</v>
      </c>
      <c r="AQ7" s="40">
        <f>'Meal Feb 22 &amp; Rent Mar 22'!AU7</f>
        <v>-3.2708440594433341E-2</v>
      </c>
      <c r="AR7" s="8">
        <f t="shared" si="2"/>
        <v>5495.321654788364</v>
      </c>
      <c r="AS7">
        <f>400+1837+3260</f>
        <v>5497</v>
      </c>
      <c r="AT7" s="8">
        <f>AS7-AR7</f>
        <v>1.6783452116360422</v>
      </c>
      <c r="AU7" s="102">
        <f>1837+3260</f>
        <v>5097</v>
      </c>
      <c r="AV7" s="95">
        <v>44673</v>
      </c>
      <c r="AW7" s="8">
        <f t="shared" si="4"/>
        <v>7</v>
      </c>
    </row>
    <row r="8" spans="1:50" x14ac:dyDescent="0.4">
      <c r="A8" s="2">
        <v>4</v>
      </c>
      <c r="B8" s="3" t="s">
        <v>57</v>
      </c>
      <c r="C8" s="7">
        <v>1.5</v>
      </c>
      <c r="D8" s="7">
        <v>1.5</v>
      </c>
      <c r="E8" s="7">
        <v>4</v>
      </c>
      <c r="F8" s="7">
        <v>4.5</v>
      </c>
      <c r="G8" s="7">
        <v>2</v>
      </c>
      <c r="H8" s="7">
        <v>1</v>
      </c>
      <c r="I8" s="7">
        <v>2.5</v>
      </c>
      <c r="J8" s="7">
        <v>1.5</v>
      </c>
      <c r="K8" s="7">
        <v>1.5</v>
      </c>
      <c r="L8" s="7">
        <v>1</v>
      </c>
      <c r="M8" s="7">
        <v>2</v>
      </c>
      <c r="N8" s="7">
        <v>0.5</v>
      </c>
      <c r="O8" s="7">
        <v>2.5</v>
      </c>
      <c r="P8" s="7">
        <v>1.5</v>
      </c>
      <c r="Q8" s="7">
        <v>2.5</v>
      </c>
      <c r="R8" s="7">
        <v>3.5</v>
      </c>
      <c r="S8" s="7">
        <v>5</v>
      </c>
      <c r="T8" s="7">
        <v>5</v>
      </c>
      <c r="U8" s="7">
        <v>5</v>
      </c>
      <c r="V8" s="7">
        <v>2.5</v>
      </c>
      <c r="W8" s="7">
        <v>2.5</v>
      </c>
      <c r="X8" s="7">
        <v>2.5</v>
      </c>
      <c r="Y8" s="7">
        <v>2</v>
      </c>
      <c r="Z8" s="7">
        <v>3.5</v>
      </c>
      <c r="AA8" s="7">
        <v>5</v>
      </c>
      <c r="AB8" s="7">
        <v>3.5</v>
      </c>
      <c r="AC8" s="7">
        <v>2.5</v>
      </c>
      <c r="AD8" s="7">
        <v>2</v>
      </c>
      <c r="AE8" s="7">
        <v>2.5</v>
      </c>
      <c r="AF8" s="7">
        <v>2.5</v>
      </c>
      <c r="AG8" s="7">
        <v>3.5</v>
      </c>
      <c r="AH8" s="56">
        <f t="shared" si="8"/>
        <v>83</v>
      </c>
      <c r="AJ8" s="2">
        <v>4</v>
      </c>
      <c r="AK8" s="3" t="s">
        <v>57</v>
      </c>
      <c r="AL8" s="8">
        <f t="shared" si="5"/>
        <v>4563.6855203619907</v>
      </c>
      <c r="AM8" s="8">
        <f>AH18</f>
        <v>2852</v>
      </c>
      <c r="AN8" s="8">
        <f t="shared" si="0"/>
        <v>-1711.6855203619907</v>
      </c>
      <c r="AO8" s="8">
        <f t="shared" si="7"/>
        <v>3436.7142857142858</v>
      </c>
      <c r="AP8" s="8">
        <f t="shared" si="1"/>
        <v>5148.3998060762769</v>
      </c>
      <c r="AQ8" s="40">
        <f>'Meal Feb 22 &amp; Rent Mar 22'!AU8</f>
        <v>-1.8504497411413467E-2</v>
      </c>
      <c r="AR8" s="8">
        <f t="shared" si="2"/>
        <v>5148.4183105736884</v>
      </c>
      <c r="AS8" s="1">
        <f>120+4500+500</f>
        <v>5120</v>
      </c>
      <c r="AT8" s="8">
        <f t="shared" si="3"/>
        <v>-28.418310573688359</v>
      </c>
      <c r="AU8" s="102">
        <f>4500+500</f>
        <v>5000</v>
      </c>
      <c r="AV8" s="95">
        <v>44663</v>
      </c>
      <c r="AW8" s="8">
        <f t="shared" si="4"/>
        <v>5</v>
      </c>
    </row>
    <row r="9" spans="1:50" x14ac:dyDescent="0.4">
      <c r="A9" s="2">
        <v>5</v>
      </c>
      <c r="B9" s="12" t="s">
        <v>51</v>
      </c>
      <c r="C9" s="7">
        <v>0</v>
      </c>
      <c r="D9" s="7">
        <v>1</v>
      </c>
      <c r="E9" s="7">
        <v>1</v>
      </c>
      <c r="F9" s="7">
        <v>2.5</v>
      </c>
      <c r="G9" s="7">
        <v>4.5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0</v>
      </c>
      <c r="N9" s="7">
        <v>1</v>
      </c>
      <c r="O9" s="7">
        <v>1</v>
      </c>
      <c r="P9" s="7">
        <v>1</v>
      </c>
      <c r="Q9" s="7">
        <v>1.5</v>
      </c>
      <c r="R9" s="7">
        <v>1.5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1</v>
      </c>
      <c r="Y9" s="7">
        <v>1</v>
      </c>
      <c r="Z9" s="7">
        <v>0</v>
      </c>
      <c r="AA9" s="7">
        <v>6.5</v>
      </c>
      <c r="AB9" s="7">
        <v>4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56">
        <f t="shared" si="8"/>
        <v>36.5</v>
      </c>
      <c r="AJ9" s="2">
        <v>5</v>
      </c>
      <c r="AK9" s="12" t="s">
        <v>51</v>
      </c>
      <c r="AL9" s="8">
        <f t="shared" si="5"/>
        <v>2006.9219457013576</v>
      </c>
      <c r="AM9" s="8">
        <f>AH19</f>
        <v>3660</v>
      </c>
      <c r="AN9" s="8">
        <f t="shared" si="0"/>
        <v>1653.0780542986424</v>
      </c>
      <c r="AO9" s="8">
        <f t="shared" si="7"/>
        <v>3436.7142857142858</v>
      </c>
      <c r="AP9" s="8">
        <f>AO9-AN9</f>
        <v>1783.6362314156434</v>
      </c>
      <c r="AQ9" s="40">
        <f>'Meal Feb 22 &amp; Rent Mar 22'!AU9</f>
        <v>1271.0262273236619</v>
      </c>
      <c r="AR9" s="8">
        <f t="shared" si="2"/>
        <v>512.61000409198141</v>
      </c>
      <c r="AS9" s="1">
        <f>3000-2400</f>
        <v>600</v>
      </c>
      <c r="AT9" s="8">
        <f t="shared" si="3"/>
        <v>87.389995908018591</v>
      </c>
      <c r="AU9" s="102">
        <f>-2400</f>
        <v>-2400</v>
      </c>
      <c r="AV9" s="115">
        <v>44673</v>
      </c>
      <c r="AW9" s="8">
        <f t="shared" si="4"/>
        <v>4</v>
      </c>
    </row>
    <row r="10" spans="1:50" x14ac:dyDescent="0.4">
      <c r="A10" s="2">
        <v>6</v>
      </c>
      <c r="B10" s="12" t="s">
        <v>104</v>
      </c>
      <c r="C10" s="7">
        <v>1</v>
      </c>
      <c r="D10" s="7">
        <v>1</v>
      </c>
      <c r="E10" s="7">
        <v>1</v>
      </c>
      <c r="F10" s="7">
        <v>1.5</v>
      </c>
      <c r="G10" s="7">
        <v>1.5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1</v>
      </c>
      <c r="N10" s="7">
        <v>2.5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1.5</v>
      </c>
      <c r="U10" s="7">
        <v>1.5</v>
      </c>
      <c r="V10" s="7">
        <v>1</v>
      </c>
      <c r="W10" s="7">
        <v>2.5</v>
      </c>
      <c r="X10" s="7">
        <v>2.5</v>
      </c>
      <c r="Y10" s="7">
        <v>2</v>
      </c>
      <c r="Z10" s="7">
        <v>2.5</v>
      </c>
      <c r="AA10" s="7">
        <v>2.5</v>
      </c>
      <c r="AB10" s="7">
        <v>2.5</v>
      </c>
      <c r="AC10" s="7">
        <v>2.5</v>
      </c>
      <c r="AD10" s="7">
        <v>2.5</v>
      </c>
      <c r="AE10" s="7">
        <v>2.5</v>
      </c>
      <c r="AF10" s="7">
        <v>2.5</v>
      </c>
      <c r="AG10" s="7">
        <v>2.5</v>
      </c>
      <c r="AH10" s="56">
        <f t="shared" si="8"/>
        <v>47.5</v>
      </c>
      <c r="AJ10" s="2">
        <v>6</v>
      </c>
      <c r="AK10" s="12" t="s">
        <v>104</v>
      </c>
      <c r="AL10" s="8">
        <f t="shared" si="5"/>
        <v>2611.7477375565613</v>
      </c>
      <c r="AM10" s="8">
        <f>AH20</f>
        <v>3500</v>
      </c>
      <c r="AN10" s="8">
        <f t="shared" si="0"/>
        <v>888.25226244343867</v>
      </c>
      <c r="AO10" s="8">
        <f>N30</f>
        <v>4186.7142857142844</v>
      </c>
      <c r="AP10" s="8">
        <f t="shared" si="1"/>
        <v>3298.4620232708457</v>
      </c>
      <c r="AQ10" s="40">
        <f>'Meal Feb 22 &amp; Rent Mar 22'!AU10</f>
        <v>22.153850813167992</v>
      </c>
      <c r="AR10" s="8">
        <f t="shared" si="2"/>
        <v>3276.3081724576778</v>
      </c>
      <c r="AS10" s="1">
        <v>3300</v>
      </c>
      <c r="AT10" s="8">
        <f>AS10-AR10</f>
        <v>23.691827542322244</v>
      </c>
      <c r="AU10" s="102">
        <v>3300</v>
      </c>
      <c r="AV10" s="95">
        <v>44669</v>
      </c>
      <c r="AW10" s="8">
        <f t="shared" si="4"/>
        <v>2</v>
      </c>
    </row>
    <row r="11" spans="1:50" x14ac:dyDescent="0.4">
      <c r="A11" s="2">
        <v>7</v>
      </c>
      <c r="B11" s="3" t="s">
        <v>176</v>
      </c>
      <c r="C11" s="7">
        <v>1</v>
      </c>
      <c r="D11" s="7">
        <v>1</v>
      </c>
      <c r="E11" s="7">
        <v>1</v>
      </c>
      <c r="F11" s="7">
        <v>2</v>
      </c>
      <c r="G11" s="7">
        <v>2.5</v>
      </c>
      <c r="H11" s="7">
        <v>1</v>
      </c>
      <c r="I11" s="7">
        <v>2.5</v>
      </c>
      <c r="J11" s="7">
        <v>2.5</v>
      </c>
      <c r="K11" s="7">
        <v>1.5</v>
      </c>
      <c r="L11" s="7">
        <v>0</v>
      </c>
      <c r="M11" s="7">
        <v>0</v>
      </c>
      <c r="N11" s="7">
        <v>2.5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2.5</v>
      </c>
      <c r="U11" s="7">
        <v>2.5</v>
      </c>
      <c r="V11" s="7">
        <v>1</v>
      </c>
      <c r="W11" s="7">
        <v>1.5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56">
        <f>SUM(C11:AG11)</f>
        <v>30</v>
      </c>
      <c r="AJ11" s="2">
        <v>7</v>
      </c>
      <c r="AK11" s="3" t="s">
        <v>176</v>
      </c>
      <c r="AL11" s="8">
        <f t="shared" si="5"/>
        <v>1649.5248868778281</v>
      </c>
      <c r="AM11" s="8">
        <f>AH21</f>
        <v>2410</v>
      </c>
      <c r="AN11" s="8">
        <f t="shared" si="0"/>
        <v>760.47511312217193</v>
      </c>
      <c r="AO11" s="8">
        <f>N31</f>
        <v>4186.7142857142844</v>
      </c>
      <c r="AP11" s="8">
        <f t="shared" si="1"/>
        <v>3426.2391725921125</v>
      </c>
      <c r="AQ11" s="40">
        <f>'Meal Feb 22 &amp; Rent Mar 22'!AU11</f>
        <v>3.3221781398588064</v>
      </c>
      <c r="AR11" s="8">
        <f t="shared" si="2"/>
        <v>3422.9169944522537</v>
      </c>
      <c r="AS11" s="1">
        <v>3500</v>
      </c>
      <c r="AT11" s="8">
        <f t="shared" si="3"/>
        <v>77.083005547746325</v>
      </c>
      <c r="AU11" s="102">
        <v>3500</v>
      </c>
      <c r="AV11" s="95">
        <v>44669</v>
      </c>
      <c r="AW11" s="8">
        <f t="shared" si="4"/>
        <v>3</v>
      </c>
    </row>
    <row r="12" spans="1:50" x14ac:dyDescent="0.4">
      <c r="A12" s="1"/>
      <c r="B12" s="1"/>
      <c r="C12" s="55">
        <f>SUM(C5:C11)</f>
        <v>11</v>
      </c>
      <c r="D12" s="55">
        <f t="shared" ref="D12:AG12" si="9">SUM(D5:D11)</f>
        <v>13</v>
      </c>
      <c r="E12" s="55">
        <f t="shared" si="9"/>
        <v>17</v>
      </c>
      <c r="F12" s="55">
        <f t="shared" si="9"/>
        <v>16.5</v>
      </c>
      <c r="G12" s="55">
        <f t="shared" si="9"/>
        <v>18.5</v>
      </c>
      <c r="H12" s="55">
        <f t="shared" si="9"/>
        <v>11</v>
      </c>
      <c r="I12" s="55">
        <f t="shared" si="9"/>
        <v>13.5</v>
      </c>
      <c r="J12" s="55">
        <f t="shared" si="9"/>
        <v>14.5</v>
      </c>
      <c r="K12" s="55">
        <f t="shared" si="9"/>
        <v>14</v>
      </c>
      <c r="L12" s="55">
        <f t="shared" si="9"/>
        <v>4</v>
      </c>
      <c r="M12" s="55">
        <f t="shared" si="9"/>
        <v>8</v>
      </c>
      <c r="N12" s="55">
        <f t="shared" si="9"/>
        <v>14.5</v>
      </c>
      <c r="O12" s="55">
        <f t="shared" si="9"/>
        <v>13</v>
      </c>
      <c r="P12" s="55">
        <f t="shared" si="9"/>
        <v>9.5</v>
      </c>
      <c r="Q12" s="55">
        <f t="shared" si="9"/>
        <v>14.5</v>
      </c>
      <c r="R12" s="55">
        <f t="shared" si="9"/>
        <v>17</v>
      </c>
      <c r="S12" s="55">
        <f t="shared" si="9"/>
        <v>16.5</v>
      </c>
      <c r="T12" s="55">
        <f t="shared" si="9"/>
        <v>18.5</v>
      </c>
      <c r="U12" s="55">
        <f t="shared" si="9"/>
        <v>19.5</v>
      </c>
      <c r="V12" s="55">
        <f t="shared" si="9"/>
        <v>12.5</v>
      </c>
      <c r="W12" s="55">
        <f t="shared" si="9"/>
        <v>15</v>
      </c>
      <c r="X12" s="55">
        <f t="shared" si="9"/>
        <v>12.5</v>
      </c>
      <c r="Y12" s="55">
        <f t="shared" si="9"/>
        <v>10</v>
      </c>
      <c r="Z12" s="55">
        <f t="shared" si="9"/>
        <v>14.5</v>
      </c>
      <c r="AA12" s="55">
        <f t="shared" si="9"/>
        <v>23.5</v>
      </c>
      <c r="AB12" s="55">
        <f t="shared" si="9"/>
        <v>18</v>
      </c>
      <c r="AC12" s="55">
        <f t="shared" si="9"/>
        <v>14</v>
      </c>
      <c r="AD12" s="55">
        <f t="shared" si="9"/>
        <v>12.5</v>
      </c>
      <c r="AE12" s="55">
        <f t="shared" si="9"/>
        <v>15.5</v>
      </c>
      <c r="AF12" s="55">
        <f t="shared" si="9"/>
        <v>14.5</v>
      </c>
      <c r="AG12" s="55">
        <f t="shared" si="9"/>
        <v>15.5</v>
      </c>
      <c r="AH12" s="55">
        <f>SUM(AH5:AH11)</f>
        <v>442</v>
      </c>
      <c r="AJ12" s="2"/>
      <c r="AK12" s="84" t="s">
        <v>47</v>
      </c>
      <c r="AL12" s="65">
        <f t="shared" ref="AL12:AQ12" si="10">SUM(AL5:AL11)</f>
        <v>24303</v>
      </c>
      <c r="AM12" s="65">
        <f t="shared" si="10"/>
        <v>24303</v>
      </c>
      <c r="AN12" s="65">
        <f t="shared" si="10"/>
        <v>0</v>
      </c>
      <c r="AO12" s="65">
        <f t="shared" si="10"/>
        <v>27556.999999999993</v>
      </c>
      <c r="AP12" s="65">
        <f t="shared" si="10"/>
        <v>27556.999999999993</v>
      </c>
      <c r="AQ12" s="67">
        <f t="shared" si="10"/>
        <v>1900.2365195816317</v>
      </c>
      <c r="AR12" s="65">
        <f>AP12-AQ12</f>
        <v>25656.763480418362</v>
      </c>
      <c r="AS12" s="67">
        <f>SUM(AS5:AS11)</f>
        <v>26517</v>
      </c>
      <c r="AT12" s="65">
        <f>SUM(AT5:AT11)</f>
        <v>860.236519581636</v>
      </c>
      <c r="AU12" s="103">
        <f>SUM(AU5:AU11)</f>
        <v>22497</v>
      </c>
      <c r="AV12" s="67">
        <f>AU12+AQ12</f>
        <v>24397.236519581631</v>
      </c>
      <c r="AW12" s="65">
        <f>SUM(AW5:AW11)</f>
        <v>32</v>
      </c>
    </row>
    <row r="13" spans="1:50" x14ac:dyDescent="0.4">
      <c r="AL13" s="25"/>
      <c r="AM13" s="25"/>
      <c r="AN13" s="9"/>
      <c r="AO13" s="9"/>
      <c r="AQ13" s="9"/>
      <c r="AR13" s="9"/>
      <c r="AT13">
        <v>360</v>
      </c>
      <c r="AU13" s="9" t="s">
        <v>165</v>
      </c>
      <c r="AV13" s="113">
        <v>23537</v>
      </c>
    </row>
    <row r="14" spans="1:50" x14ac:dyDescent="0.4">
      <c r="B14" s="64" t="s">
        <v>169</v>
      </c>
      <c r="C14" s="70" t="s">
        <v>175</v>
      </c>
      <c r="D14" s="70">
        <f>COUNT(C15:AG21)</f>
        <v>32</v>
      </c>
      <c r="AK14" s="44" t="s">
        <v>173</v>
      </c>
      <c r="AL14" s="9"/>
      <c r="AM14" s="9"/>
      <c r="AT14" s="9">
        <f>AT12-AT13</f>
        <v>500.236519581636</v>
      </c>
      <c r="AU14" t="s">
        <v>183</v>
      </c>
      <c r="AV14" s="105">
        <f>AV12-AV13</f>
        <v>860.236519581631</v>
      </c>
      <c r="AW14" s="117" t="s">
        <v>184</v>
      </c>
    </row>
    <row r="15" spans="1:50" x14ac:dyDescent="0.4">
      <c r="A15" s="2">
        <v>1</v>
      </c>
      <c r="B15" s="3" t="s">
        <v>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>
        <v>2205</v>
      </c>
      <c r="P15" s="8"/>
      <c r="Q15" s="8">
        <v>2080</v>
      </c>
      <c r="R15" s="8"/>
      <c r="S15" s="8">
        <v>315</v>
      </c>
      <c r="T15" s="8"/>
      <c r="U15" s="8"/>
      <c r="V15" s="8"/>
      <c r="W15" s="8"/>
      <c r="X15" s="8"/>
      <c r="Y15" s="8"/>
      <c r="Z15" s="8"/>
      <c r="AA15" s="26">
        <v>40</v>
      </c>
      <c r="AB15" s="8"/>
      <c r="AC15" s="8"/>
      <c r="AD15" s="8"/>
      <c r="AE15" s="26">
        <v>685</v>
      </c>
      <c r="AF15" s="26">
        <v>260</v>
      </c>
      <c r="AG15" s="8"/>
      <c r="AH15" s="65">
        <f>SUM(C15:AG15)</f>
        <v>5585</v>
      </c>
      <c r="AK15" s="78" t="s">
        <v>161</v>
      </c>
      <c r="AL15" s="78" t="s">
        <v>95</v>
      </c>
      <c r="AM15" s="106"/>
      <c r="AR15" s="1" t="s">
        <v>180</v>
      </c>
      <c r="AS15" s="108">
        <f>SUMIF(AT5:AT11,"&gt;0",AT5:AT11)</f>
        <v>888.65483015532436</v>
      </c>
      <c r="AT15" s="114">
        <f>AT12-AS15</f>
        <v>-28.418310573688359</v>
      </c>
      <c r="AU15" s="9" t="s">
        <v>163</v>
      </c>
      <c r="AV15"/>
    </row>
    <row r="16" spans="1:50" x14ac:dyDescent="0.4">
      <c r="A16" s="2">
        <v>2</v>
      </c>
      <c r="B16" s="3" t="s">
        <v>131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>
        <v>585</v>
      </c>
      <c r="X16" s="8">
        <v>1866</v>
      </c>
      <c r="Y16" s="8">
        <v>210</v>
      </c>
      <c r="Z16" s="8">
        <v>705</v>
      </c>
      <c r="AA16" s="8"/>
      <c r="AB16" s="40">
        <v>40</v>
      </c>
      <c r="AC16" s="8"/>
      <c r="AD16" s="8"/>
      <c r="AE16" s="8"/>
      <c r="AF16" s="8"/>
      <c r="AG16" s="8"/>
      <c r="AH16" s="65">
        <f t="shared" ref="AH16:AH21" si="11">SUM(C16:AG16)</f>
        <v>3406</v>
      </c>
      <c r="AK16" s="1" t="s">
        <v>177</v>
      </c>
      <c r="AL16" s="16">
        <v>0</v>
      </c>
      <c r="AM16" s="39"/>
      <c r="AN16" s="118"/>
      <c r="AR16" s="1" t="s">
        <v>178</v>
      </c>
      <c r="AS16" s="109">
        <f>ABS(SUMIF(AT5:AT11,"&lt;0",AT5:AT11))</f>
        <v>28.418310573688359</v>
      </c>
      <c r="AV16"/>
      <c r="AX16" s="9"/>
    </row>
    <row r="17" spans="1:52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6">
        <v>65</v>
      </c>
      <c r="AA17" s="8">
        <v>410</v>
      </c>
      <c r="AB17" s="26">
        <v>40</v>
      </c>
      <c r="AC17" s="8">
        <v>450</v>
      </c>
      <c r="AD17" s="8">
        <v>665</v>
      </c>
      <c r="AE17" s="8">
        <v>905</v>
      </c>
      <c r="AF17" s="8">
        <v>355</v>
      </c>
      <c r="AG17" s="8"/>
      <c r="AH17" s="65">
        <f t="shared" si="11"/>
        <v>2890</v>
      </c>
      <c r="AK17" s="1" t="s">
        <v>162</v>
      </c>
      <c r="AL17" s="16">
        <f>AS15</f>
        <v>888.65483015532436</v>
      </c>
      <c r="AM17" s="39"/>
      <c r="AR17" s="1" t="s">
        <v>181</v>
      </c>
      <c r="AS17" s="68">
        <f>ABS(AS16)-AS15</f>
        <v>-860.236519581636</v>
      </c>
      <c r="AT17" s="112">
        <v>1900</v>
      </c>
      <c r="AU17" t="s">
        <v>179</v>
      </c>
      <c r="AX17" s="47"/>
    </row>
    <row r="18" spans="1:52" x14ac:dyDescent="0.4">
      <c r="A18" s="2">
        <v>4</v>
      </c>
      <c r="B18" s="3" t="s">
        <v>57</v>
      </c>
      <c r="C18" s="8"/>
      <c r="D18" s="8"/>
      <c r="E18" s="8"/>
      <c r="F18" s="8"/>
      <c r="G18" s="8"/>
      <c r="H18" s="8"/>
      <c r="I18" s="8"/>
      <c r="J18" s="8">
        <v>702</v>
      </c>
      <c r="K18" s="8">
        <v>910</v>
      </c>
      <c r="L18" s="8">
        <v>470</v>
      </c>
      <c r="M18" s="8">
        <v>680</v>
      </c>
      <c r="N18" s="8">
        <v>90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1"/>
        <v>2852</v>
      </c>
      <c r="AK18" s="78" t="s">
        <v>138</v>
      </c>
      <c r="AL18" s="51">
        <f>SUM(AL16:AL17)</f>
        <v>888.65483015532436</v>
      </c>
      <c r="AM18" s="107"/>
      <c r="AR18" s="110" t="s">
        <v>182</v>
      </c>
      <c r="AS18" s="111">
        <f>0</f>
        <v>0</v>
      </c>
      <c r="AX18" s="47"/>
      <c r="AY18" s="9"/>
    </row>
    <row r="19" spans="1:52" x14ac:dyDescent="0.4">
      <c r="A19" s="2">
        <v>5</v>
      </c>
      <c r="B19" s="12" t="s">
        <v>51</v>
      </c>
      <c r="C19" s="8"/>
      <c r="D19" s="8"/>
      <c r="E19" s="8"/>
      <c r="F19" s="8">
        <v>1260</v>
      </c>
      <c r="G19" s="8">
        <v>1820</v>
      </c>
      <c r="H19" s="8">
        <v>400</v>
      </c>
      <c r="I19" s="8">
        <v>180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1"/>
        <v>3660</v>
      </c>
      <c r="AX19" s="47"/>
    </row>
    <row r="20" spans="1:52" x14ac:dyDescent="0.4">
      <c r="A20" s="2">
        <v>6</v>
      </c>
      <c r="B20" s="12" t="s">
        <v>104</v>
      </c>
      <c r="C20" s="8">
        <v>3300</v>
      </c>
      <c r="D20" s="8">
        <v>200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C20" s="8"/>
      <c r="AD20" s="8"/>
      <c r="AE20" s="8"/>
      <c r="AF20" s="8"/>
      <c r="AG20" s="8"/>
      <c r="AH20" s="65">
        <f>SUM(C20:AG20)</f>
        <v>3500</v>
      </c>
      <c r="AK20" s="78" t="s">
        <v>92</v>
      </c>
      <c r="AL20" s="78" t="s">
        <v>95</v>
      </c>
      <c r="AM20" s="106"/>
      <c r="AW20" s="25"/>
      <c r="AX20" s="47"/>
    </row>
    <row r="21" spans="1:52" x14ac:dyDescent="0.4">
      <c r="A21" s="2">
        <v>7</v>
      </c>
      <c r="B21" s="3" t="s">
        <v>176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>
        <v>1890</v>
      </c>
      <c r="U21" s="8">
        <v>320</v>
      </c>
      <c r="V21" s="8">
        <v>200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65">
        <f t="shared" si="11"/>
        <v>2410</v>
      </c>
      <c r="AK21" s="1" t="s">
        <v>174</v>
      </c>
      <c r="AL21" s="16">
        <f>AS16</f>
        <v>28.418310573688359</v>
      </c>
      <c r="AM21" s="39"/>
      <c r="AT21" s="25"/>
      <c r="AU21" s="25"/>
      <c r="AX21" s="47"/>
      <c r="AY21" s="9"/>
      <c r="AZ21" s="9"/>
    </row>
    <row r="22" spans="1:5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24303</v>
      </c>
      <c r="AK22" s="1" t="s">
        <v>94</v>
      </c>
      <c r="AL22" s="16">
        <f>AT12</f>
        <v>860.236519581636</v>
      </c>
      <c r="AM22" s="39"/>
      <c r="AN22" s="9"/>
      <c r="AO22" s="9"/>
    </row>
    <row r="23" spans="1:52" x14ac:dyDescent="0.4">
      <c r="AK23" s="78" t="s">
        <v>139</v>
      </c>
      <c r="AL23" s="51">
        <f>SUM(AL21:AL22)</f>
        <v>888.65483015532436</v>
      </c>
      <c r="AM23" s="107"/>
    </row>
    <row r="24" spans="1:52" x14ac:dyDescent="0.4">
      <c r="A24" s="4"/>
      <c r="B24" s="13" t="s">
        <v>171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</row>
    <row r="25" spans="1:52" x14ac:dyDescent="0.4">
      <c r="A25" s="2">
        <v>1</v>
      </c>
      <c r="B25" s="12" t="s">
        <v>5</v>
      </c>
      <c r="C25" s="8">
        <f>H35</f>
        <v>3142.8571428571427</v>
      </c>
      <c r="D25" s="8">
        <f t="shared" ref="D25:D31" si="12">$D$32/7</f>
        <v>428.57142857142856</v>
      </c>
      <c r="E25" s="8">
        <f>$E$32/7</f>
        <v>0</v>
      </c>
      <c r="F25" s="8">
        <f t="shared" ref="F25:F31" si="13">$F$32/7</f>
        <v>71.428571428571431</v>
      </c>
      <c r="G25" s="8">
        <f t="shared" ref="G25:G31" si="14">$G$32/7</f>
        <v>139.28571428571428</v>
      </c>
      <c r="H25" s="26">
        <f t="shared" ref="H25:H31" si="15">$H$32/7</f>
        <v>244.57142857142858</v>
      </c>
      <c r="I25" s="8">
        <f t="shared" ref="I25:I31" si="16">$I$32/7</f>
        <v>300</v>
      </c>
      <c r="J25" s="8">
        <f t="shared" ref="J25:J31" si="17">$J$32/7</f>
        <v>35.714285714285715</v>
      </c>
      <c r="K25" s="26">
        <f t="shared" ref="K25:K31" si="18">$K$32/7</f>
        <v>57.142857142857146</v>
      </c>
      <c r="L25" s="40">
        <f t="shared" ref="L25:L31" si="19">$L$32/7</f>
        <v>17.142857142857142</v>
      </c>
      <c r="M25" s="8">
        <f t="shared" ref="M25:M31" si="20">$M$32/7</f>
        <v>0</v>
      </c>
      <c r="N25" s="65">
        <f t="shared" ref="N25:N29" si="21">SUM(C25:M25)</f>
        <v>4436.7142857142844</v>
      </c>
      <c r="AK25" s="70" t="s">
        <v>125</v>
      </c>
      <c r="AL25" s="44">
        <f>AL18-AL23</f>
        <v>0</v>
      </c>
      <c r="AM25" s="44"/>
    </row>
    <row r="26" spans="1:52" x14ac:dyDescent="0.4">
      <c r="A26" s="2">
        <v>2</v>
      </c>
      <c r="B26" s="12" t="s">
        <v>131</v>
      </c>
      <c r="C26" s="8">
        <f>H35</f>
        <v>3142.8571428571427</v>
      </c>
      <c r="D26" s="8">
        <f t="shared" si="12"/>
        <v>428.57142857142856</v>
      </c>
      <c r="E26" s="8">
        <f>$E$32/7</f>
        <v>0</v>
      </c>
      <c r="F26" s="8">
        <f t="shared" si="13"/>
        <v>71.428571428571431</v>
      </c>
      <c r="G26" s="8">
        <f t="shared" si="14"/>
        <v>139.28571428571428</v>
      </c>
      <c r="H26" s="26">
        <f t="shared" si="15"/>
        <v>244.57142857142858</v>
      </c>
      <c r="I26" s="8">
        <f t="shared" si="16"/>
        <v>300</v>
      </c>
      <c r="J26" s="8">
        <f t="shared" si="17"/>
        <v>35.714285714285715</v>
      </c>
      <c r="K26" s="26">
        <f t="shared" si="18"/>
        <v>57.142857142857146</v>
      </c>
      <c r="L26" s="40">
        <f t="shared" si="19"/>
        <v>17.142857142857142</v>
      </c>
      <c r="M26" s="8">
        <f t="shared" si="20"/>
        <v>0</v>
      </c>
      <c r="N26" s="65">
        <f t="shared" si="21"/>
        <v>4436.7142857142844</v>
      </c>
    </row>
    <row r="27" spans="1:52" x14ac:dyDescent="0.4">
      <c r="A27" s="2">
        <v>3</v>
      </c>
      <c r="B27" s="12" t="s">
        <v>6</v>
      </c>
      <c r="C27" s="8">
        <f>H36</f>
        <v>2142.8571428571427</v>
      </c>
      <c r="D27" s="8">
        <f t="shared" si="12"/>
        <v>428.57142857142856</v>
      </c>
      <c r="E27" s="8">
        <f>$E$32/7</f>
        <v>0</v>
      </c>
      <c r="F27" s="8">
        <f t="shared" si="13"/>
        <v>71.428571428571431</v>
      </c>
      <c r="G27" s="8">
        <f t="shared" si="14"/>
        <v>139.28571428571428</v>
      </c>
      <c r="H27" s="26">
        <f t="shared" si="15"/>
        <v>244.57142857142858</v>
      </c>
      <c r="I27" s="8">
        <f t="shared" si="16"/>
        <v>300</v>
      </c>
      <c r="J27" s="8">
        <f t="shared" si="17"/>
        <v>35.714285714285715</v>
      </c>
      <c r="K27" s="26">
        <f t="shared" si="18"/>
        <v>57.142857142857146</v>
      </c>
      <c r="L27" s="40">
        <f t="shared" si="19"/>
        <v>17.142857142857142</v>
      </c>
      <c r="M27" s="8">
        <f t="shared" si="20"/>
        <v>0</v>
      </c>
      <c r="N27" s="65">
        <f t="shared" si="21"/>
        <v>3436.7142857142858</v>
      </c>
    </row>
    <row r="28" spans="1:52" x14ac:dyDescent="0.4">
      <c r="A28" s="2">
        <v>4</v>
      </c>
      <c r="B28" s="12" t="s">
        <v>57</v>
      </c>
      <c r="C28" s="8">
        <f>H36</f>
        <v>2142.8571428571427</v>
      </c>
      <c r="D28" s="8">
        <f t="shared" si="12"/>
        <v>428.57142857142856</v>
      </c>
      <c r="E28" s="8">
        <f>$E$32/7</f>
        <v>0</v>
      </c>
      <c r="F28" s="8">
        <f t="shared" si="13"/>
        <v>71.428571428571431</v>
      </c>
      <c r="G28" s="8">
        <f t="shared" si="14"/>
        <v>139.28571428571428</v>
      </c>
      <c r="H28" s="26">
        <f t="shared" si="15"/>
        <v>244.57142857142858</v>
      </c>
      <c r="I28" s="8">
        <f t="shared" si="16"/>
        <v>300</v>
      </c>
      <c r="J28" s="8">
        <f t="shared" si="17"/>
        <v>35.714285714285715</v>
      </c>
      <c r="K28" s="26">
        <f t="shared" si="18"/>
        <v>57.142857142857146</v>
      </c>
      <c r="L28" s="40">
        <f t="shared" si="19"/>
        <v>17.142857142857142</v>
      </c>
      <c r="M28" s="8">
        <f t="shared" si="20"/>
        <v>0</v>
      </c>
      <c r="N28" s="65">
        <f t="shared" si="21"/>
        <v>3436.7142857142858</v>
      </c>
    </row>
    <row r="29" spans="1:52" x14ac:dyDescent="0.4">
      <c r="A29" s="2">
        <v>5</v>
      </c>
      <c r="B29" s="12" t="s">
        <v>51</v>
      </c>
      <c r="C29" s="8">
        <f>H36</f>
        <v>2142.8571428571427</v>
      </c>
      <c r="D29" s="8">
        <f t="shared" si="12"/>
        <v>428.57142857142856</v>
      </c>
      <c r="E29" s="8">
        <f>$E$32/7</f>
        <v>0</v>
      </c>
      <c r="F29" s="8">
        <f t="shared" si="13"/>
        <v>71.428571428571431</v>
      </c>
      <c r="G29" s="8">
        <f t="shared" si="14"/>
        <v>139.28571428571428</v>
      </c>
      <c r="H29" s="26">
        <f t="shared" si="15"/>
        <v>244.57142857142858</v>
      </c>
      <c r="I29" s="8">
        <f t="shared" si="16"/>
        <v>300</v>
      </c>
      <c r="J29" s="8">
        <f t="shared" si="17"/>
        <v>35.714285714285715</v>
      </c>
      <c r="K29" s="26">
        <f t="shared" si="18"/>
        <v>57.142857142857146</v>
      </c>
      <c r="L29" s="40">
        <f t="shared" si="19"/>
        <v>17.142857142857142</v>
      </c>
      <c r="M29" s="8">
        <f t="shared" si="20"/>
        <v>0</v>
      </c>
      <c r="N29" s="65">
        <f t="shared" si="21"/>
        <v>3436.7142857142858</v>
      </c>
    </row>
    <row r="30" spans="1:52" x14ac:dyDescent="0.4">
      <c r="A30" s="2">
        <v>6</v>
      </c>
      <c r="B30" s="12" t="s">
        <v>104</v>
      </c>
      <c r="C30" s="8">
        <f>H37</f>
        <v>2892.8571428571427</v>
      </c>
      <c r="D30" s="8">
        <f t="shared" si="12"/>
        <v>428.57142857142856</v>
      </c>
      <c r="E30" s="8">
        <v>0</v>
      </c>
      <c r="F30" s="8">
        <f t="shared" si="13"/>
        <v>71.428571428571431</v>
      </c>
      <c r="G30" s="8">
        <f t="shared" si="14"/>
        <v>139.28571428571428</v>
      </c>
      <c r="H30" s="26">
        <f t="shared" si="15"/>
        <v>244.57142857142858</v>
      </c>
      <c r="I30" s="8">
        <f t="shared" si="16"/>
        <v>300</v>
      </c>
      <c r="J30" s="8">
        <f t="shared" si="17"/>
        <v>35.714285714285715</v>
      </c>
      <c r="K30" s="26">
        <f t="shared" si="18"/>
        <v>57.142857142857146</v>
      </c>
      <c r="L30" s="40">
        <f t="shared" si="19"/>
        <v>17.142857142857142</v>
      </c>
      <c r="M30" s="8">
        <f t="shared" si="20"/>
        <v>0</v>
      </c>
      <c r="N30" s="65">
        <f>SUM(C30:M30)</f>
        <v>4186.7142857142844</v>
      </c>
    </row>
    <row r="31" spans="1:52" x14ac:dyDescent="0.4">
      <c r="A31" s="2">
        <v>7</v>
      </c>
      <c r="B31" s="3" t="s">
        <v>176</v>
      </c>
      <c r="C31" s="8">
        <f>H37</f>
        <v>2892.8571428571427</v>
      </c>
      <c r="D31" s="8">
        <f t="shared" si="12"/>
        <v>428.57142857142856</v>
      </c>
      <c r="E31" s="8">
        <v>0</v>
      </c>
      <c r="F31" s="8">
        <f t="shared" si="13"/>
        <v>71.428571428571431</v>
      </c>
      <c r="G31" s="8">
        <f t="shared" si="14"/>
        <v>139.28571428571428</v>
      </c>
      <c r="H31" s="26">
        <f t="shared" si="15"/>
        <v>244.57142857142858</v>
      </c>
      <c r="I31" s="8">
        <f t="shared" si="16"/>
        <v>300</v>
      </c>
      <c r="J31" s="8">
        <f t="shared" si="17"/>
        <v>35.714285714285715</v>
      </c>
      <c r="K31" s="26">
        <f t="shared" si="18"/>
        <v>57.142857142857146</v>
      </c>
      <c r="L31" s="40">
        <f t="shared" si="19"/>
        <v>17.142857142857142</v>
      </c>
      <c r="M31" s="8">
        <f t="shared" si="20"/>
        <v>0</v>
      </c>
      <c r="N31" s="65">
        <f>SUM(C31:M31)</f>
        <v>4186.7142857142844</v>
      </c>
    </row>
    <row r="32" spans="1:52" x14ac:dyDescent="0.4">
      <c r="A32" s="208" t="s">
        <v>47</v>
      </c>
      <c r="B32" s="208"/>
      <c r="C32" s="65">
        <v>18500</v>
      </c>
      <c r="D32" s="67">
        <v>3000</v>
      </c>
      <c r="E32" s="65"/>
      <c r="F32" s="65">
        <v>500</v>
      </c>
      <c r="G32" s="65">
        <v>975</v>
      </c>
      <c r="H32" s="77">
        <v>1712</v>
      </c>
      <c r="I32" s="65">
        <v>2100</v>
      </c>
      <c r="J32" s="65">
        <v>250</v>
      </c>
      <c r="K32" s="77">
        <v>400</v>
      </c>
      <c r="L32" s="67">
        <v>120</v>
      </c>
      <c r="M32" s="65"/>
      <c r="N32" s="65">
        <f>SUM(N25:N31)</f>
        <v>27556.999999999993</v>
      </c>
    </row>
    <row r="35" spans="4:23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M35" s="1" t="s">
        <v>61</v>
      </c>
      <c r="N35" s="16">
        <f>C32</f>
        <v>18500</v>
      </c>
      <c r="U35" s="9"/>
    </row>
    <row r="36" spans="4:23" x14ac:dyDescent="0.4">
      <c r="D36" s="1">
        <v>6000</v>
      </c>
      <c r="E36" s="1">
        <v>3</v>
      </c>
      <c r="F36" s="1">
        <f t="shared" ref="F36:F37" si="22">D36/E36</f>
        <v>2000</v>
      </c>
      <c r="G36" s="1">
        <f t="shared" ref="G36:G37" si="23">(500+500)/7</f>
        <v>142.85714285714286</v>
      </c>
      <c r="H36" s="11">
        <f t="shared" ref="H36" si="24">F36+G36</f>
        <v>2142.8571428571427</v>
      </c>
      <c r="I36" s="11">
        <f t="shared" ref="I36:I37" si="25">H36*E36</f>
        <v>6428.5714285714275</v>
      </c>
      <c r="M36" s="1" t="s">
        <v>71</v>
      </c>
      <c r="N36" s="16">
        <f>G32</f>
        <v>975</v>
      </c>
      <c r="T36" s="9"/>
    </row>
    <row r="37" spans="4:23" x14ac:dyDescent="0.4">
      <c r="D37" s="1">
        <v>5500</v>
      </c>
      <c r="E37" s="1">
        <v>2</v>
      </c>
      <c r="F37" s="11">
        <f t="shared" si="22"/>
        <v>2750</v>
      </c>
      <c r="G37" s="1">
        <f t="shared" si="23"/>
        <v>142.85714285714286</v>
      </c>
      <c r="H37" s="11">
        <f>F37+G37</f>
        <v>2892.8571428571427</v>
      </c>
      <c r="I37" s="11">
        <f t="shared" si="25"/>
        <v>5785.7142857142853</v>
      </c>
      <c r="M37" s="1" t="s">
        <v>72</v>
      </c>
      <c r="N37" s="16">
        <f>I32</f>
        <v>2100</v>
      </c>
      <c r="T37" s="9"/>
    </row>
    <row r="38" spans="4:23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M38" s="1" t="s">
        <v>73</v>
      </c>
      <c r="N38" s="16">
        <f>H32</f>
        <v>1712</v>
      </c>
      <c r="T38" s="9"/>
      <c r="V38" s="9"/>
    </row>
    <row r="39" spans="4:23" x14ac:dyDescent="0.4">
      <c r="M39" s="1" t="s">
        <v>74</v>
      </c>
      <c r="N39" s="16">
        <f>J32</f>
        <v>250</v>
      </c>
      <c r="T39" s="44"/>
      <c r="U39" s="9"/>
    </row>
    <row r="40" spans="4:23" x14ac:dyDescent="0.4">
      <c r="M40" s="78" t="s">
        <v>47</v>
      </c>
      <c r="N40" s="51">
        <f>SUM(N35:N39)</f>
        <v>23537</v>
      </c>
    </row>
    <row r="41" spans="4:23" x14ac:dyDescent="0.4">
      <c r="N41" s="9"/>
    </row>
    <row r="42" spans="4:23" x14ac:dyDescent="0.4">
      <c r="M42" s="1" t="s">
        <v>12</v>
      </c>
      <c r="N42" s="16">
        <f>D32</f>
        <v>3000</v>
      </c>
      <c r="U42" s="9"/>
    </row>
    <row r="43" spans="4:23" x14ac:dyDescent="0.4">
      <c r="M43" s="1" t="s">
        <v>13</v>
      </c>
      <c r="N43" s="16">
        <f>E32</f>
        <v>0</v>
      </c>
      <c r="U43" s="25"/>
      <c r="V43" s="9"/>
      <c r="W43" s="25"/>
    </row>
    <row r="44" spans="4:23" x14ac:dyDescent="0.4">
      <c r="M44" s="1" t="s">
        <v>14</v>
      </c>
      <c r="N44" s="16">
        <f>F32</f>
        <v>500</v>
      </c>
      <c r="U44" s="9"/>
    </row>
    <row r="45" spans="4:23" x14ac:dyDescent="0.4">
      <c r="M45" s="1" t="s">
        <v>20</v>
      </c>
      <c r="N45" s="16">
        <f>L32</f>
        <v>120</v>
      </c>
    </row>
    <row r="46" spans="4:23" x14ac:dyDescent="0.4">
      <c r="M46" s="1" t="s">
        <v>123</v>
      </c>
      <c r="N46" s="16">
        <f>K32</f>
        <v>400</v>
      </c>
    </row>
    <row r="47" spans="4:23" x14ac:dyDescent="0.4">
      <c r="M47" s="1" t="s">
        <v>21</v>
      </c>
      <c r="N47" s="16">
        <f>M32</f>
        <v>0</v>
      </c>
    </row>
    <row r="48" spans="4:23" x14ac:dyDescent="0.4">
      <c r="M48" s="78" t="s">
        <v>47</v>
      </c>
      <c r="N48" s="51">
        <f>SUM(N42:N47)</f>
        <v>4020</v>
      </c>
    </row>
    <row r="50" spans="13:21" ht="16.2" thickBot="1" x14ac:dyDescent="0.45">
      <c r="M50" s="79" t="s">
        <v>124</v>
      </c>
      <c r="N50" s="80">
        <f>N48+N40</f>
        <v>27557</v>
      </c>
      <c r="U50" s="9"/>
    </row>
    <row r="51" spans="13:21" ht="16.2" thickTop="1" x14ac:dyDescent="0.4"/>
    <row r="52" spans="13:21" x14ac:dyDescent="0.4">
      <c r="M52" s="78" t="s">
        <v>125</v>
      </c>
      <c r="N52" s="16">
        <f>N32-N50</f>
        <v>0</v>
      </c>
    </row>
  </sheetData>
  <mergeCells count="3">
    <mergeCell ref="C1:D2"/>
    <mergeCell ref="E1:F2"/>
    <mergeCell ref="A32:B32"/>
  </mergeCells>
  <conditionalFormatting sqref="AT5:AT11 AN5:AN11">
    <cfRule type="cellIs" dxfId="15" priority="2" operator="lessThan">
      <formula>0</formula>
    </cfRule>
  </conditionalFormatting>
  <conditionalFormatting sqref="AT5:AT12">
    <cfRule type="cellIs" dxfId="14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878E-4604-4430-94FB-6274DC17E74A}">
  <sheetPr>
    <pageSetUpPr fitToPage="1"/>
  </sheetPr>
  <dimension ref="A1:BD52"/>
  <sheetViews>
    <sheetView showGridLines="0" zoomScale="91" zoomScaleNormal="91" workbookViewId="0">
      <pane xSplit="2" ySplit="4" topLeftCell="AU5" activePane="bottomRight" state="frozen"/>
      <selection pane="topRight" activeCell="C1" sqref="C1"/>
      <selection pane="bottomLeft" activeCell="A5" sqref="A5"/>
      <selection pane="bottomRight" activeCell="BB17" sqref="BB17"/>
    </sheetView>
  </sheetViews>
  <sheetFormatPr defaultRowHeight="13.2" x14ac:dyDescent="0.25"/>
  <cols>
    <col min="1" max="1" width="7" style="124" bestFit="1" customWidth="1"/>
    <col min="2" max="2" width="23.69921875" style="124" customWidth="1"/>
    <col min="3" max="3" width="11.19921875" style="124" customWidth="1"/>
    <col min="4" max="4" width="9.3984375" style="124" customWidth="1"/>
    <col min="5" max="5" width="9.19921875" style="124" bestFit="1" customWidth="1"/>
    <col min="6" max="6" width="11.59765625" style="124" customWidth="1"/>
    <col min="7" max="7" width="12" style="124" bestFit="1" customWidth="1"/>
    <col min="8" max="8" width="12" style="124" customWidth="1"/>
    <col min="9" max="9" width="9.796875" style="124" customWidth="1"/>
    <col min="10" max="10" width="9.19921875" style="124" bestFit="1" customWidth="1"/>
    <col min="11" max="11" width="10.3984375" style="124" customWidth="1"/>
    <col min="12" max="13" width="10.19921875" style="124" bestFit="1" customWidth="1"/>
    <col min="14" max="14" width="11.59765625" style="124" bestFit="1" customWidth="1"/>
    <col min="15" max="15" width="10.19921875" style="124" bestFit="1" customWidth="1"/>
    <col min="16" max="16" width="9.8984375" style="124" bestFit="1" customWidth="1"/>
    <col min="17" max="19" width="10.19921875" style="124" bestFit="1" customWidth="1"/>
    <col min="20" max="20" width="13" style="124" customWidth="1"/>
    <col min="21" max="30" width="10.19921875" style="124" bestFit="1" customWidth="1"/>
    <col min="31" max="33" width="10.19921875" style="124" customWidth="1"/>
    <col min="34" max="34" width="10.19921875" style="124" bestFit="1" customWidth="1"/>
    <col min="35" max="36" width="5.8984375" style="124" customWidth="1"/>
    <col min="37" max="37" width="21.296875" style="124" customWidth="1"/>
    <col min="38" max="38" width="13.09765625" style="124" customWidth="1"/>
    <col min="39" max="39" width="11.296875" style="124" customWidth="1"/>
    <col min="40" max="40" width="13.296875" style="124" customWidth="1"/>
    <col min="41" max="41" width="14.09765625" style="124" customWidth="1"/>
    <col min="42" max="42" width="13.69921875" style="124" customWidth="1"/>
    <col min="43" max="43" width="16.8984375" style="124" customWidth="1"/>
    <col min="44" max="44" width="23.8984375" style="124" customWidth="1"/>
    <col min="45" max="45" width="12.59765625" style="124" customWidth="1"/>
    <col min="46" max="46" width="12.796875" style="124" customWidth="1"/>
    <col min="47" max="47" width="10.59765625" style="124" customWidth="1"/>
    <col min="48" max="48" width="12.796875" style="125" customWidth="1"/>
    <col min="49" max="49" width="13.09765625" style="124" customWidth="1"/>
    <col min="50" max="50" width="13.69921875" style="124" customWidth="1"/>
    <col min="51" max="51" width="14" style="124" customWidth="1"/>
    <col min="52" max="52" width="15.796875" style="124" customWidth="1"/>
    <col min="53" max="53" width="16.8984375" style="124" customWidth="1"/>
    <col min="54" max="54" width="12.69921875" style="124" customWidth="1"/>
    <col min="55" max="55" width="7.796875" style="124" customWidth="1"/>
    <col min="56" max="56" width="9.296875" style="124" customWidth="1"/>
    <col min="57" max="57" width="10.296875" style="124" customWidth="1"/>
    <col min="58" max="16384" width="8.796875" style="124"/>
  </cols>
  <sheetData>
    <row r="1" spans="1:56" ht="14.55" customHeight="1" x14ac:dyDescent="0.25">
      <c r="C1" s="213" t="s">
        <v>185</v>
      </c>
      <c r="D1" s="213"/>
      <c r="E1" s="214">
        <f>AH22/AH12</f>
        <v>72.15384615384616</v>
      </c>
      <c r="F1" s="214"/>
    </row>
    <row r="2" spans="1:56" ht="18.600000000000001" customHeight="1" x14ac:dyDescent="0.25">
      <c r="C2" s="213"/>
      <c r="D2" s="213"/>
      <c r="E2" s="214"/>
      <c r="F2" s="214"/>
    </row>
    <row r="3" spans="1:56" ht="4.8" customHeight="1" x14ac:dyDescent="0.25"/>
    <row r="4" spans="1:56" ht="49.2" customHeight="1" x14ac:dyDescent="0.25">
      <c r="A4" s="126" t="s">
        <v>0</v>
      </c>
      <c r="B4" s="126" t="s">
        <v>2</v>
      </c>
      <c r="C4" s="127">
        <v>44652</v>
      </c>
      <c r="D4" s="127">
        <v>44653</v>
      </c>
      <c r="E4" s="127">
        <v>44654</v>
      </c>
      <c r="F4" s="127">
        <v>44655</v>
      </c>
      <c r="G4" s="127">
        <v>44656</v>
      </c>
      <c r="H4" s="127">
        <v>44657</v>
      </c>
      <c r="I4" s="127">
        <v>44658</v>
      </c>
      <c r="J4" s="127">
        <v>44659</v>
      </c>
      <c r="K4" s="127">
        <v>44660</v>
      </c>
      <c r="L4" s="127">
        <v>44661</v>
      </c>
      <c r="M4" s="127">
        <v>44662</v>
      </c>
      <c r="N4" s="127">
        <v>44663</v>
      </c>
      <c r="O4" s="127">
        <v>44664</v>
      </c>
      <c r="P4" s="127">
        <v>44665</v>
      </c>
      <c r="Q4" s="127">
        <v>44666</v>
      </c>
      <c r="R4" s="127">
        <v>44667</v>
      </c>
      <c r="S4" s="127">
        <v>44668</v>
      </c>
      <c r="T4" s="127">
        <v>44669</v>
      </c>
      <c r="U4" s="127">
        <v>44670</v>
      </c>
      <c r="V4" s="127">
        <v>44671</v>
      </c>
      <c r="W4" s="127">
        <v>44672</v>
      </c>
      <c r="X4" s="127">
        <v>44673</v>
      </c>
      <c r="Y4" s="127">
        <v>44674</v>
      </c>
      <c r="Z4" s="127">
        <v>44675</v>
      </c>
      <c r="AA4" s="127">
        <v>44676</v>
      </c>
      <c r="AB4" s="127">
        <v>44677</v>
      </c>
      <c r="AC4" s="127">
        <v>44678</v>
      </c>
      <c r="AD4" s="127">
        <v>44679</v>
      </c>
      <c r="AE4" s="127">
        <v>44680</v>
      </c>
      <c r="AF4" s="127">
        <v>44681</v>
      </c>
      <c r="AG4" s="127"/>
      <c r="AH4" s="126" t="s">
        <v>1</v>
      </c>
      <c r="AJ4" s="128" t="s">
        <v>0</v>
      </c>
      <c r="AK4" s="129" t="s">
        <v>2</v>
      </c>
      <c r="AL4" s="130" t="s">
        <v>23</v>
      </c>
      <c r="AM4" s="130" t="s">
        <v>24</v>
      </c>
      <c r="AN4" s="130" t="s">
        <v>26</v>
      </c>
      <c r="AO4" s="130" t="s">
        <v>188</v>
      </c>
      <c r="AP4" s="130" t="s">
        <v>27</v>
      </c>
      <c r="AQ4" s="130" t="s">
        <v>30</v>
      </c>
      <c r="AR4" s="130" t="s">
        <v>32</v>
      </c>
      <c r="AS4" s="131" t="s">
        <v>192</v>
      </c>
      <c r="AT4" s="131" t="s">
        <v>191</v>
      </c>
      <c r="AU4" s="131" t="s">
        <v>197</v>
      </c>
      <c r="AV4" s="131" t="s">
        <v>195</v>
      </c>
      <c r="AW4" s="131" t="s">
        <v>196</v>
      </c>
      <c r="AX4" s="130" t="s">
        <v>28</v>
      </c>
      <c r="AY4" s="130" t="s">
        <v>31</v>
      </c>
      <c r="AZ4" s="131" t="s">
        <v>193</v>
      </c>
      <c r="BA4" s="132" t="s">
        <v>126</v>
      </c>
      <c r="BB4" s="130" t="s">
        <v>29</v>
      </c>
      <c r="BC4" s="130" t="s">
        <v>175</v>
      </c>
      <c r="BD4" s="130" t="s">
        <v>194</v>
      </c>
    </row>
    <row r="5" spans="1:56" x14ac:dyDescent="0.25">
      <c r="A5" s="133">
        <v>1</v>
      </c>
      <c r="B5" s="134" t="s">
        <v>5</v>
      </c>
      <c r="C5" s="135">
        <v>4.5</v>
      </c>
      <c r="D5" s="135">
        <v>5</v>
      </c>
      <c r="E5" s="135">
        <v>4</v>
      </c>
      <c r="F5" s="135">
        <v>3</v>
      </c>
      <c r="G5" s="135">
        <v>3</v>
      </c>
      <c r="H5" s="135">
        <v>4</v>
      </c>
      <c r="I5" s="135">
        <v>3</v>
      </c>
      <c r="J5" s="135">
        <v>4</v>
      </c>
      <c r="K5" s="135">
        <v>4</v>
      </c>
      <c r="L5" s="135">
        <v>4</v>
      </c>
      <c r="M5" s="135">
        <v>3</v>
      </c>
      <c r="N5" s="135">
        <v>2</v>
      </c>
      <c r="O5" s="135">
        <v>2</v>
      </c>
      <c r="P5" s="135">
        <v>8</v>
      </c>
      <c r="Q5" s="135">
        <v>3</v>
      </c>
      <c r="R5" s="135">
        <v>4</v>
      </c>
      <c r="S5" s="135">
        <v>2</v>
      </c>
      <c r="T5" s="135">
        <v>2</v>
      </c>
      <c r="U5" s="135">
        <v>2</v>
      </c>
      <c r="V5" s="135">
        <v>2</v>
      </c>
      <c r="W5" s="135">
        <v>2</v>
      </c>
      <c r="X5" s="135">
        <v>2</v>
      </c>
      <c r="Y5" s="135">
        <v>1</v>
      </c>
      <c r="Z5" s="135">
        <v>3</v>
      </c>
      <c r="AA5" s="135">
        <v>2</v>
      </c>
      <c r="AB5" s="135">
        <v>2</v>
      </c>
      <c r="AC5" s="135">
        <v>3</v>
      </c>
      <c r="AD5" s="135">
        <v>3</v>
      </c>
      <c r="AE5" s="135">
        <v>4</v>
      </c>
      <c r="AF5" s="135">
        <v>2</v>
      </c>
      <c r="AG5" s="135"/>
      <c r="AH5" s="136">
        <f>SUM(C5:AG5)</f>
        <v>92.5</v>
      </c>
      <c r="AJ5" s="133">
        <v>1</v>
      </c>
      <c r="AK5" s="134" t="s">
        <v>5</v>
      </c>
      <c r="AL5" s="137">
        <f>AH5*$E$1</f>
        <v>6674.2307692307695</v>
      </c>
      <c r="AM5" s="137">
        <f>AH15</f>
        <v>5809</v>
      </c>
      <c r="AN5" s="137">
        <f t="shared" ref="AN5:AN11" si="0">AM5-AL5</f>
        <v>-865.23076923076951</v>
      </c>
      <c r="AO5" s="137">
        <f>N25</f>
        <v>4800.142857142856</v>
      </c>
      <c r="AP5" s="137">
        <f t="shared" ref="AP5:AP11" si="1">AO5-AN5</f>
        <v>5665.3736263736255</v>
      </c>
      <c r="AQ5" s="138">
        <f>'Meal Mar 22 &amp; Rent April 22'!AT5</f>
        <v>135.92565349389679</v>
      </c>
      <c r="AR5" s="137">
        <f t="shared" ref="AR5:AR11" si="2">AP5-AQ5</f>
        <v>5529.4479728797287</v>
      </c>
      <c r="AS5" s="139">
        <f>'Meal Apr 22 (Iftar)'!AH15</f>
        <v>925</v>
      </c>
      <c r="AT5" s="139">
        <f>'Meal Apr 22 (Iftar)'!$E$1*'Meal Apr 22 (Iftar)'!AH5</f>
        <v>2907.4137931034484</v>
      </c>
      <c r="AU5" s="139">
        <f>'Meal Apr 22 (Iftar)'!AN5</f>
        <v>-1982.4137931034484</v>
      </c>
      <c r="AV5" s="139">
        <f t="shared" ref="AV5:AV11" si="3">AM5+AS5</f>
        <v>6734</v>
      </c>
      <c r="AW5" s="139">
        <f t="shared" ref="AW5:AW11" si="4">AL5+AT5</f>
        <v>9581.6445623342188</v>
      </c>
      <c r="AX5" s="140">
        <f>500+4000</f>
        <v>4500</v>
      </c>
      <c r="AY5" s="137">
        <f t="shared" ref="AY5:AY11" si="5">AX5-AR5</f>
        <v>-1029.4479728797287</v>
      </c>
      <c r="AZ5" s="139">
        <f t="shared" ref="AZ5:AZ11" si="6">AY5+AU5</f>
        <v>-3011.8617659831771</v>
      </c>
      <c r="BA5" s="140">
        <v>4000</v>
      </c>
      <c r="BB5" s="141">
        <v>44707</v>
      </c>
      <c r="BC5" s="137">
        <f t="shared" ref="BC5:BC11" si="7">SUBTOTAL(2,C15:AG15)</f>
        <v>6</v>
      </c>
      <c r="BD5" s="137">
        <f>'Meal Apr 22 (Iftar)'!AO5</f>
        <v>5</v>
      </c>
    </row>
    <row r="6" spans="1:56" x14ac:dyDescent="0.25">
      <c r="A6" s="133">
        <v>2</v>
      </c>
      <c r="B6" s="134" t="s">
        <v>131</v>
      </c>
      <c r="C6" s="135">
        <v>2</v>
      </c>
      <c r="D6" s="135">
        <v>2</v>
      </c>
      <c r="E6" s="135">
        <v>2</v>
      </c>
      <c r="F6" s="135">
        <v>2</v>
      </c>
      <c r="G6" s="135">
        <v>1</v>
      </c>
      <c r="H6" s="135">
        <v>1</v>
      </c>
      <c r="I6" s="135">
        <v>0</v>
      </c>
      <c r="J6" s="135">
        <v>0</v>
      </c>
      <c r="K6" s="135">
        <v>1</v>
      </c>
      <c r="L6" s="135">
        <v>1</v>
      </c>
      <c r="M6" s="135">
        <v>1</v>
      </c>
      <c r="N6" s="135">
        <v>1</v>
      </c>
      <c r="O6" s="135">
        <v>1</v>
      </c>
      <c r="P6" s="135">
        <v>2</v>
      </c>
      <c r="Q6" s="135">
        <v>3</v>
      </c>
      <c r="R6" s="135">
        <v>2</v>
      </c>
      <c r="S6" s="135">
        <v>2</v>
      </c>
      <c r="T6" s="135">
        <v>1</v>
      </c>
      <c r="U6" s="135">
        <v>1</v>
      </c>
      <c r="V6" s="135">
        <v>2</v>
      </c>
      <c r="W6" s="135">
        <v>1</v>
      </c>
      <c r="X6" s="135">
        <v>2</v>
      </c>
      <c r="Y6" s="135">
        <v>2</v>
      </c>
      <c r="Z6" s="135">
        <v>2</v>
      </c>
      <c r="AA6" s="135">
        <v>1</v>
      </c>
      <c r="AB6" s="135">
        <v>2</v>
      </c>
      <c r="AC6" s="135">
        <v>2</v>
      </c>
      <c r="AD6" s="135">
        <v>2</v>
      </c>
      <c r="AE6" s="135">
        <v>0</v>
      </c>
      <c r="AF6" s="135">
        <v>0</v>
      </c>
      <c r="AG6" s="135"/>
      <c r="AH6" s="136">
        <f>SUM(C6:AG6)</f>
        <v>42</v>
      </c>
      <c r="AJ6" s="133">
        <v>2</v>
      </c>
      <c r="AK6" s="134" t="s">
        <v>131</v>
      </c>
      <c r="AL6" s="137">
        <f t="shared" ref="AL6:AL11" si="8">AH6*$E$1</f>
        <v>3030.4615384615386</v>
      </c>
      <c r="AM6" s="137">
        <f t="shared" ref="AM6:AM7" si="9">AH16</f>
        <v>2723</v>
      </c>
      <c r="AN6" s="137">
        <f t="shared" si="0"/>
        <v>-307.46153846153857</v>
      </c>
      <c r="AO6" s="137">
        <f t="shared" ref="AO6:AO9" si="10">N26</f>
        <v>4800.142857142856</v>
      </c>
      <c r="AP6" s="137">
        <f t="shared" si="1"/>
        <v>5107.6043956043941</v>
      </c>
      <c r="AQ6" s="138">
        <f>'Meal Mar 22 &amp; Rent April 22'!AT6</f>
        <v>562.88600245170437</v>
      </c>
      <c r="AR6" s="137">
        <f>AP6-AQ6</f>
        <v>4544.7183931526897</v>
      </c>
      <c r="AS6" s="139">
        <f>'Meal Apr 22 (Iftar)'!AH16</f>
        <v>1416</v>
      </c>
      <c r="AT6" s="139">
        <f>'Meal Apr 22 (Iftar)'!$E$1*'Meal Apr 22 (Iftar)'!AH6</f>
        <v>710.70114942528733</v>
      </c>
      <c r="AU6" s="139">
        <f>'Meal Apr 22 (Iftar)'!AN6</f>
        <v>705.29885057471267</v>
      </c>
      <c r="AV6" s="139">
        <f t="shared" si="3"/>
        <v>4139</v>
      </c>
      <c r="AW6" s="139">
        <f t="shared" si="4"/>
        <v>3741.162687886826</v>
      </c>
      <c r="AX6" s="140">
        <f>20+4000</f>
        <v>4020</v>
      </c>
      <c r="AY6" s="137">
        <f t="shared" si="5"/>
        <v>-524.71839315268971</v>
      </c>
      <c r="AZ6" s="139">
        <f t="shared" si="6"/>
        <v>180.58045742202296</v>
      </c>
      <c r="BA6" s="140">
        <v>4000</v>
      </c>
      <c r="BB6" s="141">
        <v>44703</v>
      </c>
      <c r="BC6" s="137">
        <f t="shared" si="7"/>
        <v>1</v>
      </c>
      <c r="BD6" s="137">
        <f>'Meal Apr 22 (Iftar)'!AO6</f>
        <v>3</v>
      </c>
    </row>
    <row r="7" spans="1:56" x14ac:dyDescent="0.25">
      <c r="A7" s="133">
        <v>3</v>
      </c>
      <c r="B7" s="134" t="s">
        <v>6</v>
      </c>
      <c r="C7" s="135">
        <v>6.5</v>
      </c>
      <c r="D7" s="135">
        <v>2.5</v>
      </c>
      <c r="E7" s="135">
        <v>2</v>
      </c>
      <c r="F7" s="135">
        <v>2</v>
      </c>
      <c r="G7" s="135">
        <v>1</v>
      </c>
      <c r="H7" s="135">
        <v>3</v>
      </c>
      <c r="I7" s="135">
        <v>2</v>
      </c>
      <c r="J7" s="135">
        <v>2</v>
      </c>
      <c r="K7" s="135">
        <v>2</v>
      </c>
      <c r="L7" s="135">
        <v>2</v>
      </c>
      <c r="M7" s="135">
        <v>2</v>
      </c>
      <c r="N7" s="135">
        <v>2</v>
      </c>
      <c r="O7" s="135">
        <v>2</v>
      </c>
      <c r="P7" s="135">
        <v>2</v>
      </c>
      <c r="Q7" s="135">
        <v>2</v>
      </c>
      <c r="R7" s="135">
        <v>2</v>
      </c>
      <c r="S7" s="135">
        <v>1</v>
      </c>
      <c r="T7" s="135">
        <v>2</v>
      </c>
      <c r="U7" s="135">
        <v>2</v>
      </c>
      <c r="V7" s="135">
        <v>2</v>
      </c>
      <c r="W7" s="135">
        <v>2</v>
      </c>
      <c r="X7" s="135">
        <v>2</v>
      </c>
      <c r="Y7" s="135">
        <v>2</v>
      </c>
      <c r="Z7" s="135">
        <v>2</v>
      </c>
      <c r="AA7" s="135">
        <v>1</v>
      </c>
      <c r="AB7" s="135">
        <v>2.5</v>
      </c>
      <c r="AC7" s="135">
        <v>2</v>
      </c>
      <c r="AD7" s="135">
        <v>2</v>
      </c>
      <c r="AE7" s="135">
        <v>2</v>
      </c>
      <c r="AF7" s="135">
        <v>2</v>
      </c>
      <c r="AG7" s="135"/>
      <c r="AH7" s="136">
        <f t="shared" ref="AH7:AH10" si="11">SUM(C7:AG7)</f>
        <v>63.5</v>
      </c>
      <c r="AJ7" s="133">
        <v>3</v>
      </c>
      <c r="AK7" s="134" t="s">
        <v>6</v>
      </c>
      <c r="AL7" s="137">
        <f t="shared" si="8"/>
        <v>4581.7692307692314</v>
      </c>
      <c r="AM7" s="137">
        <f t="shared" si="9"/>
        <v>1783</v>
      </c>
      <c r="AN7" s="137">
        <f t="shared" si="0"/>
        <v>-2798.7692307692314</v>
      </c>
      <c r="AO7" s="137">
        <f t="shared" si="10"/>
        <v>3800.1428571428573</v>
      </c>
      <c r="AP7" s="137">
        <f t="shared" si="1"/>
        <v>6598.9120879120892</v>
      </c>
      <c r="AQ7" s="138">
        <f>'Meal Mar 22 &amp; Rent April 22'!AT7</f>
        <v>1.6783452116360422</v>
      </c>
      <c r="AR7" s="137">
        <f t="shared" si="2"/>
        <v>6597.2337427004531</v>
      </c>
      <c r="AS7" s="139">
        <f>'Meal Apr 22 (Iftar)'!AH17</f>
        <v>1003</v>
      </c>
      <c r="AT7" s="139">
        <f>'Meal Apr 22 (Iftar)'!$E$1*'Meal Apr 22 (Iftar)'!AH7</f>
        <v>839.91954022988511</v>
      </c>
      <c r="AU7" s="139">
        <f>'Meal Apr 22 (Iftar)'!AN7</f>
        <v>163.08045977011489</v>
      </c>
      <c r="AV7" s="139">
        <f t="shared" si="3"/>
        <v>2786</v>
      </c>
      <c r="AW7" s="139">
        <f t="shared" si="4"/>
        <v>5421.688770999117</v>
      </c>
      <c r="AX7" s="140">
        <v>6500</v>
      </c>
      <c r="AY7" s="137">
        <f t="shared" si="5"/>
        <v>-97.233742700453149</v>
      </c>
      <c r="AZ7" s="139">
        <f t="shared" si="6"/>
        <v>65.846717069661736</v>
      </c>
      <c r="BA7" s="140">
        <v>6500</v>
      </c>
      <c r="BB7" s="141">
        <v>44706</v>
      </c>
      <c r="BC7" s="137">
        <f t="shared" si="7"/>
        <v>1</v>
      </c>
      <c r="BD7" s="137">
        <f>'Meal Apr 22 (Iftar)'!AO7</f>
        <v>1</v>
      </c>
    </row>
    <row r="8" spans="1:56" x14ac:dyDescent="0.25">
      <c r="A8" s="133">
        <v>4</v>
      </c>
      <c r="B8" s="134" t="s">
        <v>57</v>
      </c>
      <c r="C8" s="135">
        <v>5</v>
      </c>
      <c r="D8" s="135">
        <v>4.5</v>
      </c>
      <c r="E8" s="135">
        <v>2</v>
      </c>
      <c r="F8" s="135">
        <v>2</v>
      </c>
      <c r="G8" s="135">
        <v>3</v>
      </c>
      <c r="H8" s="135">
        <v>1</v>
      </c>
      <c r="I8" s="135">
        <v>1</v>
      </c>
      <c r="J8" s="135">
        <v>1</v>
      </c>
      <c r="K8" s="135">
        <v>1</v>
      </c>
      <c r="L8" s="135">
        <v>1</v>
      </c>
      <c r="M8" s="135">
        <v>2</v>
      </c>
      <c r="N8" s="135">
        <v>1</v>
      </c>
      <c r="O8" s="135">
        <v>1</v>
      </c>
      <c r="P8" s="135">
        <v>1</v>
      </c>
      <c r="Q8" s="135">
        <v>2</v>
      </c>
      <c r="R8" s="135">
        <v>1</v>
      </c>
      <c r="S8" s="135">
        <v>1</v>
      </c>
      <c r="T8" s="135">
        <v>1</v>
      </c>
      <c r="U8" s="135">
        <v>1</v>
      </c>
      <c r="V8" s="135">
        <v>1</v>
      </c>
      <c r="W8" s="135">
        <v>1</v>
      </c>
      <c r="X8" s="135">
        <v>1</v>
      </c>
      <c r="Y8" s="135">
        <v>1</v>
      </c>
      <c r="Z8" s="135">
        <v>1</v>
      </c>
      <c r="AA8" s="135">
        <v>1</v>
      </c>
      <c r="AB8" s="135">
        <v>2</v>
      </c>
      <c r="AC8" s="135">
        <v>1</v>
      </c>
      <c r="AD8" s="135">
        <v>1</v>
      </c>
      <c r="AE8" s="135">
        <v>2</v>
      </c>
      <c r="AF8" s="135">
        <v>3</v>
      </c>
      <c r="AG8" s="135"/>
      <c r="AH8" s="136">
        <f t="shared" si="11"/>
        <v>47.5</v>
      </c>
      <c r="AJ8" s="133">
        <v>4</v>
      </c>
      <c r="AK8" s="134" t="s">
        <v>57</v>
      </c>
      <c r="AL8" s="137">
        <f t="shared" si="8"/>
        <v>3427.3076923076928</v>
      </c>
      <c r="AM8" s="137">
        <f>AH18</f>
        <v>2888</v>
      </c>
      <c r="AN8" s="137">
        <f t="shared" si="0"/>
        <v>-539.30769230769283</v>
      </c>
      <c r="AO8" s="137">
        <f t="shared" si="10"/>
        <v>3800.1428571428573</v>
      </c>
      <c r="AP8" s="137">
        <f t="shared" si="1"/>
        <v>4339.4505494505502</v>
      </c>
      <c r="AQ8" s="138">
        <f>'Meal Mar 22 &amp; Rent April 22'!AT8</f>
        <v>-28.418310573688359</v>
      </c>
      <c r="AR8" s="137">
        <f t="shared" si="2"/>
        <v>4367.8688600242385</v>
      </c>
      <c r="AS8" s="139">
        <f>'Meal Apr 22 (Iftar)'!AH18</f>
        <v>2157</v>
      </c>
      <c r="AT8" s="139">
        <f>'Meal Apr 22 (Iftar)'!$E$1*'Meal Apr 22 (Iftar)'!AH8</f>
        <v>2390.5402298850577</v>
      </c>
      <c r="AU8" s="139">
        <f>'Meal Apr 22 (Iftar)'!AN8</f>
        <v>-233.54022988505767</v>
      </c>
      <c r="AV8" s="139">
        <f t="shared" si="3"/>
        <v>5045</v>
      </c>
      <c r="AW8" s="139">
        <f t="shared" si="4"/>
        <v>5817.84792219275</v>
      </c>
      <c r="AX8" s="140">
        <v>4600</v>
      </c>
      <c r="AY8" s="137">
        <f t="shared" si="5"/>
        <v>232.13113997576147</v>
      </c>
      <c r="AZ8" s="139">
        <f t="shared" si="6"/>
        <v>-1.409089909296199</v>
      </c>
      <c r="BA8" s="140">
        <v>4600</v>
      </c>
      <c r="BB8" s="141">
        <v>44706</v>
      </c>
      <c r="BC8" s="137">
        <f t="shared" si="7"/>
        <v>1</v>
      </c>
      <c r="BD8" s="137">
        <f>'Meal Apr 22 (Iftar)'!AO8</f>
        <v>6</v>
      </c>
    </row>
    <row r="9" spans="1:56" x14ac:dyDescent="0.25">
      <c r="A9" s="133">
        <v>5</v>
      </c>
      <c r="B9" s="142" t="s">
        <v>51</v>
      </c>
      <c r="C9" s="135">
        <v>4</v>
      </c>
      <c r="D9" s="135">
        <v>3.5</v>
      </c>
      <c r="E9" s="135">
        <v>1</v>
      </c>
      <c r="F9" s="135">
        <v>1</v>
      </c>
      <c r="G9" s="135">
        <v>1</v>
      </c>
      <c r="H9" s="135">
        <v>1</v>
      </c>
      <c r="I9" s="135">
        <v>1</v>
      </c>
      <c r="J9" s="135">
        <v>1</v>
      </c>
      <c r="K9" s="135">
        <v>1</v>
      </c>
      <c r="L9" s="135">
        <v>1</v>
      </c>
      <c r="M9" s="135">
        <v>1</v>
      </c>
      <c r="N9" s="135">
        <v>1</v>
      </c>
      <c r="O9" s="135">
        <v>1</v>
      </c>
      <c r="P9" s="135">
        <v>1</v>
      </c>
      <c r="Q9" s="135">
        <v>1</v>
      </c>
      <c r="R9" s="135">
        <v>1</v>
      </c>
      <c r="S9" s="135">
        <v>1</v>
      </c>
      <c r="T9" s="135">
        <v>1</v>
      </c>
      <c r="U9" s="135">
        <v>1</v>
      </c>
      <c r="V9" s="135">
        <v>1</v>
      </c>
      <c r="W9" s="135">
        <v>1</v>
      </c>
      <c r="X9" s="135">
        <v>1</v>
      </c>
      <c r="Y9" s="135">
        <v>1</v>
      </c>
      <c r="Z9" s="135">
        <v>2</v>
      </c>
      <c r="AA9" s="135">
        <v>1</v>
      </c>
      <c r="AB9" s="135">
        <v>1</v>
      </c>
      <c r="AC9" s="135">
        <v>1</v>
      </c>
      <c r="AD9" s="135">
        <v>0</v>
      </c>
      <c r="AE9" s="135">
        <v>0</v>
      </c>
      <c r="AF9" s="135">
        <v>0</v>
      </c>
      <c r="AG9" s="135"/>
      <c r="AH9" s="136">
        <f t="shared" si="11"/>
        <v>33.5</v>
      </c>
      <c r="AJ9" s="133">
        <v>5</v>
      </c>
      <c r="AK9" s="142" t="s">
        <v>51</v>
      </c>
      <c r="AL9" s="137">
        <f t="shared" si="8"/>
        <v>2417.1538461538462</v>
      </c>
      <c r="AM9" s="137">
        <f>AH19</f>
        <v>4255</v>
      </c>
      <c r="AN9" s="137">
        <f t="shared" si="0"/>
        <v>1837.8461538461538</v>
      </c>
      <c r="AO9" s="137">
        <f t="shared" si="10"/>
        <v>3800.1428571428573</v>
      </c>
      <c r="AP9" s="137">
        <f>AO9-AN9</f>
        <v>1962.2967032967035</v>
      </c>
      <c r="AQ9" s="138">
        <f>'Meal Mar 22 &amp; Rent April 22'!AT9</f>
        <v>87.389995908018591</v>
      </c>
      <c r="AR9" s="137">
        <f t="shared" si="2"/>
        <v>1874.9067073886849</v>
      </c>
      <c r="AS9" s="139">
        <f>'Meal Apr 22 (Iftar)'!AH19</f>
        <v>2616</v>
      </c>
      <c r="AT9" s="139">
        <f>'Meal Apr 22 (Iftar)'!$E$1*'Meal Apr 22 (Iftar)'!AH9</f>
        <v>1550.6206896551726</v>
      </c>
      <c r="AU9" s="139">
        <f>'Meal Apr 22 (Iftar)'!AN9</f>
        <v>1065.3793103448274</v>
      </c>
      <c r="AV9" s="139">
        <f t="shared" si="3"/>
        <v>6871</v>
      </c>
      <c r="AW9" s="139">
        <f t="shared" si="4"/>
        <v>3967.7745358090187</v>
      </c>
      <c r="AX9" s="140">
        <f>3500+1500</f>
        <v>5000</v>
      </c>
      <c r="AY9" s="137">
        <f t="shared" si="5"/>
        <v>3125.0932926113151</v>
      </c>
      <c r="AZ9" s="139">
        <f t="shared" si="6"/>
        <v>4190.4726029561425</v>
      </c>
      <c r="BA9" s="140">
        <v>0</v>
      </c>
      <c r="BB9" s="140"/>
      <c r="BC9" s="137">
        <f t="shared" si="7"/>
        <v>5</v>
      </c>
      <c r="BD9" s="137">
        <f>'Meal Apr 22 (Iftar)'!AO9</f>
        <v>5</v>
      </c>
    </row>
    <row r="10" spans="1:56" x14ac:dyDescent="0.25">
      <c r="A10" s="133">
        <v>6</v>
      </c>
      <c r="B10" s="142" t="s">
        <v>104</v>
      </c>
      <c r="C10" s="135">
        <v>2.5</v>
      </c>
      <c r="D10" s="135">
        <v>2</v>
      </c>
      <c r="E10" s="135">
        <v>1</v>
      </c>
      <c r="F10" s="135">
        <v>1</v>
      </c>
      <c r="G10" s="135">
        <v>1</v>
      </c>
      <c r="H10" s="135">
        <v>1</v>
      </c>
      <c r="I10" s="135">
        <v>1</v>
      </c>
      <c r="J10" s="135">
        <v>0</v>
      </c>
      <c r="K10" s="135">
        <v>1</v>
      </c>
      <c r="L10" s="135">
        <v>1</v>
      </c>
      <c r="M10" s="135">
        <v>1</v>
      </c>
      <c r="N10" s="135">
        <v>1</v>
      </c>
      <c r="O10" s="135">
        <v>1</v>
      </c>
      <c r="P10" s="135">
        <v>0</v>
      </c>
      <c r="Q10" s="135">
        <v>0</v>
      </c>
      <c r="R10" s="135">
        <v>1</v>
      </c>
      <c r="S10" s="135">
        <v>1</v>
      </c>
      <c r="T10" s="135">
        <v>1</v>
      </c>
      <c r="U10" s="135">
        <v>1</v>
      </c>
      <c r="V10" s="135">
        <v>1</v>
      </c>
      <c r="W10" s="135">
        <v>1</v>
      </c>
      <c r="X10" s="135">
        <v>1</v>
      </c>
      <c r="Y10" s="135">
        <v>1</v>
      </c>
      <c r="Z10" s="135">
        <v>1</v>
      </c>
      <c r="AA10" s="135">
        <v>1</v>
      </c>
      <c r="AB10" s="135">
        <v>1</v>
      </c>
      <c r="AC10" s="135">
        <v>1</v>
      </c>
      <c r="AD10" s="135">
        <v>0</v>
      </c>
      <c r="AE10" s="135">
        <v>0</v>
      </c>
      <c r="AF10" s="135">
        <v>0</v>
      </c>
      <c r="AG10" s="135"/>
      <c r="AH10" s="136">
        <f t="shared" si="11"/>
        <v>26.5</v>
      </c>
      <c r="AJ10" s="133">
        <v>6</v>
      </c>
      <c r="AK10" s="142" t="s">
        <v>104</v>
      </c>
      <c r="AL10" s="137">
        <f t="shared" si="8"/>
        <v>1912.0769230769233</v>
      </c>
      <c r="AM10" s="137">
        <f>AH20</f>
        <v>3550</v>
      </c>
      <c r="AN10" s="137">
        <f t="shared" si="0"/>
        <v>1637.9230769230767</v>
      </c>
      <c r="AO10" s="137">
        <f>N30</f>
        <v>4550.142857142856</v>
      </c>
      <c r="AP10" s="137">
        <f t="shared" si="1"/>
        <v>2912.2197802197793</v>
      </c>
      <c r="AQ10" s="138">
        <f>'Meal Mar 22 &amp; Rent April 22'!AT10</f>
        <v>23.691827542322244</v>
      </c>
      <c r="AR10" s="137">
        <f t="shared" si="2"/>
        <v>2888.5279526774571</v>
      </c>
      <c r="AS10" s="139">
        <f>'Meal Apr 22 (Iftar)'!AH20</f>
        <v>1095</v>
      </c>
      <c r="AT10" s="139">
        <f>'Meal Apr 22 (Iftar)'!$E$1*'Meal Apr 22 (Iftar)'!AH10</f>
        <v>1356.7931034482758</v>
      </c>
      <c r="AU10" s="139">
        <f>'Meal Apr 22 (Iftar)'!AN10</f>
        <v>-261.79310344827582</v>
      </c>
      <c r="AV10" s="139">
        <f t="shared" si="3"/>
        <v>4645</v>
      </c>
      <c r="AW10" s="139">
        <f t="shared" si="4"/>
        <v>3268.8700265251991</v>
      </c>
      <c r="AX10" s="140">
        <v>2500</v>
      </c>
      <c r="AY10" s="137">
        <f t="shared" si="5"/>
        <v>-388.52795267745705</v>
      </c>
      <c r="AZ10" s="139">
        <f t="shared" si="6"/>
        <v>-650.32105612573287</v>
      </c>
      <c r="BA10" s="140">
        <v>2500</v>
      </c>
      <c r="BB10" s="141">
        <v>44707</v>
      </c>
      <c r="BC10" s="137">
        <f t="shared" si="7"/>
        <v>1</v>
      </c>
      <c r="BD10" s="137">
        <f>'Meal Apr 22 (Iftar)'!AO10</f>
        <v>1</v>
      </c>
    </row>
    <row r="11" spans="1:56" x14ac:dyDescent="0.25">
      <c r="A11" s="133">
        <v>7</v>
      </c>
      <c r="B11" s="134" t="s">
        <v>176</v>
      </c>
      <c r="C11" s="135">
        <v>0</v>
      </c>
      <c r="D11" s="135">
        <v>2</v>
      </c>
      <c r="E11" s="135">
        <v>1</v>
      </c>
      <c r="F11" s="135">
        <v>1</v>
      </c>
      <c r="G11" s="135">
        <v>1</v>
      </c>
      <c r="H11" s="135">
        <v>1</v>
      </c>
      <c r="I11" s="135">
        <v>1</v>
      </c>
      <c r="J11" s="135">
        <v>1</v>
      </c>
      <c r="K11" s="135">
        <v>1</v>
      </c>
      <c r="L11" s="135">
        <v>1</v>
      </c>
      <c r="M11" s="135">
        <v>1</v>
      </c>
      <c r="N11" s="135">
        <v>1</v>
      </c>
      <c r="O11" s="135">
        <v>1</v>
      </c>
      <c r="P11" s="135">
        <v>1</v>
      </c>
      <c r="Q11" s="135">
        <v>1</v>
      </c>
      <c r="R11" s="135">
        <v>1</v>
      </c>
      <c r="S11" s="135">
        <v>1</v>
      </c>
      <c r="T11" s="135">
        <v>1</v>
      </c>
      <c r="U11" s="135">
        <v>1</v>
      </c>
      <c r="V11" s="135">
        <v>1</v>
      </c>
      <c r="W11" s="135">
        <v>1</v>
      </c>
      <c r="X11" s="135">
        <v>1</v>
      </c>
      <c r="Y11" s="135">
        <v>1</v>
      </c>
      <c r="Z11" s="135">
        <v>1</v>
      </c>
      <c r="AA11" s="135">
        <v>1</v>
      </c>
      <c r="AB11" s="135">
        <v>1</v>
      </c>
      <c r="AC11" s="135"/>
      <c r="AD11" s="135">
        <v>0</v>
      </c>
      <c r="AE11" s="135">
        <v>0</v>
      </c>
      <c r="AF11" s="135">
        <v>0</v>
      </c>
      <c r="AG11" s="135"/>
      <c r="AH11" s="136">
        <f>SUM(C11:AG11)</f>
        <v>26</v>
      </c>
      <c r="AJ11" s="133">
        <v>7</v>
      </c>
      <c r="AK11" s="134" t="s">
        <v>176</v>
      </c>
      <c r="AL11" s="137">
        <f t="shared" si="8"/>
        <v>1876.0000000000002</v>
      </c>
      <c r="AM11" s="137">
        <f>AH21</f>
        <v>2911</v>
      </c>
      <c r="AN11" s="137">
        <f t="shared" si="0"/>
        <v>1034.9999999999998</v>
      </c>
      <c r="AO11" s="137">
        <f>N31</f>
        <v>4550.142857142856</v>
      </c>
      <c r="AP11" s="137">
        <f t="shared" si="1"/>
        <v>3515.142857142856</v>
      </c>
      <c r="AQ11" s="138">
        <f>'Meal Mar 22 &amp; Rent April 22'!AT11</f>
        <v>77.083005547746325</v>
      </c>
      <c r="AR11" s="137">
        <f t="shared" si="2"/>
        <v>3438.0598515951096</v>
      </c>
      <c r="AS11" s="139">
        <f>'Meal Apr 22 (Iftar)'!AH21</f>
        <v>2030</v>
      </c>
      <c r="AT11" s="139">
        <f>'Meal Apr 22 (Iftar)'!$E$1*'Meal Apr 22 (Iftar)'!AH11</f>
        <v>1486.0114942528735</v>
      </c>
      <c r="AU11" s="139">
        <f>'Meal Apr 22 (Iftar)'!AN11</f>
        <v>543.98850574712651</v>
      </c>
      <c r="AV11" s="139">
        <f t="shared" si="3"/>
        <v>4941</v>
      </c>
      <c r="AW11" s="139">
        <f t="shared" si="4"/>
        <v>3362.0114942528735</v>
      </c>
      <c r="AX11" s="140">
        <f>120+30+2800</f>
        <v>2950</v>
      </c>
      <c r="AY11" s="137">
        <f t="shared" si="5"/>
        <v>-488.05985159510965</v>
      </c>
      <c r="AZ11" s="139">
        <f t="shared" si="6"/>
        <v>55.928654152016861</v>
      </c>
      <c r="BA11" s="140">
        <v>2800</v>
      </c>
      <c r="BB11" s="141">
        <v>44703</v>
      </c>
      <c r="BC11" s="137">
        <f t="shared" si="7"/>
        <v>4</v>
      </c>
      <c r="BD11" s="137">
        <f>'Meal Apr 22 (Iftar)'!AO11</f>
        <v>3</v>
      </c>
    </row>
    <row r="12" spans="1:56" x14ac:dyDescent="0.25">
      <c r="A12" s="140"/>
      <c r="B12" s="140"/>
      <c r="C12" s="143">
        <f>SUM(C5:C11)</f>
        <v>24.5</v>
      </c>
      <c r="D12" s="143">
        <f t="shared" ref="D12:AG12" si="12">SUM(D5:D11)</f>
        <v>21.5</v>
      </c>
      <c r="E12" s="143">
        <f t="shared" si="12"/>
        <v>13</v>
      </c>
      <c r="F12" s="143">
        <f t="shared" si="12"/>
        <v>12</v>
      </c>
      <c r="G12" s="143">
        <f t="shared" si="12"/>
        <v>11</v>
      </c>
      <c r="H12" s="143">
        <f t="shared" si="12"/>
        <v>12</v>
      </c>
      <c r="I12" s="143">
        <f t="shared" si="12"/>
        <v>9</v>
      </c>
      <c r="J12" s="143">
        <f t="shared" si="12"/>
        <v>9</v>
      </c>
      <c r="K12" s="143">
        <f t="shared" si="12"/>
        <v>11</v>
      </c>
      <c r="L12" s="143">
        <f t="shared" si="12"/>
        <v>11</v>
      </c>
      <c r="M12" s="143">
        <f t="shared" si="12"/>
        <v>11</v>
      </c>
      <c r="N12" s="143">
        <f t="shared" si="12"/>
        <v>9</v>
      </c>
      <c r="O12" s="143">
        <f t="shared" si="12"/>
        <v>9</v>
      </c>
      <c r="P12" s="143">
        <f t="shared" si="12"/>
        <v>15</v>
      </c>
      <c r="Q12" s="143">
        <f t="shared" si="12"/>
        <v>12</v>
      </c>
      <c r="R12" s="143">
        <f t="shared" si="12"/>
        <v>12</v>
      </c>
      <c r="S12" s="143">
        <f t="shared" si="12"/>
        <v>9</v>
      </c>
      <c r="T12" s="143">
        <f t="shared" si="12"/>
        <v>9</v>
      </c>
      <c r="U12" s="143">
        <f t="shared" si="12"/>
        <v>9</v>
      </c>
      <c r="V12" s="143">
        <f t="shared" si="12"/>
        <v>10</v>
      </c>
      <c r="W12" s="143">
        <f t="shared" si="12"/>
        <v>9</v>
      </c>
      <c r="X12" s="143">
        <f t="shared" si="12"/>
        <v>10</v>
      </c>
      <c r="Y12" s="143">
        <f t="shared" si="12"/>
        <v>9</v>
      </c>
      <c r="Z12" s="143">
        <f t="shared" si="12"/>
        <v>12</v>
      </c>
      <c r="AA12" s="143">
        <f t="shared" si="12"/>
        <v>8</v>
      </c>
      <c r="AB12" s="143">
        <f t="shared" si="12"/>
        <v>11.5</v>
      </c>
      <c r="AC12" s="143">
        <f t="shared" si="12"/>
        <v>10</v>
      </c>
      <c r="AD12" s="143">
        <f t="shared" si="12"/>
        <v>8</v>
      </c>
      <c r="AE12" s="143">
        <f t="shared" si="12"/>
        <v>8</v>
      </c>
      <c r="AF12" s="143">
        <f t="shared" si="12"/>
        <v>7</v>
      </c>
      <c r="AG12" s="143">
        <f t="shared" si="12"/>
        <v>0</v>
      </c>
      <c r="AH12" s="143">
        <f>SUM(AH5:AH11)</f>
        <v>331.5</v>
      </c>
      <c r="AJ12" s="133"/>
      <c r="AK12" s="144" t="s">
        <v>47</v>
      </c>
      <c r="AL12" s="145">
        <f t="shared" ref="AL12:AQ12" si="13">SUM(AL5:AL11)</f>
        <v>23919</v>
      </c>
      <c r="AM12" s="145">
        <f t="shared" si="13"/>
        <v>23919</v>
      </c>
      <c r="AN12" s="145">
        <f t="shared" si="13"/>
        <v>-2.0463630789890885E-12</v>
      </c>
      <c r="AO12" s="145">
        <f t="shared" si="13"/>
        <v>30100.999999999996</v>
      </c>
      <c r="AP12" s="145">
        <f t="shared" si="13"/>
        <v>30100.999999999996</v>
      </c>
      <c r="AQ12" s="146">
        <f t="shared" si="13"/>
        <v>860.236519581636</v>
      </c>
      <c r="AR12" s="145">
        <f>AP12-AQ12</f>
        <v>29240.763480418362</v>
      </c>
      <c r="AS12" s="147">
        <f>SUM(AS5:AS11)</f>
        <v>11242</v>
      </c>
      <c r="AT12" s="147">
        <f t="shared" ref="AT12:AZ12" si="14">SUM(AT5:AT11)</f>
        <v>11242</v>
      </c>
      <c r="AU12" s="147">
        <f t="shared" si="14"/>
        <v>0</v>
      </c>
      <c r="AV12" s="147">
        <f>SUM(AV5:AV11)</f>
        <v>35161</v>
      </c>
      <c r="AW12" s="147">
        <f t="shared" si="14"/>
        <v>35161</v>
      </c>
      <c r="AX12" s="146">
        <f t="shared" si="14"/>
        <v>30070</v>
      </c>
      <c r="AY12" s="145">
        <f t="shared" si="14"/>
        <v>829.23651958163828</v>
      </c>
      <c r="AZ12" s="147">
        <f t="shared" si="14"/>
        <v>829.23651958163782</v>
      </c>
      <c r="BA12" s="148">
        <f>SUM(BA5:BA11)</f>
        <v>24400</v>
      </c>
      <c r="BB12" s="146"/>
      <c r="BC12" s="145">
        <f>SUM(BC5:BC11)</f>
        <v>19</v>
      </c>
      <c r="BD12" s="145">
        <f>SUM(BD5:BD11)</f>
        <v>24</v>
      </c>
    </row>
    <row r="13" spans="1:56" x14ac:dyDescent="0.25">
      <c r="AL13" s="149"/>
      <c r="AM13" s="149"/>
      <c r="AN13" s="150"/>
      <c r="AO13" s="150"/>
      <c r="AQ13" s="150"/>
      <c r="AR13" s="150"/>
      <c r="AV13" s="124"/>
      <c r="BA13" s="150">
        <f>BA12-N40</f>
        <v>319</v>
      </c>
    </row>
    <row r="14" spans="1:56" x14ac:dyDescent="0.25">
      <c r="B14" s="151" t="s">
        <v>186</v>
      </c>
      <c r="C14" s="152" t="s">
        <v>175</v>
      </c>
      <c r="D14" s="152">
        <f>COUNT(C15:AG21)</f>
        <v>19</v>
      </c>
      <c r="AK14" s="153" t="s">
        <v>173</v>
      </c>
      <c r="AL14" s="150"/>
      <c r="AM14" s="150"/>
      <c r="AV14" s="124"/>
      <c r="AY14" s="150"/>
      <c r="AZ14" s="150"/>
      <c r="BA14" s="150">
        <f>860</f>
        <v>860</v>
      </c>
      <c r="BB14" s="174">
        <f>AZ14+BA14</f>
        <v>860</v>
      </c>
    </row>
    <row r="15" spans="1:56" x14ac:dyDescent="0.25">
      <c r="A15" s="133">
        <v>1</v>
      </c>
      <c r="B15" s="134" t="s">
        <v>5</v>
      </c>
      <c r="C15" s="138"/>
      <c r="D15" s="138"/>
      <c r="E15" s="138"/>
      <c r="F15" s="138"/>
      <c r="G15" s="138"/>
      <c r="H15" s="138"/>
      <c r="I15" s="138"/>
      <c r="J15" s="138">
        <v>2630</v>
      </c>
      <c r="K15" s="138">
        <v>1064</v>
      </c>
      <c r="L15" s="138">
        <v>1280</v>
      </c>
      <c r="M15" s="138">
        <v>195</v>
      </c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>
        <v>510</v>
      </c>
      <c r="AE15" s="138">
        <v>130</v>
      </c>
      <c r="AF15" s="138"/>
      <c r="AG15" s="138"/>
      <c r="AH15" s="145">
        <f>SUM(C15:AG15)</f>
        <v>5809</v>
      </c>
      <c r="AK15" s="154" t="s">
        <v>161</v>
      </c>
      <c r="AL15" s="154" t="s">
        <v>95</v>
      </c>
      <c r="AM15" s="155"/>
      <c r="AR15" s="140" t="s">
        <v>180</v>
      </c>
      <c r="AS15" s="156">
        <f>SUMIF(AZ5:AZ11,"&gt;0",AZ5:AZ11)</f>
        <v>4492.8284315998444</v>
      </c>
      <c r="AV15" s="124"/>
    </row>
    <row r="16" spans="1:56" x14ac:dyDescent="0.25">
      <c r="A16" s="133">
        <v>2</v>
      </c>
      <c r="B16" s="134" t="s">
        <v>131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U16" s="138"/>
      <c r="V16" s="138"/>
      <c r="W16" s="138">
        <v>2723</v>
      </c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45">
        <f t="shared" ref="AH16:AH21" si="15">SUM(C16:AG16)</f>
        <v>2723</v>
      </c>
      <c r="AK16" s="140" t="s">
        <v>177</v>
      </c>
      <c r="AL16" s="157">
        <v>0</v>
      </c>
      <c r="AM16" s="158"/>
      <c r="AN16" s="159"/>
      <c r="AR16" s="140" t="s">
        <v>178</v>
      </c>
      <c r="AS16" s="160">
        <f>ABS(SUMIF(AZ5:AZ11,"&lt;0",AZ5:AZ11))</f>
        <v>3663.5919120182061</v>
      </c>
      <c r="AT16" s="150"/>
      <c r="AV16" s="124"/>
      <c r="AX16" s="150"/>
      <c r="AZ16" s="150"/>
    </row>
    <row r="17" spans="1:52" x14ac:dyDescent="0.25">
      <c r="A17" s="133">
        <v>3</v>
      </c>
      <c r="B17" s="134" t="s">
        <v>6</v>
      </c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AA17" s="138">
        <v>1783</v>
      </c>
      <c r="AB17" s="138"/>
      <c r="AC17" s="138"/>
      <c r="AD17" s="138"/>
      <c r="AE17" s="138"/>
      <c r="AF17" s="138"/>
      <c r="AG17" s="138"/>
      <c r="AH17" s="145">
        <f t="shared" si="15"/>
        <v>1783</v>
      </c>
      <c r="AK17" s="140" t="s">
        <v>162</v>
      </c>
      <c r="AL17" s="157">
        <f>AS15</f>
        <v>4492.8284315998444</v>
      </c>
      <c r="AM17" s="158"/>
      <c r="AR17" s="140" t="s">
        <v>181</v>
      </c>
      <c r="AS17" s="161">
        <f>ABS(AS16)-AS15</f>
        <v>-829.23651958163828</v>
      </c>
      <c r="AV17" s="124"/>
      <c r="AX17" s="125"/>
    </row>
    <row r="18" spans="1:52" x14ac:dyDescent="0.25">
      <c r="A18" s="133">
        <v>4</v>
      </c>
      <c r="B18" s="134" t="s">
        <v>57</v>
      </c>
      <c r="C18" s="138"/>
      <c r="D18" s="138"/>
      <c r="E18" s="138"/>
      <c r="F18" s="138"/>
      <c r="G18" s="138"/>
      <c r="H18" s="138">
        <v>2888</v>
      </c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45">
        <f t="shared" si="15"/>
        <v>2888</v>
      </c>
      <c r="AK18" s="154" t="s">
        <v>138</v>
      </c>
      <c r="AL18" s="162">
        <f>SUM(AL16:AL17)</f>
        <v>4492.8284315998444</v>
      </c>
      <c r="AM18" s="163"/>
      <c r="AR18" s="164" t="s">
        <v>182</v>
      </c>
      <c r="AS18" s="165">
        <f>0</f>
        <v>0</v>
      </c>
      <c r="AV18" s="124"/>
      <c r="AX18" s="125"/>
      <c r="AY18" s="150"/>
    </row>
    <row r="19" spans="1:52" x14ac:dyDescent="0.25">
      <c r="A19" s="133">
        <v>5</v>
      </c>
      <c r="B19" s="142" t="s">
        <v>51</v>
      </c>
      <c r="C19" s="138">
        <v>3230</v>
      </c>
      <c r="D19" s="138">
        <v>200</v>
      </c>
      <c r="E19" s="138">
        <v>680</v>
      </c>
      <c r="F19" s="138">
        <v>40</v>
      </c>
      <c r="G19" s="138">
        <v>105</v>
      </c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45">
        <f t="shared" si="15"/>
        <v>4255</v>
      </c>
      <c r="AX19" s="125"/>
      <c r="AY19" s="150"/>
    </row>
    <row r="20" spans="1:52" x14ac:dyDescent="0.25">
      <c r="A20" s="133">
        <v>6</v>
      </c>
      <c r="B20" s="142" t="s">
        <v>104</v>
      </c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>
        <v>3550</v>
      </c>
      <c r="T20" s="138"/>
      <c r="U20" s="138"/>
      <c r="V20" s="138"/>
      <c r="W20" s="138"/>
      <c r="X20" s="138"/>
      <c r="Y20" s="138"/>
      <c r="Z20" s="138"/>
      <c r="AA20" s="138"/>
      <c r="AC20" s="138"/>
      <c r="AD20" s="138"/>
      <c r="AE20" s="138"/>
      <c r="AF20" s="138"/>
      <c r="AG20" s="138"/>
      <c r="AH20" s="145">
        <f>SUM(C20:AG20)</f>
        <v>3550</v>
      </c>
      <c r="AK20" s="154" t="s">
        <v>92</v>
      </c>
      <c r="AL20" s="154" t="s">
        <v>95</v>
      </c>
      <c r="AM20" s="155"/>
      <c r="AW20" s="149"/>
      <c r="AX20" s="125"/>
    </row>
    <row r="21" spans="1:52" x14ac:dyDescent="0.25">
      <c r="A21" s="133">
        <v>7</v>
      </c>
      <c r="B21" s="134" t="s">
        <v>176</v>
      </c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>
        <v>70</v>
      </c>
      <c r="P21" s="138">
        <v>590</v>
      </c>
      <c r="Q21" s="138">
        <v>1026</v>
      </c>
      <c r="R21" s="138">
        <v>1225</v>
      </c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45">
        <f t="shared" si="15"/>
        <v>2911</v>
      </c>
      <c r="AK21" s="140" t="s">
        <v>174</v>
      </c>
      <c r="AL21" s="157">
        <f>AS16</f>
        <v>3663.5919120182061</v>
      </c>
      <c r="AM21" s="158"/>
      <c r="AT21" s="149"/>
      <c r="AU21" s="149"/>
      <c r="AX21" s="125"/>
      <c r="AY21" s="150"/>
      <c r="AZ21" s="150"/>
    </row>
    <row r="22" spans="1:52" x14ac:dyDescent="0.25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62">
        <f>SUM(AH15:AH21)</f>
        <v>23919</v>
      </c>
      <c r="AK22" s="140" t="s">
        <v>94</v>
      </c>
      <c r="AL22" s="157">
        <f>AY12</f>
        <v>829.23651958163828</v>
      </c>
      <c r="AM22" s="158"/>
      <c r="AN22" s="150"/>
      <c r="AO22" s="150"/>
    </row>
    <row r="23" spans="1:52" x14ac:dyDescent="0.25">
      <c r="AK23" s="154" t="s">
        <v>139</v>
      </c>
      <c r="AL23" s="162">
        <f>SUM(AL21:AL22)</f>
        <v>4492.8284315998444</v>
      </c>
      <c r="AM23" s="163"/>
    </row>
    <row r="24" spans="1:52" x14ac:dyDescent="0.25">
      <c r="A24" s="166"/>
      <c r="B24" s="167" t="s">
        <v>187</v>
      </c>
      <c r="C24" s="168" t="s">
        <v>11</v>
      </c>
      <c r="D24" s="168" t="s">
        <v>12</v>
      </c>
      <c r="E24" s="168" t="s">
        <v>13</v>
      </c>
      <c r="F24" s="168" t="s">
        <v>14</v>
      </c>
      <c r="G24" s="168" t="s">
        <v>15</v>
      </c>
      <c r="H24" s="168" t="s">
        <v>16</v>
      </c>
      <c r="I24" s="168" t="s">
        <v>17</v>
      </c>
      <c r="J24" s="168" t="s">
        <v>18</v>
      </c>
      <c r="K24" s="168" t="s">
        <v>19</v>
      </c>
      <c r="L24" s="168" t="s">
        <v>20</v>
      </c>
      <c r="M24" s="168" t="s">
        <v>21</v>
      </c>
      <c r="N24" s="168" t="s">
        <v>22</v>
      </c>
    </row>
    <row r="25" spans="1:52" x14ac:dyDescent="0.25">
      <c r="A25" s="133">
        <v>1</v>
      </c>
      <c r="B25" s="142" t="s">
        <v>5</v>
      </c>
      <c r="C25" s="137">
        <f>H35</f>
        <v>3142.8571428571427</v>
      </c>
      <c r="D25" s="137">
        <f t="shared" ref="D25:D31" si="16">$D$32/7</f>
        <v>500</v>
      </c>
      <c r="E25" s="137">
        <f>$E$32/7</f>
        <v>214.28571428571428</v>
      </c>
      <c r="F25" s="137">
        <f t="shared" ref="F25:F31" si="17">$F$32/7</f>
        <v>71.428571428571431</v>
      </c>
      <c r="G25" s="137">
        <f t="shared" ref="G25:G31" si="18">$G$32/7</f>
        <v>139.28571428571428</v>
      </c>
      <c r="H25" s="169">
        <f t="shared" ref="H25:H31" si="19">$H$32/7</f>
        <v>322.28571428571428</v>
      </c>
      <c r="I25" s="137">
        <f t="shared" ref="I25:I31" si="20">$I$32/7</f>
        <v>300</v>
      </c>
      <c r="J25" s="137">
        <f t="shared" ref="J25:J31" si="21">$J$32/7</f>
        <v>35.714285714285715</v>
      </c>
      <c r="K25" s="169">
        <f t="shared" ref="K25:K31" si="22">$K$32/7</f>
        <v>57.142857142857146</v>
      </c>
      <c r="L25" s="138">
        <f t="shared" ref="L25:L31" si="23">$L$32/7</f>
        <v>17.142857142857142</v>
      </c>
      <c r="M25" s="137">
        <f t="shared" ref="M25:M31" si="24">$M$32/7</f>
        <v>0</v>
      </c>
      <c r="N25" s="145">
        <f t="shared" ref="N25:N29" si="25">SUM(C25:M25)</f>
        <v>4800.142857142856</v>
      </c>
      <c r="AK25" s="152" t="s">
        <v>125</v>
      </c>
      <c r="AL25" s="153">
        <f>AL18-AL23</f>
        <v>0</v>
      </c>
      <c r="AM25" s="153"/>
    </row>
    <row r="26" spans="1:52" x14ac:dyDescent="0.25">
      <c r="A26" s="133">
        <v>2</v>
      </c>
      <c r="B26" s="142" t="s">
        <v>131</v>
      </c>
      <c r="C26" s="137">
        <f>H35</f>
        <v>3142.8571428571427</v>
      </c>
      <c r="D26" s="137">
        <f t="shared" si="16"/>
        <v>500</v>
      </c>
      <c r="E26" s="137">
        <f>$E$32/7</f>
        <v>214.28571428571428</v>
      </c>
      <c r="F26" s="137">
        <f t="shared" si="17"/>
        <v>71.428571428571431</v>
      </c>
      <c r="G26" s="137">
        <f t="shared" si="18"/>
        <v>139.28571428571428</v>
      </c>
      <c r="H26" s="169">
        <f t="shared" si="19"/>
        <v>322.28571428571428</v>
      </c>
      <c r="I26" s="137">
        <f t="shared" si="20"/>
        <v>300</v>
      </c>
      <c r="J26" s="137">
        <f t="shared" si="21"/>
        <v>35.714285714285715</v>
      </c>
      <c r="K26" s="169">
        <f t="shared" si="22"/>
        <v>57.142857142857146</v>
      </c>
      <c r="L26" s="138">
        <f t="shared" si="23"/>
        <v>17.142857142857142</v>
      </c>
      <c r="M26" s="137">
        <f t="shared" si="24"/>
        <v>0</v>
      </c>
      <c r="N26" s="145">
        <f t="shared" si="25"/>
        <v>4800.142857142856</v>
      </c>
    </row>
    <row r="27" spans="1:52" x14ac:dyDescent="0.25">
      <c r="A27" s="133">
        <v>3</v>
      </c>
      <c r="B27" s="142" t="s">
        <v>6</v>
      </c>
      <c r="C27" s="137">
        <f>H36</f>
        <v>2142.8571428571427</v>
      </c>
      <c r="D27" s="137">
        <f t="shared" si="16"/>
        <v>500</v>
      </c>
      <c r="E27" s="137">
        <f>$E$32/7</f>
        <v>214.28571428571428</v>
      </c>
      <c r="F27" s="137">
        <f t="shared" si="17"/>
        <v>71.428571428571431</v>
      </c>
      <c r="G27" s="137">
        <f t="shared" si="18"/>
        <v>139.28571428571428</v>
      </c>
      <c r="H27" s="169">
        <f t="shared" si="19"/>
        <v>322.28571428571428</v>
      </c>
      <c r="I27" s="137">
        <f t="shared" si="20"/>
        <v>300</v>
      </c>
      <c r="J27" s="137">
        <f t="shared" si="21"/>
        <v>35.714285714285715</v>
      </c>
      <c r="K27" s="169">
        <f t="shared" si="22"/>
        <v>57.142857142857146</v>
      </c>
      <c r="L27" s="138">
        <f t="shared" si="23"/>
        <v>17.142857142857142</v>
      </c>
      <c r="M27" s="137">
        <f t="shared" si="24"/>
        <v>0</v>
      </c>
      <c r="N27" s="145">
        <f t="shared" si="25"/>
        <v>3800.1428571428573</v>
      </c>
    </row>
    <row r="28" spans="1:52" x14ac:dyDescent="0.25">
      <c r="A28" s="133">
        <v>4</v>
      </c>
      <c r="B28" s="142" t="s">
        <v>57</v>
      </c>
      <c r="C28" s="137">
        <f>H36</f>
        <v>2142.8571428571427</v>
      </c>
      <c r="D28" s="137">
        <f t="shared" si="16"/>
        <v>500</v>
      </c>
      <c r="E28" s="137">
        <f>$E$32/7</f>
        <v>214.28571428571428</v>
      </c>
      <c r="F28" s="137">
        <f t="shared" si="17"/>
        <v>71.428571428571431</v>
      </c>
      <c r="G28" s="137">
        <f t="shared" si="18"/>
        <v>139.28571428571428</v>
      </c>
      <c r="H28" s="169">
        <f t="shared" si="19"/>
        <v>322.28571428571428</v>
      </c>
      <c r="I28" s="137">
        <f t="shared" si="20"/>
        <v>300</v>
      </c>
      <c r="J28" s="137">
        <f t="shared" si="21"/>
        <v>35.714285714285715</v>
      </c>
      <c r="K28" s="169">
        <f t="shared" si="22"/>
        <v>57.142857142857146</v>
      </c>
      <c r="L28" s="138">
        <f t="shared" si="23"/>
        <v>17.142857142857142</v>
      </c>
      <c r="M28" s="137">
        <f t="shared" si="24"/>
        <v>0</v>
      </c>
      <c r="N28" s="145">
        <f t="shared" si="25"/>
        <v>3800.1428571428573</v>
      </c>
    </row>
    <row r="29" spans="1:52" x14ac:dyDescent="0.25">
      <c r="A29" s="133">
        <v>5</v>
      </c>
      <c r="B29" s="142" t="s">
        <v>51</v>
      </c>
      <c r="C29" s="137">
        <f>H36</f>
        <v>2142.8571428571427</v>
      </c>
      <c r="D29" s="137">
        <f t="shared" si="16"/>
        <v>500</v>
      </c>
      <c r="E29" s="137">
        <f>$E$32/7</f>
        <v>214.28571428571428</v>
      </c>
      <c r="F29" s="137">
        <f t="shared" si="17"/>
        <v>71.428571428571431</v>
      </c>
      <c r="G29" s="137">
        <f t="shared" si="18"/>
        <v>139.28571428571428</v>
      </c>
      <c r="H29" s="169">
        <f t="shared" si="19"/>
        <v>322.28571428571428</v>
      </c>
      <c r="I29" s="137">
        <f t="shared" si="20"/>
        <v>300</v>
      </c>
      <c r="J29" s="137">
        <f t="shared" si="21"/>
        <v>35.714285714285715</v>
      </c>
      <c r="K29" s="169">
        <f t="shared" si="22"/>
        <v>57.142857142857146</v>
      </c>
      <c r="L29" s="138">
        <f t="shared" si="23"/>
        <v>17.142857142857142</v>
      </c>
      <c r="M29" s="137">
        <f t="shared" si="24"/>
        <v>0</v>
      </c>
      <c r="N29" s="145">
        <f t="shared" si="25"/>
        <v>3800.1428571428573</v>
      </c>
    </row>
    <row r="30" spans="1:52" x14ac:dyDescent="0.25">
      <c r="A30" s="133">
        <v>6</v>
      </c>
      <c r="B30" s="142" t="s">
        <v>104</v>
      </c>
      <c r="C30" s="137">
        <f>H37</f>
        <v>2892.8571428571427</v>
      </c>
      <c r="D30" s="137">
        <f t="shared" si="16"/>
        <v>500</v>
      </c>
      <c r="E30" s="137">
        <f t="shared" ref="E30:E31" si="26">$E$32/7</f>
        <v>214.28571428571428</v>
      </c>
      <c r="F30" s="137">
        <f t="shared" si="17"/>
        <v>71.428571428571431</v>
      </c>
      <c r="G30" s="137">
        <f t="shared" si="18"/>
        <v>139.28571428571428</v>
      </c>
      <c r="H30" s="169">
        <f t="shared" si="19"/>
        <v>322.28571428571428</v>
      </c>
      <c r="I30" s="137">
        <f t="shared" si="20"/>
        <v>300</v>
      </c>
      <c r="J30" s="137">
        <f t="shared" si="21"/>
        <v>35.714285714285715</v>
      </c>
      <c r="K30" s="169">
        <f t="shared" si="22"/>
        <v>57.142857142857146</v>
      </c>
      <c r="L30" s="138">
        <f t="shared" si="23"/>
        <v>17.142857142857142</v>
      </c>
      <c r="M30" s="137">
        <f t="shared" si="24"/>
        <v>0</v>
      </c>
      <c r="N30" s="145">
        <f>SUM(C30:M30)</f>
        <v>4550.142857142856</v>
      </c>
    </row>
    <row r="31" spans="1:52" x14ac:dyDescent="0.25">
      <c r="A31" s="133">
        <v>7</v>
      </c>
      <c r="B31" s="134" t="s">
        <v>176</v>
      </c>
      <c r="C31" s="137">
        <f>H37</f>
        <v>2892.8571428571427</v>
      </c>
      <c r="D31" s="137">
        <f t="shared" si="16"/>
        <v>500</v>
      </c>
      <c r="E31" s="137">
        <f t="shared" si="26"/>
        <v>214.28571428571428</v>
      </c>
      <c r="F31" s="137">
        <f t="shared" si="17"/>
        <v>71.428571428571431</v>
      </c>
      <c r="G31" s="137">
        <f t="shared" si="18"/>
        <v>139.28571428571428</v>
      </c>
      <c r="H31" s="169">
        <f t="shared" si="19"/>
        <v>322.28571428571428</v>
      </c>
      <c r="I31" s="137">
        <f t="shared" si="20"/>
        <v>300</v>
      </c>
      <c r="J31" s="137">
        <f t="shared" si="21"/>
        <v>35.714285714285715</v>
      </c>
      <c r="K31" s="169">
        <f t="shared" si="22"/>
        <v>57.142857142857146</v>
      </c>
      <c r="L31" s="138">
        <f t="shared" si="23"/>
        <v>17.142857142857142</v>
      </c>
      <c r="M31" s="137">
        <f t="shared" si="24"/>
        <v>0</v>
      </c>
      <c r="N31" s="145">
        <f>SUM(C31:M31)</f>
        <v>4550.142857142856</v>
      </c>
    </row>
    <row r="32" spans="1:52" x14ac:dyDescent="0.25">
      <c r="A32" s="215" t="s">
        <v>47</v>
      </c>
      <c r="B32" s="215"/>
      <c r="C32" s="145">
        <v>18500</v>
      </c>
      <c r="D32" s="146">
        <v>3500</v>
      </c>
      <c r="E32" s="145">
        <v>1500</v>
      </c>
      <c r="F32" s="145">
        <v>500</v>
      </c>
      <c r="G32" s="145">
        <v>975</v>
      </c>
      <c r="H32" s="170">
        <v>2256</v>
      </c>
      <c r="I32" s="145">
        <v>2100</v>
      </c>
      <c r="J32" s="145">
        <v>250</v>
      </c>
      <c r="K32" s="170">
        <v>400</v>
      </c>
      <c r="L32" s="146">
        <v>120</v>
      </c>
      <c r="M32" s="145"/>
      <c r="N32" s="145">
        <f>SUM(N25:N31)</f>
        <v>30100.999999999996</v>
      </c>
    </row>
    <row r="35" spans="4:23" x14ac:dyDescent="0.25">
      <c r="D35" s="140">
        <v>6000</v>
      </c>
      <c r="E35" s="140">
        <v>2</v>
      </c>
      <c r="F35" s="140">
        <f>D35/E35</f>
        <v>3000</v>
      </c>
      <c r="G35" s="140">
        <f>(500+500)/7</f>
        <v>142.85714285714286</v>
      </c>
      <c r="H35" s="171">
        <f>F35+G35</f>
        <v>3142.8571428571427</v>
      </c>
      <c r="I35" s="171">
        <f>H35*E35</f>
        <v>6285.7142857142853</v>
      </c>
      <c r="M35" s="140" t="s">
        <v>61</v>
      </c>
      <c r="N35" s="157">
        <f>C32</f>
        <v>18500</v>
      </c>
      <c r="U35" s="150"/>
    </row>
    <row r="36" spans="4:23" x14ac:dyDescent="0.25">
      <c r="D36" s="140">
        <v>6000</v>
      </c>
      <c r="E36" s="140">
        <v>3</v>
      </c>
      <c r="F36" s="140">
        <f t="shared" ref="F36:F37" si="27">D36/E36</f>
        <v>2000</v>
      </c>
      <c r="G36" s="140">
        <f t="shared" ref="G36:G37" si="28">(500+500)/7</f>
        <v>142.85714285714286</v>
      </c>
      <c r="H36" s="171">
        <f t="shared" ref="H36" si="29">F36+G36</f>
        <v>2142.8571428571427</v>
      </c>
      <c r="I36" s="171">
        <f t="shared" ref="I36:I37" si="30">H36*E36</f>
        <v>6428.5714285714275</v>
      </c>
      <c r="M36" s="140" t="s">
        <v>71</v>
      </c>
      <c r="N36" s="157">
        <f>G32</f>
        <v>975</v>
      </c>
      <c r="T36" s="150"/>
    </row>
    <row r="37" spans="4:23" x14ac:dyDescent="0.25">
      <c r="D37" s="140">
        <v>5500</v>
      </c>
      <c r="E37" s="140">
        <v>2</v>
      </c>
      <c r="F37" s="171">
        <f t="shared" si="27"/>
        <v>2750</v>
      </c>
      <c r="G37" s="140">
        <f t="shared" si="28"/>
        <v>142.85714285714286</v>
      </c>
      <c r="H37" s="171">
        <f>F37+G37</f>
        <v>2892.8571428571427</v>
      </c>
      <c r="I37" s="171">
        <f t="shared" si="30"/>
        <v>5785.7142857142853</v>
      </c>
      <c r="M37" s="140" t="s">
        <v>72</v>
      </c>
      <c r="N37" s="157">
        <f>I32</f>
        <v>2100</v>
      </c>
      <c r="T37" s="150"/>
    </row>
    <row r="38" spans="4:23" x14ac:dyDescent="0.25">
      <c r="D38" s="140">
        <f>SUM(D35:D37)</f>
        <v>17500</v>
      </c>
      <c r="E38" s="140"/>
      <c r="F38" s="140"/>
      <c r="G38" s="140"/>
      <c r="H38" s="140"/>
      <c r="I38" s="171">
        <f>SUM(I35:I37)</f>
        <v>18500</v>
      </c>
      <c r="M38" s="140" t="s">
        <v>73</v>
      </c>
      <c r="N38" s="157">
        <f>H32</f>
        <v>2256</v>
      </c>
      <c r="T38" s="150"/>
      <c r="V38" s="150"/>
    </row>
    <row r="39" spans="4:23" x14ac:dyDescent="0.25">
      <c r="M39" s="140" t="s">
        <v>74</v>
      </c>
      <c r="N39" s="157">
        <f>J32</f>
        <v>250</v>
      </c>
      <c r="T39" s="153"/>
      <c r="U39" s="150"/>
    </row>
    <row r="40" spans="4:23" x14ac:dyDescent="0.25">
      <c r="M40" s="154" t="s">
        <v>47</v>
      </c>
      <c r="N40" s="162">
        <f>SUM(N35:N39)</f>
        <v>24081</v>
      </c>
    </row>
    <row r="41" spans="4:23" x14ac:dyDescent="0.25">
      <c r="N41" s="150"/>
    </row>
    <row r="42" spans="4:23" x14ac:dyDescent="0.25">
      <c r="M42" s="140" t="s">
        <v>12</v>
      </c>
      <c r="N42" s="157">
        <f>D32</f>
        <v>3500</v>
      </c>
      <c r="U42" s="150"/>
    </row>
    <row r="43" spans="4:23" x14ac:dyDescent="0.25">
      <c r="M43" s="140" t="s">
        <v>13</v>
      </c>
      <c r="N43" s="157">
        <f>E32</f>
        <v>1500</v>
      </c>
      <c r="U43" s="149"/>
      <c r="V43" s="150"/>
      <c r="W43" s="149"/>
    </row>
    <row r="44" spans="4:23" x14ac:dyDescent="0.25">
      <c r="M44" s="140" t="s">
        <v>14</v>
      </c>
      <c r="N44" s="157">
        <f>F32</f>
        <v>500</v>
      </c>
      <c r="U44" s="150"/>
    </row>
    <row r="45" spans="4:23" x14ac:dyDescent="0.25">
      <c r="M45" s="140" t="s">
        <v>20</v>
      </c>
      <c r="N45" s="157">
        <f>L32</f>
        <v>120</v>
      </c>
    </row>
    <row r="46" spans="4:23" x14ac:dyDescent="0.25">
      <c r="M46" s="140" t="s">
        <v>123</v>
      </c>
      <c r="N46" s="157">
        <f>K32</f>
        <v>400</v>
      </c>
    </row>
    <row r="47" spans="4:23" x14ac:dyDescent="0.25">
      <c r="M47" s="140" t="s">
        <v>21</v>
      </c>
      <c r="N47" s="157">
        <f>M32</f>
        <v>0</v>
      </c>
    </row>
    <row r="48" spans="4:23" x14ac:dyDescent="0.25">
      <c r="M48" s="154" t="s">
        <v>47</v>
      </c>
      <c r="N48" s="162">
        <f>SUM(N42:N47)</f>
        <v>6020</v>
      </c>
    </row>
    <row r="50" spans="13:21" ht="13.8" thickBot="1" x14ac:dyDescent="0.3">
      <c r="M50" s="172" t="s">
        <v>124</v>
      </c>
      <c r="N50" s="173">
        <f>N48+N40</f>
        <v>30101</v>
      </c>
      <c r="U50" s="150"/>
    </row>
    <row r="51" spans="13:21" ht="13.8" thickTop="1" x14ac:dyDescent="0.25"/>
    <row r="52" spans="13:21" x14ac:dyDescent="0.25">
      <c r="M52" s="154" t="s">
        <v>125</v>
      </c>
      <c r="N52" s="157">
        <f>N32-N50</f>
        <v>0</v>
      </c>
    </row>
  </sheetData>
  <mergeCells count="3">
    <mergeCell ref="C1:D2"/>
    <mergeCell ref="E1:F2"/>
    <mergeCell ref="A32:B32"/>
  </mergeCells>
  <conditionalFormatting sqref="AN5:AN11 AY5:AZ11">
    <cfRule type="cellIs" dxfId="13" priority="4" operator="lessThan">
      <formula>0</formula>
    </cfRule>
  </conditionalFormatting>
  <conditionalFormatting sqref="AY5:AZ12">
    <cfRule type="cellIs" dxfId="12" priority="3" operator="greaterThan">
      <formula>0</formula>
    </cfRule>
  </conditionalFormatting>
  <conditionalFormatting sqref="AU5:AU11">
    <cfRule type="cellIs" dxfId="11" priority="2" operator="lessThan">
      <formula>0</formula>
    </cfRule>
  </conditionalFormatting>
  <printOptions horizontalCentered="1"/>
  <pageMargins left="0.25" right="0.25" top="0.75" bottom="0.75" header="0.3" footer="0.3"/>
  <pageSetup paperSize="9" scale="52" fitToHeight="0" orientation="landscape" horizontalDpi="1200" verticalDpi="1200" r:id="rId1"/>
  <headerFooter>
    <oddHeader>&amp;C&amp;"Tahoma,Bold"&amp;16Meal April 2022 
and
Rent May 2022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F6EC-601A-479F-924A-010D1FEDF944}">
  <dimension ref="A1:AO22"/>
  <sheetViews>
    <sheetView showGridLines="0" zoomScale="104" zoomScaleNormal="110" workbookViewId="0">
      <pane xSplit="2" ySplit="4" topLeftCell="AH5" activePane="bottomRight" state="frozen"/>
      <selection pane="topRight" activeCell="C1" sqref="C1"/>
      <selection pane="bottomLeft" activeCell="A5" sqref="A5"/>
      <selection pane="bottomRight" activeCell="AN6" sqref="AN6:AN7"/>
    </sheetView>
  </sheetViews>
  <sheetFormatPr defaultRowHeight="15.6" x14ac:dyDescent="0.4"/>
  <cols>
    <col min="1" max="1" width="7" bestFit="1" customWidth="1"/>
    <col min="2" max="2" width="23.69921875" customWidth="1"/>
    <col min="3" max="3" width="11.19921875" customWidth="1"/>
    <col min="4" max="4" width="9.3984375" customWidth="1"/>
    <col min="5" max="5" width="9.19921875" bestFit="1" customWidth="1"/>
    <col min="6" max="6" width="11.59765625" customWidth="1"/>
    <col min="7" max="7" width="12" bestFit="1" customWidth="1"/>
    <col min="8" max="8" width="12" customWidth="1"/>
    <col min="9" max="9" width="9.796875" customWidth="1"/>
    <col min="10" max="10" width="9.19921875" bestFit="1" customWidth="1"/>
    <col min="11" max="11" width="10.3984375" customWidth="1"/>
    <col min="12" max="13" width="10.19921875" bestFit="1" customWidth="1"/>
    <col min="14" max="14" width="11.59765625" bestFit="1" customWidth="1"/>
    <col min="15" max="15" width="10.19921875" bestFit="1" customWidth="1"/>
    <col min="16" max="16" width="9.8984375" bestFit="1" customWidth="1"/>
    <col min="17" max="19" width="10.19921875" bestFit="1" customWidth="1"/>
    <col min="20" max="20" width="13" customWidth="1"/>
    <col min="21" max="30" width="10.19921875" bestFit="1" customWidth="1"/>
    <col min="31" max="33" width="10.19921875" customWidth="1"/>
    <col min="34" max="34" width="10.19921875" bestFit="1" customWidth="1"/>
    <col min="35" max="35" width="5.8984375" customWidth="1"/>
    <col min="37" max="37" width="21.796875" bestFit="1" customWidth="1"/>
    <col min="38" max="40" width="15.59765625" customWidth="1"/>
  </cols>
  <sheetData>
    <row r="1" spans="1:41" ht="14.55" customHeight="1" x14ac:dyDescent="0.4">
      <c r="C1" s="211" t="s">
        <v>189</v>
      </c>
      <c r="D1" s="216"/>
      <c r="E1" s="119">
        <f>AH22/AH12</f>
        <v>64.609195402298852</v>
      </c>
      <c r="F1" s="120"/>
      <c r="G1" s="123"/>
    </row>
    <row r="2" spans="1:41" ht="18.600000000000001" customHeight="1" x14ac:dyDescent="0.4">
      <c r="C2" s="211"/>
      <c r="D2" s="216"/>
      <c r="E2" s="121"/>
      <c r="F2" s="122"/>
    </row>
    <row r="3" spans="1:41" ht="4.8" customHeight="1" x14ac:dyDescent="0.4"/>
    <row r="4" spans="1:41" ht="47.4" customHeight="1" x14ac:dyDescent="0.4">
      <c r="A4" s="53" t="s">
        <v>0</v>
      </c>
      <c r="B4" s="53" t="s">
        <v>2</v>
      </c>
      <c r="C4" s="54">
        <v>44652</v>
      </c>
      <c r="D4" s="54">
        <v>44653</v>
      </c>
      <c r="E4" s="54">
        <v>44654</v>
      </c>
      <c r="F4" s="54">
        <v>44655</v>
      </c>
      <c r="G4" s="54">
        <v>44656</v>
      </c>
      <c r="H4" s="54">
        <v>44657</v>
      </c>
      <c r="I4" s="54">
        <v>44658</v>
      </c>
      <c r="J4" s="54">
        <v>44659</v>
      </c>
      <c r="K4" s="54">
        <v>44660</v>
      </c>
      <c r="L4" s="54">
        <v>44661</v>
      </c>
      <c r="M4" s="54">
        <v>44662</v>
      </c>
      <c r="N4" s="54">
        <v>44663</v>
      </c>
      <c r="O4" s="54">
        <v>44664</v>
      </c>
      <c r="P4" s="54">
        <v>44665</v>
      </c>
      <c r="Q4" s="54">
        <v>44666</v>
      </c>
      <c r="R4" s="54">
        <v>44667</v>
      </c>
      <c r="S4" s="54">
        <v>44668</v>
      </c>
      <c r="T4" s="54">
        <v>44669</v>
      </c>
      <c r="U4" s="54">
        <v>44670</v>
      </c>
      <c r="V4" s="54">
        <v>44671</v>
      </c>
      <c r="W4" s="54">
        <v>44672</v>
      </c>
      <c r="X4" s="54">
        <v>44673</v>
      </c>
      <c r="Y4" s="54">
        <v>44674</v>
      </c>
      <c r="Z4" s="54">
        <v>44675</v>
      </c>
      <c r="AA4" s="54">
        <v>44676</v>
      </c>
      <c r="AB4" s="54">
        <v>44677</v>
      </c>
      <c r="AC4" s="54">
        <v>44678</v>
      </c>
      <c r="AD4" s="54">
        <v>44679</v>
      </c>
      <c r="AE4" s="54">
        <v>44680</v>
      </c>
      <c r="AF4" s="54">
        <v>44681</v>
      </c>
      <c r="AG4" s="54"/>
      <c r="AH4" s="53" t="s">
        <v>1</v>
      </c>
      <c r="AJ4" s="49" t="s">
        <v>0</v>
      </c>
      <c r="AK4" s="116" t="s">
        <v>2</v>
      </c>
      <c r="AL4" s="82" t="s">
        <v>23</v>
      </c>
      <c r="AM4" s="82" t="s">
        <v>24</v>
      </c>
      <c r="AN4" s="82" t="s">
        <v>26</v>
      </c>
      <c r="AO4" s="82" t="s">
        <v>175</v>
      </c>
    </row>
    <row r="5" spans="1:41" x14ac:dyDescent="0.4">
      <c r="A5" s="2">
        <v>1</v>
      </c>
      <c r="B5" s="3" t="s">
        <v>5</v>
      </c>
      <c r="C5" s="7">
        <v>0</v>
      </c>
      <c r="D5" s="7">
        <v>0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1</v>
      </c>
      <c r="L5" s="7">
        <v>2</v>
      </c>
      <c r="M5" s="7">
        <v>2</v>
      </c>
      <c r="N5" s="7">
        <v>0</v>
      </c>
      <c r="O5" s="7">
        <v>1</v>
      </c>
      <c r="P5" s="7">
        <v>3</v>
      </c>
      <c r="Q5" s="7">
        <v>0</v>
      </c>
      <c r="R5" s="7">
        <v>2</v>
      </c>
      <c r="S5" s="7">
        <v>2</v>
      </c>
      <c r="T5" s="7">
        <v>2</v>
      </c>
      <c r="U5" s="7">
        <v>1</v>
      </c>
      <c r="V5" s="7">
        <v>0</v>
      </c>
      <c r="W5" s="7">
        <v>1</v>
      </c>
      <c r="X5" s="7">
        <v>1</v>
      </c>
      <c r="Y5" s="7">
        <v>2</v>
      </c>
      <c r="Z5" s="7">
        <v>2</v>
      </c>
      <c r="AA5" s="7">
        <v>2</v>
      </c>
      <c r="AB5" s="7">
        <v>1</v>
      </c>
      <c r="AC5" s="7">
        <v>1</v>
      </c>
      <c r="AD5" s="7">
        <v>2</v>
      </c>
      <c r="AE5" s="7">
        <v>2</v>
      </c>
      <c r="AF5" s="7">
        <v>3</v>
      </c>
      <c r="AG5" s="7"/>
      <c r="AH5" s="56">
        <f>SUM(C5:AG5)</f>
        <v>45</v>
      </c>
      <c r="AJ5" s="2">
        <v>1</v>
      </c>
      <c r="AK5" s="3" t="s">
        <v>5</v>
      </c>
      <c r="AL5" s="8">
        <f t="shared" ref="AL5:AL11" si="0">AH5*$E$1</f>
        <v>2907.4137931034484</v>
      </c>
      <c r="AM5" s="8">
        <f>AH15</f>
        <v>925</v>
      </c>
      <c r="AN5" s="8">
        <f t="shared" ref="AN5:AN11" si="1">AM5-AL5</f>
        <v>-1982.4137931034484</v>
      </c>
      <c r="AO5" s="8">
        <f t="shared" ref="AO5:AO11" si="2">SUBTOTAL(2,C15:AG15)</f>
        <v>5</v>
      </c>
    </row>
    <row r="6" spans="1:41" x14ac:dyDescent="0.4">
      <c r="A6" s="2">
        <v>2</v>
      </c>
      <c r="B6" s="3" t="s">
        <v>131</v>
      </c>
      <c r="C6" s="7">
        <v>0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1</v>
      </c>
      <c r="Z6" s="7">
        <v>0</v>
      </c>
      <c r="AA6" s="7">
        <v>1</v>
      </c>
      <c r="AB6" s="7">
        <v>1</v>
      </c>
      <c r="AC6" s="7">
        <v>0</v>
      </c>
      <c r="AD6" s="7">
        <v>0</v>
      </c>
      <c r="AE6" s="7">
        <v>0</v>
      </c>
      <c r="AF6" s="7">
        <v>0</v>
      </c>
      <c r="AG6" s="7"/>
      <c r="AH6" s="56">
        <f>SUM(C6:AG6)</f>
        <v>11</v>
      </c>
      <c r="AJ6" s="2">
        <v>2</v>
      </c>
      <c r="AK6" s="3" t="s">
        <v>131</v>
      </c>
      <c r="AL6" s="8">
        <f t="shared" si="0"/>
        <v>710.70114942528733</v>
      </c>
      <c r="AM6" s="8">
        <f t="shared" ref="AM6:AM7" si="3">AH16</f>
        <v>1416</v>
      </c>
      <c r="AN6" s="8">
        <f t="shared" si="1"/>
        <v>705.29885057471267</v>
      </c>
      <c r="AO6" s="8">
        <f t="shared" si="2"/>
        <v>3</v>
      </c>
    </row>
    <row r="7" spans="1:41" x14ac:dyDescent="0.4">
      <c r="A7" s="2">
        <v>3</v>
      </c>
      <c r="B7" s="3" t="s">
        <v>6</v>
      </c>
      <c r="C7" s="7">
        <v>0</v>
      </c>
      <c r="D7" s="7">
        <v>0</v>
      </c>
      <c r="E7" s="7">
        <v>1</v>
      </c>
      <c r="F7" s="7">
        <v>1</v>
      </c>
      <c r="G7" s="7">
        <v>1</v>
      </c>
      <c r="H7" s="7">
        <v>0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1</v>
      </c>
      <c r="AF7" s="7">
        <v>2</v>
      </c>
      <c r="AG7" s="7"/>
      <c r="AH7" s="56">
        <f>SUM(E7:AG7)</f>
        <v>13</v>
      </c>
      <c r="AJ7" s="2">
        <v>3</v>
      </c>
      <c r="AK7" s="3" t="s">
        <v>6</v>
      </c>
      <c r="AL7" s="8">
        <f t="shared" si="0"/>
        <v>839.91954022988511</v>
      </c>
      <c r="AM7" s="8">
        <f t="shared" si="3"/>
        <v>1003</v>
      </c>
      <c r="AN7" s="8">
        <f t="shared" si="1"/>
        <v>163.08045977011489</v>
      </c>
      <c r="AO7" s="8">
        <f t="shared" si="2"/>
        <v>1</v>
      </c>
    </row>
    <row r="8" spans="1:41" x14ac:dyDescent="0.4">
      <c r="A8" s="2">
        <v>4</v>
      </c>
      <c r="B8" s="3" t="s">
        <v>57</v>
      </c>
      <c r="C8" s="7">
        <v>0</v>
      </c>
      <c r="D8" s="7">
        <v>0</v>
      </c>
      <c r="E8" s="7">
        <v>2</v>
      </c>
      <c r="F8" s="7">
        <v>1</v>
      </c>
      <c r="G8" s="7">
        <v>3</v>
      </c>
      <c r="H8" s="7">
        <v>1</v>
      </c>
      <c r="I8" s="7">
        <v>2</v>
      </c>
      <c r="J8" s="7">
        <v>1</v>
      </c>
      <c r="K8" s="7">
        <v>1</v>
      </c>
      <c r="L8" s="7">
        <v>1</v>
      </c>
      <c r="M8" s="7">
        <v>2</v>
      </c>
      <c r="N8" s="7">
        <v>1</v>
      </c>
      <c r="O8" s="7">
        <v>1</v>
      </c>
      <c r="P8" s="7">
        <v>1</v>
      </c>
      <c r="Q8" s="7">
        <v>0</v>
      </c>
      <c r="R8" s="7">
        <v>1</v>
      </c>
      <c r="S8" s="7">
        <v>1</v>
      </c>
      <c r="T8" s="7">
        <v>1</v>
      </c>
      <c r="U8" s="7">
        <v>1</v>
      </c>
      <c r="V8" s="7">
        <v>0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2</v>
      </c>
      <c r="AF8" s="7">
        <v>6</v>
      </c>
      <c r="AG8" s="7"/>
      <c r="AH8" s="56">
        <f>SUM(E8:AG8)</f>
        <v>37</v>
      </c>
      <c r="AJ8" s="2">
        <v>4</v>
      </c>
      <c r="AK8" s="3" t="s">
        <v>57</v>
      </c>
      <c r="AL8" s="8">
        <f t="shared" si="0"/>
        <v>2390.5402298850577</v>
      </c>
      <c r="AM8" s="8">
        <f>AH18</f>
        <v>2157</v>
      </c>
      <c r="AN8" s="8">
        <f t="shared" si="1"/>
        <v>-233.54022988505767</v>
      </c>
      <c r="AO8" s="8">
        <f t="shared" si="2"/>
        <v>6</v>
      </c>
    </row>
    <row r="9" spans="1:41" x14ac:dyDescent="0.4">
      <c r="A9" s="2">
        <v>5</v>
      </c>
      <c r="B9" s="12" t="s">
        <v>51</v>
      </c>
      <c r="C9" s="7">
        <v>0</v>
      </c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2</v>
      </c>
      <c r="Z9" s="7">
        <v>0</v>
      </c>
      <c r="AA9" s="7">
        <v>1</v>
      </c>
      <c r="AB9" s="7">
        <v>1</v>
      </c>
      <c r="AC9" s="7">
        <v>1</v>
      </c>
      <c r="AD9" s="7">
        <v>1</v>
      </c>
      <c r="AE9" s="7">
        <v>0</v>
      </c>
      <c r="AF9" s="7">
        <v>0</v>
      </c>
      <c r="AG9" s="7"/>
      <c r="AH9" s="56">
        <f t="shared" ref="AH9:AH10" si="4">SUM(C9:AG9)</f>
        <v>24</v>
      </c>
      <c r="AJ9" s="2">
        <v>5</v>
      </c>
      <c r="AK9" s="12" t="s">
        <v>51</v>
      </c>
      <c r="AL9" s="8">
        <f t="shared" si="0"/>
        <v>1550.6206896551726</v>
      </c>
      <c r="AM9" s="8">
        <f>AH19</f>
        <v>2616</v>
      </c>
      <c r="AN9" s="8">
        <f t="shared" si="1"/>
        <v>1065.3793103448274</v>
      </c>
      <c r="AO9" s="8">
        <f t="shared" si="2"/>
        <v>5</v>
      </c>
    </row>
    <row r="10" spans="1:41" x14ac:dyDescent="0.4">
      <c r="A10" s="2">
        <v>6</v>
      </c>
      <c r="B10" s="12" t="s">
        <v>104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1</v>
      </c>
      <c r="N10" s="7">
        <v>1</v>
      </c>
      <c r="O10" s="7">
        <v>0</v>
      </c>
      <c r="P10" s="7">
        <v>0</v>
      </c>
      <c r="Q10" s="7">
        <v>0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0</v>
      </c>
      <c r="AF10" s="7">
        <v>0</v>
      </c>
      <c r="AG10" s="7"/>
      <c r="AH10" s="56">
        <f t="shared" si="4"/>
        <v>21</v>
      </c>
      <c r="AJ10" s="2">
        <v>6</v>
      </c>
      <c r="AK10" s="12" t="s">
        <v>104</v>
      </c>
      <c r="AL10" s="8">
        <f t="shared" si="0"/>
        <v>1356.7931034482758</v>
      </c>
      <c r="AM10" s="8">
        <f>AH20</f>
        <v>1095</v>
      </c>
      <c r="AN10" s="8">
        <f t="shared" si="1"/>
        <v>-261.79310344827582</v>
      </c>
      <c r="AO10" s="8">
        <f t="shared" si="2"/>
        <v>1</v>
      </c>
    </row>
    <row r="11" spans="1:41" x14ac:dyDescent="0.4">
      <c r="A11" s="2">
        <v>7</v>
      </c>
      <c r="B11" s="3" t="s">
        <v>176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1</v>
      </c>
      <c r="P11" s="7">
        <v>1</v>
      </c>
      <c r="Q11" s="7">
        <v>0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0</v>
      </c>
      <c r="AE11" s="7">
        <v>0</v>
      </c>
      <c r="AF11" s="7">
        <v>0</v>
      </c>
      <c r="AG11" s="7"/>
      <c r="AH11" s="56">
        <f>SUM(C11:AG11)</f>
        <v>23</v>
      </c>
      <c r="AJ11" s="2">
        <v>7</v>
      </c>
      <c r="AK11" s="3" t="s">
        <v>176</v>
      </c>
      <c r="AL11" s="8">
        <f t="shared" si="0"/>
        <v>1486.0114942528735</v>
      </c>
      <c r="AM11" s="8">
        <f>AH21</f>
        <v>2030</v>
      </c>
      <c r="AN11" s="8">
        <f t="shared" si="1"/>
        <v>543.98850574712651</v>
      </c>
      <c r="AO11" s="8">
        <f t="shared" si="2"/>
        <v>3</v>
      </c>
    </row>
    <row r="12" spans="1:41" x14ac:dyDescent="0.4">
      <c r="A12" s="1"/>
      <c r="B12" s="1"/>
      <c r="C12" s="55">
        <f>SUM(C5:C11)</f>
        <v>0</v>
      </c>
      <c r="D12" s="55">
        <f t="shared" ref="D12:AG12" si="5">SUM(D5:D11)</f>
        <v>0</v>
      </c>
      <c r="E12" s="55">
        <f t="shared" si="5"/>
        <v>9</v>
      </c>
      <c r="F12" s="55">
        <f t="shared" si="5"/>
        <v>8</v>
      </c>
      <c r="G12" s="55">
        <f t="shared" si="5"/>
        <v>10</v>
      </c>
      <c r="H12" s="55">
        <f t="shared" si="5"/>
        <v>7</v>
      </c>
      <c r="I12" s="55">
        <f t="shared" si="5"/>
        <v>8</v>
      </c>
      <c r="J12" s="55">
        <f t="shared" si="5"/>
        <v>6</v>
      </c>
      <c r="K12" s="55">
        <f t="shared" si="5"/>
        <v>5</v>
      </c>
      <c r="L12" s="55">
        <f t="shared" si="5"/>
        <v>7</v>
      </c>
      <c r="M12" s="55">
        <f t="shared" si="5"/>
        <v>7</v>
      </c>
      <c r="N12" s="55">
        <f t="shared" si="5"/>
        <v>5</v>
      </c>
      <c r="O12" s="55">
        <f t="shared" si="5"/>
        <v>3</v>
      </c>
      <c r="P12" s="55">
        <f t="shared" si="5"/>
        <v>6</v>
      </c>
      <c r="Q12" s="55">
        <f t="shared" si="5"/>
        <v>0</v>
      </c>
      <c r="R12" s="55">
        <f t="shared" si="5"/>
        <v>7</v>
      </c>
      <c r="S12" s="55">
        <f t="shared" si="5"/>
        <v>6</v>
      </c>
      <c r="T12" s="55">
        <f t="shared" si="5"/>
        <v>7</v>
      </c>
      <c r="U12" s="55">
        <f t="shared" si="5"/>
        <v>5</v>
      </c>
      <c r="V12" s="55">
        <f t="shared" si="5"/>
        <v>3</v>
      </c>
      <c r="W12" s="55">
        <f t="shared" si="5"/>
        <v>5</v>
      </c>
      <c r="X12" s="55">
        <f t="shared" si="5"/>
        <v>7</v>
      </c>
      <c r="Y12" s="55">
        <f t="shared" si="5"/>
        <v>9</v>
      </c>
      <c r="Z12" s="55">
        <f t="shared" si="5"/>
        <v>5</v>
      </c>
      <c r="AA12" s="55">
        <f t="shared" si="5"/>
        <v>7</v>
      </c>
      <c r="AB12" s="55">
        <f t="shared" si="5"/>
        <v>6</v>
      </c>
      <c r="AC12" s="55">
        <f t="shared" si="5"/>
        <v>5</v>
      </c>
      <c r="AD12" s="55">
        <f t="shared" si="5"/>
        <v>5</v>
      </c>
      <c r="AE12" s="55">
        <f t="shared" si="5"/>
        <v>5</v>
      </c>
      <c r="AF12" s="55">
        <f t="shared" si="5"/>
        <v>11</v>
      </c>
      <c r="AG12" s="55">
        <f t="shared" si="5"/>
        <v>0</v>
      </c>
      <c r="AH12" s="55">
        <f>SUM(AH5:AH11)</f>
        <v>174</v>
      </c>
      <c r="AJ12" s="2"/>
      <c r="AK12" s="84" t="s">
        <v>47</v>
      </c>
      <c r="AL12" s="65">
        <f t="shared" ref="AL12:AN12" si="6">SUM(AL5:AL11)</f>
        <v>11242</v>
      </c>
      <c r="AM12" s="65">
        <f t="shared" si="6"/>
        <v>11242</v>
      </c>
      <c r="AN12" s="65">
        <f t="shared" si="6"/>
        <v>0</v>
      </c>
      <c r="AO12" s="65">
        <f>SUM(AO5:AO11)</f>
        <v>24</v>
      </c>
    </row>
    <row r="14" spans="1:41" x14ac:dyDescent="0.4">
      <c r="B14" s="64" t="s">
        <v>190</v>
      </c>
      <c r="C14" s="70" t="s">
        <v>175</v>
      </c>
      <c r="D14" s="70">
        <f>COUNT(C15:AG21)</f>
        <v>24</v>
      </c>
    </row>
    <row r="15" spans="1:41" x14ac:dyDescent="0.4">
      <c r="A15" s="2">
        <v>1</v>
      </c>
      <c r="B15" s="3" t="s">
        <v>5</v>
      </c>
      <c r="C15" s="40"/>
      <c r="D15" s="40"/>
      <c r="E15" s="40"/>
      <c r="F15" s="40"/>
      <c r="G15" s="40"/>
      <c r="H15" s="40"/>
      <c r="I15" s="40"/>
      <c r="J15" s="40"/>
      <c r="K15" s="40">
        <v>180</v>
      </c>
      <c r="L15" s="40">
        <v>375</v>
      </c>
      <c r="M15" s="40">
        <v>230</v>
      </c>
      <c r="N15" s="40">
        <v>40</v>
      </c>
      <c r="O15" s="40">
        <v>100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65">
        <f>SUM(C15:AG15)</f>
        <v>925</v>
      </c>
    </row>
    <row r="16" spans="1:41" x14ac:dyDescent="0.4">
      <c r="A16" s="2">
        <v>2</v>
      </c>
      <c r="B16" s="3" t="s">
        <v>131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U16" s="40"/>
      <c r="V16" s="40"/>
      <c r="W16" s="40">
        <v>683</v>
      </c>
      <c r="X16" s="40">
        <v>290</v>
      </c>
      <c r="Y16" s="40">
        <v>443</v>
      </c>
      <c r="Z16" s="40"/>
      <c r="AA16" s="40"/>
      <c r="AB16" s="40"/>
      <c r="AC16" s="40"/>
      <c r="AD16" s="40"/>
      <c r="AE16" s="40"/>
      <c r="AF16" s="40"/>
      <c r="AG16" s="40"/>
      <c r="AH16" s="65">
        <f t="shared" ref="AH16:AH21" si="7">SUM(C16:AG16)</f>
        <v>1416</v>
      </c>
    </row>
    <row r="17" spans="1:34" x14ac:dyDescent="0.4">
      <c r="A17" s="2">
        <v>3</v>
      </c>
      <c r="B17" s="3" t="s">
        <v>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AA17" s="40">
        <v>1003</v>
      </c>
      <c r="AB17" s="40"/>
      <c r="AC17" s="40"/>
      <c r="AD17" s="40"/>
      <c r="AE17" s="40"/>
      <c r="AF17" s="40"/>
      <c r="AG17" s="40"/>
      <c r="AH17" s="65">
        <f t="shared" si="7"/>
        <v>1003</v>
      </c>
    </row>
    <row r="18" spans="1:34" x14ac:dyDescent="0.4">
      <c r="A18" s="2">
        <v>4</v>
      </c>
      <c r="B18" s="3" t="s">
        <v>57</v>
      </c>
      <c r="C18" s="40"/>
      <c r="D18" s="40"/>
      <c r="E18" s="40"/>
      <c r="F18" s="40"/>
      <c r="G18" s="40"/>
      <c r="H18" s="40">
        <v>220</v>
      </c>
      <c r="I18" s="40">
        <v>1272</v>
      </c>
      <c r="J18" s="40">
        <v>40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60</v>
      </c>
      <c r="AD18" s="40"/>
      <c r="AE18" s="40">
        <v>400</v>
      </c>
      <c r="AF18" s="40">
        <v>165</v>
      </c>
      <c r="AG18" s="40"/>
      <c r="AH18" s="65">
        <f t="shared" si="7"/>
        <v>2157</v>
      </c>
    </row>
    <row r="19" spans="1:34" x14ac:dyDescent="0.4">
      <c r="A19" s="2">
        <v>5</v>
      </c>
      <c r="B19" s="12" t="s">
        <v>51</v>
      </c>
      <c r="C19" s="40"/>
      <c r="D19" s="40">
        <v>1200</v>
      </c>
      <c r="E19" s="40">
        <v>286</v>
      </c>
      <c r="F19" s="40">
        <v>615</v>
      </c>
      <c r="G19" s="40">
        <v>160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>
        <v>355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65">
        <f t="shared" si="7"/>
        <v>2616</v>
      </c>
    </row>
    <row r="20" spans="1:34" x14ac:dyDescent="0.4">
      <c r="A20" s="2">
        <v>6</v>
      </c>
      <c r="B20" s="12" t="s">
        <v>104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>
        <v>1095</v>
      </c>
      <c r="T20" s="40"/>
      <c r="U20" s="40"/>
      <c r="V20" s="40"/>
      <c r="W20" s="40"/>
      <c r="X20" s="40"/>
      <c r="Y20" s="40"/>
      <c r="Z20" s="40"/>
      <c r="AA20" s="40"/>
      <c r="AC20" s="40"/>
      <c r="AD20" s="40"/>
      <c r="AE20" s="40"/>
      <c r="AF20" s="40"/>
      <c r="AG20" s="40"/>
      <c r="AH20" s="65">
        <f>SUM(C20:AG20)</f>
        <v>1095</v>
      </c>
    </row>
    <row r="21" spans="1:34" x14ac:dyDescent="0.4">
      <c r="A21" s="2">
        <v>7</v>
      </c>
      <c r="B21" s="3" t="s">
        <v>176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>
        <v>630</v>
      </c>
      <c r="Q21" s="40">
        <v>1370</v>
      </c>
      <c r="R21" s="40">
        <v>30</v>
      </c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65">
        <f t="shared" si="7"/>
        <v>2030</v>
      </c>
    </row>
    <row r="22" spans="1:3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11242</v>
      </c>
    </row>
  </sheetData>
  <mergeCells count="1">
    <mergeCell ref="C1:D2"/>
  </mergeCells>
  <conditionalFormatting sqref="AN5:AN11">
    <cfRule type="cellIs" dxfId="1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00C4-5C12-4B72-9BCA-D5FA274F1F65}">
  <dimension ref="A1:BD51"/>
  <sheetViews>
    <sheetView showGridLines="0" zoomScaleNormal="100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AX15" sqref="AX15"/>
    </sheetView>
  </sheetViews>
  <sheetFormatPr defaultRowHeight="15.6" x14ac:dyDescent="0.4"/>
  <cols>
    <col min="1" max="1" width="7" bestFit="1" customWidth="1"/>
    <col min="2" max="2" width="15.3984375" customWidth="1"/>
    <col min="3" max="3" width="8.3984375" customWidth="1"/>
    <col min="4" max="4" width="11.19921875" customWidth="1"/>
    <col min="5" max="5" width="9.3984375" customWidth="1"/>
    <col min="6" max="6" width="9.296875" bestFit="1" customWidth="1"/>
    <col min="7" max="7" width="11.59765625" customWidth="1"/>
    <col min="8" max="8" width="12.09765625" bestFit="1" customWidth="1"/>
    <col min="9" max="9" width="12" customWidth="1"/>
    <col min="10" max="10" width="9.796875" customWidth="1"/>
    <col min="11" max="11" width="9.296875" bestFit="1" customWidth="1"/>
    <col min="12" max="12" width="10.3984375" customWidth="1"/>
    <col min="13" max="14" width="10.296875" bestFit="1" customWidth="1"/>
    <col min="15" max="15" width="11.69921875" bestFit="1" customWidth="1"/>
    <col min="16" max="16" width="10.59765625" bestFit="1" customWidth="1"/>
    <col min="17" max="20" width="10.296875" bestFit="1" customWidth="1"/>
    <col min="21" max="21" width="13" customWidth="1"/>
    <col min="22" max="22" width="10.296875" bestFit="1" customWidth="1"/>
    <col min="23" max="23" width="10.59765625" bestFit="1" customWidth="1"/>
    <col min="24" max="24" width="10.8984375" bestFit="1" customWidth="1"/>
    <col min="25" max="31" width="10.59765625" bestFit="1" customWidth="1"/>
    <col min="32" max="32" width="10.8984375" bestFit="1" customWidth="1"/>
    <col min="33" max="33" width="10.59765625" bestFit="1" customWidth="1"/>
    <col min="34" max="34" width="10.19921875" customWidth="1"/>
    <col min="35" max="35" width="10.19921875" bestFit="1" customWidth="1"/>
    <col min="36" max="37" width="5.8984375" customWidth="1"/>
    <col min="38" max="38" width="21.296875" customWidth="1"/>
    <col min="39" max="40" width="13.09765625" customWidth="1"/>
    <col min="41" max="41" width="11.296875" customWidth="1"/>
    <col min="42" max="42" width="13.296875" customWidth="1"/>
    <col min="43" max="43" width="14.09765625" customWidth="1"/>
    <col min="44" max="44" width="13.69921875" customWidth="1"/>
    <col min="45" max="45" width="16.8984375" customWidth="1"/>
    <col min="46" max="46" width="18" customWidth="1"/>
    <col min="47" max="47" width="10.796875" customWidth="1"/>
    <col min="48" max="48" width="12.796875" customWidth="1"/>
    <col min="49" max="49" width="14.09765625" bestFit="1" customWidth="1"/>
    <col min="50" max="50" width="10.3984375" style="47" customWidth="1"/>
    <col min="51" max="51" width="11.69921875" bestFit="1" customWidth="1"/>
    <col min="52" max="52" width="10" bestFit="1" customWidth="1"/>
    <col min="53" max="53" width="10.796875" customWidth="1"/>
  </cols>
  <sheetData>
    <row r="1" spans="1:56" ht="14.55" customHeight="1" x14ac:dyDescent="0.4">
      <c r="A1" s="233" t="s">
        <v>202</v>
      </c>
      <c r="B1" s="233"/>
      <c r="C1" s="235">
        <f>AI21/AI11</f>
        <v>56.60649819494585</v>
      </c>
    </row>
    <row r="2" spans="1:56" ht="18.600000000000001" customHeight="1" x14ac:dyDescent="0.4">
      <c r="A2" s="234"/>
      <c r="B2" s="234"/>
      <c r="C2" s="236"/>
    </row>
    <row r="3" spans="1:56" ht="57" customHeight="1" x14ac:dyDescent="0.4">
      <c r="A3" s="53" t="s">
        <v>0</v>
      </c>
      <c r="B3" s="237" t="s">
        <v>2</v>
      </c>
      <c r="C3" s="238"/>
      <c r="D3" s="54">
        <v>44682</v>
      </c>
      <c r="E3" s="54">
        <v>44683</v>
      </c>
      <c r="F3" s="54">
        <v>44684</v>
      </c>
      <c r="G3" s="54">
        <v>44685</v>
      </c>
      <c r="H3" s="54">
        <v>44686</v>
      </c>
      <c r="I3" s="54">
        <v>44687</v>
      </c>
      <c r="J3" s="54">
        <v>44688</v>
      </c>
      <c r="K3" s="54">
        <v>44689</v>
      </c>
      <c r="L3" s="54">
        <v>44690</v>
      </c>
      <c r="M3" s="54">
        <v>44691</v>
      </c>
      <c r="N3" s="54">
        <v>44692</v>
      </c>
      <c r="O3" s="54">
        <v>44693</v>
      </c>
      <c r="P3" s="54">
        <v>44694</v>
      </c>
      <c r="Q3" s="54">
        <v>44695</v>
      </c>
      <c r="R3" s="54">
        <v>44696</v>
      </c>
      <c r="S3" s="54">
        <v>44697</v>
      </c>
      <c r="T3" s="54">
        <v>44698</v>
      </c>
      <c r="U3" s="54">
        <v>44699</v>
      </c>
      <c r="V3" s="54">
        <v>44700</v>
      </c>
      <c r="W3" s="54">
        <v>44701</v>
      </c>
      <c r="X3" s="54">
        <v>44702</v>
      </c>
      <c r="Y3" s="54">
        <v>44703</v>
      </c>
      <c r="Z3" s="54">
        <v>44704</v>
      </c>
      <c r="AA3" s="54">
        <v>44705</v>
      </c>
      <c r="AB3" s="54">
        <v>44706</v>
      </c>
      <c r="AC3" s="54">
        <v>44707</v>
      </c>
      <c r="AD3" s="54">
        <v>44708</v>
      </c>
      <c r="AE3" s="54">
        <v>44709</v>
      </c>
      <c r="AF3" s="54">
        <v>44710</v>
      </c>
      <c r="AG3" s="54">
        <v>44711</v>
      </c>
      <c r="AH3" s="54">
        <v>44712</v>
      </c>
      <c r="AI3" s="53" t="s">
        <v>1</v>
      </c>
      <c r="AK3" s="49" t="s">
        <v>0</v>
      </c>
      <c r="AL3" s="116" t="s">
        <v>2</v>
      </c>
      <c r="AM3" s="82" t="s">
        <v>205</v>
      </c>
      <c r="AN3" s="82" t="s">
        <v>203</v>
      </c>
      <c r="AO3" s="82" t="s">
        <v>204</v>
      </c>
      <c r="AP3" s="82" t="s">
        <v>26</v>
      </c>
      <c r="AQ3" s="82" t="s">
        <v>199</v>
      </c>
      <c r="AR3" s="82" t="s">
        <v>27</v>
      </c>
      <c r="AS3" s="82" t="s">
        <v>30</v>
      </c>
      <c r="AT3" s="82" t="s">
        <v>32</v>
      </c>
      <c r="AU3" s="82" t="s">
        <v>28</v>
      </c>
      <c r="AV3" s="82" t="s">
        <v>31</v>
      </c>
      <c r="AW3" s="94" t="s">
        <v>126</v>
      </c>
      <c r="AX3" s="82" t="s">
        <v>29</v>
      </c>
      <c r="AY3" s="82" t="s">
        <v>175</v>
      </c>
    </row>
    <row r="4" spans="1:56" x14ac:dyDescent="0.4">
      <c r="A4" s="2">
        <v>1</v>
      </c>
      <c r="B4" s="219" t="s">
        <v>5</v>
      </c>
      <c r="C4" s="220"/>
      <c r="D4" s="7">
        <v>2</v>
      </c>
      <c r="E4" s="7">
        <v>2</v>
      </c>
      <c r="F4" s="7">
        <v>2</v>
      </c>
      <c r="G4" s="7">
        <v>2</v>
      </c>
      <c r="H4" s="7">
        <v>2.5</v>
      </c>
      <c r="I4" s="7">
        <v>2</v>
      </c>
      <c r="J4" s="7">
        <v>3</v>
      </c>
      <c r="K4" s="7">
        <v>3</v>
      </c>
      <c r="L4" s="7">
        <v>3.5</v>
      </c>
      <c r="M4" s="7">
        <v>4</v>
      </c>
      <c r="N4" s="7">
        <v>5</v>
      </c>
      <c r="O4" s="7">
        <v>2.5</v>
      </c>
      <c r="P4" s="7">
        <v>3.5</v>
      </c>
      <c r="Q4" s="7">
        <v>4</v>
      </c>
      <c r="R4" s="7">
        <v>4</v>
      </c>
      <c r="S4" s="7">
        <v>4</v>
      </c>
      <c r="T4" s="7">
        <v>4</v>
      </c>
      <c r="U4" s="7">
        <v>4</v>
      </c>
      <c r="V4" s="7">
        <v>4</v>
      </c>
      <c r="W4" s="7">
        <v>3</v>
      </c>
      <c r="X4" s="7">
        <v>3.5</v>
      </c>
      <c r="Y4" s="7">
        <v>4</v>
      </c>
      <c r="Z4" s="7">
        <v>4</v>
      </c>
      <c r="AA4" s="7">
        <v>3</v>
      </c>
      <c r="AB4" s="7">
        <v>4</v>
      </c>
      <c r="AC4" s="7">
        <v>2.5</v>
      </c>
      <c r="AD4" s="7">
        <v>3.5</v>
      </c>
      <c r="AE4" s="7">
        <v>0</v>
      </c>
      <c r="AF4" s="7">
        <v>3.5</v>
      </c>
      <c r="AG4" s="7">
        <v>4</v>
      </c>
      <c r="AH4" s="7">
        <v>4</v>
      </c>
      <c r="AI4" s="56">
        <f>SUM(D4:AH4)</f>
        <v>100</v>
      </c>
      <c r="AK4" s="2">
        <v>1</v>
      </c>
      <c r="AL4" s="3" t="s">
        <v>5</v>
      </c>
      <c r="AM4" s="8">
        <f t="shared" ref="AM4:AM10" si="0">AI4*$C$1</f>
        <v>5660.6498194945852</v>
      </c>
      <c r="AN4" s="6">
        <f>AI4</f>
        <v>100</v>
      </c>
      <c r="AO4" s="8">
        <f>AI14</f>
        <v>4235</v>
      </c>
      <c r="AP4" s="8">
        <f t="shared" ref="AP4:AP10" si="1">AO4-AM4</f>
        <v>-1425.6498194945852</v>
      </c>
      <c r="AQ4" s="8">
        <f>O24</f>
        <v>4577.7142857142853</v>
      </c>
      <c r="AR4" s="8">
        <f t="shared" ref="AR4:AR10" si="2">AQ4-AP4</f>
        <v>6003.3641052088706</v>
      </c>
      <c r="AS4" s="40">
        <f>'Meal Apr 22 &amp; Rent May 22'!AZ5</f>
        <v>-3011.8617659831771</v>
      </c>
      <c r="AT4" s="8">
        <f t="shared" ref="AT4:AT10" si="3">AR4-AS4</f>
        <v>9015.2258711920476</v>
      </c>
      <c r="AU4" s="8">
        <f>500+120+8000</f>
        <v>8620</v>
      </c>
      <c r="AV4" s="185">
        <f t="shared" ref="AV4:AV10" si="4">AU4-AT4</f>
        <v>-395.22587119204763</v>
      </c>
      <c r="AW4" s="102">
        <v>8000</v>
      </c>
      <c r="AX4" s="95"/>
      <c r="AY4" s="8">
        <f>COUNTIF(D14:AH14,"&gt;0")</f>
        <v>3</v>
      </c>
      <c r="AZ4">
        <v>-323.79729976347517</v>
      </c>
      <c r="BA4" s="25">
        <f>AV4-AZ4</f>
        <v>-71.428571428572468</v>
      </c>
    </row>
    <row r="5" spans="1:56" x14ac:dyDescent="0.4">
      <c r="A5" s="2">
        <v>2</v>
      </c>
      <c r="B5" s="219" t="s">
        <v>131</v>
      </c>
      <c r="C5" s="220"/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2</v>
      </c>
      <c r="T5" s="7">
        <v>1.5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1.5</v>
      </c>
      <c r="AB5" s="7">
        <v>1</v>
      </c>
      <c r="AC5" s="7">
        <v>1</v>
      </c>
      <c r="AD5" s="7">
        <v>2</v>
      </c>
      <c r="AE5" s="7">
        <v>1.5</v>
      </c>
      <c r="AF5" s="7">
        <v>1</v>
      </c>
      <c r="AG5" s="7">
        <v>2</v>
      </c>
      <c r="AH5" s="7">
        <v>2</v>
      </c>
      <c r="AI5" s="56">
        <f>SUM(D5:AH5)</f>
        <v>22.5</v>
      </c>
      <c r="AK5" s="2">
        <v>2</v>
      </c>
      <c r="AL5" s="3" t="s">
        <v>131</v>
      </c>
      <c r="AM5" s="8">
        <f t="shared" si="0"/>
        <v>1273.6462093862817</v>
      </c>
      <c r="AN5" s="6">
        <f t="shared" ref="AN5:AN10" si="5">AI5</f>
        <v>22.5</v>
      </c>
      <c r="AO5" s="8">
        <f t="shared" ref="AO5:AO6" si="6">AI15</f>
        <v>3358</v>
      </c>
      <c r="AP5" s="8">
        <f t="shared" si="1"/>
        <v>2084.353790613718</v>
      </c>
      <c r="AQ5" s="8">
        <f t="shared" ref="AQ5:AQ8" si="7">O25</f>
        <v>4577.7142857142853</v>
      </c>
      <c r="AR5" s="8">
        <f t="shared" si="2"/>
        <v>2493.3604951005673</v>
      </c>
      <c r="AS5" s="40">
        <f>'Meal Apr 22 &amp; Rent May 22'!AZ6</f>
        <v>180.58045742202296</v>
      </c>
      <c r="AT5" s="8">
        <f t="shared" si="3"/>
        <v>2312.7800376785444</v>
      </c>
      <c r="AU5" s="8">
        <f>3000</f>
        <v>3000</v>
      </c>
      <c r="AV5" s="185">
        <f t="shared" si="4"/>
        <v>687.21996232145557</v>
      </c>
      <c r="AW5" s="102">
        <v>3000</v>
      </c>
      <c r="AX5" s="95"/>
      <c r="AY5" s="8">
        <f t="shared" ref="AY5:AY10" si="8">COUNTIF(D15:AH15,"&gt;0")</f>
        <v>3</v>
      </c>
      <c r="AZ5">
        <v>758.64853375002713</v>
      </c>
      <c r="BA5" s="25">
        <f t="shared" ref="BA5:BA11" si="9">AV5-AZ5</f>
        <v>-71.428571428571558</v>
      </c>
    </row>
    <row r="6" spans="1:56" x14ac:dyDescent="0.4">
      <c r="A6" s="2">
        <v>3</v>
      </c>
      <c r="B6" s="219" t="s">
        <v>6</v>
      </c>
      <c r="C6" s="220"/>
      <c r="D6" s="7">
        <v>2</v>
      </c>
      <c r="E6" s="7">
        <v>2</v>
      </c>
      <c r="F6" s="7">
        <v>2</v>
      </c>
      <c r="G6" s="7">
        <v>2</v>
      </c>
      <c r="H6" s="7">
        <v>2.5</v>
      </c>
      <c r="I6" s="7">
        <v>2</v>
      </c>
      <c r="J6" s="7">
        <v>2</v>
      </c>
      <c r="K6" s="7">
        <v>2</v>
      </c>
      <c r="L6" s="7">
        <v>2.5</v>
      </c>
      <c r="M6" s="7">
        <v>2.5</v>
      </c>
      <c r="N6" s="7">
        <v>2.5</v>
      </c>
      <c r="O6" s="7">
        <v>2.5</v>
      </c>
      <c r="P6" s="7">
        <v>2</v>
      </c>
      <c r="Q6" s="7">
        <v>2.5</v>
      </c>
      <c r="R6" s="7">
        <v>3.5</v>
      </c>
      <c r="S6" s="7">
        <v>3.5</v>
      </c>
      <c r="T6" s="7">
        <v>3.5</v>
      </c>
      <c r="U6" s="7">
        <v>3.5</v>
      </c>
      <c r="V6" s="7">
        <v>3.5</v>
      </c>
      <c r="W6" s="7">
        <v>2.5</v>
      </c>
      <c r="X6" s="7">
        <v>1</v>
      </c>
      <c r="Y6" s="7">
        <v>1</v>
      </c>
      <c r="Z6" s="7">
        <v>2</v>
      </c>
      <c r="AA6" s="7">
        <v>3.5</v>
      </c>
      <c r="AB6" s="7">
        <v>3.5</v>
      </c>
      <c r="AC6" s="7">
        <v>3.5</v>
      </c>
      <c r="AD6" s="7">
        <v>4</v>
      </c>
      <c r="AE6" s="7">
        <v>3.5</v>
      </c>
      <c r="AF6" s="7">
        <v>3.5</v>
      </c>
      <c r="AG6" s="7">
        <v>3.5</v>
      </c>
      <c r="AH6" s="7">
        <v>3.5</v>
      </c>
      <c r="AI6" s="56">
        <f t="shared" ref="AI6:AI9" si="10">SUM(D6:AH6)</f>
        <v>83.5</v>
      </c>
      <c r="AK6" s="2">
        <v>3</v>
      </c>
      <c r="AL6" s="3" t="s">
        <v>6</v>
      </c>
      <c r="AM6" s="8">
        <f t="shared" si="0"/>
        <v>4726.6425992779787</v>
      </c>
      <c r="AN6" s="6">
        <f t="shared" si="5"/>
        <v>83.5</v>
      </c>
      <c r="AO6" s="8">
        <f t="shared" si="6"/>
        <v>2544</v>
      </c>
      <c r="AP6" s="8">
        <f t="shared" si="1"/>
        <v>-2182.6425992779787</v>
      </c>
      <c r="AQ6" s="8">
        <f t="shared" si="7"/>
        <v>3577.7142857142858</v>
      </c>
      <c r="AR6" s="8">
        <f t="shared" si="2"/>
        <v>5760.3568849922649</v>
      </c>
      <c r="AS6" s="40">
        <f>'Meal Apr 22 &amp; Rent May 22'!AZ7</f>
        <v>65.846717069661736</v>
      </c>
      <c r="AT6" s="8">
        <f t="shared" si="3"/>
        <v>5694.5101679226027</v>
      </c>
      <c r="AU6" s="47">
        <f>40+400+900+3500</f>
        <v>4840</v>
      </c>
      <c r="AV6" s="185">
        <f>AU6-AT6</f>
        <v>-854.5101679226027</v>
      </c>
      <c r="AW6" s="102">
        <f>900+3500</f>
        <v>4400</v>
      </c>
      <c r="AX6" s="95"/>
      <c r="AY6" s="8">
        <f t="shared" si="8"/>
        <v>4</v>
      </c>
      <c r="AZ6">
        <v>-783.08159649403024</v>
      </c>
      <c r="BA6" s="25">
        <f t="shared" si="9"/>
        <v>-71.428571428572468</v>
      </c>
    </row>
    <row r="7" spans="1:56" x14ac:dyDescent="0.4">
      <c r="A7" s="2">
        <v>4</v>
      </c>
      <c r="B7" s="219" t="s">
        <v>57</v>
      </c>
      <c r="C7" s="220"/>
      <c r="D7" s="7">
        <v>3</v>
      </c>
      <c r="E7" s="7">
        <v>1</v>
      </c>
      <c r="F7" s="7">
        <v>7</v>
      </c>
      <c r="G7" s="7">
        <v>4</v>
      </c>
      <c r="H7" s="7">
        <v>5</v>
      </c>
      <c r="I7" s="7">
        <v>4</v>
      </c>
      <c r="J7" s="7">
        <v>3</v>
      </c>
      <c r="K7" s="7">
        <v>2</v>
      </c>
      <c r="L7" s="7">
        <v>2</v>
      </c>
      <c r="M7" s="7">
        <v>2.5</v>
      </c>
      <c r="N7" s="7">
        <v>2.5</v>
      </c>
      <c r="O7" s="7">
        <v>1.5</v>
      </c>
      <c r="P7" s="7">
        <v>3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1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3.5</v>
      </c>
      <c r="AE7" s="7">
        <v>2.5</v>
      </c>
      <c r="AF7" s="7">
        <v>2.5</v>
      </c>
      <c r="AG7" s="7">
        <v>2.5</v>
      </c>
      <c r="AH7" s="7">
        <v>2.5</v>
      </c>
      <c r="AI7" s="56">
        <f t="shared" si="10"/>
        <v>85</v>
      </c>
      <c r="AK7" s="2">
        <v>4</v>
      </c>
      <c r="AL7" s="3" t="s">
        <v>57</v>
      </c>
      <c r="AM7" s="8">
        <f t="shared" si="0"/>
        <v>4811.5523465703973</v>
      </c>
      <c r="AN7" s="6">
        <f t="shared" si="5"/>
        <v>85</v>
      </c>
      <c r="AO7" s="8">
        <f>AI17</f>
        <v>1770</v>
      </c>
      <c r="AP7" s="8">
        <f t="shared" si="1"/>
        <v>-3041.5523465703973</v>
      </c>
      <c r="AQ7" s="8">
        <f t="shared" si="7"/>
        <v>3577.7142857142858</v>
      </c>
      <c r="AR7" s="8">
        <f t="shared" si="2"/>
        <v>6619.2666322846835</v>
      </c>
      <c r="AS7" s="40">
        <f>'Meal Apr 22 &amp; Rent May 22'!AZ8</f>
        <v>-1.409089909296199</v>
      </c>
      <c r="AT7" s="8">
        <f t="shared" si="3"/>
        <v>6620.6757221939797</v>
      </c>
      <c r="AU7" s="8">
        <f>-120+4500</f>
        <v>4380</v>
      </c>
      <c r="AV7" s="185">
        <f t="shared" si="4"/>
        <v>-2240.6757221939797</v>
      </c>
      <c r="AW7" s="102">
        <f>4500</f>
        <v>4500</v>
      </c>
      <c r="AX7" s="95"/>
      <c r="AY7" s="8">
        <f t="shared" si="8"/>
        <v>4</v>
      </c>
      <c r="AZ7">
        <v>-2169.2471507654072</v>
      </c>
      <c r="BA7" s="25">
        <f t="shared" si="9"/>
        <v>-71.428571428572468</v>
      </c>
    </row>
    <row r="8" spans="1:56" x14ac:dyDescent="0.4">
      <c r="A8" s="2">
        <v>5</v>
      </c>
      <c r="B8" s="219" t="s">
        <v>51</v>
      </c>
      <c r="C8" s="220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1</v>
      </c>
      <c r="M8" s="7">
        <v>1.5</v>
      </c>
      <c r="N8" s="7">
        <v>1.5</v>
      </c>
      <c r="O8" s="7">
        <v>1.5</v>
      </c>
      <c r="P8" s="7">
        <v>3.5</v>
      </c>
      <c r="Q8" s="7">
        <v>3</v>
      </c>
      <c r="R8" s="7">
        <v>2.5</v>
      </c>
      <c r="S8" s="7">
        <v>1.5</v>
      </c>
      <c r="T8" s="7">
        <v>1</v>
      </c>
      <c r="U8" s="7">
        <v>4</v>
      </c>
      <c r="V8" s="7">
        <v>5.5</v>
      </c>
      <c r="W8" s="7">
        <v>7.5</v>
      </c>
      <c r="X8" s="7">
        <v>3</v>
      </c>
      <c r="Y8" s="7">
        <v>1.5</v>
      </c>
      <c r="Z8" s="7">
        <v>1</v>
      </c>
      <c r="AA8" s="7">
        <v>1</v>
      </c>
      <c r="AB8" s="7">
        <v>2.5</v>
      </c>
      <c r="AC8" s="7">
        <v>2.5</v>
      </c>
      <c r="AD8" s="7">
        <v>5.5</v>
      </c>
      <c r="AE8" s="7">
        <v>2.5</v>
      </c>
      <c r="AF8" s="7">
        <v>1</v>
      </c>
      <c r="AG8" s="7">
        <v>1</v>
      </c>
      <c r="AH8" s="7">
        <v>1</v>
      </c>
      <c r="AI8" s="56">
        <f t="shared" si="10"/>
        <v>57.5</v>
      </c>
      <c r="AK8" s="2">
        <v>5</v>
      </c>
      <c r="AL8" s="12" t="s">
        <v>51</v>
      </c>
      <c r="AM8" s="8">
        <f t="shared" si="0"/>
        <v>3254.8736462093862</v>
      </c>
      <c r="AN8" s="6">
        <f t="shared" si="5"/>
        <v>57.5</v>
      </c>
      <c r="AO8" s="8">
        <f>AI18</f>
        <v>3590</v>
      </c>
      <c r="AP8" s="8">
        <f t="shared" si="1"/>
        <v>335.12635379061385</v>
      </c>
      <c r="AQ8" s="8">
        <f t="shared" si="7"/>
        <v>3577.7142857142858</v>
      </c>
      <c r="AR8" s="8">
        <f>AQ8-AP8</f>
        <v>3242.5879319236719</v>
      </c>
      <c r="AS8" s="40">
        <f>'Meal Apr 22 &amp; Rent May 22'!AZ9</f>
        <v>4190.4726029561425</v>
      </c>
      <c r="AT8" s="8">
        <f t="shared" si="3"/>
        <v>-947.88467103247058</v>
      </c>
      <c r="AU8" s="8">
        <f>3500</f>
        <v>3500</v>
      </c>
      <c r="AV8" s="185">
        <f>AU8-AT8-2000</f>
        <v>2447.8846710324706</v>
      </c>
      <c r="AW8" s="102">
        <v>-2000</v>
      </c>
      <c r="AX8" s="115"/>
      <c r="AY8" s="8">
        <f t="shared" si="8"/>
        <v>4</v>
      </c>
      <c r="AZ8">
        <v>2519.3132424610421</v>
      </c>
      <c r="BA8" s="25">
        <f t="shared" si="9"/>
        <v>-71.428571428571558</v>
      </c>
    </row>
    <row r="9" spans="1:56" x14ac:dyDescent="0.4">
      <c r="A9" s="2">
        <v>6</v>
      </c>
      <c r="B9" s="219" t="s">
        <v>104</v>
      </c>
      <c r="C9" s="220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</v>
      </c>
      <c r="K9" s="7">
        <v>1</v>
      </c>
      <c r="L9" s="7">
        <v>1</v>
      </c>
      <c r="M9" s="7">
        <v>1.5</v>
      </c>
      <c r="N9" s="7">
        <v>1.5</v>
      </c>
      <c r="O9" s="7">
        <v>1.5</v>
      </c>
      <c r="P9" s="7">
        <v>1.5</v>
      </c>
      <c r="Q9" s="7">
        <v>1.5</v>
      </c>
      <c r="R9" s="7">
        <v>2.5</v>
      </c>
      <c r="S9" s="7">
        <v>1</v>
      </c>
      <c r="T9" s="7">
        <v>1.5</v>
      </c>
      <c r="U9" s="7">
        <v>1.5</v>
      </c>
      <c r="V9" s="7">
        <v>1.5</v>
      </c>
      <c r="W9" s="7">
        <v>1.5</v>
      </c>
      <c r="X9" s="7">
        <v>1.5</v>
      </c>
      <c r="Y9" s="7">
        <v>1</v>
      </c>
      <c r="Z9" s="7">
        <v>1.5</v>
      </c>
      <c r="AA9" s="7">
        <v>1.5</v>
      </c>
      <c r="AB9" s="7">
        <v>1.5</v>
      </c>
      <c r="AC9" s="7">
        <v>1.5</v>
      </c>
      <c r="AD9" s="7">
        <v>1.5</v>
      </c>
      <c r="AE9" s="7">
        <v>1.5</v>
      </c>
      <c r="AF9" s="7">
        <v>1</v>
      </c>
      <c r="AG9" s="7">
        <v>1</v>
      </c>
      <c r="AH9" s="7">
        <v>1</v>
      </c>
      <c r="AI9" s="56">
        <f t="shared" si="10"/>
        <v>35.5</v>
      </c>
      <c r="AK9" s="2">
        <v>6</v>
      </c>
      <c r="AL9" s="12" t="s">
        <v>104</v>
      </c>
      <c r="AM9" s="8">
        <f t="shared" si="0"/>
        <v>2009.5306859205778</v>
      </c>
      <c r="AN9" s="6">
        <f t="shared" si="5"/>
        <v>35.5</v>
      </c>
      <c r="AO9" s="8">
        <f>AI19</f>
        <v>4628</v>
      </c>
      <c r="AP9" s="8">
        <f t="shared" si="1"/>
        <v>2618.4693140794225</v>
      </c>
      <c r="AQ9" s="8">
        <f>O29</f>
        <v>4327.7142857142853</v>
      </c>
      <c r="AR9" s="8">
        <f t="shared" si="2"/>
        <v>1709.2449716348628</v>
      </c>
      <c r="AS9" s="40">
        <f>'Meal Apr 22 &amp; Rent May 22'!AZ10</f>
        <v>-650.32105612573287</v>
      </c>
      <c r="AT9" s="8">
        <f t="shared" si="3"/>
        <v>2359.5660277605957</v>
      </c>
      <c r="AU9" s="8">
        <f>100+2321</f>
        <v>2421</v>
      </c>
      <c r="AV9" s="185">
        <f t="shared" si="4"/>
        <v>61.433972239404284</v>
      </c>
      <c r="AW9" s="102">
        <f>100+2321</f>
        <v>2421</v>
      </c>
      <c r="AX9" s="95"/>
      <c r="AY9" s="8">
        <f t="shared" si="8"/>
        <v>1</v>
      </c>
      <c r="AZ9">
        <v>132.86254366797584</v>
      </c>
      <c r="BA9" s="25">
        <f t="shared" si="9"/>
        <v>-71.428571428571558</v>
      </c>
    </row>
    <row r="10" spans="1:56" x14ac:dyDescent="0.4">
      <c r="A10" s="2">
        <v>7</v>
      </c>
      <c r="B10" s="219" t="s">
        <v>176</v>
      </c>
      <c r="C10" s="220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7">
        <v>1.5</v>
      </c>
      <c r="M10" s="7">
        <v>0.5</v>
      </c>
      <c r="N10" s="7">
        <v>1</v>
      </c>
      <c r="O10" s="7">
        <v>1.5</v>
      </c>
      <c r="P10" s="7">
        <v>1.5</v>
      </c>
      <c r="Q10" s="7">
        <v>2.5</v>
      </c>
      <c r="R10" s="7">
        <v>2.5</v>
      </c>
      <c r="S10" s="7">
        <v>1.5</v>
      </c>
      <c r="T10" s="7">
        <v>1</v>
      </c>
      <c r="U10" s="7">
        <v>1.5</v>
      </c>
      <c r="V10" s="7">
        <v>1.5</v>
      </c>
      <c r="W10" s="7">
        <v>0.5</v>
      </c>
      <c r="X10" s="7">
        <v>0</v>
      </c>
      <c r="Y10" s="7">
        <v>1.5</v>
      </c>
      <c r="Z10" s="7">
        <v>1.5</v>
      </c>
      <c r="AA10" s="7">
        <v>1</v>
      </c>
      <c r="AB10" s="7">
        <v>1.5</v>
      </c>
      <c r="AC10" s="7">
        <v>1</v>
      </c>
      <c r="AD10" s="7">
        <v>0.5</v>
      </c>
      <c r="AE10" s="7">
        <v>2.5</v>
      </c>
      <c r="AF10" s="7">
        <v>1</v>
      </c>
      <c r="AG10" s="7">
        <v>1</v>
      </c>
      <c r="AH10" s="7">
        <v>1</v>
      </c>
      <c r="AI10" s="56">
        <f>SUM(D10:AH10)</f>
        <v>31.5</v>
      </c>
      <c r="AK10" s="2">
        <v>7</v>
      </c>
      <c r="AL10" s="3" t="s">
        <v>176</v>
      </c>
      <c r="AM10" s="8">
        <f t="shared" si="0"/>
        <v>1783.1046931407943</v>
      </c>
      <c r="AN10" s="6">
        <f t="shared" si="5"/>
        <v>31.5</v>
      </c>
      <c r="AO10" s="8">
        <f>AI20</f>
        <v>3395</v>
      </c>
      <c r="AP10" s="8">
        <f t="shared" si="1"/>
        <v>1611.8953068592057</v>
      </c>
      <c r="AQ10" s="8">
        <f>O30</f>
        <v>4327.7142857142853</v>
      </c>
      <c r="AR10" s="8">
        <f t="shared" si="2"/>
        <v>2715.8189788550799</v>
      </c>
      <c r="AS10" s="40">
        <f>'Meal Apr 22 &amp; Rent May 22'!AZ11</f>
        <v>55.928654152016861</v>
      </c>
      <c r="AT10" s="8">
        <f t="shared" si="3"/>
        <v>2659.890324703063</v>
      </c>
      <c r="AU10" s="8">
        <f>120+2500</f>
        <v>2620</v>
      </c>
      <c r="AV10" s="185">
        <f t="shared" si="4"/>
        <v>-39.890324703063015</v>
      </c>
      <c r="AW10" s="102">
        <v>2500</v>
      </c>
      <c r="AX10" s="95"/>
      <c r="AY10" s="8">
        <f t="shared" si="8"/>
        <v>5</v>
      </c>
      <c r="AZ10">
        <v>31.538246725508543</v>
      </c>
      <c r="BA10" s="25">
        <f t="shared" si="9"/>
        <v>-71.428571428571558</v>
      </c>
    </row>
    <row r="11" spans="1:56" x14ac:dyDescent="0.4">
      <c r="A11" s="221" t="s">
        <v>47</v>
      </c>
      <c r="B11" s="222"/>
      <c r="C11" s="223"/>
      <c r="D11" s="55">
        <f>SUM(D4:D10)</f>
        <v>7</v>
      </c>
      <c r="E11" s="55">
        <f t="shared" ref="E11:AH11" si="11">SUM(E4:E10)</f>
        <v>5</v>
      </c>
      <c r="F11" s="55">
        <f t="shared" si="11"/>
        <v>11</v>
      </c>
      <c r="G11" s="55">
        <f t="shared" si="11"/>
        <v>8</v>
      </c>
      <c r="H11" s="55">
        <f t="shared" si="11"/>
        <v>10</v>
      </c>
      <c r="I11" s="55">
        <f t="shared" si="11"/>
        <v>8</v>
      </c>
      <c r="J11" s="55">
        <f t="shared" si="11"/>
        <v>11</v>
      </c>
      <c r="K11" s="55">
        <f t="shared" si="11"/>
        <v>10</v>
      </c>
      <c r="L11" s="55">
        <f t="shared" si="11"/>
        <v>11.5</v>
      </c>
      <c r="M11" s="55">
        <f t="shared" si="11"/>
        <v>12.5</v>
      </c>
      <c r="N11" s="55">
        <f t="shared" si="11"/>
        <v>14</v>
      </c>
      <c r="O11" s="55">
        <f t="shared" si="11"/>
        <v>11</v>
      </c>
      <c r="P11" s="55">
        <f t="shared" si="11"/>
        <v>15</v>
      </c>
      <c r="Q11" s="55">
        <f t="shared" si="11"/>
        <v>16</v>
      </c>
      <c r="R11" s="55">
        <f t="shared" si="11"/>
        <v>18.5</v>
      </c>
      <c r="S11" s="55">
        <f t="shared" si="11"/>
        <v>16</v>
      </c>
      <c r="T11" s="55">
        <f t="shared" si="11"/>
        <v>15</v>
      </c>
      <c r="U11" s="55">
        <f t="shared" si="11"/>
        <v>18</v>
      </c>
      <c r="V11" s="55">
        <f t="shared" si="11"/>
        <v>19.5</v>
      </c>
      <c r="W11" s="55">
        <f t="shared" si="11"/>
        <v>18.5</v>
      </c>
      <c r="X11" s="55">
        <f t="shared" si="11"/>
        <v>11</v>
      </c>
      <c r="Y11" s="55">
        <f t="shared" si="11"/>
        <v>12.5</v>
      </c>
      <c r="Z11" s="55">
        <f t="shared" si="11"/>
        <v>13.5</v>
      </c>
      <c r="AA11" s="55">
        <f t="shared" si="11"/>
        <v>14</v>
      </c>
      <c r="AB11" s="55">
        <f t="shared" si="11"/>
        <v>16.5</v>
      </c>
      <c r="AC11" s="55">
        <f t="shared" si="11"/>
        <v>14.5</v>
      </c>
      <c r="AD11" s="55">
        <f t="shared" si="11"/>
        <v>20.5</v>
      </c>
      <c r="AE11" s="55">
        <f t="shared" si="11"/>
        <v>14</v>
      </c>
      <c r="AF11" s="55">
        <f t="shared" si="11"/>
        <v>13.5</v>
      </c>
      <c r="AG11" s="55">
        <f t="shared" si="11"/>
        <v>15</v>
      </c>
      <c r="AH11" s="55">
        <f t="shared" si="11"/>
        <v>15</v>
      </c>
      <c r="AI11" s="55">
        <f>SUM(AI4:AI10)</f>
        <v>415.5</v>
      </c>
      <c r="AK11" s="217" t="s">
        <v>47</v>
      </c>
      <c r="AL11" s="218"/>
      <c r="AM11" s="65">
        <f t="shared" ref="AM11:AS11" si="12">SUM(AM4:AM10)</f>
        <v>23520</v>
      </c>
      <c r="AN11" s="175">
        <f>SUM(AN4:AN10)</f>
        <v>415.5</v>
      </c>
      <c r="AO11" s="65">
        <f t="shared" si="12"/>
        <v>23520</v>
      </c>
      <c r="AP11" s="65">
        <f t="shared" si="12"/>
        <v>0</v>
      </c>
      <c r="AQ11" s="65">
        <f t="shared" si="12"/>
        <v>28544</v>
      </c>
      <c r="AR11" s="65">
        <f t="shared" si="12"/>
        <v>28544</v>
      </c>
      <c r="AS11" s="67">
        <f t="shared" si="12"/>
        <v>829.23651958163782</v>
      </c>
      <c r="AT11" s="65">
        <f>AR11-AS11</f>
        <v>27714.763480418362</v>
      </c>
      <c r="AU11" s="67">
        <f>SUM(AU4:AU10)</f>
        <v>29381</v>
      </c>
      <c r="AV11" s="65">
        <f>SUM(AV4:AV10)</f>
        <v>-333.76348041836263</v>
      </c>
      <c r="AW11" s="103">
        <f>SUM(AW4:AW10)</f>
        <v>22821</v>
      </c>
      <c r="AX11" s="67"/>
      <c r="AY11" s="65">
        <f>SUM(AY4:AY10)</f>
        <v>24</v>
      </c>
      <c r="AZ11">
        <v>166.23651958164101</v>
      </c>
      <c r="BA11" s="25">
        <f t="shared" si="9"/>
        <v>-500.00000000000364</v>
      </c>
    </row>
    <row r="12" spans="1:56" x14ac:dyDescent="0.4">
      <c r="AM12" s="25"/>
      <c r="AN12" s="25"/>
      <c r="AO12" s="25"/>
      <c r="AP12" s="9"/>
      <c r="AQ12" s="9"/>
      <c r="AS12" s="9"/>
      <c r="AT12" s="9"/>
      <c r="AV12" s="25"/>
      <c r="AY12" s="9"/>
      <c r="BA12" s="9"/>
      <c r="BB12" s="9"/>
      <c r="BC12" s="47"/>
      <c r="BD12" s="9">
        <f>BC12-BB12</f>
        <v>0</v>
      </c>
    </row>
    <row r="13" spans="1:56" x14ac:dyDescent="0.4">
      <c r="B13" s="64" t="s">
        <v>198</v>
      </c>
      <c r="C13" s="64"/>
      <c r="D13" s="70" t="s">
        <v>175</v>
      </c>
      <c r="E13" s="70">
        <f>COUNTIF(D14:AH20,"&gt;0")</f>
        <v>24</v>
      </c>
      <c r="AL13" s="44" t="s">
        <v>201</v>
      </c>
      <c r="AM13" s="9"/>
      <c r="AN13" s="9"/>
      <c r="AO13" s="9"/>
      <c r="AX13"/>
    </row>
    <row r="14" spans="1:56" x14ac:dyDescent="0.4">
      <c r="A14" s="2">
        <v>1</v>
      </c>
      <c r="B14" s="219" t="s">
        <v>5</v>
      </c>
      <c r="C14" s="220"/>
      <c r="D14" s="8">
        <v>3965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250</v>
      </c>
      <c r="AD14" s="8">
        <v>20</v>
      </c>
      <c r="AE14" s="8">
        <v>0</v>
      </c>
      <c r="AF14" s="8">
        <v>0</v>
      </c>
      <c r="AG14" s="8">
        <v>0</v>
      </c>
      <c r="AH14" s="8">
        <v>0</v>
      </c>
      <c r="AI14" s="65">
        <f>SUM(D14:AH14)</f>
        <v>4235</v>
      </c>
      <c r="AL14" s="78" t="s">
        <v>161</v>
      </c>
      <c r="AM14" s="78" t="s">
        <v>95</v>
      </c>
      <c r="AN14" s="106"/>
      <c r="AO14" s="106"/>
      <c r="AT14" s="1" t="s">
        <v>218</v>
      </c>
      <c r="AU14" s="108">
        <f>SUMIF(AV4:AV10,"&gt;0",AV4:AV10)</f>
        <v>3196.5386055933304</v>
      </c>
      <c r="AW14" s="9"/>
      <c r="AZ14" s="9"/>
    </row>
    <row r="15" spans="1:56" x14ac:dyDescent="0.4">
      <c r="A15" s="2">
        <v>2</v>
      </c>
      <c r="B15" s="219" t="s">
        <v>131</v>
      </c>
      <c r="C15" s="220"/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2523</v>
      </c>
      <c r="Y15" s="8">
        <v>270</v>
      </c>
      <c r="Z15" s="8">
        <v>0</v>
      </c>
      <c r="AA15" s="8">
        <v>565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65">
        <f t="shared" ref="AI15:AI20" si="13">SUM(D15:AH15)</f>
        <v>3358</v>
      </c>
      <c r="AL15" s="1" t="s">
        <v>177</v>
      </c>
      <c r="AM15" s="16">
        <v>0</v>
      </c>
      <c r="AN15" s="39"/>
      <c r="AO15" s="39"/>
      <c r="AP15" s="118"/>
      <c r="AT15" s="1" t="s">
        <v>178</v>
      </c>
      <c r="AU15" s="109">
        <f>ABS(SUMIF(AV4:AV10,"&lt;0",AV4:AV10))</f>
        <v>3530.3020860116931</v>
      </c>
      <c r="AV15" s="9"/>
      <c r="AW15" s="47"/>
      <c r="AX15" s="9"/>
      <c r="AZ15" s="9"/>
    </row>
    <row r="16" spans="1:56" x14ac:dyDescent="0.4">
      <c r="A16" s="2">
        <v>3</v>
      </c>
      <c r="B16" s="219" t="s">
        <v>6</v>
      </c>
      <c r="C16" s="220"/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100</v>
      </c>
      <c r="J16" s="8">
        <v>240</v>
      </c>
      <c r="K16" s="8">
        <v>255</v>
      </c>
      <c r="L16" s="8">
        <v>1949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65">
        <f t="shared" si="13"/>
        <v>2544</v>
      </c>
      <c r="AL16" s="1" t="s">
        <v>162</v>
      </c>
      <c r="AM16" s="16">
        <f>AU14</f>
        <v>3196.5386055933304</v>
      </c>
      <c r="AN16" s="39"/>
      <c r="AO16" s="39"/>
      <c r="AT16" s="1" t="s">
        <v>181</v>
      </c>
      <c r="AU16" s="68">
        <f>AU14-ABS(AU15)</f>
        <v>-333.76348041836263</v>
      </c>
      <c r="AV16" s="9"/>
      <c r="AW16" s="47"/>
      <c r="AX16"/>
    </row>
    <row r="17" spans="1:54" x14ac:dyDescent="0.4">
      <c r="A17" s="2">
        <v>4</v>
      </c>
      <c r="B17" s="219" t="s">
        <v>57</v>
      </c>
      <c r="C17" s="220"/>
      <c r="D17" s="8">
        <v>0</v>
      </c>
      <c r="E17" s="8">
        <v>1110</v>
      </c>
      <c r="F17" s="8">
        <v>170</v>
      </c>
      <c r="G17" s="8">
        <v>70</v>
      </c>
      <c r="H17" s="8">
        <v>420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65">
        <f t="shared" si="13"/>
        <v>1770</v>
      </c>
      <c r="AL17" s="78" t="s">
        <v>138</v>
      </c>
      <c r="AM17" s="51">
        <f>SUM(AM15:AM16)</f>
        <v>3196.5386055933304</v>
      </c>
      <c r="AN17" s="107"/>
      <c r="AO17" s="107"/>
      <c r="AT17" s="110" t="s">
        <v>182</v>
      </c>
      <c r="AU17" s="111">
        <f>0</f>
        <v>0</v>
      </c>
      <c r="AV17" s="9"/>
      <c r="AW17" s="47"/>
      <c r="AX17"/>
    </row>
    <row r="18" spans="1:54" x14ac:dyDescent="0.4">
      <c r="A18" s="2">
        <v>5</v>
      </c>
      <c r="B18" s="219" t="s">
        <v>51</v>
      </c>
      <c r="C18" s="220"/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2115</v>
      </c>
      <c r="P18" s="8">
        <v>1085</v>
      </c>
      <c r="Q18" s="8">
        <v>0</v>
      </c>
      <c r="R18" s="8">
        <v>315</v>
      </c>
      <c r="S18" s="8">
        <v>75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65">
        <f t="shared" si="13"/>
        <v>3590</v>
      </c>
      <c r="AW18" s="48"/>
      <c r="AX18"/>
    </row>
    <row r="19" spans="1:54" x14ac:dyDescent="0.4">
      <c r="A19" s="2">
        <v>6</v>
      </c>
      <c r="B19" s="219" t="s">
        <v>104</v>
      </c>
      <c r="C19" s="220"/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4628</v>
      </c>
      <c r="AG19" s="8">
        <v>0</v>
      </c>
      <c r="AH19" s="8">
        <v>0</v>
      </c>
      <c r="AI19" s="65">
        <f>SUM(D19:AH19)</f>
        <v>4628</v>
      </c>
      <c r="AL19" s="78" t="s">
        <v>92</v>
      </c>
      <c r="AM19" s="78" t="s">
        <v>95</v>
      </c>
      <c r="AN19" s="106"/>
      <c r="AO19" s="106"/>
      <c r="AY19" s="25"/>
      <c r="AZ19" s="47"/>
    </row>
    <row r="20" spans="1:54" x14ac:dyDescent="0.4">
      <c r="A20" s="2">
        <v>7</v>
      </c>
      <c r="B20" s="219" t="s">
        <v>176</v>
      </c>
      <c r="C20" s="220"/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1610</v>
      </c>
      <c r="U20" s="8">
        <v>645</v>
      </c>
      <c r="V20" s="8">
        <v>435</v>
      </c>
      <c r="W20" s="8">
        <v>595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110</v>
      </c>
      <c r="AF20" s="8">
        <v>0</v>
      </c>
      <c r="AG20" s="8">
        <v>0</v>
      </c>
      <c r="AH20" s="8">
        <v>0</v>
      </c>
      <c r="AI20" s="65">
        <f t="shared" si="13"/>
        <v>3395</v>
      </c>
      <c r="AL20" s="1" t="s">
        <v>174</v>
      </c>
      <c r="AM20" s="16">
        <f>AU15</f>
        <v>3530.3020860116931</v>
      </c>
      <c r="AN20" s="39"/>
      <c r="AO20" s="39"/>
      <c r="AV20" s="25"/>
      <c r="AW20" s="25"/>
      <c r="AZ20" s="47"/>
      <c r="BA20" s="9"/>
      <c r="BB20" s="9"/>
    </row>
    <row r="21" spans="1:54" x14ac:dyDescent="0.4">
      <c r="A21" s="227" t="s">
        <v>47</v>
      </c>
      <c r="B21" s="228"/>
      <c r="C21" s="22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51">
        <f>SUM(AI14:AI20)</f>
        <v>23520</v>
      </c>
      <c r="AL21" s="1" t="s">
        <v>94</v>
      </c>
      <c r="AM21" s="16">
        <f>AV11</f>
        <v>-333.76348041836263</v>
      </c>
      <c r="AN21" s="39"/>
      <c r="AO21" s="39"/>
      <c r="AP21" s="9"/>
      <c r="AQ21" s="9"/>
    </row>
    <row r="22" spans="1:54" x14ac:dyDescent="0.4">
      <c r="B22" s="230"/>
      <c r="C22" s="230"/>
      <c r="AL22" s="78" t="s">
        <v>139</v>
      </c>
      <c r="AM22" s="51">
        <f>SUM(AM20:AM21)</f>
        <v>3196.5386055933304</v>
      </c>
      <c r="AN22" s="107"/>
      <c r="AO22" s="107"/>
    </row>
    <row r="23" spans="1:54" x14ac:dyDescent="0.4">
      <c r="A23" s="4"/>
      <c r="B23" s="231" t="s">
        <v>200</v>
      </c>
      <c r="C23" s="232"/>
      <c r="D23" s="66" t="s">
        <v>11</v>
      </c>
      <c r="E23" s="66" t="s">
        <v>12</v>
      </c>
      <c r="F23" s="66" t="s">
        <v>13</v>
      </c>
      <c r="G23" s="66" t="s">
        <v>14</v>
      </c>
      <c r="H23" s="66" t="s">
        <v>15</v>
      </c>
      <c r="I23" s="66" t="s">
        <v>16</v>
      </c>
      <c r="J23" s="66" t="s">
        <v>17</v>
      </c>
      <c r="K23" s="66" t="s">
        <v>18</v>
      </c>
      <c r="L23" s="66" t="s">
        <v>19</v>
      </c>
      <c r="M23" s="66" t="s">
        <v>20</v>
      </c>
      <c r="N23" s="66" t="s">
        <v>21</v>
      </c>
      <c r="O23" s="66" t="s">
        <v>22</v>
      </c>
    </row>
    <row r="24" spans="1:54" x14ac:dyDescent="0.4">
      <c r="A24" s="2">
        <v>1</v>
      </c>
      <c r="B24" s="219" t="s">
        <v>5</v>
      </c>
      <c r="C24" s="220"/>
      <c r="D24" s="8">
        <f>I34</f>
        <v>3142.8571428571427</v>
      </c>
      <c r="E24" s="8">
        <f t="shared" ref="E24:E30" si="14">$E$31/7</f>
        <v>500</v>
      </c>
      <c r="F24" s="8">
        <f>$F$31/7</f>
        <v>0</v>
      </c>
      <c r="G24" s="8">
        <f t="shared" ref="G24:G30" si="15">$G$31/7</f>
        <v>71.428571428571431</v>
      </c>
      <c r="H24" s="8">
        <f t="shared" ref="H24:H30" si="16">$H$31/7</f>
        <v>139.28571428571428</v>
      </c>
      <c r="I24" s="26">
        <f t="shared" ref="I24:I30" si="17">$I$31/7</f>
        <v>308.42857142857144</v>
      </c>
      <c r="J24" s="8">
        <f t="shared" ref="J24:J30" si="18">$J$31/7</f>
        <v>300</v>
      </c>
      <c r="K24" s="8">
        <f t="shared" ref="K24:K30" si="19">$K$31/7</f>
        <v>35.714285714285715</v>
      </c>
      <c r="L24" s="26">
        <f t="shared" ref="L24:L30" si="20">$L$31/7</f>
        <v>62.857142857142854</v>
      </c>
      <c r="M24" s="40">
        <f t="shared" ref="M24:M30" si="21">$M$31/7</f>
        <v>17.142857142857142</v>
      </c>
      <c r="N24" s="8">
        <f t="shared" ref="N24:N30" si="22">$N$31/7</f>
        <v>0</v>
      </c>
      <c r="O24" s="65">
        <f t="shared" ref="O24:O28" si="23">SUM(D24:N24)</f>
        <v>4577.7142857142853</v>
      </c>
      <c r="AL24" s="70" t="s">
        <v>125</v>
      </c>
      <c r="AM24" s="44">
        <f>AM17-AM22</f>
        <v>0</v>
      </c>
      <c r="AN24" s="44"/>
      <c r="AO24" s="44"/>
    </row>
    <row r="25" spans="1:54" x14ac:dyDescent="0.4">
      <c r="A25" s="2">
        <v>2</v>
      </c>
      <c r="B25" s="219" t="s">
        <v>131</v>
      </c>
      <c r="C25" s="220"/>
      <c r="D25" s="8">
        <f>I34</f>
        <v>3142.8571428571427</v>
      </c>
      <c r="E25" s="8">
        <f t="shared" si="14"/>
        <v>500</v>
      </c>
      <c r="F25" s="8">
        <f>$F$31/7</f>
        <v>0</v>
      </c>
      <c r="G25" s="8">
        <f t="shared" si="15"/>
        <v>71.428571428571431</v>
      </c>
      <c r="H25" s="8">
        <f t="shared" si="16"/>
        <v>139.28571428571428</v>
      </c>
      <c r="I25" s="26">
        <f t="shared" si="17"/>
        <v>308.42857142857144</v>
      </c>
      <c r="J25" s="8">
        <f t="shared" si="18"/>
        <v>300</v>
      </c>
      <c r="K25" s="8">
        <f t="shared" si="19"/>
        <v>35.714285714285715</v>
      </c>
      <c r="L25" s="26">
        <f t="shared" si="20"/>
        <v>62.857142857142854</v>
      </c>
      <c r="M25" s="40">
        <f t="shared" si="21"/>
        <v>17.142857142857142</v>
      </c>
      <c r="N25" s="8">
        <f t="shared" si="22"/>
        <v>0</v>
      </c>
      <c r="O25" s="65">
        <f t="shared" si="23"/>
        <v>4577.7142857142853</v>
      </c>
    </row>
    <row r="26" spans="1:54" x14ac:dyDescent="0.4">
      <c r="A26" s="2">
        <v>3</v>
      </c>
      <c r="B26" s="219" t="s">
        <v>6</v>
      </c>
      <c r="C26" s="220"/>
      <c r="D26" s="8">
        <f>I35</f>
        <v>2142.8571428571427</v>
      </c>
      <c r="E26" s="8">
        <f t="shared" si="14"/>
        <v>500</v>
      </c>
      <c r="F26" s="8">
        <f>$F$31/7</f>
        <v>0</v>
      </c>
      <c r="G26" s="8">
        <f t="shared" si="15"/>
        <v>71.428571428571431</v>
      </c>
      <c r="H26" s="8">
        <f t="shared" si="16"/>
        <v>139.28571428571428</v>
      </c>
      <c r="I26" s="26">
        <f t="shared" si="17"/>
        <v>308.42857142857144</v>
      </c>
      <c r="J26" s="8">
        <f t="shared" si="18"/>
        <v>300</v>
      </c>
      <c r="K26" s="8">
        <f t="shared" si="19"/>
        <v>35.714285714285715</v>
      </c>
      <c r="L26" s="26">
        <f t="shared" si="20"/>
        <v>62.857142857142854</v>
      </c>
      <c r="M26" s="40">
        <f t="shared" si="21"/>
        <v>17.142857142857142</v>
      </c>
      <c r="N26" s="8">
        <f t="shared" si="22"/>
        <v>0</v>
      </c>
      <c r="O26" s="65">
        <f t="shared" si="23"/>
        <v>3577.7142857142858</v>
      </c>
    </row>
    <row r="27" spans="1:54" x14ac:dyDescent="0.4">
      <c r="A27" s="2">
        <v>4</v>
      </c>
      <c r="B27" s="219" t="s">
        <v>57</v>
      </c>
      <c r="C27" s="220"/>
      <c r="D27" s="8">
        <f>I35</f>
        <v>2142.8571428571427</v>
      </c>
      <c r="E27" s="8">
        <f t="shared" si="14"/>
        <v>500</v>
      </c>
      <c r="F27" s="8">
        <f>$F$31/7</f>
        <v>0</v>
      </c>
      <c r="G27" s="8">
        <f t="shared" si="15"/>
        <v>71.428571428571431</v>
      </c>
      <c r="H27" s="8">
        <f t="shared" si="16"/>
        <v>139.28571428571428</v>
      </c>
      <c r="I27" s="26">
        <f t="shared" si="17"/>
        <v>308.42857142857144</v>
      </c>
      <c r="J27" s="8">
        <f t="shared" si="18"/>
        <v>300</v>
      </c>
      <c r="K27" s="8">
        <f t="shared" si="19"/>
        <v>35.714285714285715</v>
      </c>
      <c r="L27" s="26">
        <f t="shared" si="20"/>
        <v>62.857142857142854</v>
      </c>
      <c r="M27" s="40">
        <f t="shared" si="21"/>
        <v>17.142857142857142</v>
      </c>
      <c r="N27" s="8">
        <f t="shared" si="22"/>
        <v>0</v>
      </c>
      <c r="O27" s="65">
        <f t="shared" si="23"/>
        <v>3577.7142857142858</v>
      </c>
    </row>
    <row r="28" spans="1:54" x14ac:dyDescent="0.4">
      <c r="A28" s="2">
        <v>5</v>
      </c>
      <c r="B28" s="219" t="s">
        <v>51</v>
      </c>
      <c r="C28" s="220"/>
      <c r="D28" s="8">
        <f>I35</f>
        <v>2142.8571428571427</v>
      </c>
      <c r="E28" s="8">
        <f t="shared" si="14"/>
        <v>500</v>
      </c>
      <c r="F28" s="8">
        <f>$F$31/7</f>
        <v>0</v>
      </c>
      <c r="G28" s="8">
        <f t="shared" si="15"/>
        <v>71.428571428571431</v>
      </c>
      <c r="H28" s="8">
        <f t="shared" si="16"/>
        <v>139.28571428571428</v>
      </c>
      <c r="I28" s="26">
        <f t="shared" si="17"/>
        <v>308.42857142857144</v>
      </c>
      <c r="J28" s="8">
        <f t="shared" si="18"/>
        <v>300</v>
      </c>
      <c r="K28" s="8">
        <f t="shared" si="19"/>
        <v>35.714285714285715</v>
      </c>
      <c r="L28" s="26">
        <f t="shared" si="20"/>
        <v>62.857142857142854</v>
      </c>
      <c r="M28" s="40">
        <f t="shared" si="21"/>
        <v>17.142857142857142</v>
      </c>
      <c r="N28" s="8">
        <f t="shared" si="22"/>
        <v>0</v>
      </c>
      <c r="O28" s="65">
        <f t="shared" si="23"/>
        <v>3577.7142857142858</v>
      </c>
    </row>
    <row r="29" spans="1:54" x14ac:dyDescent="0.4">
      <c r="A29" s="2">
        <v>6</v>
      </c>
      <c r="B29" s="219" t="s">
        <v>104</v>
      </c>
      <c r="C29" s="220"/>
      <c r="D29" s="8">
        <f>I36</f>
        <v>2892.8571428571427</v>
      </c>
      <c r="E29" s="8">
        <f t="shared" si="14"/>
        <v>500</v>
      </c>
      <c r="F29" s="8">
        <v>0</v>
      </c>
      <c r="G29" s="8">
        <f t="shared" si="15"/>
        <v>71.428571428571431</v>
      </c>
      <c r="H29" s="8">
        <f t="shared" si="16"/>
        <v>139.28571428571428</v>
      </c>
      <c r="I29" s="26">
        <f t="shared" si="17"/>
        <v>308.42857142857144</v>
      </c>
      <c r="J29" s="8">
        <f t="shared" si="18"/>
        <v>300</v>
      </c>
      <c r="K29" s="8">
        <f t="shared" si="19"/>
        <v>35.714285714285715</v>
      </c>
      <c r="L29" s="26">
        <f t="shared" si="20"/>
        <v>62.857142857142854</v>
      </c>
      <c r="M29" s="40">
        <f t="shared" si="21"/>
        <v>17.142857142857142</v>
      </c>
      <c r="N29" s="8">
        <f t="shared" si="22"/>
        <v>0</v>
      </c>
      <c r="O29" s="65">
        <f>SUM(D29:N29)</f>
        <v>4327.7142857142853</v>
      </c>
    </row>
    <row r="30" spans="1:54" x14ac:dyDescent="0.4">
      <c r="A30" s="2">
        <v>7</v>
      </c>
      <c r="B30" s="219" t="s">
        <v>176</v>
      </c>
      <c r="C30" s="220"/>
      <c r="D30" s="8">
        <f>I36</f>
        <v>2892.8571428571427</v>
      </c>
      <c r="E30" s="8">
        <f t="shared" si="14"/>
        <v>500</v>
      </c>
      <c r="F30" s="8">
        <v>0</v>
      </c>
      <c r="G30" s="8">
        <f t="shared" si="15"/>
        <v>71.428571428571431</v>
      </c>
      <c r="H30" s="8">
        <f t="shared" si="16"/>
        <v>139.28571428571428</v>
      </c>
      <c r="I30" s="26">
        <f t="shared" si="17"/>
        <v>308.42857142857144</v>
      </c>
      <c r="J30" s="8">
        <f t="shared" si="18"/>
        <v>300</v>
      </c>
      <c r="K30" s="8">
        <f t="shared" si="19"/>
        <v>35.714285714285715</v>
      </c>
      <c r="L30" s="26">
        <f t="shared" si="20"/>
        <v>62.857142857142854</v>
      </c>
      <c r="M30" s="40">
        <f t="shared" si="21"/>
        <v>17.142857142857142</v>
      </c>
      <c r="N30" s="8">
        <f t="shared" si="22"/>
        <v>0</v>
      </c>
      <c r="O30" s="65">
        <f>SUM(D30:N30)</f>
        <v>4327.7142857142853</v>
      </c>
    </row>
    <row r="31" spans="1:54" x14ac:dyDescent="0.4">
      <c r="A31" s="224" t="s">
        <v>47</v>
      </c>
      <c r="B31" s="225"/>
      <c r="C31" s="226"/>
      <c r="D31" s="65">
        <v>18500</v>
      </c>
      <c r="E31" s="67">
        <v>3500</v>
      </c>
      <c r="F31" s="65"/>
      <c r="G31" s="65">
        <v>500</v>
      </c>
      <c r="H31" s="65">
        <v>975</v>
      </c>
      <c r="I31" s="77">
        <v>2159</v>
      </c>
      <c r="J31" s="65">
        <v>2100</v>
      </c>
      <c r="K31" s="65">
        <v>250</v>
      </c>
      <c r="L31" s="77">
        <v>440</v>
      </c>
      <c r="M31" s="67">
        <v>120</v>
      </c>
      <c r="N31" s="65"/>
      <c r="O31" s="65">
        <f>SUM(O24:O30)</f>
        <v>28544</v>
      </c>
    </row>
    <row r="34" spans="5:24" x14ac:dyDescent="0.4">
      <c r="E34" s="1">
        <v>6000</v>
      </c>
      <c r="F34" s="1">
        <v>2</v>
      </c>
      <c r="G34" s="1">
        <f>E34/F34</f>
        <v>3000</v>
      </c>
      <c r="H34" s="1">
        <f>(500+500)/7</f>
        <v>142.85714285714286</v>
      </c>
      <c r="I34" s="11">
        <f>G34+H34</f>
        <v>3142.8571428571427</v>
      </c>
      <c r="J34" s="11">
        <f>I34*F34</f>
        <v>6285.7142857142853</v>
      </c>
      <c r="N34" s="1" t="s">
        <v>61</v>
      </c>
      <c r="O34" s="16">
        <f>D31</f>
        <v>18500</v>
      </c>
      <c r="V34" s="9"/>
    </row>
    <row r="35" spans="5:24" x14ac:dyDescent="0.4">
      <c r="E35" s="1">
        <v>6000</v>
      </c>
      <c r="F35" s="1">
        <v>3</v>
      </c>
      <c r="G35" s="1">
        <f t="shared" ref="G35:G36" si="24">E35/F35</f>
        <v>2000</v>
      </c>
      <c r="H35" s="1">
        <f t="shared" ref="H35:H36" si="25">(500+500)/7</f>
        <v>142.85714285714286</v>
      </c>
      <c r="I35" s="11">
        <f t="shared" ref="I35" si="26">G35+H35</f>
        <v>2142.8571428571427</v>
      </c>
      <c r="J35" s="11">
        <f t="shared" ref="J35:J36" si="27">I35*F35</f>
        <v>6428.5714285714275</v>
      </c>
      <c r="N35" s="1" t="s">
        <v>71</v>
      </c>
      <c r="O35" s="16">
        <f>H31</f>
        <v>975</v>
      </c>
      <c r="U35" s="9"/>
    </row>
    <row r="36" spans="5:24" x14ac:dyDescent="0.4">
      <c r="E36" s="1">
        <v>5500</v>
      </c>
      <c r="F36" s="1">
        <v>2</v>
      </c>
      <c r="G36" s="11">
        <f t="shared" si="24"/>
        <v>2750</v>
      </c>
      <c r="H36" s="1">
        <f t="shared" si="25"/>
        <v>142.85714285714286</v>
      </c>
      <c r="I36" s="11">
        <f>G36+H36</f>
        <v>2892.8571428571427</v>
      </c>
      <c r="J36" s="11">
        <f t="shared" si="27"/>
        <v>5785.7142857142853</v>
      </c>
      <c r="N36" s="1" t="s">
        <v>72</v>
      </c>
      <c r="O36" s="16">
        <f>J31</f>
        <v>2100</v>
      </c>
      <c r="U36" s="9"/>
    </row>
    <row r="37" spans="5:24" x14ac:dyDescent="0.4">
      <c r="E37" s="1">
        <f>SUM(E34:E36)</f>
        <v>17500</v>
      </c>
      <c r="F37" s="1"/>
      <c r="G37" s="1"/>
      <c r="H37" s="1"/>
      <c r="I37" s="1"/>
      <c r="J37" s="11">
        <f>SUM(J34:J36)</f>
        <v>18500</v>
      </c>
      <c r="N37" s="1" t="s">
        <v>73</v>
      </c>
      <c r="O37" s="16">
        <f>I31</f>
        <v>2159</v>
      </c>
      <c r="U37" s="9"/>
      <c r="W37" s="9"/>
    </row>
    <row r="38" spans="5:24" x14ac:dyDescent="0.4">
      <c r="N38" s="1" t="s">
        <v>74</v>
      </c>
      <c r="O38" s="16">
        <f>K31</f>
        <v>250</v>
      </c>
      <c r="U38" s="44"/>
      <c r="V38" s="9"/>
    </row>
    <row r="39" spans="5:24" x14ac:dyDescent="0.4">
      <c r="N39" s="78" t="s">
        <v>47</v>
      </c>
      <c r="O39" s="51">
        <f>SUM(O34:O38)</f>
        <v>23984</v>
      </c>
    </row>
    <row r="40" spans="5:24" x14ac:dyDescent="0.4">
      <c r="O40" s="9"/>
    </row>
    <row r="41" spans="5:24" x14ac:dyDescent="0.4">
      <c r="N41" s="1" t="s">
        <v>12</v>
      </c>
      <c r="O41" s="16">
        <f>E31</f>
        <v>3500</v>
      </c>
      <c r="V41" s="9"/>
    </row>
    <row r="42" spans="5:24" x14ac:dyDescent="0.4">
      <c r="N42" s="1" t="s">
        <v>13</v>
      </c>
      <c r="O42" s="16">
        <f>F31</f>
        <v>0</v>
      </c>
      <c r="V42" s="25"/>
      <c r="W42" s="9"/>
      <c r="X42" s="25"/>
    </row>
    <row r="43" spans="5:24" x14ac:dyDescent="0.4">
      <c r="N43" s="1" t="s">
        <v>14</v>
      </c>
      <c r="O43" s="16">
        <f>G31</f>
        <v>500</v>
      </c>
      <c r="V43" s="9"/>
    </row>
    <row r="44" spans="5:24" x14ac:dyDescent="0.4">
      <c r="N44" s="1" t="s">
        <v>20</v>
      </c>
      <c r="O44" s="16">
        <f>M31</f>
        <v>120</v>
      </c>
    </row>
    <row r="45" spans="5:24" x14ac:dyDescent="0.4">
      <c r="N45" s="1" t="s">
        <v>123</v>
      </c>
      <c r="O45" s="16">
        <f>L31</f>
        <v>440</v>
      </c>
    </row>
    <row r="46" spans="5:24" x14ac:dyDescent="0.4">
      <c r="N46" s="1" t="s">
        <v>21</v>
      </c>
      <c r="O46" s="16">
        <f>N31</f>
        <v>0</v>
      </c>
    </row>
    <row r="47" spans="5:24" x14ac:dyDescent="0.4">
      <c r="N47" s="78" t="s">
        <v>47</v>
      </c>
      <c r="O47" s="51">
        <f>SUM(O41:O46)</f>
        <v>4560</v>
      </c>
    </row>
    <row r="49" spans="14:22" ht="16.2" thickBot="1" x14ac:dyDescent="0.45">
      <c r="N49" s="79" t="s">
        <v>124</v>
      </c>
      <c r="O49" s="80">
        <f>O47+O39</f>
        <v>28544</v>
      </c>
      <c r="V49" s="9"/>
    </row>
    <row r="50" spans="14:22" ht="16.2" thickTop="1" x14ac:dyDescent="0.4"/>
    <row r="51" spans="14:22" x14ac:dyDescent="0.4">
      <c r="N51" s="78" t="s">
        <v>125</v>
      </c>
      <c r="O51" s="16">
        <f>O31-O49</f>
        <v>0</v>
      </c>
    </row>
  </sheetData>
  <mergeCells count="30">
    <mergeCell ref="B6:C6"/>
    <mergeCell ref="B7:C7"/>
    <mergeCell ref="A1:B2"/>
    <mergeCell ref="C1:C2"/>
    <mergeCell ref="B3:C3"/>
    <mergeCell ref="B4:C4"/>
    <mergeCell ref="B5:C5"/>
    <mergeCell ref="B8:C8"/>
    <mergeCell ref="B9:C9"/>
    <mergeCell ref="B10:C10"/>
    <mergeCell ref="B14:C14"/>
    <mergeCell ref="B15:C15"/>
    <mergeCell ref="A31:C31"/>
    <mergeCell ref="A21:C21"/>
    <mergeCell ref="B22:C22"/>
    <mergeCell ref="B23:C23"/>
    <mergeCell ref="B24:C24"/>
    <mergeCell ref="B25:C25"/>
    <mergeCell ref="B26:C26"/>
    <mergeCell ref="B27:C27"/>
    <mergeCell ref="AK11:AL11"/>
    <mergeCell ref="B28:C28"/>
    <mergeCell ref="B29:C29"/>
    <mergeCell ref="B30:C30"/>
    <mergeCell ref="A11:C11"/>
    <mergeCell ref="B16:C16"/>
    <mergeCell ref="B17:C17"/>
    <mergeCell ref="B18:C18"/>
    <mergeCell ref="B19:C19"/>
    <mergeCell ref="B20:C20"/>
  </mergeCells>
  <conditionalFormatting sqref="AP4:AP10 AV4:AV10">
    <cfRule type="cellIs" dxfId="9" priority="2" operator="lessThan">
      <formula>0</formula>
    </cfRule>
  </conditionalFormatting>
  <conditionalFormatting sqref="AV4:AV11">
    <cfRule type="cellIs" dxfId="8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  <ignoredErrors>
    <ignoredError sqref="AV9" 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7CF4-0E17-4D99-A431-290CA6876710}">
  <dimension ref="A1:BD51"/>
  <sheetViews>
    <sheetView showGridLines="0" zoomScaleNormal="100" workbookViewId="0">
      <pane xSplit="3" ySplit="3" topLeftCell="AR4" activePane="bottomRight" state="frozen"/>
      <selection pane="topRight" activeCell="D1" sqref="D1"/>
      <selection pane="bottomLeft" activeCell="A4" sqref="A4"/>
      <selection pane="bottomRight" activeCell="AV19" sqref="AV19"/>
    </sheetView>
  </sheetViews>
  <sheetFormatPr defaultRowHeight="15.6" x14ac:dyDescent="0.4"/>
  <cols>
    <col min="1" max="1" width="7" bestFit="1" customWidth="1"/>
    <col min="2" max="2" width="15.3984375" customWidth="1"/>
    <col min="3" max="3" width="8.3984375" customWidth="1"/>
    <col min="4" max="4" width="11.19921875" customWidth="1"/>
    <col min="5" max="5" width="9.3984375" customWidth="1"/>
    <col min="6" max="6" width="9.296875" bestFit="1" customWidth="1"/>
    <col min="7" max="7" width="11.59765625" customWidth="1"/>
    <col min="8" max="8" width="12.09765625" bestFit="1" customWidth="1"/>
    <col min="9" max="9" width="12" customWidth="1"/>
    <col min="10" max="10" width="9.796875" customWidth="1"/>
    <col min="11" max="11" width="9.296875" bestFit="1" customWidth="1"/>
    <col min="12" max="12" width="10.3984375" customWidth="1"/>
    <col min="13" max="14" width="10.296875" bestFit="1" customWidth="1"/>
    <col min="15" max="15" width="11.69921875" bestFit="1" customWidth="1"/>
    <col min="16" max="16" width="10.59765625" bestFit="1" customWidth="1"/>
    <col min="17" max="20" width="10.296875" bestFit="1" customWidth="1"/>
    <col min="21" max="21" width="13" customWidth="1"/>
    <col min="22" max="22" width="10.296875" bestFit="1" customWidth="1"/>
    <col min="23" max="23" width="10.59765625" bestFit="1" customWidth="1"/>
    <col min="24" max="24" width="10.8984375" bestFit="1" customWidth="1"/>
    <col min="25" max="31" width="10.59765625" bestFit="1" customWidth="1"/>
    <col min="32" max="32" width="10.8984375" bestFit="1" customWidth="1"/>
    <col min="33" max="33" width="10.59765625" bestFit="1" customWidth="1"/>
    <col min="34" max="34" width="10.19921875" customWidth="1"/>
    <col min="35" max="35" width="10.19921875" bestFit="1" customWidth="1"/>
    <col min="36" max="37" width="5.8984375" customWidth="1"/>
    <col min="38" max="38" width="21.296875" customWidth="1"/>
    <col min="39" max="40" width="13.09765625" customWidth="1"/>
    <col min="41" max="41" width="11.296875" customWidth="1"/>
    <col min="42" max="42" width="13.296875" customWidth="1"/>
    <col min="43" max="43" width="14.09765625" customWidth="1"/>
    <col min="44" max="44" width="13.69921875" customWidth="1"/>
    <col min="45" max="45" width="16.8984375" customWidth="1"/>
    <col min="46" max="46" width="16.5" customWidth="1"/>
    <col min="47" max="47" width="10.796875" customWidth="1"/>
    <col min="48" max="48" width="12.796875" customWidth="1"/>
    <col min="49" max="49" width="14.09765625" bestFit="1" customWidth="1"/>
    <col min="50" max="50" width="13.296875" style="47" customWidth="1"/>
    <col min="51" max="51" width="11.69921875" bestFit="1" customWidth="1"/>
    <col min="52" max="52" width="13.19921875" bestFit="1" customWidth="1"/>
    <col min="53" max="53" width="8.796875" style="47"/>
  </cols>
  <sheetData>
    <row r="1" spans="1:56" ht="14.55" customHeight="1" x14ac:dyDescent="0.4">
      <c r="A1" s="233" t="s">
        <v>207</v>
      </c>
      <c r="B1" s="233"/>
      <c r="C1" s="235">
        <f>AI21/AI11</f>
        <v>59.599479843953183</v>
      </c>
    </row>
    <row r="2" spans="1:56" ht="18.600000000000001" customHeight="1" x14ac:dyDescent="0.4">
      <c r="A2" s="234"/>
      <c r="B2" s="234"/>
      <c r="C2" s="236"/>
    </row>
    <row r="3" spans="1:56" ht="57.6" customHeight="1" x14ac:dyDescent="0.4">
      <c r="A3" s="53" t="s">
        <v>0</v>
      </c>
      <c r="B3" s="237" t="s">
        <v>2</v>
      </c>
      <c r="C3" s="238"/>
      <c r="D3" s="54">
        <v>44713</v>
      </c>
      <c r="E3" s="54">
        <v>44714</v>
      </c>
      <c r="F3" s="54">
        <v>44715</v>
      </c>
      <c r="G3" s="54">
        <v>44716</v>
      </c>
      <c r="H3" s="54">
        <v>44717</v>
      </c>
      <c r="I3" s="54">
        <v>44718</v>
      </c>
      <c r="J3" s="54">
        <v>44719</v>
      </c>
      <c r="K3" s="54">
        <v>44720</v>
      </c>
      <c r="L3" s="54">
        <v>44721</v>
      </c>
      <c r="M3" s="54">
        <v>44722</v>
      </c>
      <c r="N3" s="54">
        <v>44723</v>
      </c>
      <c r="O3" s="54">
        <v>44724</v>
      </c>
      <c r="P3" s="54">
        <v>44725</v>
      </c>
      <c r="Q3" s="54">
        <v>44726</v>
      </c>
      <c r="R3" s="54">
        <v>44727</v>
      </c>
      <c r="S3" s="54">
        <v>44728</v>
      </c>
      <c r="T3" s="54">
        <v>44729</v>
      </c>
      <c r="U3" s="54">
        <v>44730</v>
      </c>
      <c r="V3" s="54">
        <v>44731</v>
      </c>
      <c r="W3" s="54">
        <v>44732</v>
      </c>
      <c r="X3" s="54">
        <v>44733</v>
      </c>
      <c r="Y3" s="54">
        <v>44734</v>
      </c>
      <c r="Z3" s="54">
        <v>44735</v>
      </c>
      <c r="AA3" s="54">
        <v>44736</v>
      </c>
      <c r="AB3" s="54">
        <v>44737</v>
      </c>
      <c r="AC3" s="54">
        <v>44738</v>
      </c>
      <c r="AD3" s="54">
        <v>44739</v>
      </c>
      <c r="AE3" s="54">
        <v>44740</v>
      </c>
      <c r="AF3" s="54">
        <v>44741</v>
      </c>
      <c r="AG3" s="54">
        <v>44742</v>
      </c>
      <c r="AH3" s="54"/>
      <c r="AI3" s="53" t="s">
        <v>1</v>
      </c>
      <c r="AK3" s="49" t="s">
        <v>0</v>
      </c>
      <c r="AL3" s="116" t="s">
        <v>2</v>
      </c>
      <c r="AM3" s="82" t="s">
        <v>210</v>
      </c>
      <c r="AN3" s="82" t="s">
        <v>211</v>
      </c>
      <c r="AO3" s="82" t="s">
        <v>212</v>
      </c>
      <c r="AP3" s="82" t="s">
        <v>26</v>
      </c>
      <c r="AQ3" s="82" t="s">
        <v>213</v>
      </c>
      <c r="AR3" s="82" t="s">
        <v>27</v>
      </c>
      <c r="AS3" s="82" t="s">
        <v>30</v>
      </c>
      <c r="AT3" s="82" t="s">
        <v>32</v>
      </c>
      <c r="AU3" s="82" t="s">
        <v>28</v>
      </c>
      <c r="AV3" s="82" t="s">
        <v>31</v>
      </c>
      <c r="AW3" s="94" t="s">
        <v>126</v>
      </c>
      <c r="AX3" s="82" t="s">
        <v>29</v>
      </c>
      <c r="AY3" s="82" t="s">
        <v>175</v>
      </c>
    </row>
    <row r="4" spans="1:56" x14ac:dyDescent="0.4">
      <c r="A4" s="2">
        <v>1</v>
      </c>
      <c r="B4" s="219" t="s">
        <v>5</v>
      </c>
      <c r="C4" s="220"/>
      <c r="D4" s="7">
        <v>4</v>
      </c>
      <c r="E4" s="7">
        <v>3.5</v>
      </c>
      <c r="F4" s="7">
        <v>4</v>
      </c>
      <c r="G4" s="7">
        <v>4</v>
      </c>
      <c r="H4" s="7">
        <v>4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2.5</v>
      </c>
      <c r="O4" s="7">
        <v>4</v>
      </c>
      <c r="P4" s="7">
        <v>4</v>
      </c>
      <c r="Q4" s="7">
        <v>3.5</v>
      </c>
      <c r="R4" s="7">
        <v>4</v>
      </c>
      <c r="S4" s="7">
        <v>4</v>
      </c>
      <c r="T4" s="7">
        <v>5</v>
      </c>
      <c r="U4" s="7">
        <v>5</v>
      </c>
      <c r="V4" s="7">
        <v>4</v>
      </c>
      <c r="W4" s="7">
        <v>1</v>
      </c>
      <c r="X4" s="7">
        <v>3</v>
      </c>
      <c r="Y4" s="7">
        <v>3.5</v>
      </c>
      <c r="Z4" s="7">
        <v>1.5</v>
      </c>
      <c r="AA4" s="7">
        <v>0</v>
      </c>
      <c r="AB4" s="7">
        <v>1.5</v>
      </c>
      <c r="AC4" s="7">
        <v>1.5</v>
      </c>
      <c r="AD4" s="7">
        <v>2.5</v>
      </c>
      <c r="AE4" s="7">
        <v>1.5</v>
      </c>
      <c r="AF4" s="7">
        <v>4</v>
      </c>
      <c r="AG4" s="7">
        <v>3</v>
      </c>
      <c r="AH4" s="7"/>
      <c r="AI4" s="56">
        <f>SUM(D4:AH4)</f>
        <v>98.5</v>
      </c>
      <c r="AK4" s="2">
        <v>1</v>
      </c>
      <c r="AL4" s="3" t="s">
        <v>5</v>
      </c>
      <c r="AM4" s="8">
        <f t="shared" ref="AM4:AM10" si="0">AI4*$C$1</f>
        <v>5870.5487646293886</v>
      </c>
      <c r="AN4" s="6">
        <f>AI4</f>
        <v>98.5</v>
      </c>
      <c r="AO4" s="8">
        <f>AI14</f>
        <v>4172</v>
      </c>
      <c r="AP4" s="8">
        <f t="shared" ref="AP4:AP10" si="1">AO4-AM4</f>
        <v>-1698.5487646293886</v>
      </c>
      <c r="AQ4" s="8">
        <f>O24</f>
        <v>4835.9999999999991</v>
      </c>
      <c r="AR4" s="8">
        <f t="shared" ref="AR4:AR10" si="2">AQ4-AP4</f>
        <v>6534.5487646293877</v>
      </c>
      <c r="AS4" s="40">
        <f>'Meal May 22 &amp; Rent June 22'!AV4</f>
        <v>-395.22587119204763</v>
      </c>
      <c r="AT4" s="8">
        <f t="shared" ref="AT4:AT10" si="3">AR4-AS4</f>
        <v>6929.7746358214354</v>
      </c>
      <c r="AU4" s="8">
        <f>500+6000+500</f>
        <v>7000</v>
      </c>
      <c r="AV4" s="185">
        <f t="shared" ref="AV4:AV7" si="4">AU4-AT4</f>
        <v>70.225364178564632</v>
      </c>
      <c r="AW4" s="102">
        <f>6000+500</f>
        <v>6500</v>
      </c>
      <c r="AX4" s="95">
        <v>44759</v>
      </c>
      <c r="AY4" s="8">
        <f>COUNTIF(D14:AH14,"&gt;0")</f>
        <v>3</v>
      </c>
      <c r="AZ4" s="59">
        <v>-6014.0603501071482</v>
      </c>
    </row>
    <row r="5" spans="1:56" x14ac:dyDescent="0.4">
      <c r="A5" s="2">
        <v>2</v>
      </c>
      <c r="B5" s="219" t="s">
        <v>131</v>
      </c>
      <c r="C5" s="220"/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1.5</v>
      </c>
      <c r="K5" s="7">
        <v>1</v>
      </c>
      <c r="L5" s="7">
        <v>2</v>
      </c>
      <c r="M5" s="7">
        <v>2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2</v>
      </c>
      <c r="AE5" s="7">
        <v>1</v>
      </c>
      <c r="AF5" s="7">
        <v>2</v>
      </c>
      <c r="AG5" s="7">
        <v>1</v>
      </c>
      <c r="AH5" s="7"/>
      <c r="AI5" s="56">
        <f>SUM(D5:AH5)</f>
        <v>29.5</v>
      </c>
      <c r="AK5" s="2">
        <v>2</v>
      </c>
      <c r="AL5" s="3" t="s">
        <v>131</v>
      </c>
      <c r="AM5" s="8">
        <f t="shared" si="0"/>
        <v>1758.1846553966188</v>
      </c>
      <c r="AN5" s="6">
        <f t="shared" ref="AN5:AN10" si="5">AI5</f>
        <v>29.5</v>
      </c>
      <c r="AO5" s="8">
        <f t="shared" ref="AO5:AO6" si="6">AI15</f>
        <v>3155</v>
      </c>
      <c r="AP5" s="8">
        <f t="shared" si="1"/>
        <v>1396.8153446033812</v>
      </c>
      <c r="AQ5" s="8">
        <f t="shared" ref="AQ5:AQ8" si="7">O25</f>
        <v>4835.9999999999991</v>
      </c>
      <c r="AR5" s="8">
        <f t="shared" si="2"/>
        <v>3439.1846553966179</v>
      </c>
      <c r="AS5" s="40">
        <f>'Meal May 22 &amp; Rent June 22'!AV5</f>
        <v>687.21996232145557</v>
      </c>
      <c r="AT5" s="8">
        <f t="shared" si="3"/>
        <v>2751.9646930751624</v>
      </c>
      <c r="AU5" s="8">
        <f>2500+250</f>
        <v>2750</v>
      </c>
      <c r="AV5" s="185">
        <f t="shared" si="4"/>
        <v>-1.9646930751623586</v>
      </c>
      <c r="AW5" s="102">
        <f>2500+250</f>
        <v>2750</v>
      </c>
      <c r="AX5" s="95">
        <v>44759</v>
      </c>
      <c r="AY5" s="8">
        <f t="shared" ref="AY5:AY10" si="8">COUNTIF(D15:AH15,"&gt;0")</f>
        <v>2</v>
      </c>
      <c r="AZ5" s="59">
        <v>-2336.2504073608761</v>
      </c>
    </row>
    <row r="6" spans="1:56" x14ac:dyDescent="0.4">
      <c r="A6" s="2">
        <v>3</v>
      </c>
      <c r="B6" s="219" t="s">
        <v>6</v>
      </c>
      <c r="C6" s="220"/>
      <c r="D6" s="7">
        <v>3.5</v>
      </c>
      <c r="E6" s="7">
        <v>3.5</v>
      </c>
      <c r="F6" s="7">
        <v>3</v>
      </c>
      <c r="G6" s="7">
        <v>4.5</v>
      </c>
      <c r="H6" s="7">
        <v>3.5</v>
      </c>
      <c r="I6" s="7">
        <v>3.5</v>
      </c>
      <c r="J6" s="7">
        <v>3.5</v>
      </c>
      <c r="K6" s="7">
        <v>3.5</v>
      </c>
      <c r="L6" s="7">
        <v>2.5</v>
      </c>
      <c r="M6" s="7">
        <v>2.5</v>
      </c>
      <c r="N6" s="7">
        <v>3.5</v>
      </c>
      <c r="O6" s="7">
        <v>3.5</v>
      </c>
      <c r="P6" s="7">
        <v>3.5</v>
      </c>
      <c r="Q6" s="7">
        <v>3.5</v>
      </c>
      <c r="R6" s="7">
        <v>3</v>
      </c>
      <c r="S6" s="7">
        <v>2</v>
      </c>
      <c r="T6" s="7">
        <v>3</v>
      </c>
      <c r="U6" s="7">
        <v>4.5</v>
      </c>
      <c r="V6" s="7">
        <v>3.5</v>
      </c>
      <c r="W6" s="7">
        <v>1</v>
      </c>
      <c r="X6" s="7">
        <v>2</v>
      </c>
      <c r="Y6" s="7">
        <v>3.5</v>
      </c>
      <c r="Z6" s="7">
        <v>2.5</v>
      </c>
      <c r="AA6" s="7">
        <v>2.5</v>
      </c>
      <c r="AB6" s="7">
        <v>2</v>
      </c>
      <c r="AC6" s="7">
        <v>2</v>
      </c>
      <c r="AD6" s="7">
        <v>2.5</v>
      </c>
      <c r="AE6" s="7">
        <v>2</v>
      </c>
      <c r="AF6" s="7">
        <v>2.5</v>
      </c>
      <c r="AG6" s="7">
        <v>2</v>
      </c>
      <c r="AH6" s="7"/>
      <c r="AI6" s="56">
        <f t="shared" ref="AI6:AI9" si="9">SUM(D6:AH6)</f>
        <v>88</v>
      </c>
      <c r="AK6" s="2">
        <v>3</v>
      </c>
      <c r="AL6" s="3" t="s">
        <v>6</v>
      </c>
      <c r="AM6" s="8">
        <f t="shared" si="0"/>
        <v>5244.7542262678799</v>
      </c>
      <c r="AN6" s="6">
        <f t="shared" si="5"/>
        <v>88</v>
      </c>
      <c r="AO6" s="8">
        <f t="shared" si="6"/>
        <v>2025</v>
      </c>
      <c r="AP6" s="8">
        <f t="shared" si="1"/>
        <v>-3219.7542262678799</v>
      </c>
      <c r="AQ6" s="8">
        <f t="shared" si="7"/>
        <v>3836</v>
      </c>
      <c r="AR6" s="8">
        <f t="shared" si="2"/>
        <v>7055.7542262678799</v>
      </c>
      <c r="AS6" s="40">
        <f>'Meal May 22 &amp; Rent June 22'!AV6</f>
        <v>-854.5101679226027</v>
      </c>
      <c r="AT6" s="8">
        <f t="shared" si="3"/>
        <v>7910.2643941904826</v>
      </c>
      <c r="AU6" s="47">
        <f>410+360+3000+1000+2842</f>
        <v>7612</v>
      </c>
      <c r="AV6" s="185">
        <f>AU6-AT6</f>
        <v>-298.26439419048256</v>
      </c>
      <c r="AW6" s="102">
        <f>3000+1000+2842</f>
        <v>6842</v>
      </c>
      <c r="AX6" s="95">
        <v>44759</v>
      </c>
      <c r="AY6" s="8">
        <f t="shared" si="8"/>
        <v>6</v>
      </c>
      <c r="AZ6" s="59">
        <v>-7494.5501084761963</v>
      </c>
    </row>
    <row r="7" spans="1:56" x14ac:dyDescent="0.4">
      <c r="A7" s="2">
        <v>4</v>
      </c>
      <c r="B7" s="219" t="s">
        <v>57</v>
      </c>
      <c r="C7" s="220"/>
      <c r="D7" s="7">
        <v>2.5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2.5</v>
      </c>
      <c r="L7" s="7">
        <v>2.5</v>
      </c>
      <c r="M7" s="7">
        <v>2.5</v>
      </c>
      <c r="N7" s="7">
        <v>2</v>
      </c>
      <c r="O7" s="7">
        <v>2.5</v>
      </c>
      <c r="P7" s="7">
        <v>2.5</v>
      </c>
      <c r="Q7" s="7">
        <v>2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1</v>
      </c>
      <c r="X7" s="7">
        <v>2</v>
      </c>
      <c r="Y7" s="7">
        <v>2</v>
      </c>
      <c r="Z7" s="7">
        <v>1.5</v>
      </c>
      <c r="AA7" s="7">
        <v>0</v>
      </c>
      <c r="AB7" s="7">
        <v>0</v>
      </c>
      <c r="AC7" s="7">
        <v>1</v>
      </c>
      <c r="AD7" s="7">
        <v>2.5</v>
      </c>
      <c r="AE7" s="7">
        <v>2.5</v>
      </c>
      <c r="AF7" s="7">
        <v>2.5</v>
      </c>
      <c r="AG7" s="7">
        <v>2</v>
      </c>
      <c r="AH7" s="7"/>
      <c r="AI7" s="56">
        <f t="shared" si="9"/>
        <v>48.5</v>
      </c>
      <c r="AK7" s="2">
        <v>4</v>
      </c>
      <c r="AL7" s="3" t="s">
        <v>57</v>
      </c>
      <c r="AM7" s="8">
        <f t="shared" si="0"/>
        <v>2890.5747724317293</v>
      </c>
      <c r="AN7" s="6">
        <f t="shared" si="5"/>
        <v>48.5</v>
      </c>
      <c r="AO7" s="8">
        <f>AI17</f>
        <v>3290</v>
      </c>
      <c r="AP7" s="8">
        <f t="shared" si="1"/>
        <v>399.42522756827066</v>
      </c>
      <c r="AQ7" s="8">
        <f t="shared" si="7"/>
        <v>3836</v>
      </c>
      <c r="AR7" s="8">
        <f t="shared" si="2"/>
        <v>3436.5747724317293</v>
      </c>
      <c r="AS7" s="40">
        <f>'Meal May 22 &amp; Rent June 22'!AV7</f>
        <v>-2240.6757221939797</v>
      </c>
      <c r="AT7" s="8">
        <f t="shared" si="3"/>
        <v>5677.2504946257086</v>
      </c>
      <c r="AU7" s="8">
        <f>200+5000+500</f>
        <v>5700</v>
      </c>
      <c r="AV7" s="185">
        <f t="shared" si="4"/>
        <v>22.749505374291402</v>
      </c>
      <c r="AW7" s="102">
        <f>5000+500</f>
        <v>5500</v>
      </c>
      <c r="AX7" s="95">
        <v>44748</v>
      </c>
      <c r="AY7" s="8">
        <f t="shared" si="8"/>
        <v>5</v>
      </c>
      <c r="AZ7" s="59">
        <v>-5061.5362089114224</v>
      </c>
      <c r="BC7">
        <v>250</v>
      </c>
    </row>
    <row r="8" spans="1:56" x14ac:dyDescent="0.4">
      <c r="A8" s="2">
        <v>5</v>
      </c>
      <c r="B8" s="219" t="s">
        <v>51</v>
      </c>
      <c r="C8" s="220"/>
      <c r="D8" s="7">
        <v>1</v>
      </c>
      <c r="E8" s="7">
        <v>1.5</v>
      </c>
      <c r="F8" s="7">
        <v>0.5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2.5</v>
      </c>
      <c r="N8" s="7">
        <v>2.5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2.5</v>
      </c>
      <c r="U8" s="7">
        <v>2.5</v>
      </c>
      <c r="V8" s="7">
        <v>1</v>
      </c>
      <c r="W8" s="7">
        <v>0</v>
      </c>
      <c r="X8" s="7">
        <v>1</v>
      </c>
      <c r="Y8" s="7">
        <v>1</v>
      </c>
      <c r="Z8" s="7">
        <v>1.5</v>
      </c>
      <c r="AA8" s="7">
        <v>2.5</v>
      </c>
      <c r="AB8" s="7">
        <v>2.5</v>
      </c>
      <c r="AC8" s="7">
        <v>1.5</v>
      </c>
      <c r="AD8" s="7">
        <v>1.5</v>
      </c>
      <c r="AE8" s="7">
        <v>1</v>
      </c>
      <c r="AF8" s="7">
        <v>1</v>
      </c>
      <c r="AG8" s="7">
        <v>3</v>
      </c>
      <c r="AH8" s="7"/>
      <c r="AI8" s="56">
        <f t="shared" si="9"/>
        <v>41.5</v>
      </c>
      <c r="AK8" s="2">
        <v>5</v>
      </c>
      <c r="AL8" s="184" t="s">
        <v>51</v>
      </c>
      <c r="AM8" s="8">
        <f t="shared" si="0"/>
        <v>2473.3784135240571</v>
      </c>
      <c r="AN8" s="6">
        <f t="shared" si="5"/>
        <v>41.5</v>
      </c>
      <c r="AO8" s="8">
        <f>AI18</f>
        <v>3455</v>
      </c>
      <c r="AP8" s="8">
        <f t="shared" si="1"/>
        <v>981.62158647594288</v>
      </c>
      <c r="AQ8" s="8">
        <f t="shared" si="7"/>
        <v>3836</v>
      </c>
      <c r="AR8" s="8">
        <f>AQ8-AP8</f>
        <v>2854.3784135240571</v>
      </c>
      <c r="AS8" s="40">
        <f>'Meal May 22 &amp; Rent June 22'!AV8</f>
        <v>2447.8846710324706</v>
      </c>
      <c r="AT8" s="8">
        <f t="shared" si="3"/>
        <v>406.49374249158654</v>
      </c>
      <c r="AU8" s="8">
        <f>3500+20+1500</f>
        <v>5020</v>
      </c>
      <c r="AV8" s="185">
        <f>AU8-AT8-4500</f>
        <v>113.50625750841391</v>
      </c>
      <c r="AW8" s="102">
        <v>-4500</v>
      </c>
      <c r="AX8" s="115"/>
      <c r="AY8" s="8">
        <f t="shared" si="8"/>
        <v>3</v>
      </c>
      <c r="AZ8" s="59">
        <v>1029.2205432226992</v>
      </c>
      <c r="BC8">
        <v>2500</v>
      </c>
    </row>
    <row r="9" spans="1:56" x14ac:dyDescent="0.4">
      <c r="A9" s="2">
        <v>6</v>
      </c>
      <c r="B9" s="219" t="s">
        <v>104</v>
      </c>
      <c r="C9" s="220"/>
      <c r="D9" s="7">
        <v>1.5</v>
      </c>
      <c r="E9" s="7">
        <v>1.5</v>
      </c>
      <c r="F9" s="7">
        <v>1</v>
      </c>
      <c r="G9" s="7">
        <v>1.5</v>
      </c>
      <c r="H9" s="7">
        <v>2.5</v>
      </c>
      <c r="I9" s="7">
        <v>1.5</v>
      </c>
      <c r="J9" s="7">
        <v>1</v>
      </c>
      <c r="K9" s="7">
        <v>1</v>
      </c>
      <c r="L9" s="7">
        <v>1</v>
      </c>
      <c r="M9" s="7">
        <v>1.5</v>
      </c>
      <c r="N9" s="7">
        <v>1.5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1.5</v>
      </c>
      <c r="U9" s="7">
        <v>1.5</v>
      </c>
      <c r="V9" s="7">
        <v>1.5</v>
      </c>
      <c r="W9" s="7">
        <v>1</v>
      </c>
      <c r="X9" s="7">
        <v>1</v>
      </c>
      <c r="Y9" s="7">
        <v>1</v>
      </c>
      <c r="Z9" s="7">
        <v>1.5</v>
      </c>
      <c r="AA9" s="7">
        <v>1.5</v>
      </c>
      <c r="AB9" s="7">
        <v>1.5</v>
      </c>
      <c r="AC9" s="7">
        <v>1.5</v>
      </c>
      <c r="AD9" s="7">
        <v>1</v>
      </c>
      <c r="AE9" s="7">
        <v>2</v>
      </c>
      <c r="AF9" s="7">
        <v>2</v>
      </c>
      <c r="AG9" s="7">
        <v>2</v>
      </c>
      <c r="AH9" s="7"/>
      <c r="AI9" s="56">
        <f t="shared" si="9"/>
        <v>41</v>
      </c>
      <c r="AK9" s="2">
        <v>6</v>
      </c>
      <c r="AL9" s="184" t="s">
        <v>104</v>
      </c>
      <c r="AM9" s="8">
        <f t="shared" si="0"/>
        <v>2443.5786736020805</v>
      </c>
      <c r="AN9" s="6">
        <f t="shared" si="5"/>
        <v>41</v>
      </c>
      <c r="AO9" s="8">
        <f>AI19</f>
        <v>4000</v>
      </c>
      <c r="AP9" s="8">
        <f t="shared" si="1"/>
        <v>1556.4213263979195</v>
      </c>
      <c r="AQ9" s="8">
        <f>O29</f>
        <v>4585.9999999999991</v>
      </c>
      <c r="AR9" s="8">
        <f t="shared" si="2"/>
        <v>3029.5786736020796</v>
      </c>
      <c r="AS9" s="40">
        <f>'Meal May 22 &amp; Rent June 22'!AV9</f>
        <v>61.433972239404284</v>
      </c>
      <c r="AT9" s="8">
        <f t="shared" si="3"/>
        <v>2968.1447013626753</v>
      </c>
      <c r="AU9" s="8">
        <f>100+2800+70</f>
        <v>2970</v>
      </c>
      <c r="AV9" s="185">
        <f>AU9-AT9</f>
        <v>1.8552986373247222</v>
      </c>
      <c r="AW9" s="102">
        <f>2800+70</f>
        <v>2870</v>
      </c>
      <c r="AX9" s="95">
        <v>44759</v>
      </c>
      <c r="AY9" s="8">
        <f t="shared" si="8"/>
        <v>1</v>
      </c>
      <c r="AZ9" s="59">
        <v>-2552.430415648389</v>
      </c>
      <c r="BC9">
        <v>1500</v>
      </c>
    </row>
    <row r="10" spans="1:56" x14ac:dyDescent="0.4">
      <c r="A10" s="2">
        <v>7</v>
      </c>
      <c r="B10" s="219" t="s">
        <v>176</v>
      </c>
      <c r="C10" s="220"/>
      <c r="D10" s="7">
        <v>1.5</v>
      </c>
      <c r="E10" s="7">
        <v>1.5</v>
      </c>
      <c r="F10" s="7">
        <v>1.5</v>
      </c>
      <c r="G10" s="7">
        <v>2.5</v>
      </c>
      <c r="H10" s="7">
        <v>1</v>
      </c>
      <c r="I10" s="7">
        <v>1.5</v>
      </c>
      <c r="J10" s="7">
        <v>1</v>
      </c>
      <c r="K10" s="7">
        <v>1.5</v>
      </c>
      <c r="L10" s="7">
        <v>1</v>
      </c>
      <c r="M10" s="7">
        <v>0.5</v>
      </c>
      <c r="N10" s="7">
        <v>2.5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2.5</v>
      </c>
      <c r="U10" s="7">
        <v>2.5</v>
      </c>
      <c r="V10" s="7">
        <v>0</v>
      </c>
      <c r="W10" s="7">
        <v>1</v>
      </c>
      <c r="X10" s="7">
        <v>1</v>
      </c>
      <c r="Y10" s="7">
        <v>1.5</v>
      </c>
      <c r="Z10" s="7">
        <v>0</v>
      </c>
      <c r="AA10" s="7">
        <v>0</v>
      </c>
      <c r="AB10" s="7">
        <v>2</v>
      </c>
      <c r="AC10" s="7">
        <v>1.5</v>
      </c>
      <c r="AD10" s="7">
        <v>1.5</v>
      </c>
      <c r="AE10" s="7">
        <v>1</v>
      </c>
      <c r="AF10" s="7">
        <v>1</v>
      </c>
      <c r="AG10" s="7">
        <v>1</v>
      </c>
      <c r="AH10" s="7"/>
      <c r="AI10" s="56">
        <f>SUM(D10:AH10)</f>
        <v>37.5</v>
      </c>
      <c r="AK10" s="2">
        <v>7</v>
      </c>
      <c r="AL10" s="3" t="s">
        <v>176</v>
      </c>
      <c r="AM10" s="8">
        <f t="shared" si="0"/>
        <v>2234.9804941482444</v>
      </c>
      <c r="AN10" s="6">
        <f t="shared" si="5"/>
        <v>37.5</v>
      </c>
      <c r="AO10" s="8">
        <f>AI20</f>
        <v>2819</v>
      </c>
      <c r="AP10" s="8">
        <f t="shared" si="1"/>
        <v>584.01950585175564</v>
      </c>
      <c r="AQ10" s="8">
        <f>O30</f>
        <v>4585.9999999999991</v>
      </c>
      <c r="AR10" s="8">
        <f t="shared" si="2"/>
        <v>4001.9804941482435</v>
      </c>
      <c r="AS10" s="40">
        <f>'Meal May 22 &amp; Rent June 22'!AV10</f>
        <v>-39.890324703063015</v>
      </c>
      <c r="AT10" s="8">
        <f t="shared" si="3"/>
        <v>4041.8708188513065</v>
      </c>
      <c r="AU10" s="8">
        <v>4000</v>
      </c>
      <c r="AV10" s="185">
        <f>AU10-AT10</f>
        <v>-41.870818851306467</v>
      </c>
      <c r="AW10" s="102">
        <v>4000</v>
      </c>
      <c r="AX10" s="95">
        <v>44759</v>
      </c>
      <c r="AY10" s="8">
        <f t="shared" si="8"/>
        <v>6</v>
      </c>
      <c r="AZ10" s="59">
        <v>-3526.1565331370202</v>
      </c>
      <c r="BC10">
        <f>SUM(BC7:BC9)</f>
        <v>4250</v>
      </c>
    </row>
    <row r="11" spans="1:56" x14ac:dyDescent="0.4">
      <c r="A11" s="221" t="s">
        <v>47</v>
      </c>
      <c r="B11" s="222"/>
      <c r="C11" s="223"/>
      <c r="D11" s="55">
        <f>SUM(D4:D10)</f>
        <v>16</v>
      </c>
      <c r="E11" s="55">
        <f t="shared" ref="E11:AH11" si="10">SUM(E4:E10)</f>
        <v>13.5</v>
      </c>
      <c r="F11" s="55">
        <f t="shared" si="10"/>
        <v>12</v>
      </c>
      <c r="G11" s="55">
        <f t="shared" si="10"/>
        <v>15.5</v>
      </c>
      <c r="H11" s="55">
        <f t="shared" si="10"/>
        <v>14</v>
      </c>
      <c r="I11" s="55">
        <f t="shared" si="10"/>
        <v>13.5</v>
      </c>
      <c r="J11" s="55">
        <f t="shared" si="10"/>
        <v>12</v>
      </c>
      <c r="K11" s="55">
        <f t="shared" si="10"/>
        <v>14.5</v>
      </c>
      <c r="L11" s="55">
        <f t="shared" si="10"/>
        <v>14</v>
      </c>
      <c r="M11" s="55">
        <f t="shared" si="10"/>
        <v>15.5</v>
      </c>
      <c r="N11" s="55">
        <f t="shared" si="10"/>
        <v>14.5</v>
      </c>
      <c r="O11" s="55">
        <f t="shared" si="10"/>
        <v>14</v>
      </c>
      <c r="P11" s="55">
        <f t="shared" si="10"/>
        <v>15</v>
      </c>
      <c r="Q11" s="55">
        <f t="shared" si="10"/>
        <v>12</v>
      </c>
      <c r="R11" s="55">
        <f t="shared" si="10"/>
        <v>12.5</v>
      </c>
      <c r="S11" s="55">
        <f t="shared" si="10"/>
        <v>11.5</v>
      </c>
      <c r="T11" s="55">
        <f t="shared" si="10"/>
        <v>17</v>
      </c>
      <c r="U11" s="55">
        <f t="shared" si="10"/>
        <v>18.5</v>
      </c>
      <c r="V11" s="55">
        <f t="shared" si="10"/>
        <v>12.5</v>
      </c>
      <c r="W11" s="55">
        <f t="shared" si="10"/>
        <v>5</v>
      </c>
      <c r="X11" s="55">
        <f t="shared" si="10"/>
        <v>10</v>
      </c>
      <c r="Y11" s="55">
        <f t="shared" si="10"/>
        <v>12.5</v>
      </c>
      <c r="Z11" s="55">
        <f t="shared" si="10"/>
        <v>8.5</v>
      </c>
      <c r="AA11" s="55">
        <f t="shared" si="10"/>
        <v>6.5</v>
      </c>
      <c r="AB11" s="55">
        <f t="shared" si="10"/>
        <v>10.5</v>
      </c>
      <c r="AC11" s="55">
        <f t="shared" si="10"/>
        <v>10</v>
      </c>
      <c r="AD11" s="55">
        <f t="shared" si="10"/>
        <v>13.5</v>
      </c>
      <c r="AE11" s="55">
        <f t="shared" si="10"/>
        <v>11</v>
      </c>
      <c r="AF11" s="55">
        <f t="shared" si="10"/>
        <v>15</v>
      </c>
      <c r="AG11" s="55">
        <f t="shared" si="10"/>
        <v>14</v>
      </c>
      <c r="AH11" s="55">
        <f t="shared" si="10"/>
        <v>0</v>
      </c>
      <c r="AI11" s="55">
        <f>SUM(AI4:AI10)</f>
        <v>384.5</v>
      </c>
      <c r="AK11" s="217" t="s">
        <v>47</v>
      </c>
      <c r="AL11" s="218"/>
      <c r="AM11" s="65">
        <f t="shared" ref="AM11:AS11" si="11">SUM(AM4:AM10)</f>
        <v>22916</v>
      </c>
      <c r="AN11" s="175">
        <f>SUM(AN4:AN10)</f>
        <v>384.5</v>
      </c>
      <c r="AO11" s="65">
        <f t="shared" si="11"/>
        <v>22916</v>
      </c>
      <c r="AP11" s="65">
        <f t="shared" si="11"/>
        <v>1.3642420526593924E-12</v>
      </c>
      <c r="AQ11" s="65">
        <f t="shared" si="11"/>
        <v>30352</v>
      </c>
      <c r="AR11" s="65">
        <f t="shared" si="11"/>
        <v>30351.999999999993</v>
      </c>
      <c r="AS11" s="67">
        <f t="shared" si="11"/>
        <v>-333.76348041836263</v>
      </c>
      <c r="AT11" s="65">
        <f>AR11-AS11</f>
        <v>30685.763480418354</v>
      </c>
      <c r="AU11" s="67">
        <f>SUM(AU4:AU10)</f>
        <v>35052</v>
      </c>
      <c r="AV11" s="65">
        <f>SUM(AV4:AV10)</f>
        <v>-133.76348041835672</v>
      </c>
      <c r="AW11" s="103">
        <f>SUM(AW4:AW10)</f>
        <v>23962</v>
      </c>
      <c r="AX11" s="67"/>
      <c r="AY11" s="65">
        <f>SUM(AY4:AY10)</f>
        <v>26</v>
      </c>
      <c r="AZ11" s="60">
        <v>-25955.763480418354</v>
      </c>
    </row>
    <row r="12" spans="1:56" x14ac:dyDescent="0.4">
      <c r="AM12" s="25"/>
      <c r="AN12" s="25"/>
      <c r="AO12" s="25"/>
      <c r="AP12" s="9"/>
      <c r="AQ12" s="9"/>
      <c r="AS12" s="9"/>
      <c r="AT12" s="9"/>
      <c r="AV12" s="25"/>
      <c r="AW12" s="9"/>
      <c r="AX12" s="200"/>
      <c r="AY12" s="9"/>
      <c r="BB12" s="9"/>
      <c r="BC12" s="47"/>
      <c r="BD12" s="9">
        <f>BC12-BB12</f>
        <v>0</v>
      </c>
    </row>
    <row r="13" spans="1:56" x14ac:dyDescent="0.4">
      <c r="B13" s="64" t="s">
        <v>208</v>
      </c>
      <c r="C13" s="64"/>
      <c r="D13" s="70" t="s">
        <v>175</v>
      </c>
      <c r="E13" s="70">
        <f>COUNTIF(D14:AH20,"&gt;0")</f>
        <v>26</v>
      </c>
      <c r="AN13" s="9"/>
      <c r="AO13" s="9"/>
      <c r="AX13"/>
    </row>
    <row r="14" spans="1:56" x14ac:dyDescent="0.4">
      <c r="A14" s="2">
        <v>1</v>
      </c>
      <c r="B14" s="219" t="s">
        <v>5</v>
      </c>
      <c r="C14" s="220"/>
      <c r="D14" s="8"/>
      <c r="E14" s="8"/>
      <c r="F14" s="8"/>
      <c r="G14" s="8"/>
      <c r="H14" s="8">
        <v>3347</v>
      </c>
      <c r="I14" s="8"/>
      <c r="J14" s="8"/>
      <c r="K14" s="8">
        <v>70</v>
      </c>
      <c r="L14" s="8">
        <v>755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65">
        <f>SUM(D14:AH14)</f>
        <v>4172</v>
      </c>
      <c r="AN14" s="106"/>
      <c r="AO14" s="106"/>
      <c r="AT14" s="1" t="s">
        <v>218</v>
      </c>
      <c r="AU14" s="108">
        <f>SUMIF(AV4:AV10,"&gt;0",AV4:AV10)</f>
        <v>208.33642569859467</v>
      </c>
      <c r="AV14" s="9">
        <v>16</v>
      </c>
      <c r="AW14" s="186" t="s">
        <v>61</v>
      </c>
      <c r="AX14" s="47">
        <f>O39</f>
        <v>23962</v>
      </c>
      <c r="AY14" s="191">
        <f>AW11+AU15</f>
        <v>24304.09990611695</v>
      </c>
      <c r="AZ14" s="191" t="s">
        <v>216</v>
      </c>
    </row>
    <row r="15" spans="1:56" x14ac:dyDescent="0.4">
      <c r="A15" s="2">
        <v>2</v>
      </c>
      <c r="B15" s="219" t="s">
        <v>131</v>
      </c>
      <c r="C15" s="22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>
        <v>2950</v>
      </c>
      <c r="AG15" s="8">
        <v>205</v>
      </c>
      <c r="AH15" s="8"/>
      <c r="AI15" s="65">
        <f t="shared" ref="AI15:AI20" si="12">SUM(D15:AH15)</f>
        <v>3155</v>
      </c>
      <c r="AN15" s="39"/>
      <c r="AO15" s="39"/>
      <c r="AP15" s="118"/>
      <c r="AT15" s="1" t="s">
        <v>178</v>
      </c>
      <c r="AU15" s="109">
        <f>ABS(SUMIF(AV4:AV10,"&lt;0",AV4:AV10))</f>
        <v>342.09990611695139</v>
      </c>
      <c r="AV15" s="25">
        <f>AV14+ABS(AV6)</f>
        <v>314.26439419048256</v>
      </c>
      <c r="AW15" s="187" t="s">
        <v>218</v>
      </c>
      <c r="AX15" s="9">
        <f>AU14</f>
        <v>208.33642569859467</v>
      </c>
      <c r="AY15" s="105">
        <f>AY14-AX17</f>
        <v>133.76348041835445</v>
      </c>
      <c r="AZ15" s="188" t="s">
        <v>165</v>
      </c>
      <c r="BA15" s="198">
        <v>133.76348041835809</v>
      </c>
      <c r="BB15">
        <v>16</v>
      </c>
      <c r="BC15" s="9">
        <f>BB15+BA15</f>
        <v>149.76348041835809</v>
      </c>
    </row>
    <row r="16" spans="1:56" x14ac:dyDescent="0.4">
      <c r="A16" s="2">
        <v>3</v>
      </c>
      <c r="B16" s="219" t="s">
        <v>6</v>
      </c>
      <c r="C16" s="220"/>
      <c r="D16" s="8"/>
      <c r="E16" s="8"/>
      <c r="F16" s="8"/>
      <c r="G16" s="8"/>
      <c r="H16" s="8"/>
      <c r="I16" s="8">
        <v>85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>
        <v>1110</v>
      </c>
      <c r="Z16" s="8">
        <v>340</v>
      </c>
      <c r="AA16" s="8"/>
      <c r="AB16" s="8">
        <v>60</v>
      </c>
      <c r="AC16" s="8">
        <v>280</v>
      </c>
      <c r="AD16" s="8">
        <v>150</v>
      </c>
      <c r="AE16" s="8"/>
      <c r="AF16" s="8"/>
      <c r="AG16" s="8"/>
      <c r="AH16" s="8"/>
      <c r="AI16" s="65">
        <f t="shared" si="12"/>
        <v>2025</v>
      </c>
      <c r="AN16" s="39"/>
      <c r="AO16" s="39"/>
      <c r="AT16" s="1" t="s">
        <v>181</v>
      </c>
      <c r="AU16" s="68">
        <f>ABS(AU15)-AU14</f>
        <v>133.76348041835672</v>
      </c>
      <c r="AW16" s="187"/>
      <c r="AY16" s="9"/>
    </row>
    <row r="17" spans="1:54" x14ac:dyDescent="0.4">
      <c r="A17" s="2">
        <v>4</v>
      </c>
      <c r="B17" s="219" t="s">
        <v>57</v>
      </c>
      <c r="C17" s="22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2440</v>
      </c>
      <c r="R17" s="8">
        <v>400</v>
      </c>
      <c r="S17" s="8">
        <v>110</v>
      </c>
      <c r="T17" s="8">
        <v>220</v>
      </c>
      <c r="U17" s="8">
        <v>120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65">
        <f t="shared" si="12"/>
        <v>3290</v>
      </c>
      <c r="AN17" s="107"/>
      <c r="AO17" s="107"/>
      <c r="AT17" s="110" t="s">
        <v>182</v>
      </c>
      <c r="AU17" s="111">
        <f>0</f>
        <v>0</v>
      </c>
      <c r="AW17" s="189" t="s">
        <v>217</v>
      </c>
      <c r="AX17" s="190">
        <f>SUM(AX14:AX16)</f>
        <v>24170.336425698595</v>
      </c>
    </row>
    <row r="18" spans="1:54" x14ac:dyDescent="0.4">
      <c r="A18" s="2">
        <v>5</v>
      </c>
      <c r="B18" s="219" t="s">
        <v>51</v>
      </c>
      <c r="C18" s="220"/>
      <c r="D18" s="8"/>
      <c r="E18" s="8"/>
      <c r="F18" s="8"/>
      <c r="G18" s="8"/>
      <c r="H18" s="8"/>
      <c r="I18" s="8"/>
      <c r="J18" s="8"/>
      <c r="K18" s="8"/>
      <c r="L18" s="8"/>
      <c r="M18" s="8">
        <v>1470</v>
      </c>
      <c r="N18" s="8">
        <v>1310</v>
      </c>
      <c r="O18" s="8"/>
      <c r="P18" s="8">
        <v>675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65">
        <f t="shared" si="12"/>
        <v>3455</v>
      </c>
      <c r="AW18" s="48"/>
      <c r="AX18" s="9"/>
      <c r="AY18" s="9"/>
    </row>
    <row r="19" spans="1:54" x14ac:dyDescent="0.4">
      <c r="A19" s="2">
        <v>6</v>
      </c>
      <c r="B19" s="219" t="s">
        <v>104</v>
      </c>
      <c r="C19" s="220"/>
      <c r="D19" s="8">
        <v>4000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65">
        <f>SUM(D19:AH19)</f>
        <v>4000</v>
      </c>
      <c r="AN19" s="106"/>
      <c r="AO19" s="106"/>
      <c r="AW19" s="9"/>
      <c r="AY19" s="25"/>
      <c r="AZ19" s="47"/>
    </row>
    <row r="20" spans="1:54" x14ac:dyDescent="0.4">
      <c r="A20" s="2">
        <v>7</v>
      </c>
      <c r="B20" s="219" t="s">
        <v>176</v>
      </c>
      <c r="C20" s="220"/>
      <c r="D20" s="8"/>
      <c r="E20" s="8">
        <v>70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>
        <v>1164</v>
      </c>
      <c r="W20" s="8">
        <v>585</v>
      </c>
      <c r="X20" s="8">
        <v>200</v>
      </c>
      <c r="Y20" s="8"/>
      <c r="Z20" s="8"/>
      <c r="AA20" s="8">
        <v>250</v>
      </c>
      <c r="AB20" s="8"/>
      <c r="AC20" s="8"/>
      <c r="AD20" s="8"/>
      <c r="AE20" s="8">
        <v>550</v>
      </c>
      <c r="AF20" s="8"/>
      <c r="AG20" s="8"/>
      <c r="AH20" s="8"/>
      <c r="AI20" s="65">
        <f t="shared" si="12"/>
        <v>2819</v>
      </c>
      <c r="AN20" s="39"/>
      <c r="AO20" s="39"/>
      <c r="AV20" s="25"/>
      <c r="AW20" s="201"/>
      <c r="AZ20" s="47"/>
      <c r="BB20" s="9"/>
    </row>
    <row r="21" spans="1:54" x14ac:dyDescent="0.4">
      <c r="A21" s="227" t="s">
        <v>47</v>
      </c>
      <c r="B21" s="228"/>
      <c r="C21" s="22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51">
        <f>SUM(AI14:AI20)</f>
        <v>22916</v>
      </c>
      <c r="AN21" s="39"/>
      <c r="AO21" s="39"/>
      <c r="AP21" s="9"/>
      <c r="AQ21" s="9"/>
      <c r="AW21" s="9"/>
    </row>
    <row r="22" spans="1:54" x14ac:dyDescent="0.4">
      <c r="B22" s="230"/>
      <c r="C22" s="230"/>
      <c r="AN22" s="107"/>
      <c r="AO22" s="107"/>
    </row>
    <row r="23" spans="1:54" x14ac:dyDescent="0.4">
      <c r="A23" s="4"/>
      <c r="B23" s="231" t="s">
        <v>209</v>
      </c>
      <c r="C23" s="232"/>
      <c r="D23" s="66" t="s">
        <v>11</v>
      </c>
      <c r="E23" s="66" t="s">
        <v>12</v>
      </c>
      <c r="F23" s="66" t="s">
        <v>13</v>
      </c>
      <c r="G23" s="66" t="s">
        <v>14</v>
      </c>
      <c r="H23" s="66" t="s">
        <v>15</v>
      </c>
      <c r="I23" s="66" t="s">
        <v>16</v>
      </c>
      <c r="J23" s="66" t="s">
        <v>17</v>
      </c>
      <c r="K23" s="66" t="s">
        <v>18</v>
      </c>
      <c r="L23" s="66" t="s">
        <v>19</v>
      </c>
      <c r="M23" s="66" t="s">
        <v>20</v>
      </c>
      <c r="N23" s="66" t="s">
        <v>21</v>
      </c>
      <c r="O23" s="66" t="s">
        <v>22</v>
      </c>
      <c r="AY23" s="9"/>
      <c r="AZ23" s="9"/>
    </row>
    <row r="24" spans="1:54" x14ac:dyDescent="0.4">
      <c r="A24" s="2">
        <v>1</v>
      </c>
      <c r="B24" s="219" t="s">
        <v>5</v>
      </c>
      <c r="C24" s="220"/>
      <c r="D24" s="8">
        <f>I34</f>
        <v>3142.8571428571427</v>
      </c>
      <c r="E24" s="8">
        <f t="shared" ref="E24:E30" si="13">$E$31/7</f>
        <v>500</v>
      </c>
      <c r="F24" s="8">
        <f>$F$31/7</f>
        <v>214.28571428571428</v>
      </c>
      <c r="G24" s="8">
        <f t="shared" ref="G24:G30" si="14">$G$31/7</f>
        <v>71.428571428571431</v>
      </c>
      <c r="H24" s="8">
        <f t="shared" ref="H24:H30" si="15">$H$31/7</f>
        <v>154.28571428571428</v>
      </c>
      <c r="I24" s="26">
        <f t="shared" ref="I24:I30" si="16">$I$31/7</f>
        <v>290.28571428571428</v>
      </c>
      <c r="J24" s="8">
        <f t="shared" ref="J24:J30" si="17">$J$31/7</f>
        <v>300</v>
      </c>
      <c r="K24" s="8">
        <f t="shared" ref="K24:K30" si="18">$K$31/7</f>
        <v>35.714285714285715</v>
      </c>
      <c r="L24" s="26">
        <f t="shared" ref="L24:L30" si="19">$L$31/7</f>
        <v>110</v>
      </c>
      <c r="M24" s="40">
        <f t="shared" ref="M24:M30" si="20">$M$31/7</f>
        <v>17.142857142857142</v>
      </c>
      <c r="N24" s="8">
        <f t="shared" ref="N24:N30" si="21">$N$31/7</f>
        <v>0</v>
      </c>
      <c r="O24" s="65">
        <f t="shared" ref="O24:O28" si="22">SUM(D24:N24)</f>
        <v>4835.9999999999991</v>
      </c>
      <c r="AN24" s="44"/>
      <c r="AO24" s="44"/>
    </row>
    <row r="25" spans="1:54" x14ac:dyDescent="0.4">
      <c r="A25" s="2">
        <v>2</v>
      </c>
      <c r="B25" s="219" t="s">
        <v>131</v>
      </c>
      <c r="C25" s="220"/>
      <c r="D25" s="8">
        <f>I34</f>
        <v>3142.8571428571427</v>
      </c>
      <c r="E25" s="8">
        <f t="shared" si="13"/>
        <v>500</v>
      </c>
      <c r="F25" s="8">
        <f>$F$31/7</f>
        <v>214.28571428571428</v>
      </c>
      <c r="G25" s="8">
        <f t="shared" si="14"/>
        <v>71.428571428571431</v>
      </c>
      <c r="H25" s="8">
        <f t="shared" si="15"/>
        <v>154.28571428571428</v>
      </c>
      <c r="I25" s="26">
        <f t="shared" si="16"/>
        <v>290.28571428571428</v>
      </c>
      <c r="J25" s="8">
        <f t="shared" si="17"/>
        <v>300</v>
      </c>
      <c r="K25" s="8">
        <f t="shared" si="18"/>
        <v>35.714285714285715</v>
      </c>
      <c r="L25" s="26">
        <f t="shared" si="19"/>
        <v>110</v>
      </c>
      <c r="M25" s="40">
        <f t="shared" si="20"/>
        <v>17.142857142857142</v>
      </c>
      <c r="N25" s="8">
        <f t="shared" si="21"/>
        <v>0</v>
      </c>
      <c r="O25" s="65">
        <f t="shared" si="22"/>
        <v>4835.9999999999991</v>
      </c>
    </row>
    <row r="26" spans="1:54" x14ac:dyDescent="0.4">
      <c r="A26" s="2">
        <v>3</v>
      </c>
      <c r="B26" s="219" t="s">
        <v>6</v>
      </c>
      <c r="C26" s="220"/>
      <c r="D26" s="8">
        <f>I35</f>
        <v>2142.8571428571427</v>
      </c>
      <c r="E26" s="8">
        <f t="shared" si="13"/>
        <v>500</v>
      </c>
      <c r="F26" s="8">
        <f>$F$31/7</f>
        <v>214.28571428571428</v>
      </c>
      <c r="G26" s="8">
        <f t="shared" si="14"/>
        <v>71.428571428571431</v>
      </c>
      <c r="H26" s="8">
        <f t="shared" si="15"/>
        <v>154.28571428571428</v>
      </c>
      <c r="I26" s="26">
        <f t="shared" si="16"/>
        <v>290.28571428571428</v>
      </c>
      <c r="J26" s="8">
        <f t="shared" si="17"/>
        <v>300</v>
      </c>
      <c r="K26" s="8">
        <f t="shared" si="18"/>
        <v>35.714285714285715</v>
      </c>
      <c r="L26" s="26">
        <f t="shared" si="19"/>
        <v>110</v>
      </c>
      <c r="M26" s="40">
        <f t="shared" si="20"/>
        <v>17.142857142857142</v>
      </c>
      <c r="N26" s="8">
        <f t="shared" si="21"/>
        <v>0</v>
      </c>
      <c r="O26" s="65">
        <f t="shared" si="22"/>
        <v>3836</v>
      </c>
    </row>
    <row r="27" spans="1:54" x14ac:dyDescent="0.4">
      <c r="A27" s="2">
        <v>4</v>
      </c>
      <c r="B27" s="219" t="s">
        <v>57</v>
      </c>
      <c r="C27" s="220"/>
      <c r="D27" s="8">
        <f>I35</f>
        <v>2142.8571428571427</v>
      </c>
      <c r="E27" s="8">
        <f t="shared" si="13"/>
        <v>500</v>
      </c>
      <c r="F27" s="8">
        <f>$F$31/7</f>
        <v>214.28571428571428</v>
      </c>
      <c r="G27" s="8">
        <f t="shared" si="14"/>
        <v>71.428571428571431</v>
      </c>
      <c r="H27" s="8">
        <f t="shared" si="15"/>
        <v>154.28571428571428</v>
      </c>
      <c r="I27" s="26">
        <f t="shared" si="16"/>
        <v>290.28571428571428</v>
      </c>
      <c r="J27" s="8">
        <f t="shared" si="17"/>
        <v>300</v>
      </c>
      <c r="K27" s="8">
        <f t="shared" si="18"/>
        <v>35.714285714285715</v>
      </c>
      <c r="L27" s="26">
        <f t="shared" si="19"/>
        <v>110</v>
      </c>
      <c r="M27" s="40">
        <f t="shared" si="20"/>
        <v>17.142857142857142</v>
      </c>
      <c r="N27" s="8">
        <f t="shared" si="21"/>
        <v>0</v>
      </c>
      <c r="O27" s="65">
        <f t="shared" si="22"/>
        <v>3836</v>
      </c>
    </row>
    <row r="28" spans="1:54" x14ac:dyDescent="0.4">
      <c r="A28" s="2">
        <v>5</v>
      </c>
      <c r="B28" s="219" t="s">
        <v>51</v>
      </c>
      <c r="C28" s="220"/>
      <c r="D28" s="8">
        <f>I35</f>
        <v>2142.8571428571427</v>
      </c>
      <c r="E28" s="8">
        <f t="shared" si="13"/>
        <v>500</v>
      </c>
      <c r="F28" s="8">
        <f>$F$31/7</f>
        <v>214.28571428571428</v>
      </c>
      <c r="G28" s="8">
        <f t="shared" si="14"/>
        <v>71.428571428571431</v>
      </c>
      <c r="H28" s="8">
        <f t="shared" si="15"/>
        <v>154.28571428571428</v>
      </c>
      <c r="I28" s="26">
        <f t="shared" si="16"/>
        <v>290.28571428571428</v>
      </c>
      <c r="J28" s="8">
        <f t="shared" si="17"/>
        <v>300</v>
      </c>
      <c r="K28" s="8">
        <f t="shared" si="18"/>
        <v>35.714285714285715</v>
      </c>
      <c r="L28" s="26">
        <f t="shared" si="19"/>
        <v>110</v>
      </c>
      <c r="M28" s="40">
        <f t="shared" si="20"/>
        <v>17.142857142857142</v>
      </c>
      <c r="N28" s="8">
        <f t="shared" si="21"/>
        <v>0</v>
      </c>
      <c r="O28" s="65">
        <f t="shared" si="22"/>
        <v>3836</v>
      </c>
    </row>
    <row r="29" spans="1:54" x14ac:dyDescent="0.4">
      <c r="A29" s="2">
        <v>6</v>
      </c>
      <c r="B29" s="219" t="s">
        <v>104</v>
      </c>
      <c r="C29" s="220"/>
      <c r="D29" s="8">
        <f>I36</f>
        <v>2892.8571428571427</v>
      </c>
      <c r="E29" s="8">
        <f t="shared" si="13"/>
        <v>500</v>
      </c>
      <c r="F29" s="8">
        <f t="shared" ref="F29:F30" si="23">$F$31/7</f>
        <v>214.28571428571428</v>
      </c>
      <c r="G29" s="8">
        <f t="shared" si="14"/>
        <v>71.428571428571431</v>
      </c>
      <c r="H29" s="8">
        <f t="shared" si="15"/>
        <v>154.28571428571428</v>
      </c>
      <c r="I29" s="26">
        <f t="shared" si="16"/>
        <v>290.28571428571428</v>
      </c>
      <c r="J29" s="8">
        <f t="shared" si="17"/>
        <v>300</v>
      </c>
      <c r="K29" s="8">
        <f t="shared" si="18"/>
        <v>35.714285714285715</v>
      </c>
      <c r="L29" s="26">
        <f t="shared" si="19"/>
        <v>110</v>
      </c>
      <c r="M29" s="40">
        <f t="shared" si="20"/>
        <v>17.142857142857142</v>
      </c>
      <c r="N29" s="8">
        <f t="shared" si="21"/>
        <v>0</v>
      </c>
      <c r="O29" s="65">
        <f>SUM(D29:N29)</f>
        <v>4585.9999999999991</v>
      </c>
    </row>
    <row r="30" spans="1:54" x14ac:dyDescent="0.4">
      <c r="A30" s="2">
        <v>7</v>
      </c>
      <c r="B30" s="219" t="s">
        <v>176</v>
      </c>
      <c r="C30" s="220"/>
      <c r="D30" s="8">
        <f>I36</f>
        <v>2892.8571428571427</v>
      </c>
      <c r="E30" s="8">
        <f t="shared" si="13"/>
        <v>500</v>
      </c>
      <c r="F30" s="8">
        <f t="shared" si="23"/>
        <v>214.28571428571428</v>
      </c>
      <c r="G30" s="8">
        <f t="shared" si="14"/>
        <v>71.428571428571431</v>
      </c>
      <c r="H30" s="8">
        <f t="shared" si="15"/>
        <v>154.28571428571428</v>
      </c>
      <c r="I30" s="26">
        <f t="shared" si="16"/>
        <v>290.28571428571428</v>
      </c>
      <c r="J30" s="8">
        <f t="shared" si="17"/>
        <v>300</v>
      </c>
      <c r="K30" s="8">
        <f t="shared" si="18"/>
        <v>35.714285714285715</v>
      </c>
      <c r="L30" s="26">
        <f t="shared" si="19"/>
        <v>110</v>
      </c>
      <c r="M30" s="40">
        <f t="shared" si="20"/>
        <v>17.142857142857142</v>
      </c>
      <c r="N30" s="8">
        <f t="shared" si="21"/>
        <v>0</v>
      </c>
      <c r="O30" s="65">
        <f>SUM(D30:N30)</f>
        <v>4585.9999999999991</v>
      </c>
    </row>
    <row r="31" spans="1:54" x14ac:dyDescent="0.4">
      <c r="A31" s="224" t="s">
        <v>47</v>
      </c>
      <c r="B31" s="225"/>
      <c r="C31" s="226"/>
      <c r="D31" s="65">
        <v>18500</v>
      </c>
      <c r="E31" s="67">
        <v>3500</v>
      </c>
      <c r="F31" s="65">
        <v>1500</v>
      </c>
      <c r="G31" s="65">
        <v>500</v>
      </c>
      <c r="H31" s="65">
        <v>1080</v>
      </c>
      <c r="I31" s="77">
        <v>2032</v>
      </c>
      <c r="J31" s="65">
        <v>2100</v>
      </c>
      <c r="K31" s="65">
        <v>250</v>
      </c>
      <c r="L31" s="77">
        <f>360+410</f>
        <v>770</v>
      </c>
      <c r="M31" s="67">
        <v>120</v>
      </c>
      <c r="N31" s="65"/>
      <c r="O31" s="65">
        <f>SUM(O24:O30)</f>
        <v>30352</v>
      </c>
    </row>
    <row r="34" spans="5:24" x14ac:dyDescent="0.4">
      <c r="E34" s="1">
        <v>6000</v>
      </c>
      <c r="F34" s="1">
        <v>2</v>
      </c>
      <c r="G34" s="1">
        <f>E34/F34</f>
        <v>3000</v>
      </c>
      <c r="H34" s="1">
        <f>(500+500)/7</f>
        <v>142.85714285714286</v>
      </c>
      <c r="I34" s="11">
        <f>G34+H34</f>
        <v>3142.8571428571427</v>
      </c>
      <c r="J34" s="11">
        <f>I34*F34</f>
        <v>6285.7142857142853</v>
      </c>
      <c r="N34" s="1" t="s">
        <v>61</v>
      </c>
      <c r="O34" s="16">
        <f>D31</f>
        <v>18500</v>
      </c>
      <c r="V34" s="9"/>
    </row>
    <row r="35" spans="5:24" x14ac:dyDescent="0.4">
      <c r="E35" s="1">
        <v>6000</v>
      </c>
      <c r="F35" s="1">
        <v>3</v>
      </c>
      <c r="G35" s="1">
        <f t="shared" ref="G35:G36" si="24">E35/F35</f>
        <v>2000</v>
      </c>
      <c r="H35" s="1">
        <f t="shared" ref="H35:H36" si="25">(500+500)/7</f>
        <v>142.85714285714286</v>
      </c>
      <c r="I35" s="11">
        <f t="shared" ref="I35" si="26">G35+H35</f>
        <v>2142.8571428571427</v>
      </c>
      <c r="J35" s="11">
        <f t="shared" ref="J35:J36" si="27">I35*F35</f>
        <v>6428.5714285714275</v>
      </c>
      <c r="N35" s="1" t="s">
        <v>71</v>
      </c>
      <c r="O35" s="16">
        <f>H31</f>
        <v>1080</v>
      </c>
      <c r="U35" s="9"/>
    </row>
    <row r="36" spans="5:24" x14ac:dyDescent="0.4">
      <c r="E36" s="1">
        <v>5500</v>
      </c>
      <c r="F36" s="1">
        <v>2</v>
      </c>
      <c r="G36" s="11">
        <f t="shared" si="24"/>
        <v>2750</v>
      </c>
      <c r="H36" s="1">
        <f t="shared" si="25"/>
        <v>142.85714285714286</v>
      </c>
      <c r="I36" s="11">
        <f>G36+H36</f>
        <v>2892.8571428571427</v>
      </c>
      <c r="J36" s="11">
        <f t="shared" si="27"/>
        <v>5785.7142857142853</v>
      </c>
      <c r="N36" s="1" t="s">
        <v>72</v>
      </c>
      <c r="O36" s="16">
        <f>J31</f>
        <v>2100</v>
      </c>
      <c r="U36" s="9"/>
    </row>
    <row r="37" spans="5:24" x14ac:dyDescent="0.4">
      <c r="E37" s="1">
        <f>SUM(E34:E36)</f>
        <v>17500</v>
      </c>
      <c r="F37" s="1"/>
      <c r="G37" s="1"/>
      <c r="H37" s="1"/>
      <c r="I37" s="1"/>
      <c r="J37" s="11">
        <f>SUM(J34:J36)</f>
        <v>18500</v>
      </c>
      <c r="N37" s="1" t="s">
        <v>73</v>
      </c>
      <c r="O37" s="16">
        <f>I31</f>
        <v>2032</v>
      </c>
      <c r="U37" s="9"/>
      <c r="W37" s="9"/>
    </row>
    <row r="38" spans="5:24" x14ac:dyDescent="0.4">
      <c r="N38" s="1" t="s">
        <v>74</v>
      </c>
      <c r="O38" s="16">
        <f>K31</f>
        <v>250</v>
      </c>
      <c r="U38" s="44"/>
      <c r="V38" s="9"/>
    </row>
    <row r="39" spans="5:24" x14ac:dyDescent="0.4">
      <c r="N39" s="78" t="s">
        <v>47</v>
      </c>
      <c r="O39" s="51">
        <f>SUM(O34:O38)</f>
        <v>23962</v>
      </c>
    </row>
    <row r="40" spans="5:24" x14ac:dyDescent="0.4">
      <c r="O40" s="9"/>
    </row>
    <row r="41" spans="5:24" x14ac:dyDescent="0.4">
      <c r="N41" s="1" t="s">
        <v>12</v>
      </c>
      <c r="O41" s="16">
        <f>E31</f>
        <v>3500</v>
      </c>
      <c r="V41" s="9"/>
    </row>
    <row r="42" spans="5:24" x14ac:dyDescent="0.4">
      <c r="N42" s="1" t="s">
        <v>13</v>
      </c>
      <c r="O42" s="16">
        <f>F31</f>
        <v>1500</v>
      </c>
      <c r="V42" s="25"/>
      <c r="W42" s="9"/>
      <c r="X42" s="25"/>
    </row>
    <row r="43" spans="5:24" x14ac:dyDescent="0.4">
      <c r="N43" s="1" t="s">
        <v>14</v>
      </c>
      <c r="O43" s="16">
        <f>G31</f>
        <v>500</v>
      </c>
      <c r="V43" s="9"/>
    </row>
    <row r="44" spans="5:24" x14ac:dyDescent="0.4">
      <c r="N44" s="1" t="s">
        <v>20</v>
      </c>
      <c r="O44" s="16">
        <f>M31</f>
        <v>120</v>
      </c>
    </row>
    <row r="45" spans="5:24" x14ac:dyDescent="0.4">
      <c r="N45" s="1" t="s">
        <v>123</v>
      </c>
      <c r="O45" s="16">
        <f>L31</f>
        <v>770</v>
      </c>
    </row>
    <row r="46" spans="5:24" x14ac:dyDescent="0.4">
      <c r="N46" s="1" t="s">
        <v>21</v>
      </c>
      <c r="O46" s="16">
        <f>N31</f>
        <v>0</v>
      </c>
    </row>
    <row r="47" spans="5:24" x14ac:dyDescent="0.4">
      <c r="N47" s="78" t="s">
        <v>47</v>
      </c>
      <c r="O47" s="51">
        <f>SUM(O41:O46)</f>
        <v>6390</v>
      </c>
    </row>
    <row r="49" spans="14:22" ht="16.2" thickBot="1" x14ac:dyDescent="0.45">
      <c r="N49" s="79" t="s">
        <v>124</v>
      </c>
      <c r="O49" s="80">
        <f>O47+O39</f>
        <v>30352</v>
      </c>
      <c r="V49" s="9"/>
    </row>
    <row r="50" spans="14:22" ht="16.2" thickTop="1" x14ac:dyDescent="0.4"/>
    <row r="51" spans="14:22" x14ac:dyDescent="0.4">
      <c r="N51" s="78" t="s">
        <v>125</v>
      </c>
      <c r="O51" s="16">
        <f>O31-O49</f>
        <v>0</v>
      </c>
    </row>
  </sheetData>
  <mergeCells count="30">
    <mergeCell ref="A31:C31"/>
    <mergeCell ref="B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19:C19"/>
    <mergeCell ref="B7:C7"/>
    <mergeCell ref="B8:C8"/>
    <mergeCell ref="B9:C9"/>
    <mergeCell ref="B10:C10"/>
    <mergeCell ref="A11:C11"/>
    <mergeCell ref="B14:C14"/>
    <mergeCell ref="B15:C15"/>
    <mergeCell ref="B16:C16"/>
    <mergeCell ref="B17:C17"/>
    <mergeCell ref="B18:C18"/>
    <mergeCell ref="AK11:AL11"/>
    <mergeCell ref="A1:B2"/>
    <mergeCell ref="C1:C2"/>
    <mergeCell ref="B3:C3"/>
    <mergeCell ref="B4:C4"/>
    <mergeCell ref="B5:C5"/>
    <mergeCell ref="B6:C6"/>
  </mergeCells>
  <conditionalFormatting sqref="AP4:AP10 AV4:AV10">
    <cfRule type="cellIs" dxfId="7" priority="2" operator="lessThan">
      <formula>0</formula>
    </cfRule>
  </conditionalFormatting>
  <conditionalFormatting sqref="AV4:AV11">
    <cfRule type="cellIs" dxfId="6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E68F-B339-4AB0-AF9B-D4C8B0A59745}">
  <dimension ref="A1:AW52"/>
  <sheetViews>
    <sheetView showGridLines="0" tabSelected="1" zoomScale="104" zoomScaleNormal="110" workbookViewId="0">
      <pane xSplit="2" ySplit="4" topLeftCell="AO5" activePane="bottomRight" state="frozen"/>
      <selection pane="topRight" activeCell="C1" sqref="C1"/>
      <selection pane="bottomLeft" activeCell="A5" sqref="A5"/>
      <selection pane="bottomRight" activeCell="AT15" sqref="AT15"/>
    </sheetView>
  </sheetViews>
  <sheetFormatPr defaultRowHeight="15.6" x14ac:dyDescent="0.4"/>
  <cols>
    <col min="1" max="1" width="7" bestFit="1" customWidth="1"/>
    <col min="2" max="2" width="20.09765625" bestFit="1" customWidth="1"/>
    <col min="3" max="3" width="9.296875" bestFit="1" customWidth="1"/>
    <col min="4" max="4" width="9.3984375" customWidth="1"/>
    <col min="5" max="5" width="9.296875" bestFit="1" customWidth="1"/>
    <col min="6" max="6" width="11.59765625" customWidth="1"/>
    <col min="7" max="7" width="12" bestFit="1" customWidth="1"/>
    <col min="8" max="8" width="12" customWidth="1"/>
    <col min="9" max="9" width="9.69921875" customWidth="1"/>
    <col min="10" max="10" width="9.296875" bestFit="1" customWidth="1"/>
    <col min="11" max="11" width="10.3984375" customWidth="1"/>
    <col min="12" max="13" width="10.296875" bestFit="1" customWidth="1"/>
    <col min="14" max="14" width="11.59765625" bestFit="1" customWidth="1"/>
    <col min="15" max="15" width="10.296875" bestFit="1" customWidth="1"/>
    <col min="16" max="16" width="24.59765625" customWidth="1"/>
    <col min="17" max="19" width="10.296875" bestFit="1" customWidth="1"/>
    <col min="20" max="20" width="13" customWidth="1"/>
    <col min="21" max="30" width="10.296875" bestFit="1" customWidth="1"/>
    <col min="31" max="33" width="10.296875" customWidth="1"/>
    <col min="34" max="34" width="10.296875" bestFit="1" customWidth="1"/>
    <col min="35" max="35" width="5.8984375" customWidth="1"/>
    <col min="36" max="36" width="7.09765625" bestFit="1" customWidth="1"/>
    <col min="37" max="37" width="22.296875" customWidth="1"/>
    <col min="38" max="38" width="13.09765625" customWidth="1"/>
    <col min="39" max="39" width="12.296875" customWidth="1"/>
    <col min="40" max="40" width="12.59765625" customWidth="1"/>
    <col min="41" max="41" width="12" customWidth="1"/>
    <col min="42" max="42" width="10.296875" customWidth="1"/>
    <col min="43" max="43" width="13.69921875" customWidth="1"/>
    <col min="44" max="44" width="17.69921875" customWidth="1"/>
    <col min="45" max="45" width="9.3984375" customWidth="1"/>
    <col min="46" max="46" width="10.296875" customWidth="1"/>
    <col min="47" max="47" width="13.69921875" style="47" customWidth="1"/>
    <col min="48" max="48" width="11.296875" bestFit="1" customWidth="1"/>
  </cols>
  <sheetData>
    <row r="1" spans="1:49" ht="14.7" customHeight="1" x14ac:dyDescent="0.4">
      <c r="C1" s="211" t="s">
        <v>170</v>
      </c>
      <c r="D1" s="211"/>
      <c r="E1" s="212">
        <f>AH22/AH12</f>
        <v>50.930537352555703</v>
      </c>
      <c r="F1" s="212"/>
    </row>
    <row r="2" spans="1:49" ht="18.600000000000001" customHeight="1" x14ac:dyDescent="0.4">
      <c r="C2" s="211"/>
      <c r="D2" s="211"/>
      <c r="E2" s="212"/>
      <c r="F2" s="212"/>
    </row>
    <row r="3" spans="1:49" ht="4.95" customHeight="1" x14ac:dyDescent="0.4"/>
    <row r="4" spans="1:49" ht="62.4" x14ac:dyDescent="0.4">
      <c r="A4" s="53" t="s">
        <v>0</v>
      </c>
      <c r="B4" s="53" t="s">
        <v>2</v>
      </c>
      <c r="C4" s="54">
        <v>44743</v>
      </c>
      <c r="D4" s="54">
        <v>44744</v>
      </c>
      <c r="E4" s="54">
        <v>44745</v>
      </c>
      <c r="F4" s="54">
        <v>44746</v>
      </c>
      <c r="G4" s="54">
        <v>44747</v>
      </c>
      <c r="H4" s="54">
        <v>44748</v>
      </c>
      <c r="I4" s="54">
        <v>44749</v>
      </c>
      <c r="J4" s="54">
        <v>44750</v>
      </c>
      <c r="K4" s="54">
        <v>44751</v>
      </c>
      <c r="L4" s="54">
        <v>44752</v>
      </c>
      <c r="M4" s="54">
        <v>44753</v>
      </c>
      <c r="N4" s="54">
        <v>44754</v>
      </c>
      <c r="O4" s="54">
        <v>44755</v>
      </c>
      <c r="P4" s="54">
        <v>44756</v>
      </c>
      <c r="Q4" s="54">
        <v>44757</v>
      </c>
      <c r="R4" s="54">
        <v>44758</v>
      </c>
      <c r="S4" s="54">
        <v>44759</v>
      </c>
      <c r="T4" s="54">
        <v>44760</v>
      </c>
      <c r="U4" s="54">
        <v>44761</v>
      </c>
      <c r="V4" s="54">
        <v>44762</v>
      </c>
      <c r="W4" s="54">
        <v>44763</v>
      </c>
      <c r="X4" s="54">
        <v>44764</v>
      </c>
      <c r="Y4" s="54">
        <v>44765</v>
      </c>
      <c r="Z4" s="54">
        <v>44766</v>
      </c>
      <c r="AA4" s="54">
        <v>44767</v>
      </c>
      <c r="AB4" s="54">
        <v>44768</v>
      </c>
      <c r="AC4" s="54">
        <v>44769</v>
      </c>
      <c r="AD4" s="54">
        <v>44770</v>
      </c>
      <c r="AE4" s="54">
        <v>44771</v>
      </c>
      <c r="AF4" s="54">
        <v>44772</v>
      </c>
      <c r="AG4" s="54">
        <v>44773</v>
      </c>
      <c r="AH4" s="53" t="s">
        <v>1</v>
      </c>
      <c r="AJ4" s="49" t="s">
        <v>0</v>
      </c>
      <c r="AK4" s="81" t="s">
        <v>2</v>
      </c>
      <c r="AL4" s="82" t="s">
        <v>23</v>
      </c>
      <c r="AM4" s="82" t="s">
        <v>24</v>
      </c>
      <c r="AN4" s="82" t="s">
        <v>26</v>
      </c>
      <c r="AO4" s="82" t="s">
        <v>172</v>
      </c>
      <c r="AP4" s="82" t="s">
        <v>27</v>
      </c>
      <c r="AQ4" s="82" t="s">
        <v>30</v>
      </c>
      <c r="AR4" s="82" t="s">
        <v>32</v>
      </c>
      <c r="AS4" s="82" t="s">
        <v>28</v>
      </c>
      <c r="AT4" s="82" t="s">
        <v>29</v>
      </c>
      <c r="AU4" s="82" t="s">
        <v>31</v>
      </c>
      <c r="AV4" s="94" t="s">
        <v>126</v>
      </c>
    </row>
    <row r="5" spans="1:49" x14ac:dyDescent="0.4">
      <c r="A5" s="2">
        <v>1</v>
      </c>
      <c r="B5" s="3" t="s">
        <v>5</v>
      </c>
      <c r="C5" s="7">
        <v>5</v>
      </c>
      <c r="D5" s="7">
        <v>4</v>
      </c>
      <c r="E5" s="7">
        <v>4</v>
      </c>
      <c r="F5" s="7">
        <v>3</v>
      </c>
      <c r="G5" s="7">
        <v>4</v>
      </c>
      <c r="H5" s="7">
        <v>2.5</v>
      </c>
      <c r="I5" s="7">
        <v>2.5</v>
      </c>
      <c r="J5" s="7">
        <v>2.5</v>
      </c>
      <c r="K5" s="7">
        <v>3</v>
      </c>
      <c r="L5" s="7">
        <v>2</v>
      </c>
      <c r="M5" s="7">
        <v>4</v>
      </c>
      <c r="N5" s="7">
        <v>4</v>
      </c>
      <c r="O5" s="7">
        <v>3</v>
      </c>
      <c r="P5" s="7">
        <v>3</v>
      </c>
      <c r="Q5" s="7">
        <v>2</v>
      </c>
      <c r="R5" s="7">
        <v>5</v>
      </c>
      <c r="S5" s="7">
        <v>4.5</v>
      </c>
      <c r="T5" s="7">
        <v>5</v>
      </c>
      <c r="U5" s="7">
        <v>5</v>
      </c>
      <c r="V5" s="7">
        <v>5</v>
      </c>
      <c r="W5" s="7">
        <v>4.5</v>
      </c>
      <c r="X5" s="7">
        <v>4.5</v>
      </c>
      <c r="Y5" s="7">
        <v>5</v>
      </c>
      <c r="Z5" s="7">
        <v>2.5</v>
      </c>
      <c r="AA5" s="7">
        <v>5</v>
      </c>
      <c r="AB5" s="7">
        <v>2</v>
      </c>
      <c r="AC5" s="7">
        <v>1</v>
      </c>
      <c r="AD5" s="7">
        <v>4</v>
      </c>
      <c r="AE5" s="7">
        <v>3</v>
      </c>
      <c r="AF5" s="7">
        <v>3.5</v>
      </c>
      <c r="AG5" s="7">
        <v>3.5</v>
      </c>
      <c r="AH5" s="56">
        <f>SUM(C5:AG5)</f>
        <v>111.5</v>
      </c>
      <c r="AJ5" s="2">
        <v>1</v>
      </c>
      <c r="AK5" s="83" t="s">
        <v>5</v>
      </c>
      <c r="AL5" s="8">
        <f>AH5*$E$1</f>
        <v>5678.7549148099606</v>
      </c>
      <c r="AM5" s="8">
        <f>AH15</f>
        <v>3875</v>
      </c>
      <c r="AN5" s="8">
        <f>AM5-AL5</f>
        <v>-1803.7549148099606</v>
      </c>
      <c r="AO5" s="8">
        <f>N25</f>
        <v>4592.8571428571422</v>
      </c>
      <c r="AP5" s="8">
        <f t="shared" ref="AP5:AP11" si="0">AO5-AN5</f>
        <v>6396.6120576671028</v>
      </c>
      <c r="AQ5" s="40">
        <f>'Meal June 22 &amp; Rent July 22'!AV4</f>
        <v>70.225364178564632</v>
      </c>
      <c r="AR5" s="8">
        <f t="shared" ref="AR5:AR11" si="1">AP5-AQ5</f>
        <v>6326.3866934885382</v>
      </c>
      <c r="AS5" s="16">
        <v>6500</v>
      </c>
      <c r="AT5" s="95">
        <v>44639</v>
      </c>
      <c r="AU5" s="8">
        <f t="shared" ref="AU5:AU11" si="2">AS5-AR5</f>
        <v>173.61330651146181</v>
      </c>
      <c r="AV5" s="102">
        <v>6000</v>
      </c>
      <c r="AW5" s="9"/>
    </row>
    <row r="6" spans="1:49" x14ac:dyDescent="0.4">
      <c r="A6" s="2">
        <v>2</v>
      </c>
      <c r="B6" s="3" t="s">
        <v>131</v>
      </c>
      <c r="C6" s="7">
        <v>2</v>
      </c>
      <c r="D6" s="7">
        <v>2</v>
      </c>
      <c r="E6" s="7">
        <v>0</v>
      </c>
      <c r="F6" s="7">
        <v>2</v>
      </c>
      <c r="G6" s="7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1.5</v>
      </c>
      <c r="AA6" s="7">
        <v>2</v>
      </c>
      <c r="AB6" s="7">
        <v>2.5</v>
      </c>
      <c r="AC6" s="7">
        <v>1</v>
      </c>
      <c r="AD6" s="7">
        <v>2</v>
      </c>
      <c r="AE6" s="7">
        <v>2</v>
      </c>
      <c r="AF6" s="7">
        <v>2</v>
      </c>
      <c r="AG6" s="7">
        <v>2</v>
      </c>
      <c r="AH6" s="56">
        <f>SUM(C6:AG6)</f>
        <v>24</v>
      </c>
      <c r="AJ6" s="2">
        <v>2</v>
      </c>
      <c r="AK6" s="83" t="s">
        <v>131</v>
      </c>
      <c r="AL6" s="8">
        <f t="shared" ref="AL6:AL11" si="3">AH6*$E$1</f>
        <v>1222.332896461337</v>
      </c>
      <c r="AM6" s="8">
        <f t="shared" ref="AM6:AM7" si="4">AH16</f>
        <v>3460</v>
      </c>
      <c r="AN6" s="8">
        <f t="shared" ref="AN6:AN11" si="5">AM6-AL6</f>
        <v>2237.667103538663</v>
      </c>
      <c r="AO6" s="8">
        <f t="shared" ref="AO6:AO9" si="6">N26</f>
        <v>4592.8571428571422</v>
      </c>
      <c r="AP6" s="8">
        <f t="shared" si="0"/>
        <v>2355.1900393184792</v>
      </c>
      <c r="AQ6" s="40">
        <f>'Meal June 22 &amp; Rent July 22'!AV5</f>
        <v>-1.9646930751623586</v>
      </c>
      <c r="AR6" s="8">
        <f t="shared" si="1"/>
        <v>2357.1547323936416</v>
      </c>
      <c r="AS6" s="16">
        <v>2500</v>
      </c>
      <c r="AT6" s="95">
        <v>44639</v>
      </c>
      <c r="AU6" s="8">
        <f t="shared" si="2"/>
        <v>142.84526760635845</v>
      </c>
      <c r="AV6" s="102">
        <v>2500</v>
      </c>
      <c r="AW6" s="9"/>
    </row>
    <row r="7" spans="1:49" x14ac:dyDescent="0.4">
      <c r="A7" s="2">
        <v>3</v>
      </c>
      <c r="B7" s="3" t="s">
        <v>6</v>
      </c>
      <c r="C7" s="7">
        <v>2</v>
      </c>
      <c r="D7" s="7">
        <v>2</v>
      </c>
      <c r="E7" s="7">
        <v>2</v>
      </c>
      <c r="F7" s="7">
        <v>2</v>
      </c>
      <c r="G7" s="7">
        <v>2.5</v>
      </c>
      <c r="H7" s="7">
        <v>2.5</v>
      </c>
      <c r="I7" s="7">
        <v>2.5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>
        <v>2.5</v>
      </c>
      <c r="S7" s="7">
        <v>2.5</v>
      </c>
      <c r="T7" s="7">
        <v>2.5</v>
      </c>
      <c r="U7" s="7">
        <v>2</v>
      </c>
      <c r="V7" s="7">
        <v>2.5</v>
      </c>
      <c r="W7" s="7">
        <v>2.5</v>
      </c>
      <c r="X7" s="7">
        <v>2.5</v>
      </c>
      <c r="Y7" s="7">
        <v>2.5</v>
      </c>
      <c r="Z7" s="7">
        <v>2.5</v>
      </c>
      <c r="AA7" s="7">
        <v>2</v>
      </c>
      <c r="AB7" s="7">
        <v>2.5</v>
      </c>
      <c r="AC7" s="7">
        <v>1</v>
      </c>
      <c r="AD7" s="7">
        <v>2.5</v>
      </c>
      <c r="AE7" s="7">
        <v>2.5</v>
      </c>
      <c r="AF7" s="7">
        <v>2</v>
      </c>
      <c r="AG7" s="7">
        <v>2.5</v>
      </c>
      <c r="AH7" s="56">
        <f t="shared" ref="AH7:AH11" si="7">SUM(C7:AG7)</f>
        <v>68.5</v>
      </c>
      <c r="AJ7" s="2">
        <v>3</v>
      </c>
      <c r="AK7" s="83" t="s">
        <v>6</v>
      </c>
      <c r="AL7" s="8">
        <f t="shared" si="3"/>
        <v>3488.7418086500656</v>
      </c>
      <c r="AM7" s="8">
        <f t="shared" si="4"/>
        <v>830</v>
      </c>
      <c r="AN7" s="8">
        <f t="shared" si="5"/>
        <v>-2658.7418086500656</v>
      </c>
      <c r="AO7" s="8">
        <f t="shared" si="6"/>
        <v>3592.8571428571431</v>
      </c>
      <c r="AP7" s="8">
        <f t="shared" si="0"/>
        <v>6251.5989515072088</v>
      </c>
      <c r="AQ7" s="40">
        <f>'Meal June 22 &amp; Rent July 22'!AV6-16</f>
        <v>-314.26439419048256</v>
      </c>
      <c r="AR7" s="8">
        <f>AP7-AQ7</f>
        <v>6565.8633456976913</v>
      </c>
      <c r="AS7" s="16">
        <v>6030</v>
      </c>
      <c r="AT7" s="95">
        <v>44642</v>
      </c>
      <c r="AU7" s="8">
        <f t="shared" si="2"/>
        <v>-535.86334569769133</v>
      </c>
      <c r="AV7" s="102">
        <v>5600</v>
      </c>
      <c r="AW7" s="9"/>
    </row>
    <row r="8" spans="1:49" x14ac:dyDescent="0.4">
      <c r="A8" s="2">
        <v>4</v>
      </c>
      <c r="B8" s="3" t="s">
        <v>57</v>
      </c>
      <c r="C8" s="7">
        <v>2</v>
      </c>
      <c r="D8" s="7">
        <v>2.5</v>
      </c>
      <c r="E8" s="7">
        <v>2</v>
      </c>
      <c r="F8" s="7">
        <v>2</v>
      </c>
      <c r="G8" s="7">
        <v>2.5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2.5</v>
      </c>
      <c r="S8" s="7">
        <v>2.5</v>
      </c>
      <c r="T8" s="7">
        <v>4</v>
      </c>
      <c r="U8" s="7">
        <v>2</v>
      </c>
      <c r="V8" s="7">
        <v>1.5</v>
      </c>
      <c r="W8" s="7">
        <v>1.5</v>
      </c>
      <c r="X8" s="7">
        <v>2.5</v>
      </c>
      <c r="Y8" s="7">
        <v>2.5</v>
      </c>
      <c r="Z8" s="7">
        <v>1.5</v>
      </c>
      <c r="AA8" s="7">
        <v>1</v>
      </c>
      <c r="AB8" s="7">
        <v>1.5</v>
      </c>
      <c r="AC8" s="7">
        <v>0</v>
      </c>
      <c r="AD8" s="7">
        <v>1.5</v>
      </c>
      <c r="AE8" s="7">
        <v>1.5</v>
      </c>
      <c r="AF8" s="7">
        <v>1.5</v>
      </c>
      <c r="AG8" s="7">
        <v>1.5</v>
      </c>
      <c r="AH8" s="56">
        <f t="shared" si="7"/>
        <v>42</v>
      </c>
      <c r="AJ8" s="2">
        <v>4</v>
      </c>
      <c r="AK8" s="83" t="s">
        <v>57</v>
      </c>
      <c r="AL8" s="8">
        <f t="shared" si="3"/>
        <v>2139.0825688073396</v>
      </c>
      <c r="AM8" s="8">
        <f>AH18</f>
        <v>1760</v>
      </c>
      <c r="AN8" s="8">
        <f t="shared" si="5"/>
        <v>-379.08256880733961</v>
      </c>
      <c r="AO8" s="8">
        <f t="shared" si="6"/>
        <v>3592.8571428571431</v>
      </c>
      <c r="AP8" s="8">
        <f t="shared" si="0"/>
        <v>3971.9397116644827</v>
      </c>
      <c r="AQ8" s="40">
        <f>'Meal June 22 &amp; Rent July 22'!AV7</f>
        <v>22.749505374291402</v>
      </c>
      <c r="AR8" s="8">
        <f t="shared" si="1"/>
        <v>3949.1902062901913</v>
      </c>
      <c r="AS8" s="16">
        <v>4000</v>
      </c>
      <c r="AT8" s="95">
        <v>44640</v>
      </c>
      <c r="AU8" s="8">
        <f t="shared" si="2"/>
        <v>50.809793709808673</v>
      </c>
      <c r="AV8" s="102">
        <v>4000</v>
      </c>
      <c r="AW8" s="9"/>
    </row>
    <row r="9" spans="1:49" x14ac:dyDescent="0.4">
      <c r="A9" s="2">
        <v>5</v>
      </c>
      <c r="B9" s="199" t="s">
        <v>51</v>
      </c>
      <c r="C9" s="7">
        <v>2</v>
      </c>
      <c r="D9" s="7">
        <v>2.5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2.5</v>
      </c>
      <c r="S9" s="7">
        <v>1</v>
      </c>
      <c r="T9" s="7">
        <v>1</v>
      </c>
      <c r="U9" s="7">
        <v>1</v>
      </c>
      <c r="V9" s="7">
        <v>1</v>
      </c>
      <c r="W9" s="7">
        <v>2</v>
      </c>
      <c r="X9" s="7">
        <v>5</v>
      </c>
      <c r="Y9" s="7">
        <v>4.5</v>
      </c>
      <c r="Z9" s="7">
        <v>3</v>
      </c>
      <c r="AA9" s="7">
        <v>3</v>
      </c>
      <c r="AB9" s="7">
        <v>3</v>
      </c>
      <c r="AC9" s="7">
        <v>2</v>
      </c>
      <c r="AD9" s="7">
        <v>3</v>
      </c>
      <c r="AE9" s="7">
        <v>5</v>
      </c>
      <c r="AF9" s="7">
        <v>5</v>
      </c>
      <c r="AG9" s="7">
        <v>3</v>
      </c>
      <c r="AH9" s="56">
        <f t="shared" si="7"/>
        <v>56.5</v>
      </c>
      <c r="AJ9" s="2">
        <v>5</v>
      </c>
      <c r="AK9" s="84" t="s">
        <v>51</v>
      </c>
      <c r="AL9" s="8">
        <f t="shared" si="3"/>
        <v>2877.5753604193974</v>
      </c>
      <c r="AM9" s="8">
        <f>AH19</f>
        <v>3677</v>
      </c>
      <c r="AN9" s="8">
        <f t="shared" si="5"/>
        <v>799.42463958060262</v>
      </c>
      <c r="AO9" s="8">
        <f t="shared" si="6"/>
        <v>3592.8571428571431</v>
      </c>
      <c r="AP9" s="8">
        <f>AO9-AN9</f>
        <v>2793.4325032765405</v>
      </c>
      <c r="AQ9" s="40">
        <f>'Meal June 22 &amp; Rent July 22'!AV8</f>
        <v>113.50625750841391</v>
      </c>
      <c r="AR9" s="8">
        <f t="shared" si="1"/>
        <v>2679.9262457681266</v>
      </c>
      <c r="AS9" s="16">
        <v>3500</v>
      </c>
      <c r="AT9" s="95"/>
      <c r="AU9" s="8">
        <f t="shared" si="2"/>
        <v>820.07375423187341</v>
      </c>
      <c r="AV9" s="102"/>
      <c r="AW9" s="9"/>
    </row>
    <row r="10" spans="1:49" x14ac:dyDescent="0.4">
      <c r="A10" s="2">
        <v>6</v>
      </c>
      <c r="B10" s="1" t="s">
        <v>110</v>
      </c>
      <c r="C10" s="7">
        <v>2.5</v>
      </c>
      <c r="D10" s="7">
        <v>2.5</v>
      </c>
      <c r="E10" s="7">
        <v>2</v>
      </c>
      <c r="F10" s="7">
        <v>2.5</v>
      </c>
      <c r="G10" s="7">
        <v>2.5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1.5</v>
      </c>
      <c r="T10" s="7">
        <v>1</v>
      </c>
      <c r="U10" s="7">
        <v>1</v>
      </c>
      <c r="V10" s="7">
        <v>1</v>
      </c>
      <c r="W10" s="7">
        <v>2.5</v>
      </c>
      <c r="X10" s="7">
        <v>2.5</v>
      </c>
      <c r="Y10" s="7">
        <v>1.5</v>
      </c>
      <c r="Z10" s="7">
        <v>1.5</v>
      </c>
      <c r="AA10" s="7">
        <v>1.5</v>
      </c>
      <c r="AB10" s="7">
        <v>1</v>
      </c>
      <c r="AC10" s="7">
        <v>1.5</v>
      </c>
      <c r="AD10" s="7">
        <v>1.5</v>
      </c>
      <c r="AE10" s="7">
        <v>1.5</v>
      </c>
      <c r="AF10" s="7">
        <v>1</v>
      </c>
      <c r="AG10" s="7">
        <v>1</v>
      </c>
      <c r="AH10" s="56">
        <f t="shared" si="7"/>
        <v>35.5</v>
      </c>
      <c r="AJ10" s="2">
        <v>6</v>
      </c>
      <c r="AK10" s="84" t="s">
        <v>104</v>
      </c>
      <c r="AL10" s="8">
        <f t="shared" si="3"/>
        <v>1808.0340760157274</v>
      </c>
      <c r="AM10" s="8">
        <f>AH20</f>
        <v>2378</v>
      </c>
      <c r="AN10" s="8">
        <f t="shared" si="5"/>
        <v>569.96592398427265</v>
      </c>
      <c r="AO10" s="8">
        <f>N30</f>
        <v>4342.8571428571422</v>
      </c>
      <c r="AP10" s="8">
        <f t="shared" si="0"/>
        <v>3772.8912188728696</v>
      </c>
      <c r="AQ10" s="40">
        <f>'Meal June 22 &amp; Rent July 22'!AV9</f>
        <v>1.8552986373247222</v>
      </c>
      <c r="AR10" s="8">
        <f t="shared" si="1"/>
        <v>3771.0359202355448</v>
      </c>
      <c r="AS10" s="16">
        <v>3800</v>
      </c>
      <c r="AT10" s="95">
        <v>44641</v>
      </c>
      <c r="AU10" s="8">
        <f t="shared" si="2"/>
        <v>28.964079764455164</v>
      </c>
      <c r="AV10" s="102">
        <v>3800</v>
      </c>
      <c r="AW10" s="9"/>
    </row>
    <row r="11" spans="1:49" x14ac:dyDescent="0.4">
      <c r="A11" s="2">
        <v>7</v>
      </c>
      <c r="B11" s="3" t="s">
        <v>147</v>
      </c>
      <c r="C11" s="7">
        <v>2.5</v>
      </c>
      <c r="D11" s="7">
        <v>0.5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2.5</v>
      </c>
      <c r="S11" s="7">
        <v>2.5</v>
      </c>
      <c r="T11" s="7">
        <v>2</v>
      </c>
      <c r="U11" s="7">
        <v>2.5</v>
      </c>
      <c r="V11" s="7">
        <v>2.5</v>
      </c>
      <c r="W11" s="7">
        <v>2</v>
      </c>
      <c r="X11" s="7">
        <v>2.5</v>
      </c>
      <c r="Y11" s="7">
        <v>2.5</v>
      </c>
      <c r="Z11" s="7">
        <v>2.5</v>
      </c>
      <c r="AA11" s="7">
        <v>2.5</v>
      </c>
      <c r="AB11" s="7">
        <v>2.5</v>
      </c>
      <c r="AC11" s="7">
        <v>1</v>
      </c>
      <c r="AD11" s="7">
        <v>2.5</v>
      </c>
      <c r="AE11" s="7">
        <v>2.5</v>
      </c>
      <c r="AF11" s="7">
        <v>2.5</v>
      </c>
      <c r="AG11" s="7">
        <v>2.5</v>
      </c>
      <c r="AH11" s="56">
        <f t="shared" si="7"/>
        <v>43.5</v>
      </c>
      <c r="AJ11" s="2">
        <v>7</v>
      </c>
      <c r="AK11" s="83" t="s">
        <v>147</v>
      </c>
      <c r="AL11" s="8">
        <f t="shared" si="3"/>
        <v>2215.4783748361729</v>
      </c>
      <c r="AM11" s="8">
        <f>AH21</f>
        <v>3450</v>
      </c>
      <c r="AN11" s="8">
        <f t="shared" si="5"/>
        <v>1234.5216251638271</v>
      </c>
      <c r="AO11" s="8">
        <f>N31</f>
        <v>4342.8571428571422</v>
      </c>
      <c r="AP11" s="8">
        <f t="shared" si="0"/>
        <v>3108.3355176933151</v>
      </c>
      <c r="AQ11" s="40">
        <f>'Meal June 22 &amp; Rent July 22'!AV10</f>
        <v>-41.870818851306467</v>
      </c>
      <c r="AR11" s="8">
        <f t="shared" si="1"/>
        <v>3150.2063365446215</v>
      </c>
      <c r="AS11" s="16">
        <v>3120</v>
      </c>
      <c r="AT11" s="95">
        <v>44639</v>
      </c>
      <c r="AU11" s="8">
        <f t="shared" si="2"/>
        <v>-30.206336544621536</v>
      </c>
      <c r="AV11" s="102">
        <v>3000</v>
      </c>
      <c r="AW11" s="9"/>
    </row>
    <row r="12" spans="1:49" x14ac:dyDescent="0.4">
      <c r="A12" s="1"/>
      <c r="B12" s="1"/>
      <c r="C12" s="55">
        <f>SUM(C5:C11)</f>
        <v>18</v>
      </c>
      <c r="D12" s="55">
        <f t="shared" ref="D12:AD12" si="8">SUM(D5:D11)</f>
        <v>16</v>
      </c>
      <c r="E12" s="55">
        <f t="shared" si="8"/>
        <v>11</v>
      </c>
      <c r="F12" s="55">
        <f t="shared" si="8"/>
        <v>13.5</v>
      </c>
      <c r="G12" s="55">
        <f t="shared" si="8"/>
        <v>15.5</v>
      </c>
      <c r="H12" s="55">
        <f t="shared" si="8"/>
        <v>7</v>
      </c>
      <c r="I12" s="55">
        <f t="shared" si="8"/>
        <v>6</v>
      </c>
      <c r="J12" s="55">
        <f t="shared" si="8"/>
        <v>4.5</v>
      </c>
      <c r="K12" s="55">
        <f t="shared" si="8"/>
        <v>5</v>
      </c>
      <c r="L12" s="55">
        <f t="shared" si="8"/>
        <v>4</v>
      </c>
      <c r="M12" s="55">
        <f t="shared" si="8"/>
        <v>6</v>
      </c>
      <c r="N12" s="55">
        <f t="shared" si="8"/>
        <v>6</v>
      </c>
      <c r="O12" s="55">
        <f t="shared" si="8"/>
        <v>5</v>
      </c>
      <c r="P12" s="55">
        <f t="shared" si="8"/>
        <v>7</v>
      </c>
      <c r="Q12" s="55">
        <f t="shared" si="8"/>
        <v>7</v>
      </c>
      <c r="R12" s="55">
        <f t="shared" si="8"/>
        <v>16</v>
      </c>
      <c r="S12" s="55">
        <f t="shared" si="8"/>
        <v>14.5</v>
      </c>
      <c r="T12" s="55">
        <f t="shared" si="8"/>
        <v>15.5</v>
      </c>
      <c r="U12" s="55">
        <f t="shared" si="8"/>
        <v>13.5</v>
      </c>
      <c r="V12" s="55">
        <f t="shared" si="8"/>
        <v>13.5</v>
      </c>
      <c r="W12" s="55">
        <f t="shared" si="8"/>
        <v>15</v>
      </c>
      <c r="X12" s="55">
        <f t="shared" si="8"/>
        <v>19.5</v>
      </c>
      <c r="Y12" s="55">
        <f t="shared" si="8"/>
        <v>19.5</v>
      </c>
      <c r="Z12" s="55">
        <f t="shared" si="8"/>
        <v>15</v>
      </c>
      <c r="AA12" s="55">
        <f t="shared" si="8"/>
        <v>17</v>
      </c>
      <c r="AB12" s="55">
        <f t="shared" si="8"/>
        <v>15</v>
      </c>
      <c r="AC12" s="55">
        <f t="shared" si="8"/>
        <v>7.5</v>
      </c>
      <c r="AD12" s="55">
        <f t="shared" si="8"/>
        <v>17</v>
      </c>
      <c r="AE12" s="55">
        <f>SUM(AE5:AE11)</f>
        <v>18</v>
      </c>
      <c r="AF12" s="55">
        <f>SUM(AF5:AF11)</f>
        <v>17.5</v>
      </c>
      <c r="AG12" s="55">
        <f>SUM(AG5:AG11)</f>
        <v>16</v>
      </c>
      <c r="AH12" s="55">
        <f>SUM(AH5:AH11)</f>
        <v>381.5</v>
      </c>
      <c r="AJ12" s="2"/>
      <c r="AK12" s="84"/>
      <c r="AL12" s="65">
        <f t="shared" ref="AL12:AQ12" si="9">SUM(AL5:AL11)</f>
        <v>19430.000000000004</v>
      </c>
      <c r="AM12" s="65">
        <f t="shared" si="9"/>
        <v>19430</v>
      </c>
      <c r="AN12" s="65">
        <f t="shared" si="9"/>
        <v>0</v>
      </c>
      <c r="AO12" s="65">
        <f t="shared" si="9"/>
        <v>28649.999999999996</v>
      </c>
      <c r="AP12" s="65">
        <f t="shared" si="9"/>
        <v>28649.999999999996</v>
      </c>
      <c r="AQ12" s="67">
        <f t="shared" si="9"/>
        <v>-149.76348041835672</v>
      </c>
      <c r="AR12" s="65">
        <f>AP12-AQ12</f>
        <v>28799.763480418354</v>
      </c>
      <c r="AS12" s="77">
        <f>SUM(AS5:AS11)</f>
        <v>29450</v>
      </c>
      <c r="AT12" s="67"/>
      <c r="AU12" s="65">
        <f>SUM(AU5:AU11)</f>
        <v>650.23651958164464</v>
      </c>
      <c r="AV12" s="103">
        <f>SUM(AV5:AV11)</f>
        <v>24900</v>
      </c>
      <c r="AW12" s="9"/>
    </row>
    <row r="13" spans="1:49" x14ac:dyDescent="0.4">
      <c r="AL13" s="25"/>
      <c r="AM13" s="9"/>
      <c r="AN13" s="9"/>
      <c r="AP13" s="9"/>
      <c r="AQ13" s="9"/>
      <c r="AR13" s="25"/>
      <c r="AS13" s="9"/>
      <c r="AT13" s="9"/>
      <c r="AV13" s="9"/>
    </row>
    <row r="14" spans="1:49" x14ac:dyDescent="0.4">
      <c r="B14" s="64" t="s">
        <v>169</v>
      </c>
      <c r="AK14" s="44" t="s">
        <v>173</v>
      </c>
      <c r="AL14" s="9"/>
      <c r="AV14">
        <v>18500</v>
      </c>
      <c r="AW14" t="s">
        <v>225</v>
      </c>
    </row>
    <row r="15" spans="1:49" x14ac:dyDescent="0.4">
      <c r="A15" s="2">
        <v>1</v>
      </c>
      <c r="B15" s="3" t="s">
        <v>5</v>
      </c>
      <c r="C15" s="8"/>
      <c r="D15" s="8"/>
      <c r="E15" s="8"/>
      <c r="F15" s="8"/>
      <c r="G15" s="8"/>
      <c r="H15" s="8"/>
      <c r="I15" s="8"/>
      <c r="J15" s="8">
        <v>245</v>
      </c>
      <c r="K15" s="8">
        <v>200</v>
      </c>
      <c r="L15" s="8">
        <v>90</v>
      </c>
      <c r="M15" s="8">
        <v>2590</v>
      </c>
      <c r="N15" s="8">
        <v>85</v>
      </c>
      <c r="O15" s="8">
        <v>440</v>
      </c>
      <c r="P15" s="8">
        <v>100</v>
      </c>
      <c r="Q15" s="8">
        <v>30</v>
      </c>
      <c r="R15" s="8"/>
      <c r="S15" s="8"/>
      <c r="T15" s="8"/>
      <c r="U15" s="8"/>
      <c r="V15" s="8"/>
      <c r="W15" s="8"/>
      <c r="X15" s="8"/>
      <c r="Y15" s="8"/>
      <c r="Z15" s="8"/>
      <c r="AA15" s="8">
        <v>95</v>
      </c>
      <c r="AB15" s="8"/>
      <c r="AC15" s="8"/>
      <c r="AD15" s="8"/>
      <c r="AE15" s="8"/>
      <c r="AF15" s="8"/>
      <c r="AG15" s="8"/>
      <c r="AH15" s="65">
        <f>SUM(C15:AG15)</f>
        <v>3875</v>
      </c>
      <c r="AK15" s="78" t="s">
        <v>161</v>
      </c>
      <c r="AL15" s="78" t="s">
        <v>95</v>
      </c>
      <c r="AS15" s="9"/>
      <c r="AT15" s="9"/>
      <c r="AV15" s="9">
        <f>AV12-AV14</f>
        <v>6400</v>
      </c>
      <c r="AW15" t="s">
        <v>226</v>
      </c>
    </row>
    <row r="16" spans="1:49" x14ac:dyDescent="0.4">
      <c r="A16" s="2">
        <v>2</v>
      </c>
      <c r="B16" s="3" t="s">
        <v>131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/>
      <c r="X16" s="8"/>
      <c r="Y16" s="8"/>
      <c r="Z16" s="8"/>
      <c r="AA16" s="8"/>
      <c r="AB16" s="8"/>
      <c r="AC16" s="8">
        <v>2760</v>
      </c>
      <c r="AD16" s="8">
        <v>200</v>
      </c>
      <c r="AE16" s="8">
        <v>500</v>
      </c>
      <c r="AF16" s="8"/>
      <c r="AG16" s="8"/>
      <c r="AH16" s="65">
        <f t="shared" ref="AH16:AH21" si="10">SUM(C16:AG16)</f>
        <v>3460</v>
      </c>
      <c r="AK16" s="1" t="s">
        <v>158</v>
      </c>
      <c r="AL16" s="16">
        <v>0</v>
      </c>
      <c r="AQ16" s="9"/>
      <c r="AR16" s="25"/>
      <c r="AS16" s="9"/>
      <c r="AU16"/>
    </row>
    <row r="17" spans="1:48" x14ac:dyDescent="0.4">
      <c r="A17" s="2">
        <v>3</v>
      </c>
      <c r="B17" s="3" t="s">
        <v>6</v>
      </c>
      <c r="C17" s="8"/>
      <c r="D17" s="8"/>
      <c r="E17" s="8"/>
      <c r="F17" s="8"/>
      <c r="G17" s="8"/>
      <c r="H17" s="8">
        <v>470</v>
      </c>
      <c r="I17" s="8">
        <v>360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AA17" s="8"/>
      <c r="AB17" s="8"/>
      <c r="AC17" s="8"/>
      <c r="AD17" s="8"/>
      <c r="AE17" s="8"/>
      <c r="AF17" s="8"/>
      <c r="AG17" s="8"/>
      <c r="AH17" s="65">
        <f t="shared" si="10"/>
        <v>830</v>
      </c>
      <c r="AK17" s="1" t="s">
        <v>162</v>
      </c>
      <c r="AL17" s="16">
        <f>AU12</f>
        <v>650.23651958164464</v>
      </c>
      <c r="AR17" s="25"/>
      <c r="AS17" s="44"/>
      <c r="AT17" s="44"/>
      <c r="AU17" s="202"/>
    </row>
    <row r="18" spans="1:48" x14ac:dyDescent="0.4">
      <c r="A18" s="2">
        <v>4</v>
      </c>
      <c r="B18" s="3" t="s">
        <v>57</v>
      </c>
      <c r="C18" s="8">
        <v>1760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5">
        <f t="shared" si="10"/>
        <v>1760</v>
      </c>
      <c r="AK18" s="78" t="s">
        <v>138</v>
      </c>
      <c r="AL18" s="51">
        <f>SUM(AL16:AL17)</f>
        <v>650.23651958164464</v>
      </c>
      <c r="AQ18" s="9"/>
      <c r="AR18" s="25"/>
      <c r="AS18" s="25"/>
      <c r="AT18" s="25"/>
      <c r="AU18" s="202"/>
    </row>
    <row r="19" spans="1:48" x14ac:dyDescent="0.4">
      <c r="A19" s="2">
        <v>5</v>
      </c>
      <c r="B19" s="199" t="s">
        <v>51</v>
      </c>
      <c r="C19" s="8"/>
      <c r="D19" s="8">
        <v>1447</v>
      </c>
      <c r="E19" s="8">
        <v>1040</v>
      </c>
      <c r="F19" s="8"/>
      <c r="G19" s="8">
        <v>1120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>
        <v>70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5">
        <f t="shared" si="10"/>
        <v>3677</v>
      </c>
      <c r="AU19" s="202"/>
    </row>
    <row r="20" spans="1:48" x14ac:dyDescent="0.4">
      <c r="A20" s="2">
        <v>6</v>
      </c>
      <c r="B20" s="1" t="s">
        <v>110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>
        <v>2378</v>
      </c>
      <c r="Z20" s="8"/>
      <c r="AA20" s="8"/>
      <c r="AB20" s="8"/>
      <c r="AC20" s="8"/>
      <c r="AD20" s="8"/>
      <c r="AE20" s="8"/>
      <c r="AF20" s="8"/>
      <c r="AG20" s="8"/>
      <c r="AH20" s="65">
        <f>SUM(C20:AG20)</f>
        <v>2378</v>
      </c>
      <c r="AK20" s="78" t="s">
        <v>92</v>
      </c>
      <c r="AL20" s="78" t="s">
        <v>95</v>
      </c>
      <c r="AV20" s="25"/>
    </row>
    <row r="21" spans="1:48" x14ac:dyDescent="0.4">
      <c r="A21" s="2">
        <v>7</v>
      </c>
      <c r="B21" s="3" t="s">
        <v>147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1310</v>
      </c>
      <c r="V21" s="8">
        <v>1460</v>
      </c>
      <c r="W21" s="8">
        <v>580</v>
      </c>
      <c r="X21" s="8">
        <v>100</v>
      </c>
      <c r="Y21" s="8"/>
      <c r="Z21" s="8"/>
      <c r="AA21" s="8"/>
      <c r="AB21" s="8"/>
      <c r="AC21" s="8"/>
      <c r="AD21" s="8"/>
      <c r="AE21" s="8"/>
      <c r="AF21" s="8"/>
      <c r="AG21" s="8"/>
      <c r="AH21" s="65">
        <f t="shared" si="10"/>
        <v>3450</v>
      </c>
      <c r="AK21" s="1" t="s">
        <v>166</v>
      </c>
      <c r="AL21" s="16">
        <v>100</v>
      </c>
      <c r="AS21" s="25"/>
    </row>
    <row r="22" spans="1:4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1">
        <f>SUM(AH15:AH21)</f>
        <v>19430</v>
      </c>
      <c r="AK22" s="1" t="s">
        <v>94</v>
      </c>
      <c r="AL22" s="16">
        <f>AQ12</f>
        <v>-149.76348041835672</v>
      </c>
      <c r="AM22" s="9"/>
      <c r="AN22" s="9"/>
    </row>
    <row r="23" spans="1:48" x14ac:dyDescent="0.4">
      <c r="AK23" s="78" t="s">
        <v>139</v>
      </c>
      <c r="AL23" s="51">
        <f>SUM(AL21:AL22)</f>
        <v>-49.763480418356721</v>
      </c>
    </row>
    <row r="24" spans="1:48" x14ac:dyDescent="0.4">
      <c r="A24" s="4"/>
      <c r="B24" s="13" t="s">
        <v>171</v>
      </c>
      <c r="C24" s="66" t="s">
        <v>11</v>
      </c>
      <c r="D24" s="66" t="s">
        <v>12</v>
      </c>
      <c r="E24" s="66" t="s">
        <v>13</v>
      </c>
      <c r="F24" s="66" t="s">
        <v>14</v>
      </c>
      <c r="G24" s="66" t="s">
        <v>15</v>
      </c>
      <c r="H24" s="66" t="s">
        <v>16</v>
      </c>
      <c r="I24" s="66" t="s">
        <v>17</v>
      </c>
      <c r="J24" s="66" t="s">
        <v>18</v>
      </c>
      <c r="K24" s="66" t="s">
        <v>19</v>
      </c>
      <c r="L24" s="66" t="s">
        <v>20</v>
      </c>
      <c r="M24" s="66" t="s">
        <v>21</v>
      </c>
      <c r="N24" s="66" t="s">
        <v>22</v>
      </c>
    </row>
    <row r="25" spans="1:48" x14ac:dyDescent="0.4">
      <c r="A25" s="2">
        <v>1</v>
      </c>
      <c r="B25" s="199" t="s">
        <v>5</v>
      </c>
      <c r="C25" s="8">
        <f>H35</f>
        <v>3142.8571428571427</v>
      </c>
      <c r="D25" s="8">
        <f t="shared" ref="D25:D31" si="11">$D$32/7</f>
        <v>500</v>
      </c>
      <c r="E25" s="8">
        <f>$E$32/7</f>
        <v>0</v>
      </c>
      <c r="F25" s="8">
        <f t="shared" ref="F25:F31" si="12">$F$32/7</f>
        <v>71.428571428571431</v>
      </c>
      <c r="G25" s="8">
        <f t="shared" ref="G25:G31" si="13">$G$32/7</f>
        <v>154.28571428571428</v>
      </c>
      <c r="H25" s="26">
        <f t="shared" ref="H25:H31" si="14">$H$32/7</f>
        <v>310</v>
      </c>
      <c r="I25" s="8">
        <f t="shared" ref="I25:I31" si="15">$I$32/7</f>
        <v>300</v>
      </c>
      <c r="J25" s="8">
        <f t="shared" ref="J25:J31" si="16">$J$32/7</f>
        <v>35.714285714285715</v>
      </c>
      <c r="K25" s="26">
        <f t="shared" ref="K25:K31" si="17">$K$32/7</f>
        <v>61.428571428571431</v>
      </c>
      <c r="L25" s="40">
        <f t="shared" ref="L25:L31" si="18">$L$32/7</f>
        <v>17.142857142857142</v>
      </c>
      <c r="M25" s="8">
        <f t="shared" ref="M25:M31" si="19">$M$32/7</f>
        <v>0</v>
      </c>
      <c r="N25" s="65">
        <f t="shared" ref="N25:N29" si="20">SUM(C25:M25)</f>
        <v>4592.8571428571422</v>
      </c>
      <c r="AK25" s="70" t="s">
        <v>125</v>
      </c>
      <c r="AL25" s="44">
        <f>AL18-AL23</f>
        <v>700.00000000000136</v>
      </c>
    </row>
    <row r="26" spans="1:48" x14ac:dyDescent="0.4">
      <c r="A26" s="2">
        <v>2</v>
      </c>
      <c r="B26" s="199" t="s">
        <v>131</v>
      </c>
      <c r="C26" s="8">
        <f>H35</f>
        <v>3142.8571428571427</v>
      </c>
      <c r="D26" s="8">
        <f t="shared" si="11"/>
        <v>500</v>
      </c>
      <c r="E26" s="8">
        <f>$E$32/7</f>
        <v>0</v>
      </c>
      <c r="F26" s="8">
        <f t="shared" si="12"/>
        <v>71.428571428571431</v>
      </c>
      <c r="G26" s="8">
        <f t="shared" si="13"/>
        <v>154.28571428571428</v>
      </c>
      <c r="H26" s="26">
        <f t="shared" si="14"/>
        <v>310</v>
      </c>
      <c r="I26" s="8">
        <f t="shared" si="15"/>
        <v>300</v>
      </c>
      <c r="J26" s="8">
        <f t="shared" si="16"/>
        <v>35.714285714285715</v>
      </c>
      <c r="K26" s="26">
        <f t="shared" si="17"/>
        <v>61.428571428571431</v>
      </c>
      <c r="L26" s="40">
        <f t="shared" si="18"/>
        <v>17.142857142857142</v>
      </c>
      <c r="M26" s="8">
        <f t="shared" si="19"/>
        <v>0</v>
      </c>
      <c r="N26" s="65">
        <f t="shared" si="20"/>
        <v>4592.8571428571422</v>
      </c>
    </row>
    <row r="27" spans="1:48" x14ac:dyDescent="0.4">
      <c r="A27" s="2">
        <v>3</v>
      </c>
      <c r="B27" s="199" t="s">
        <v>6</v>
      </c>
      <c r="C27" s="8">
        <f>H36</f>
        <v>2142.8571428571427</v>
      </c>
      <c r="D27" s="8">
        <f t="shared" si="11"/>
        <v>500</v>
      </c>
      <c r="E27" s="8">
        <f>$E$32/7</f>
        <v>0</v>
      </c>
      <c r="F27" s="8">
        <f t="shared" si="12"/>
        <v>71.428571428571431</v>
      </c>
      <c r="G27" s="8">
        <f t="shared" si="13"/>
        <v>154.28571428571428</v>
      </c>
      <c r="H27" s="26">
        <f t="shared" si="14"/>
        <v>310</v>
      </c>
      <c r="I27" s="8">
        <f t="shared" si="15"/>
        <v>300</v>
      </c>
      <c r="J27" s="8">
        <f t="shared" si="16"/>
        <v>35.714285714285715</v>
      </c>
      <c r="K27" s="26">
        <f t="shared" si="17"/>
        <v>61.428571428571431</v>
      </c>
      <c r="L27" s="40">
        <f t="shared" si="18"/>
        <v>17.142857142857142</v>
      </c>
      <c r="M27" s="8">
        <f t="shared" si="19"/>
        <v>0</v>
      </c>
      <c r="N27" s="65">
        <f t="shared" si="20"/>
        <v>3592.8571428571431</v>
      </c>
    </row>
    <row r="28" spans="1:48" x14ac:dyDescent="0.4">
      <c r="A28" s="2">
        <v>4</v>
      </c>
      <c r="B28" s="199" t="s">
        <v>57</v>
      </c>
      <c r="C28" s="8">
        <f>H36</f>
        <v>2142.8571428571427</v>
      </c>
      <c r="D28" s="8">
        <f t="shared" si="11"/>
        <v>500</v>
      </c>
      <c r="E28" s="8">
        <f>$E$32/7</f>
        <v>0</v>
      </c>
      <c r="F28" s="8">
        <f t="shared" si="12"/>
        <v>71.428571428571431</v>
      </c>
      <c r="G28" s="8">
        <f t="shared" si="13"/>
        <v>154.28571428571428</v>
      </c>
      <c r="H28" s="26">
        <f t="shared" si="14"/>
        <v>310</v>
      </c>
      <c r="I28" s="8">
        <f t="shared" si="15"/>
        <v>300</v>
      </c>
      <c r="J28" s="8">
        <f t="shared" si="16"/>
        <v>35.714285714285715</v>
      </c>
      <c r="K28" s="26">
        <f t="shared" si="17"/>
        <v>61.428571428571431</v>
      </c>
      <c r="L28" s="40">
        <f t="shared" si="18"/>
        <v>17.142857142857142</v>
      </c>
      <c r="M28" s="8">
        <f t="shared" si="19"/>
        <v>0</v>
      </c>
      <c r="N28" s="65">
        <f t="shared" si="20"/>
        <v>3592.8571428571431</v>
      </c>
    </row>
    <row r="29" spans="1:48" x14ac:dyDescent="0.4">
      <c r="A29" s="2">
        <v>5</v>
      </c>
      <c r="B29" s="199" t="s">
        <v>51</v>
      </c>
      <c r="C29" s="8">
        <f>H36</f>
        <v>2142.8571428571427</v>
      </c>
      <c r="D29" s="8">
        <f t="shared" si="11"/>
        <v>500</v>
      </c>
      <c r="E29" s="8">
        <f>$E$32/7</f>
        <v>0</v>
      </c>
      <c r="F29" s="8">
        <f t="shared" si="12"/>
        <v>71.428571428571431</v>
      </c>
      <c r="G29" s="8">
        <f t="shared" si="13"/>
        <v>154.28571428571428</v>
      </c>
      <c r="H29" s="26">
        <f t="shared" si="14"/>
        <v>310</v>
      </c>
      <c r="I29" s="8">
        <f t="shared" si="15"/>
        <v>300</v>
      </c>
      <c r="J29" s="8">
        <f t="shared" si="16"/>
        <v>35.714285714285715</v>
      </c>
      <c r="K29" s="26">
        <f t="shared" si="17"/>
        <v>61.428571428571431</v>
      </c>
      <c r="L29" s="40">
        <f t="shared" si="18"/>
        <v>17.142857142857142</v>
      </c>
      <c r="M29" s="8">
        <f t="shared" si="19"/>
        <v>0</v>
      </c>
      <c r="N29" s="65">
        <f t="shared" si="20"/>
        <v>3592.8571428571431</v>
      </c>
    </row>
    <row r="30" spans="1:48" x14ac:dyDescent="0.4">
      <c r="A30" s="2">
        <v>6</v>
      </c>
      <c r="B30" s="199" t="s">
        <v>104</v>
      </c>
      <c r="C30" s="8">
        <f>H37</f>
        <v>2892.8571428571427</v>
      </c>
      <c r="D30" s="8">
        <f t="shared" si="11"/>
        <v>500</v>
      </c>
      <c r="E30" s="8">
        <v>0</v>
      </c>
      <c r="F30" s="8">
        <f t="shared" si="12"/>
        <v>71.428571428571431</v>
      </c>
      <c r="G30" s="8">
        <f t="shared" si="13"/>
        <v>154.28571428571428</v>
      </c>
      <c r="H30" s="26">
        <f t="shared" si="14"/>
        <v>310</v>
      </c>
      <c r="I30" s="8">
        <f t="shared" si="15"/>
        <v>300</v>
      </c>
      <c r="J30" s="8">
        <f t="shared" si="16"/>
        <v>35.714285714285715</v>
      </c>
      <c r="K30" s="26">
        <f t="shared" si="17"/>
        <v>61.428571428571431</v>
      </c>
      <c r="L30" s="40">
        <f t="shared" si="18"/>
        <v>17.142857142857142</v>
      </c>
      <c r="M30" s="8">
        <f t="shared" si="19"/>
        <v>0</v>
      </c>
      <c r="N30" s="65">
        <f>SUM(C30:M30)</f>
        <v>4342.8571428571422</v>
      </c>
    </row>
    <row r="31" spans="1:48" x14ac:dyDescent="0.4">
      <c r="A31" s="2">
        <v>7</v>
      </c>
      <c r="B31" s="3" t="s">
        <v>145</v>
      </c>
      <c r="C31" s="8">
        <f>H37</f>
        <v>2892.8571428571427</v>
      </c>
      <c r="D31" s="8">
        <f t="shared" si="11"/>
        <v>500</v>
      </c>
      <c r="E31" s="8">
        <v>0</v>
      </c>
      <c r="F31" s="8">
        <f t="shared" si="12"/>
        <v>71.428571428571431</v>
      </c>
      <c r="G31" s="8">
        <f t="shared" si="13"/>
        <v>154.28571428571428</v>
      </c>
      <c r="H31" s="26">
        <f t="shared" si="14"/>
        <v>310</v>
      </c>
      <c r="I31" s="8">
        <f t="shared" si="15"/>
        <v>300</v>
      </c>
      <c r="J31" s="8">
        <f t="shared" si="16"/>
        <v>35.714285714285715</v>
      </c>
      <c r="K31" s="26">
        <f t="shared" si="17"/>
        <v>61.428571428571431</v>
      </c>
      <c r="L31" s="40">
        <f t="shared" si="18"/>
        <v>17.142857142857142</v>
      </c>
      <c r="M31" s="8">
        <f t="shared" si="19"/>
        <v>0</v>
      </c>
      <c r="N31" s="65">
        <f>SUM(C31:M31)</f>
        <v>4342.8571428571422</v>
      </c>
    </row>
    <row r="32" spans="1:48" x14ac:dyDescent="0.4">
      <c r="A32" s="208" t="s">
        <v>47</v>
      </c>
      <c r="B32" s="208"/>
      <c r="C32" s="65">
        <f>SUM(C25:C31)</f>
        <v>18500</v>
      </c>
      <c r="D32" s="67">
        <v>3500</v>
      </c>
      <c r="E32" s="65"/>
      <c r="F32" s="65">
        <f>500</f>
        <v>500</v>
      </c>
      <c r="G32" s="65">
        <v>1080</v>
      </c>
      <c r="H32" s="77">
        <v>2170</v>
      </c>
      <c r="I32" s="65">
        <v>2100</v>
      </c>
      <c r="J32" s="65">
        <f>250</f>
        <v>250</v>
      </c>
      <c r="K32" s="77">
        <v>430</v>
      </c>
      <c r="L32" s="67">
        <f>120</f>
        <v>120</v>
      </c>
      <c r="M32" s="65"/>
      <c r="N32" s="65">
        <f>SUM(N25:N31)</f>
        <v>28649.999999999996</v>
      </c>
    </row>
    <row r="35" spans="4:23" x14ac:dyDescent="0.4">
      <c r="D35" s="1">
        <v>6000</v>
      </c>
      <c r="E35" s="1">
        <v>2</v>
      </c>
      <c r="F35" s="1">
        <f>D35/E35</f>
        <v>3000</v>
      </c>
      <c r="G35" s="1">
        <f>(500+500)/7</f>
        <v>142.85714285714286</v>
      </c>
      <c r="H35" s="11">
        <f>F35+G35</f>
        <v>3142.8571428571427</v>
      </c>
      <c r="I35" s="11">
        <f>H35*E35</f>
        <v>6285.7142857142853</v>
      </c>
      <c r="M35" s="1" t="s">
        <v>61</v>
      </c>
      <c r="N35" s="16">
        <f>C32</f>
        <v>18500</v>
      </c>
      <c r="U35" s="9"/>
    </row>
    <row r="36" spans="4:23" x14ac:dyDescent="0.4">
      <c r="D36" s="1">
        <v>6000</v>
      </c>
      <c r="E36" s="1">
        <v>3</v>
      </c>
      <c r="F36" s="1">
        <f t="shared" ref="F36:F37" si="21">D36/E36</f>
        <v>2000</v>
      </c>
      <c r="G36" s="1">
        <f t="shared" ref="G36:G37" si="22">(500+500)/7</f>
        <v>142.85714285714286</v>
      </c>
      <c r="H36" s="11">
        <f t="shared" ref="H36" si="23">F36+G36</f>
        <v>2142.8571428571427</v>
      </c>
      <c r="I36" s="11">
        <f t="shared" ref="I36:I37" si="24">H36*E36</f>
        <v>6428.5714285714275</v>
      </c>
      <c r="M36" s="1" t="s">
        <v>71</v>
      </c>
      <c r="N36" s="16">
        <f>G32</f>
        <v>1080</v>
      </c>
      <c r="T36" s="9"/>
    </row>
    <row r="37" spans="4:23" x14ac:dyDescent="0.4">
      <c r="D37" s="1">
        <v>5500</v>
      </c>
      <c r="E37" s="1">
        <v>2</v>
      </c>
      <c r="F37" s="11">
        <f t="shared" si="21"/>
        <v>2750</v>
      </c>
      <c r="G37" s="1">
        <f t="shared" si="22"/>
        <v>142.85714285714286</v>
      </c>
      <c r="H37" s="11">
        <f>F37+G37</f>
        <v>2892.8571428571427</v>
      </c>
      <c r="I37" s="11">
        <f t="shared" si="24"/>
        <v>5785.7142857142853</v>
      </c>
      <c r="M37" s="1" t="s">
        <v>72</v>
      </c>
      <c r="N37" s="16">
        <f>I32</f>
        <v>2100</v>
      </c>
      <c r="T37" s="9"/>
    </row>
    <row r="38" spans="4:23" x14ac:dyDescent="0.4">
      <c r="D38" s="1">
        <f>SUM(D35:D37)</f>
        <v>17500</v>
      </c>
      <c r="E38" s="1"/>
      <c r="F38" s="1"/>
      <c r="G38" s="1"/>
      <c r="H38" s="1"/>
      <c r="I38" s="11">
        <f>SUM(I35:I37)</f>
        <v>18500</v>
      </c>
      <c r="M38" s="1" t="s">
        <v>73</v>
      </c>
      <c r="N38" s="16">
        <f>H32</f>
        <v>2170</v>
      </c>
      <c r="T38" s="9"/>
      <c r="V38" s="9"/>
    </row>
    <row r="39" spans="4:23" x14ac:dyDescent="0.4">
      <c r="M39" s="1" t="s">
        <v>74</v>
      </c>
      <c r="N39" s="16">
        <f>J32</f>
        <v>250</v>
      </c>
      <c r="T39" s="44"/>
      <c r="U39" s="9"/>
    </row>
    <row r="40" spans="4:23" x14ac:dyDescent="0.4">
      <c r="M40" s="78" t="s">
        <v>47</v>
      </c>
      <c r="N40" s="51">
        <f>SUM(N35:N39)</f>
        <v>24100</v>
      </c>
    </row>
    <row r="41" spans="4:23" x14ac:dyDescent="0.4">
      <c r="N41" s="9"/>
    </row>
    <row r="42" spans="4:23" x14ac:dyDescent="0.4">
      <c r="M42" s="1" t="s">
        <v>12</v>
      </c>
      <c r="N42" s="16">
        <f>D32</f>
        <v>3500</v>
      </c>
      <c r="U42" s="9"/>
    </row>
    <row r="43" spans="4:23" x14ac:dyDescent="0.4">
      <c r="M43" s="1" t="s">
        <v>13</v>
      </c>
      <c r="N43" s="16">
        <f>E32</f>
        <v>0</v>
      </c>
      <c r="U43" s="25"/>
      <c r="V43" s="9"/>
      <c r="W43" s="25"/>
    </row>
    <row r="44" spans="4:23" x14ac:dyDescent="0.4">
      <c r="M44" s="1" t="s">
        <v>14</v>
      </c>
      <c r="N44" s="16">
        <f>F32</f>
        <v>500</v>
      </c>
      <c r="U44" s="9"/>
    </row>
    <row r="45" spans="4:23" x14ac:dyDescent="0.4">
      <c r="M45" s="1" t="s">
        <v>20</v>
      </c>
      <c r="N45" s="16">
        <f>L32</f>
        <v>120</v>
      </c>
    </row>
    <row r="46" spans="4:23" x14ac:dyDescent="0.4">
      <c r="M46" s="1" t="s">
        <v>123</v>
      </c>
      <c r="N46" s="16">
        <f>K32</f>
        <v>430</v>
      </c>
    </row>
    <row r="47" spans="4:23" x14ac:dyDescent="0.4">
      <c r="M47" s="1" t="s">
        <v>21</v>
      </c>
      <c r="N47" s="16">
        <f>M32</f>
        <v>0</v>
      </c>
    </row>
    <row r="48" spans="4:23" x14ac:dyDescent="0.4">
      <c r="M48" s="78" t="s">
        <v>47</v>
      </c>
      <c r="N48" s="51">
        <f>SUM(N42:N47)</f>
        <v>4550</v>
      </c>
    </row>
    <row r="50" spans="13:21" ht="16.2" thickBot="1" x14ac:dyDescent="0.45">
      <c r="M50" s="79" t="s">
        <v>124</v>
      </c>
      <c r="N50" s="80">
        <f>N48+N40</f>
        <v>28650</v>
      </c>
      <c r="U50" s="9"/>
    </row>
    <row r="51" spans="13:21" ht="16.2" thickTop="1" x14ac:dyDescent="0.4"/>
    <row r="52" spans="13:21" x14ac:dyDescent="0.4">
      <c r="M52" s="78" t="s">
        <v>125</v>
      </c>
      <c r="N52" s="16">
        <f>N32-N50</f>
        <v>0</v>
      </c>
    </row>
  </sheetData>
  <mergeCells count="3">
    <mergeCell ref="C1:D2"/>
    <mergeCell ref="E1:F2"/>
    <mergeCell ref="A32:B32"/>
  </mergeCells>
  <conditionalFormatting sqref="AU5:AU11 AN5:AN11">
    <cfRule type="cellIs" dxfId="5" priority="2" operator="lessThan">
      <formula>0</formula>
    </cfRule>
  </conditionalFormatting>
  <conditionalFormatting sqref="AU5:AU12">
    <cfRule type="cellIs" dxfId="4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E5F-1088-49E4-AFBC-7CE18FC568A2}">
  <dimension ref="A1:K9"/>
  <sheetViews>
    <sheetView workbookViewId="0">
      <selection activeCell="F2" sqref="F2:F4"/>
    </sheetView>
  </sheetViews>
  <sheetFormatPr defaultRowHeight="15.6" x14ac:dyDescent="0.4"/>
  <cols>
    <col min="1" max="1" width="9.796875" bestFit="1" customWidth="1"/>
    <col min="2" max="4" width="9.796875" customWidth="1"/>
    <col min="5" max="5" width="12.3984375" bestFit="1" customWidth="1"/>
    <col min="6" max="6" width="9.796875" bestFit="1" customWidth="1"/>
    <col min="8" max="8" width="9.09765625" bestFit="1" customWidth="1"/>
  </cols>
  <sheetData>
    <row r="1" spans="1:11" x14ac:dyDescent="0.4">
      <c r="B1" t="s">
        <v>116</v>
      </c>
      <c r="C1" t="s">
        <v>112</v>
      </c>
      <c r="D1" t="s">
        <v>47</v>
      </c>
      <c r="E1" t="s">
        <v>117</v>
      </c>
      <c r="F1" t="s">
        <v>63</v>
      </c>
    </row>
    <row r="2" spans="1:11" x14ac:dyDescent="0.4">
      <c r="A2" t="s">
        <v>115</v>
      </c>
      <c r="B2" s="59">
        <v>2583</v>
      </c>
      <c r="C2" s="59">
        <v>1000</v>
      </c>
      <c r="D2" s="59">
        <f>SUM(B2:C2)</f>
        <v>3583</v>
      </c>
      <c r="E2" s="59">
        <v>-2156.3963758122854</v>
      </c>
      <c r="F2" s="47">
        <f>D2+E2</f>
        <v>1426.6036241877146</v>
      </c>
    </row>
    <row r="3" spans="1:11" x14ac:dyDescent="0.4">
      <c r="A3" t="s">
        <v>98</v>
      </c>
      <c r="B3" s="59">
        <v>3000</v>
      </c>
      <c r="C3" s="59">
        <v>1000</v>
      </c>
      <c r="D3" s="59">
        <f>SUM(B3:C3)</f>
        <v>4000</v>
      </c>
      <c r="E3" s="59">
        <v>-3008.6115509372958</v>
      </c>
      <c r="F3" s="47">
        <f>D3+E3</f>
        <v>991.38844906270424</v>
      </c>
      <c r="H3">
        <v>5280</v>
      </c>
    </row>
    <row r="4" spans="1:11" x14ac:dyDescent="0.4">
      <c r="A4" t="s">
        <v>49</v>
      </c>
      <c r="B4" s="59"/>
      <c r="C4" s="59">
        <v>1000</v>
      </c>
      <c r="D4" s="59">
        <f>SUM(B4:C4)</f>
        <v>1000</v>
      </c>
      <c r="E4" s="59">
        <v>0</v>
      </c>
      <c r="F4" s="47">
        <f>D4+E4</f>
        <v>1000</v>
      </c>
    </row>
    <row r="5" spans="1:11" x14ac:dyDescent="0.4">
      <c r="B5" s="60">
        <f>SUM(B2:B4)</f>
        <v>5583</v>
      </c>
      <c r="C5" s="60">
        <f t="shared" ref="C5:F5" si="0">SUM(C2:C4)</f>
        <v>3000</v>
      </c>
      <c r="D5" s="60">
        <f t="shared" si="0"/>
        <v>8583</v>
      </c>
      <c r="E5" s="60">
        <f t="shared" si="0"/>
        <v>-5165.0079267495812</v>
      </c>
      <c r="F5" s="48">
        <f t="shared" si="0"/>
        <v>3417.9920732504188</v>
      </c>
      <c r="G5">
        <v>1957</v>
      </c>
      <c r="H5" s="47">
        <f>F5+G5</f>
        <v>5374.9920732504188</v>
      </c>
      <c r="J5">
        <v>5280</v>
      </c>
      <c r="K5" s="9">
        <f>F5-J5</f>
        <v>-1862.0079267495812</v>
      </c>
    </row>
    <row r="6" spans="1:11" x14ac:dyDescent="0.4">
      <c r="K6">
        <v>1957</v>
      </c>
    </row>
    <row r="7" spans="1:11" x14ac:dyDescent="0.4">
      <c r="A7" t="s">
        <v>110</v>
      </c>
      <c r="B7">
        <v>2750</v>
      </c>
      <c r="C7">
        <v>1000</v>
      </c>
      <c r="F7">
        <f>SUM(B7:E7)</f>
        <v>3750</v>
      </c>
      <c r="H7" s="9">
        <f>H3-H5</f>
        <v>-94.992073250418798</v>
      </c>
      <c r="K7" s="9">
        <f>SUM(K5:K6)</f>
        <v>94.992073250418798</v>
      </c>
    </row>
    <row r="8" spans="1:11" x14ac:dyDescent="0.4">
      <c r="A8" t="s">
        <v>118</v>
      </c>
      <c r="B8">
        <v>2750</v>
      </c>
      <c r="C8">
        <v>1000</v>
      </c>
      <c r="F8">
        <f>SUM(B8:E8)</f>
        <v>3750</v>
      </c>
    </row>
    <row r="9" spans="1:11" x14ac:dyDescent="0.4">
      <c r="F9">
        <f>SUM(F7:F8)</f>
        <v>7500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54D-0BCB-4E2E-990E-80A47D63FF23}">
  <dimension ref="A1:K11"/>
  <sheetViews>
    <sheetView workbookViewId="0">
      <selection activeCell="F11" sqref="F11"/>
    </sheetView>
  </sheetViews>
  <sheetFormatPr defaultRowHeight="15.6" x14ac:dyDescent="0.4"/>
  <cols>
    <col min="1" max="1" width="9.796875" bestFit="1" customWidth="1"/>
    <col min="2" max="4" width="9.796875" customWidth="1"/>
    <col min="5" max="5" width="12.3984375" bestFit="1" customWidth="1"/>
    <col min="6" max="6" width="9.796875" bestFit="1" customWidth="1"/>
    <col min="8" max="8" width="9.09765625" bestFit="1" customWidth="1"/>
  </cols>
  <sheetData>
    <row r="1" spans="1:11" x14ac:dyDescent="0.4">
      <c r="B1" t="s">
        <v>116</v>
      </c>
      <c r="C1" t="s">
        <v>112</v>
      </c>
      <c r="D1" t="s">
        <v>47</v>
      </c>
      <c r="E1" t="s">
        <v>117</v>
      </c>
      <c r="F1" t="s">
        <v>63</v>
      </c>
    </row>
    <row r="2" spans="1:11" x14ac:dyDescent="0.4">
      <c r="A2" t="s">
        <v>115</v>
      </c>
      <c r="B2" s="59">
        <v>2583</v>
      </c>
      <c r="C2" s="59">
        <v>1000</v>
      </c>
      <c r="D2" s="59">
        <f>SUM(B2:C2)</f>
        <v>3583</v>
      </c>
      <c r="E2" s="59">
        <v>-2156.3963758122854</v>
      </c>
      <c r="F2" s="47">
        <f>D2+E2</f>
        <v>1426.6036241877146</v>
      </c>
    </row>
    <row r="3" spans="1:11" x14ac:dyDescent="0.4">
      <c r="A3" t="s">
        <v>98</v>
      </c>
      <c r="B3" s="59">
        <v>3000</v>
      </c>
      <c r="C3" s="59">
        <v>1000</v>
      </c>
      <c r="D3" s="59">
        <f>SUM(B3:C3)</f>
        <v>4000</v>
      </c>
      <c r="E3" s="59">
        <v>-3008.6115509372958</v>
      </c>
      <c r="F3" s="47">
        <f>D3+E3</f>
        <v>991.38844906270424</v>
      </c>
      <c r="H3">
        <v>5280</v>
      </c>
    </row>
    <row r="4" spans="1:11" x14ac:dyDescent="0.4">
      <c r="A4" t="s">
        <v>49</v>
      </c>
      <c r="B4" s="59">
        <v>313</v>
      </c>
      <c r="C4" s="59">
        <v>1000</v>
      </c>
      <c r="D4" s="59">
        <f>SUM(B4:C4)</f>
        <v>1313</v>
      </c>
      <c r="E4" s="59">
        <v>0</v>
      </c>
      <c r="F4" s="47">
        <f>D4+E4</f>
        <v>1313</v>
      </c>
    </row>
    <row r="5" spans="1:11" x14ac:dyDescent="0.4">
      <c r="B5" s="60">
        <f>SUM(B2:B4)</f>
        <v>5896</v>
      </c>
      <c r="C5" s="60">
        <f t="shared" ref="C5:F5" si="0">SUM(C2:C4)</f>
        <v>3000</v>
      </c>
      <c r="D5" s="60">
        <f t="shared" si="0"/>
        <v>8896</v>
      </c>
      <c r="E5" s="60">
        <f t="shared" si="0"/>
        <v>-5165.0079267495812</v>
      </c>
      <c r="F5" s="48">
        <f t="shared" si="0"/>
        <v>3730.9920732504188</v>
      </c>
      <c r="G5">
        <v>1957</v>
      </c>
      <c r="H5" s="47">
        <f>F5+G5</f>
        <v>5687.9920732504188</v>
      </c>
      <c r="J5">
        <v>5280</v>
      </c>
      <c r="K5" s="9">
        <f>F5-J5</f>
        <v>-1549.0079267495812</v>
      </c>
    </row>
    <row r="6" spans="1:11" x14ac:dyDescent="0.4">
      <c r="K6">
        <v>1957</v>
      </c>
    </row>
    <row r="7" spans="1:11" x14ac:dyDescent="0.4">
      <c r="A7" t="s">
        <v>110</v>
      </c>
      <c r="B7">
        <v>2750</v>
      </c>
      <c r="C7">
        <v>1000</v>
      </c>
      <c r="F7">
        <f>SUM(B7:E7)</f>
        <v>3750</v>
      </c>
      <c r="H7" s="9">
        <f>H3-H5</f>
        <v>-407.9920732504188</v>
      </c>
      <c r="K7" s="9">
        <f>SUM(K5:K6)</f>
        <v>407.9920732504188</v>
      </c>
    </row>
    <row r="8" spans="1:11" x14ac:dyDescent="0.4">
      <c r="A8" t="s">
        <v>118</v>
      </c>
      <c r="B8">
        <v>2750</v>
      </c>
      <c r="C8">
        <v>1000</v>
      </c>
      <c r="F8">
        <f>SUM(B8:E8)</f>
        <v>3750</v>
      </c>
    </row>
    <row r="9" spans="1:11" x14ac:dyDescent="0.4">
      <c r="F9">
        <f>SUM(F7:F8)</f>
        <v>7500</v>
      </c>
    </row>
    <row r="11" spans="1:11" x14ac:dyDescent="0.4">
      <c r="F11" s="25">
        <f>F2-B4</f>
        <v>1113.6036241877146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13F-F5DE-4C00-A0CC-6208E78938E7}">
  <sheetPr>
    <pageSetUpPr fitToPage="1"/>
  </sheetPr>
  <dimension ref="B2:N15"/>
  <sheetViews>
    <sheetView showGridLines="0" zoomScale="80" zoomScaleNormal="99" workbookViewId="0">
      <selection activeCell="K17" sqref="K17"/>
    </sheetView>
  </sheetViews>
  <sheetFormatPr defaultRowHeight="17.399999999999999" x14ac:dyDescent="0.35"/>
  <cols>
    <col min="1" max="1" width="5" style="176" customWidth="1"/>
    <col min="2" max="2" width="6.796875" style="176" customWidth="1"/>
    <col min="3" max="3" width="23.8984375" style="176" bestFit="1" customWidth="1"/>
    <col min="4" max="10" width="16.3984375" style="176" customWidth="1"/>
    <col min="11" max="11" width="17.5" style="176" customWidth="1"/>
    <col min="12" max="13" width="16.3984375" style="176" customWidth="1"/>
    <col min="14" max="16" width="10.09765625" style="176" bestFit="1" customWidth="1"/>
    <col min="17" max="17" width="10.296875" style="176" bestFit="1" customWidth="1"/>
    <col min="18" max="23" width="10.09765625" style="176" bestFit="1" customWidth="1"/>
    <col min="24" max="24" width="10.3984375" style="176" bestFit="1" customWidth="1"/>
    <col min="25" max="25" width="10.59765625" style="176" bestFit="1" customWidth="1"/>
    <col min="26" max="32" width="10.3984375" style="176" bestFit="1" customWidth="1"/>
    <col min="33" max="33" width="10.59765625" style="176" bestFit="1" customWidth="1"/>
    <col min="34" max="34" width="10.3984375" style="176" bestFit="1" customWidth="1"/>
    <col min="35" max="35" width="10.09765625" style="176" bestFit="1" customWidth="1"/>
    <col min="36" max="36" width="11.5" style="176" bestFit="1" customWidth="1"/>
    <col min="37" max="16384" width="8.796875" style="176"/>
  </cols>
  <sheetData>
    <row r="2" spans="2:14" x14ac:dyDescent="0.35">
      <c r="H2" s="240"/>
      <c r="I2" s="240"/>
      <c r="J2" s="240"/>
    </row>
    <row r="3" spans="2:14" x14ac:dyDescent="0.35">
      <c r="H3" s="241"/>
      <c r="I3" s="241"/>
      <c r="J3" s="241"/>
    </row>
    <row r="4" spans="2:14" ht="18" customHeight="1" x14ac:dyDescent="0.35">
      <c r="B4" s="243" t="s">
        <v>207</v>
      </c>
      <c r="C4" s="243"/>
      <c r="D4" s="245">
        <f>F15/E15</f>
        <v>59.599479843953183</v>
      </c>
      <c r="E4" s="242" t="s">
        <v>214</v>
      </c>
      <c r="F4" s="242"/>
      <c r="G4" s="242"/>
      <c r="H4" s="242"/>
      <c r="I4" s="242"/>
      <c r="J4" s="242" t="s">
        <v>215</v>
      </c>
      <c r="K4" s="242"/>
      <c r="L4" s="242"/>
      <c r="M4" s="242"/>
    </row>
    <row r="5" spans="2:14" x14ac:dyDescent="0.35">
      <c r="B5" s="244"/>
      <c r="C5" s="244"/>
      <c r="D5" s="246"/>
      <c r="E5" s="242"/>
      <c r="F5" s="242"/>
      <c r="G5" s="242"/>
      <c r="H5" s="242"/>
      <c r="I5" s="242"/>
      <c r="J5" s="242"/>
      <c r="K5" s="242"/>
      <c r="L5" s="242"/>
      <c r="M5" s="242"/>
    </row>
    <row r="6" spans="2:14" ht="25.8" x14ac:dyDescent="0.5">
      <c r="B6" s="239" t="s">
        <v>206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</row>
    <row r="7" spans="2:14" s="177" customFormat="1" ht="64.2" customHeight="1" x14ac:dyDescent="0.4">
      <c r="B7" s="183" t="str" cm="1">
        <f t="array" ref="B7:M15">'Meal June 22 &amp; Rent July 22'!AK3:AV11</f>
        <v>SL. No.</v>
      </c>
      <c r="C7" s="183" t="str">
        <v>Name</v>
      </c>
      <c r="D7" s="183" t="str">
        <v>Total meal cost per head (June 22)</v>
      </c>
      <c r="E7" s="183" t="str">
        <v>Total Meal (June 22)</v>
      </c>
      <c r="F7" s="183" t="str">
        <v>Total Bazar per head (June 22)</v>
      </c>
      <c r="G7" s="183" t="str">
        <v>Meal exp. Surplus/ (Deficit)</v>
      </c>
      <c r="H7" s="183" t="str">
        <v>Rent per hear (July 22)</v>
      </c>
      <c r="I7" s="183" t="str">
        <v>Reqired payment amount</v>
      </c>
      <c r="J7" s="183" t="str">
        <v>Previous month adjustment (if any)</v>
      </c>
      <c r="K7" s="183" t="str">
        <v>Reqired payment amount after adjustment of previous month</v>
      </c>
      <c r="L7" s="183" t="str">
        <v>Paid amount</v>
      </c>
      <c r="M7" s="183" t="str">
        <v>Rent exp. Surplus/ (Deficit)</v>
      </c>
    </row>
    <row r="8" spans="2:14" x14ac:dyDescent="0.35">
      <c r="B8" s="178">
        <v>1</v>
      </c>
      <c r="C8" s="178" t="str">
        <v>Ranti Saha</v>
      </c>
      <c r="D8" s="179">
        <v>5870.5487646293886</v>
      </c>
      <c r="E8" s="179">
        <v>98.5</v>
      </c>
      <c r="F8" s="179">
        <v>4172</v>
      </c>
      <c r="G8" s="179">
        <v>-1698.5487646293886</v>
      </c>
      <c r="H8" s="179">
        <v>4835.9999999999991</v>
      </c>
      <c r="I8" s="179">
        <v>6534.5487646293877</v>
      </c>
      <c r="J8" s="179">
        <v>-395.22587119204763</v>
      </c>
      <c r="K8" s="179">
        <v>6929.7746358214354</v>
      </c>
      <c r="L8" s="180">
        <v>7000</v>
      </c>
      <c r="M8" s="179">
        <v>70.225364178564632</v>
      </c>
      <c r="N8" s="181"/>
    </row>
    <row r="9" spans="2:14" x14ac:dyDescent="0.35">
      <c r="B9" s="178">
        <v>2</v>
      </c>
      <c r="C9" s="178" t="str">
        <v>Anik Das</v>
      </c>
      <c r="D9" s="179">
        <v>1758.1846553966188</v>
      </c>
      <c r="E9" s="179">
        <v>29.5</v>
      </c>
      <c r="F9" s="179">
        <v>3155</v>
      </c>
      <c r="G9" s="179">
        <v>1396.8153446033812</v>
      </c>
      <c r="H9" s="179">
        <v>4835.9999999999991</v>
      </c>
      <c r="I9" s="179">
        <v>3439.1846553966179</v>
      </c>
      <c r="J9" s="179">
        <v>687.21996232145557</v>
      </c>
      <c r="K9" s="179">
        <v>2751.9646930751624</v>
      </c>
      <c r="L9" s="180">
        <v>2750</v>
      </c>
      <c r="M9" s="179">
        <v>-1.9646930751623586</v>
      </c>
      <c r="N9" s="181"/>
    </row>
    <row r="10" spans="2:14" x14ac:dyDescent="0.35">
      <c r="B10" s="178">
        <v>3</v>
      </c>
      <c r="C10" s="178" t="str">
        <v>Bipul Kumar</v>
      </c>
      <c r="D10" s="179">
        <v>5244.7542262678799</v>
      </c>
      <c r="E10" s="179">
        <v>88</v>
      </c>
      <c r="F10" s="179">
        <v>2025</v>
      </c>
      <c r="G10" s="179">
        <v>-3219.7542262678799</v>
      </c>
      <c r="H10" s="179">
        <v>3836</v>
      </c>
      <c r="I10" s="179">
        <v>7055.7542262678799</v>
      </c>
      <c r="J10" s="179">
        <v>-854.5101679226027</v>
      </c>
      <c r="K10" s="179">
        <v>7910.2643941904826</v>
      </c>
      <c r="L10" s="180">
        <v>7612</v>
      </c>
      <c r="M10" s="179">
        <v>-298.26439419048256</v>
      </c>
      <c r="N10" s="181"/>
    </row>
    <row r="11" spans="2:14" x14ac:dyDescent="0.35">
      <c r="B11" s="178">
        <v>4</v>
      </c>
      <c r="C11" s="178" t="str">
        <v>Md. Mohidul Islam</v>
      </c>
      <c r="D11" s="179">
        <v>2890.5747724317293</v>
      </c>
      <c r="E11" s="179">
        <v>48.5</v>
      </c>
      <c r="F11" s="179">
        <v>3290</v>
      </c>
      <c r="G11" s="179">
        <v>399.42522756827066</v>
      </c>
      <c r="H11" s="179">
        <v>3836</v>
      </c>
      <c r="I11" s="179">
        <v>3436.5747724317293</v>
      </c>
      <c r="J11" s="179">
        <v>-2240.6757221939797</v>
      </c>
      <c r="K11" s="179">
        <v>5677.2504946257086</v>
      </c>
      <c r="L11" s="180">
        <v>5700</v>
      </c>
      <c r="M11" s="179">
        <v>22.749505374291402</v>
      </c>
      <c r="N11" s="181"/>
    </row>
    <row r="12" spans="2:14" x14ac:dyDescent="0.35">
      <c r="B12" s="178">
        <v>5</v>
      </c>
      <c r="C12" s="178" t="str">
        <v>Sazayetul Islam Zisan</v>
      </c>
      <c r="D12" s="179">
        <v>2473.3784135240571</v>
      </c>
      <c r="E12" s="179">
        <v>41.5</v>
      </c>
      <c r="F12" s="179">
        <v>3455</v>
      </c>
      <c r="G12" s="179">
        <v>981.62158647594288</v>
      </c>
      <c r="H12" s="179">
        <v>3836</v>
      </c>
      <c r="I12" s="179">
        <v>2854.3784135240571</v>
      </c>
      <c r="J12" s="179">
        <v>2447.8846710324706</v>
      </c>
      <c r="K12" s="179">
        <v>406.49374249158654</v>
      </c>
      <c r="L12" s="180">
        <v>5020</v>
      </c>
      <c r="M12" s="179">
        <v>113.50625750841391</v>
      </c>
      <c r="N12" s="181"/>
    </row>
    <row r="13" spans="2:14" x14ac:dyDescent="0.35">
      <c r="B13" s="178">
        <v>6</v>
      </c>
      <c r="C13" s="178" t="str">
        <v>Saklayen Ahmed </v>
      </c>
      <c r="D13" s="179">
        <v>2443.5786736020805</v>
      </c>
      <c r="E13" s="179">
        <v>41</v>
      </c>
      <c r="F13" s="179">
        <v>4000</v>
      </c>
      <c r="G13" s="179">
        <v>1556.4213263979195</v>
      </c>
      <c r="H13" s="179">
        <v>4585.9999999999991</v>
      </c>
      <c r="I13" s="179">
        <v>3029.5786736020796</v>
      </c>
      <c r="J13" s="179">
        <v>61.433972239404284</v>
      </c>
      <c r="K13" s="179">
        <v>2968.1447013626753</v>
      </c>
      <c r="L13" s="180">
        <v>2970</v>
      </c>
      <c r="M13" s="179">
        <v>1.8552986373247222</v>
      </c>
      <c r="N13" s="181"/>
    </row>
    <row r="14" spans="2:14" x14ac:dyDescent="0.35">
      <c r="B14" s="178">
        <v>7</v>
      </c>
      <c r="C14" s="178" t="str">
        <v>Mahmudul  Hasan Nayan</v>
      </c>
      <c r="D14" s="179">
        <v>2234.9804941482444</v>
      </c>
      <c r="E14" s="179">
        <v>37.5</v>
      </c>
      <c r="F14" s="179">
        <v>2819</v>
      </c>
      <c r="G14" s="179">
        <v>584.01950585175564</v>
      </c>
      <c r="H14" s="179">
        <v>4585.9999999999991</v>
      </c>
      <c r="I14" s="179">
        <v>4001.9804941482435</v>
      </c>
      <c r="J14" s="179">
        <v>-39.890324703063015</v>
      </c>
      <c r="K14" s="179">
        <v>4041.8708188513065</v>
      </c>
      <c r="L14" s="180">
        <v>4000</v>
      </c>
      <c r="M14" s="179">
        <v>-41.870818851306467</v>
      </c>
      <c r="N14" s="181"/>
    </row>
    <row r="15" spans="2:14" x14ac:dyDescent="0.35">
      <c r="B15" s="182" t="str">
        <v>Total</v>
      </c>
      <c r="C15" s="182">
        <v>0</v>
      </c>
      <c r="D15" s="180">
        <v>22916</v>
      </c>
      <c r="E15" s="180">
        <v>384.5</v>
      </c>
      <c r="F15" s="180">
        <v>22916</v>
      </c>
      <c r="G15" s="180">
        <v>1.3642420526593924E-12</v>
      </c>
      <c r="H15" s="180">
        <v>30352</v>
      </c>
      <c r="I15" s="180">
        <v>30351.999999999993</v>
      </c>
      <c r="J15" s="180">
        <v>-333.76348041836263</v>
      </c>
      <c r="K15" s="180">
        <v>30685.763480418354</v>
      </c>
      <c r="L15" s="180">
        <v>35052</v>
      </c>
      <c r="M15" s="179">
        <v>-133.76348041835672</v>
      </c>
      <c r="N15" s="181"/>
    </row>
  </sheetData>
  <mergeCells count="6">
    <mergeCell ref="B6:M6"/>
    <mergeCell ref="H2:J3"/>
    <mergeCell ref="E4:I5"/>
    <mergeCell ref="J4:M5"/>
    <mergeCell ref="B4:C5"/>
    <mergeCell ref="D4:D5"/>
  </mergeCells>
  <phoneticPr fontId="17" type="noConversion"/>
  <conditionalFormatting sqref="M8:M15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8:J14">
    <cfRule type="cellIs" dxfId="1" priority="1" operator="lessThan">
      <formula>0</formula>
    </cfRule>
    <cfRule type="cellIs" dxfId="0" priority="2" operator="greaterThan">
      <formula>0</formula>
    </cfRule>
  </conditionalFormatting>
  <printOptions horizontalCentered="1"/>
  <pageMargins left="0.25" right="0.25" top="0.75" bottom="0.75" header="0.3" footer="0.3"/>
  <pageSetup paperSize="9" scale="64" fitToHeight="0" orientation="landscape" r:id="rId1"/>
  <colBreaks count="1" manualBreakCount="1">
    <brk id="15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CADB-0325-4090-AA52-167BB5A2DC66}">
  <sheetPr>
    <pageSetUpPr fitToPage="1"/>
  </sheetPr>
  <dimension ref="A2:T61"/>
  <sheetViews>
    <sheetView showGridLines="0" topLeftCell="A38" workbookViewId="0">
      <selection activeCell="K64" sqref="K64"/>
    </sheetView>
  </sheetViews>
  <sheetFormatPr defaultRowHeight="15.6" x14ac:dyDescent="0.35"/>
  <cols>
    <col min="1" max="19" width="8.796875" style="192"/>
    <col min="20" max="20" width="4.69921875" style="192" customWidth="1"/>
    <col min="21" max="16384" width="8.796875" style="192"/>
  </cols>
  <sheetData>
    <row r="2" spans="1:20" ht="15.6" customHeight="1" x14ac:dyDescent="0.35">
      <c r="A2" s="197"/>
      <c r="B2" s="197"/>
      <c r="C2" s="197"/>
      <c r="D2" s="197"/>
      <c r="E2" s="197"/>
      <c r="F2" s="197"/>
      <c r="G2" s="197"/>
      <c r="H2" s="197"/>
      <c r="I2" s="247" t="s">
        <v>224</v>
      </c>
      <c r="J2" s="247"/>
      <c r="K2" s="247"/>
      <c r="L2" s="247"/>
      <c r="M2" s="197"/>
      <c r="N2" s="197"/>
      <c r="O2" s="197"/>
      <c r="P2" s="197"/>
      <c r="Q2" s="197"/>
      <c r="R2" s="197"/>
      <c r="S2" s="197"/>
      <c r="T2" s="197"/>
    </row>
    <row r="3" spans="1:20" ht="15.6" customHeight="1" x14ac:dyDescent="0.35"/>
    <row r="4" spans="1:20" x14ac:dyDescent="0.35">
      <c r="A4" s="196" t="s">
        <v>220</v>
      </c>
      <c r="B4" s="196"/>
      <c r="C4" s="196"/>
      <c r="D4" s="196"/>
      <c r="E4" s="196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</row>
    <row r="5" spans="1:20" x14ac:dyDescent="0.35">
      <c r="A5" s="193"/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</row>
    <row r="6" spans="1:20" x14ac:dyDescent="0.35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</row>
    <row r="7" spans="1:20" x14ac:dyDescent="0.35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</row>
    <row r="8" spans="1:20" x14ac:dyDescent="0.35">
      <c r="A8" s="193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</row>
    <row r="9" spans="1:20" x14ac:dyDescent="0.35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</row>
    <row r="10" spans="1:20" x14ac:dyDescent="0.35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</row>
    <row r="11" spans="1:20" x14ac:dyDescent="0.35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</row>
    <row r="12" spans="1:20" x14ac:dyDescent="0.35">
      <c r="A12" s="193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</row>
    <row r="13" spans="1:20" x14ac:dyDescent="0.35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</row>
    <row r="14" spans="1:20" x14ac:dyDescent="0.35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</row>
    <row r="15" spans="1:20" x14ac:dyDescent="0.35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</row>
    <row r="16" spans="1:20" x14ac:dyDescent="0.35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</row>
    <row r="18" spans="1:20" x14ac:dyDescent="0.35">
      <c r="A18" s="195" t="s">
        <v>219</v>
      </c>
      <c r="B18" s="195"/>
      <c r="C18" s="195"/>
      <c r="D18" s="195"/>
      <c r="E18" s="195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</row>
    <row r="19" spans="1:20" x14ac:dyDescent="0.35">
      <c r="A19" s="194"/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</row>
    <row r="20" spans="1:20" x14ac:dyDescent="0.35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</row>
    <row r="21" spans="1:20" x14ac:dyDescent="0.35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</row>
    <row r="22" spans="1:20" x14ac:dyDescent="0.35">
      <c r="A22" s="194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</row>
    <row r="23" spans="1:20" x14ac:dyDescent="0.35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</row>
    <row r="24" spans="1:20" x14ac:dyDescent="0.35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</row>
    <row r="25" spans="1:20" x14ac:dyDescent="0.35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</row>
    <row r="26" spans="1:20" x14ac:dyDescent="0.35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</row>
    <row r="27" spans="1:20" x14ac:dyDescent="0.35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</row>
    <row r="28" spans="1:20" x14ac:dyDescent="0.35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</row>
    <row r="29" spans="1:20" x14ac:dyDescent="0.35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</row>
    <row r="30" spans="1:20" x14ac:dyDescent="0.35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</row>
    <row r="32" spans="1:20" ht="15.6" customHeight="1" x14ac:dyDescent="0.35">
      <c r="A32" s="197"/>
      <c r="B32" s="197"/>
      <c r="C32" s="197"/>
      <c r="D32" s="197"/>
      <c r="E32" s="197"/>
      <c r="F32" s="197"/>
      <c r="G32" s="197"/>
      <c r="H32" s="197"/>
      <c r="I32" s="247" t="s">
        <v>223</v>
      </c>
      <c r="J32" s="247"/>
      <c r="K32" s="247"/>
      <c r="L32" s="247"/>
      <c r="M32" s="197"/>
      <c r="N32" s="197"/>
      <c r="O32" s="197"/>
      <c r="P32" s="197"/>
      <c r="Q32" s="197"/>
      <c r="R32" s="197"/>
      <c r="S32" s="197"/>
      <c r="T32" s="197"/>
    </row>
    <row r="34" spans="1:20" x14ac:dyDescent="0.35">
      <c r="A34" s="196" t="s">
        <v>221</v>
      </c>
      <c r="B34" s="196"/>
      <c r="C34" s="196"/>
      <c r="D34" s="196"/>
      <c r="E34" s="196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</row>
    <row r="35" spans="1:20" x14ac:dyDescent="0.35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</row>
    <row r="36" spans="1:20" x14ac:dyDescent="0.35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</row>
    <row r="37" spans="1:20" x14ac:dyDescent="0.35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</row>
    <row r="38" spans="1:20" x14ac:dyDescent="0.35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</row>
    <row r="39" spans="1:20" x14ac:dyDescent="0.35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</row>
    <row r="40" spans="1:20" x14ac:dyDescent="0.35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</row>
    <row r="41" spans="1:20" x14ac:dyDescent="0.35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</row>
    <row r="42" spans="1:20" x14ac:dyDescent="0.35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</row>
    <row r="43" spans="1:20" x14ac:dyDescent="0.35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</row>
    <row r="44" spans="1:20" x14ac:dyDescent="0.35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</row>
    <row r="45" spans="1:20" x14ac:dyDescent="0.3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</row>
    <row r="46" spans="1:20" x14ac:dyDescent="0.35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</row>
    <row r="47" spans="1:20" x14ac:dyDescent="0.35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</row>
    <row r="49" spans="1:20" x14ac:dyDescent="0.35">
      <c r="A49" s="195" t="s">
        <v>222</v>
      </c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</row>
    <row r="50" spans="1:20" x14ac:dyDescent="0.35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</row>
    <row r="51" spans="1:20" x14ac:dyDescent="0.35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</row>
    <row r="52" spans="1:20" x14ac:dyDescent="0.35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</row>
    <row r="53" spans="1:20" x14ac:dyDescent="0.35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</row>
    <row r="54" spans="1:20" x14ac:dyDescent="0.35">
      <c r="A54" s="194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</row>
    <row r="55" spans="1:20" x14ac:dyDescent="0.35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</row>
    <row r="56" spans="1:20" x14ac:dyDescent="0.35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</row>
    <row r="57" spans="1:20" x14ac:dyDescent="0.35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</row>
    <row r="58" spans="1:20" x14ac:dyDescent="0.35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</row>
    <row r="59" spans="1:20" x14ac:dyDescent="0.35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</row>
    <row r="60" spans="1:20" x14ac:dyDescent="0.35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</row>
    <row r="61" spans="1:20" x14ac:dyDescent="0.35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</row>
  </sheetData>
  <mergeCells count="2">
    <mergeCell ref="I32:L32"/>
    <mergeCell ref="I2:L2"/>
  </mergeCells>
  <printOptions horizontalCentered="1"/>
  <pageMargins left="0" right="0" top="0" bottom="0" header="0.3" footer="0.3"/>
  <pageSetup paperSize="9" scale="54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1FD2-0BB2-46B0-B8B6-D1E6E6A045F9}">
  <dimension ref="A1:BB46"/>
  <sheetViews>
    <sheetView zoomScaleNormal="100"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H31" sqref="H31"/>
    </sheetView>
  </sheetViews>
  <sheetFormatPr defaultRowHeight="15.6" x14ac:dyDescent="0.4"/>
  <cols>
    <col min="1" max="1" width="7" bestFit="1" customWidth="1"/>
    <col min="2" max="2" width="23.796875" bestFit="1" customWidth="1"/>
    <col min="3" max="5" width="9.19921875" bestFit="1" customWidth="1"/>
    <col min="6" max="6" width="11.59765625" customWidth="1"/>
    <col min="7" max="7" width="12" bestFit="1" customWidth="1"/>
    <col min="8" max="8" width="13.19921875" customWidth="1"/>
    <col min="9" max="9" width="9.796875" customWidth="1"/>
    <col min="10" max="10" width="9.19921875" bestFit="1" customWidth="1"/>
    <col min="11" max="11" width="14.59765625" customWidth="1"/>
    <col min="12" max="13" width="10.19921875" bestFit="1" customWidth="1"/>
    <col min="14" max="14" width="11.59765625" bestFit="1" customWidth="1"/>
    <col min="15" max="34" width="10.19921875" bestFit="1" customWidth="1"/>
    <col min="36" max="36" width="23" bestFit="1" customWidth="1"/>
    <col min="37" max="37" width="19.19921875" bestFit="1" customWidth="1"/>
    <col min="38" max="38" width="25.796875" bestFit="1" customWidth="1"/>
    <col min="39" max="39" width="20.796875" bestFit="1" customWidth="1"/>
    <col min="40" max="40" width="24" bestFit="1" customWidth="1"/>
    <col min="41" max="41" width="33" bestFit="1" customWidth="1"/>
    <col min="42" max="42" width="57.19921875" bestFit="1" customWidth="1"/>
    <col min="43" max="43" width="12.19921875" bestFit="1" customWidth="1"/>
    <col min="44" max="44" width="13.3984375" bestFit="1" customWidth="1"/>
    <col min="45" max="45" width="25.59765625" bestFit="1" customWidth="1"/>
    <col min="46" max="46" width="11.19921875" bestFit="1" customWidth="1"/>
    <col min="47" max="47" width="10.19921875" bestFit="1" customWidth="1"/>
    <col min="48" max="48" width="30.19921875" bestFit="1" customWidth="1"/>
  </cols>
  <sheetData>
    <row r="1" spans="1:54" x14ac:dyDescent="0.4">
      <c r="C1" s="204" t="s">
        <v>84</v>
      </c>
      <c r="D1" s="204"/>
      <c r="E1" s="203">
        <f>AH22/AH12</f>
        <v>48.715404699738905</v>
      </c>
      <c r="F1" s="203"/>
    </row>
    <row r="2" spans="1:54" ht="25.5" customHeight="1" x14ac:dyDescent="0.4">
      <c r="C2" s="204"/>
      <c r="D2" s="204"/>
      <c r="E2" s="203"/>
      <c r="F2" s="203"/>
    </row>
    <row r="4" spans="1:54" x14ac:dyDescent="0.4">
      <c r="A4" s="4" t="s">
        <v>0</v>
      </c>
      <c r="B4" s="4" t="s">
        <v>2</v>
      </c>
      <c r="C4" s="5">
        <v>44348</v>
      </c>
      <c r="D4" s="5">
        <v>44349</v>
      </c>
      <c r="E4" s="5">
        <v>44350</v>
      </c>
      <c r="F4" s="5">
        <v>44351</v>
      </c>
      <c r="G4" s="5">
        <v>44352</v>
      </c>
      <c r="H4" s="5">
        <v>44353</v>
      </c>
      <c r="I4" s="5">
        <v>44354</v>
      </c>
      <c r="J4" s="5">
        <v>44355</v>
      </c>
      <c r="K4" s="5">
        <v>44356</v>
      </c>
      <c r="L4" s="5">
        <v>44357</v>
      </c>
      <c r="M4" s="5">
        <v>44358</v>
      </c>
      <c r="N4" s="5">
        <v>44359</v>
      </c>
      <c r="O4" s="5">
        <v>44360</v>
      </c>
      <c r="P4" s="5">
        <v>44361</v>
      </c>
      <c r="Q4" s="5">
        <v>44362</v>
      </c>
      <c r="R4" s="5">
        <v>44363</v>
      </c>
      <c r="S4" s="5">
        <v>44364</v>
      </c>
      <c r="T4" s="5">
        <v>44365</v>
      </c>
      <c r="U4" s="5">
        <v>44366</v>
      </c>
      <c r="V4" s="5">
        <v>44367</v>
      </c>
      <c r="W4" s="5">
        <v>44368</v>
      </c>
      <c r="X4" s="5">
        <v>44369</v>
      </c>
      <c r="Y4" s="5">
        <v>44370</v>
      </c>
      <c r="Z4" s="5">
        <v>44371</v>
      </c>
      <c r="AA4" s="5">
        <v>44372</v>
      </c>
      <c r="AB4" s="5">
        <v>44373</v>
      </c>
      <c r="AC4" s="5">
        <v>44374</v>
      </c>
      <c r="AD4" s="5">
        <v>44375</v>
      </c>
      <c r="AE4" s="5">
        <v>44376</v>
      </c>
      <c r="AF4" s="5">
        <v>44377</v>
      </c>
      <c r="AG4" s="5"/>
      <c r="AH4" s="4" t="s">
        <v>1</v>
      </c>
      <c r="AJ4" s="4" t="s">
        <v>23</v>
      </c>
      <c r="AK4" s="4" t="s">
        <v>24</v>
      </c>
      <c r="AL4" s="4" t="s">
        <v>26</v>
      </c>
      <c r="AM4" s="4" t="s">
        <v>85</v>
      </c>
      <c r="AN4" s="4" t="s">
        <v>27</v>
      </c>
      <c r="AO4" s="4" t="s">
        <v>30</v>
      </c>
      <c r="AP4" s="4" t="s">
        <v>32</v>
      </c>
      <c r="AQ4" s="4" t="s">
        <v>28</v>
      </c>
      <c r="AR4" s="4" t="s">
        <v>29</v>
      </c>
      <c r="AS4" s="4" t="s">
        <v>31</v>
      </c>
      <c r="AV4" s="43"/>
      <c r="AZ4" s="1" t="s">
        <v>96</v>
      </c>
      <c r="BA4" s="1"/>
      <c r="BB4" s="1"/>
    </row>
    <row r="5" spans="1:54" x14ac:dyDescent="0.4">
      <c r="A5" s="2">
        <v>1</v>
      </c>
      <c r="B5" s="3" t="s">
        <v>4</v>
      </c>
      <c r="C5" s="7">
        <v>1</v>
      </c>
      <c r="D5" s="7">
        <v>2.5</v>
      </c>
      <c r="E5" s="7">
        <v>2.5</v>
      </c>
      <c r="F5" s="7">
        <v>2.5</v>
      </c>
      <c r="G5" s="7">
        <v>2</v>
      </c>
      <c r="H5" s="7">
        <v>2.5</v>
      </c>
      <c r="I5" s="7">
        <v>1</v>
      </c>
      <c r="J5" s="7">
        <v>2</v>
      </c>
      <c r="K5" s="7">
        <v>2.5</v>
      </c>
      <c r="L5" s="7">
        <v>2.5</v>
      </c>
      <c r="M5" s="7">
        <v>2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2</v>
      </c>
      <c r="W5" s="7">
        <v>2</v>
      </c>
      <c r="X5" s="7">
        <v>2</v>
      </c>
      <c r="Y5" s="7">
        <v>2</v>
      </c>
      <c r="Z5" s="7">
        <v>1</v>
      </c>
      <c r="AA5" s="7">
        <v>0</v>
      </c>
      <c r="AB5" s="7">
        <v>1</v>
      </c>
      <c r="AC5" s="7">
        <v>2</v>
      </c>
      <c r="AD5" s="7">
        <v>2</v>
      </c>
      <c r="AE5" s="7">
        <v>2</v>
      </c>
      <c r="AF5" s="7">
        <v>2</v>
      </c>
      <c r="AG5" s="7">
        <v>0</v>
      </c>
      <c r="AH5" s="7">
        <f>SUM(C5:AG5)</f>
        <v>45</v>
      </c>
      <c r="AJ5" s="15">
        <f>AH5*$E$1</f>
        <v>2192.1932114882507</v>
      </c>
      <c r="AK5" s="16">
        <f>AH15</f>
        <v>3190</v>
      </c>
      <c r="AL5" s="15">
        <f t="shared" ref="AL5:AL11" si="0">AK5-AJ5</f>
        <v>997.80678851174935</v>
      </c>
      <c r="AM5" s="16">
        <f>N24</f>
        <v>4627.7142857142853</v>
      </c>
      <c r="AN5" s="15">
        <f>AM5-AL5</f>
        <v>3629.907497202536</v>
      </c>
      <c r="AO5" s="15">
        <f>'Meal May''21 &amp; Rent June 2021'!AS5</f>
        <v>650.00104329158194</v>
      </c>
      <c r="AP5" s="15">
        <f>AN5-AO5</f>
        <v>2979.906453910954</v>
      </c>
      <c r="AQ5" s="6">
        <f>3500+500</f>
        <v>4000</v>
      </c>
      <c r="AR5" s="17">
        <v>44387</v>
      </c>
      <c r="AS5" s="15">
        <f>AQ5-AP5</f>
        <v>1020.093546089046</v>
      </c>
      <c r="AW5" s="9"/>
      <c r="AZ5" s="1" t="s">
        <v>97</v>
      </c>
      <c r="BA5" s="1">
        <v>4000</v>
      </c>
      <c r="BB5" s="1"/>
    </row>
    <row r="6" spans="1:54" x14ac:dyDescent="0.4">
      <c r="A6" s="2">
        <v>2</v>
      </c>
      <c r="B6" s="3" t="s">
        <v>5</v>
      </c>
      <c r="C6" s="7">
        <v>4</v>
      </c>
      <c r="D6" s="7">
        <v>2</v>
      </c>
      <c r="E6" s="7">
        <v>2.5</v>
      </c>
      <c r="F6" s="7">
        <v>0.5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1.5</v>
      </c>
      <c r="M6" s="7">
        <v>1.5</v>
      </c>
      <c r="N6" s="7">
        <v>2</v>
      </c>
      <c r="O6" s="7">
        <v>2</v>
      </c>
      <c r="P6" s="7">
        <v>2</v>
      </c>
      <c r="Q6" s="7">
        <v>2.5</v>
      </c>
      <c r="R6" s="7">
        <v>2.5</v>
      </c>
      <c r="S6" s="7">
        <v>2.5</v>
      </c>
      <c r="T6" s="7">
        <v>6.5</v>
      </c>
      <c r="U6" s="7">
        <v>2.5</v>
      </c>
      <c r="V6" s="7">
        <v>2.5</v>
      </c>
      <c r="W6" s="7">
        <v>0</v>
      </c>
      <c r="X6" s="7">
        <v>1.5</v>
      </c>
      <c r="Y6" s="7">
        <v>2.5</v>
      </c>
      <c r="Z6" s="7">
        <v>2.5</v>
      </c>
      <c r="AA6" s="7">
        <v>2.5</v>
      </c>
      <c r="AB6" s="7">
        <v>2.5</v>
      </c>
      <c r="AC6" s="7">
        <v>2.5</v>
      </c>
      <c r="AD6" s="7">
        <v>2.5</v>
      </c>
      <c r="AE6" s="7">
        <v>2.5</v>
      </c>
      <c r="AF6" s="7">
        <v>2.5</v>
      </c>
      <c r="AG6" s="7">
        <v>0</v>
      </c>
      <c r="AH6" s="7">
        <f>SUM(C6:AG6)</f>
        <v>59.5</v>
      </c>
      <c r="AJ6" s="15">
        <f>AH6*$E$1</f>
        <v>2898.5665796344647</v>
      </c>
      <c r="AK6" s="16">
        <f>AH16</f>
        <v>3555</v>
      </c>
      <c r="AL6" s="15">
        <f t="shared" si="0"/>
        <v>656.43342036553531</v>
      </c>
      <c r="AM6" s="16">
        <f>N25</f>
        <v>4627.7142857142853</v>
      </c>
      <c r="AN6" s="15">
        <f>AM6-AL6</f>
        <v>3971.28086534875</v>
      </c>
      <c r="AO6" s="15">
        <f>'Meal May''21 &amp; Rent June 2021'!AS6</f>
        <v>-352.04604074976851</v>
      </c>
      <c r="AP6" s="15">
        <f t="shared" ref="AP6:AP11" si="1">AN6-AO6</f>
        <v>4323.3269060985185</v>
      </c>
      <c r="AQ6" s="6">
        <v>4500</v>
      </c>
      <c r="AR6" s="17">
        <v>44389</v>
      </c>
      <c r="AS6" s="15">
        <f t="shared" ref="AS6:AS10" si="2">AQ6-AP6</f>
        <v>176.67309390148148</v>
      </c>
      <c r="AW6" s="9"/>
      <c r="AZ6" s="1" t="s">
        <v>36</v>
      </c>
      <c r="BA6" s="1">
        <f>BA5/6</f>
        <v>666.66666666666663</v>
      </c>
      <c r="BB6" s="1">
        <f>BA6*5</f>
        <v>3333.333333333333</v>
      </c>
    </row>
    <row r="7" spans="1:54" x14ac:dyDescent="0.4">
      <c r="A7" s="2">
        <v>3</v>
      </c>
      <c r="B7" s="3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2.5</v>
      </c>
      <c r="N7" s="7">
        <v>2</v>
      </c>
      <c r="O7" s="7">
        <v>2</v>
      </c>
      <c r="P7" s="7">
        <v>2</v>
      </c>
      <c r="Q7" s="7">
        <v>2.5</v>
      </c>
      <c r="R7" s="7">
        <v>2.5</v>
      </c>
      <c r="S7" s="7">
        <v>2.5</v>
      </c>
      <c r="T7" s="7">
        <v>2.5</v>
      </c>
      <c r="U7" s="7">
        <v>2.5</v>
      </c>
      <c r="V7" s="7">
        <v>2.5</v>
      </c>
      <c r="W7" s="7">
        <v>2.5</v>
      </c>
      <c r="X7" s="7">
        <v>2.5</v>
      </c>
      <c r="Y7" s="7">
        <v>2.5</v>
      </c>
      <c r="Z7" s="7">
        <v>2.5</v>
      </c>
      <c r="AA7" s="7">
        <v>2.5</v>
      </c>
      <c r="AB7" s="7">
        <v>2.5</v>
      </c>
      <c r="AC7" s="7">
        <v>2.5</v>
      </c>
      <c r="AD7" s="7">
        <v>2.5</v>
      </c>
      <c r="AE7" s="7">
        <v>2.5</v>
      </c>
      <c r="AF7" s="7">
        <v>2.5</v>
      </c>
      <c r="AG7" s="7">
        <v>0</v>
      </c>
      <c r="AH7" s="7">
        <f t="shared" ref="AH7:AH10" si="3">SUM(C7:AG7)</f>
        <v>49.5</v>
      </c>
      <c r="AJ7" s="15">
        <f>AH7*$E$1</f>
        <v>2411.4125326370759</v>
      </c>
      <c r="AK7" s="16">
        <f>AH17</f>
        <v>35</v>
      </c>
      <c r="AL7" s="15">
        <f t="shared" si="0"/>
        <v>-2376.4125326370759</v>
      </c>
      <c r="AM7" s="16">
        <f t="shared" ref="AM7:AM8" si="4">N26</f>
        <v>3461.0476190476197</v>
      </c>
      <c r="AN7" s="15">
        <f t="shared" ref="AN7:AN11" si="5">AM7-AL7</f>
        <v>5837.460151684696</v>
      </c>
      <c r="AO7" s="15">
        <f>'Meal May''21 &amp; Rent June 2021'!AS7</f>
        <v>-8173.2175804101907</v>
      </c>
      <c r="AP7" s="15">
        <f t="shared" si="1"/>
        <v>14010.677732094886</v>
      </c>
      <c r="AQ7" s="6"/>
      <c r="AR7" s="17"/>
      <c r="AS7" s="15">
        <f t="shared" si="2"/>
        <v>-14010.677732094886</v>
      </c>
      <c r="AW7" s="9"/>
      <c r="AZ7" s="1" t="s">
        <v>37</v>
      </c>
      <c r="BA7" s="1"/>
      <c r="BB7" s="1"/>
    </row>
    <row r="8" spans="1:54" x14ac:dyDescent="0.4">
      <c r="A8" s="2">
        <v>4</v>
      </c>
      <c r="B8" s="3" t="s">
        <v>57</v>
      </c>
      <c r="C8" s="7">
        <v>2</v>
      </c>
      <c r="D8" s="7">
        <v>2.5</v>
      </c>
      <c r="E8" s="7">
        <v>1.5</v>
      </c>
      <c r="F8" s="7">
        <v>1.5</v>
      </c>
      <c r="G8" s="7">
        <v>1.5</v>
      </c>
      <c r="H8" s="7">
        <v>0.5</v>
      </c>
      <c r="I8" s="7">
        <v>1.5</v>
      </c>
      <c r="J8" s="7">
        <v>1.5</v>
      </c>
      <c r="K8" s="7">
        <v>1</v>
      </c>
      <c r="L8" s="7">
        <v>1.5</v>
      </c>
      <c r="M8" s="7">
        <v>1.5</v>
      </c>
      <c r="N8" s="7">
        <v>1</v>
      </c>
      <c r="O8" s="7">
        <v>2</v>
      </c>
      <c r="P8" s="7">
        <v>1</v>
      </c>
      <c r="Q8" s="7">
        <v>1.5</v>
      </c>
      <c r="R8" s="7">
        <v>2.5</v>
      </c>
      <c r="S8" s="7">
        <v>1.5</v>
      </c>
      <c r="T8" s="7">
        <v>2.5</v>
      </c>
      <c r="U8" s="7">
        <v>2.5</v>
      </c>
      <c r="V8" s="7">
        <v>2.5</v>
      </c>
      <c r="W8" s="7">
        <v>2.5</v>
      </c>
      <c r="X8" s="7">
        <v>2.5</v>
      </c>
      <c r="Y8" s="7">
        <v>2.5</v>
      </c>
      <c r="Z8" s="7">
        <v>2.5</v>
      </c>
      <c r="AA8" s="7">
        <v>2.5</v>
      </c>
      <c r="AB8" s="7">
        <v>2.5</v>
      </c>
      <c r="AC8" s="7">
        <v>2.5</v>
      </c>
      <c r="AD8" s="7">
        <v>2.5</v>
      </c>
      <c r="AE8" s="7">
        <v>2.5</v>
      </c>
      <c r="AF8" s="7">
        <v>2.5</v>
      </c>
      <c r="AG8" s="7">
        <v>0</v>
      </c>
      <c r="AH8" s="7">
        <f t="shared" si="3"/>
        <v>58.5</v>
      </c>
      <c r="AJ8" s="15">
        <f>AH8*$E$1</f>
        <v>2849.8511749347258</v>
      </c>
      <c r="AK8" s="16">
        <f>AH18</f>
        <v>2102</v>
      </c>
      <c r="AL8" s="15">
        <f t="shared" si="0"/>
        <v>-747.8511749347258</v>
      </c>
      <c r="AM8" s="16">
        <f t="shared" si="4"/>
        <v>3461.0476190476197</v>
      </c>
      <c r="AN8" s="15">
        <f t="shared" si="5"/>
        <v>4208.8987939823455</v>
      </c>
      <c r="AO8" s="15">
        <f>'Meal May''21 &amp; Rent June 2021'!AS8</f>
        <v>-2376.8422568619608</v>
      </c>
      <c r="AP8" s="15">
        <f t="shared" si="1"/>
        <v>6585.7410508443063</v>
      </c>
      <c r="AQ8" s="6">
        <v>4600</v>
      </c>
      <c r="AR8" s="17">
        <v>44389</v>
      </c>
      <c r="AS8" s="15">
        <f>AQ8-AP8</f>
        <v>-1985.7410508443063</v>
      </c>
      <c r="AT8" s="25"/>
      <c r="AU8" s="25"/>
      <c r="AW8" s="9"/>
      <c r="AZ8" s="1" t="s">
        <v>98</v>
      </c>
      <c r="BA8" s="1">
        <f>$BA$6</f>
        <v>666.66666666666663</v>
      </c>
      <c r="BB8" s="1"/>
    </row>
    <row r="9" spans="1:54" x14ac:dyDescent="0.4">
      <c r="A9" s="2">
        <v>5</v>
      </c>
      <c r="B9" s="12" t="s">
        <v>51</v>
      </c>
      <c r="C9" s="7">
        <v>1</v>
      </c>
      <c r="D9" s="7">
        <v>1.5</v>
      </c>
      <c r="E9" s="7">
        <v>1</v>
      </c>
      <c r="F9" s="7">
        <v>2.5</v>
      </c>
      <c r="G9" s="7">
        <v>2.5</v>
      </c>
      <c r="H9" s="7">
        <v>2.5</v>
      </c>
      <c r="I9" s="7">
        <v>3</v>
      </c>
      <c r="J9" s="7">
        <v>1.5</v>
      </c>
      <c r="K9" s="7">
        <v>1</v>
      </c>
      <c r="L9" s="7">
        <v>0.5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11.5</v>
      </c>
      <c r="U9" s="7">
        <v>3.5</v>
      </c>
      <c r="V9" s="7">
        <v>1.5</v>
      </c>
      <c r="W9" s="7">
        <v>1</v>
      </c>
      <c r="X9" s="7">
        <v>1</v>
      </c>
      <c r="Y9" s="7">
        <v>1.5</v>
      </c>
      <c r="Z9" s="7">
        <v>1.5</v>
      </c>
      <c r="AA9" s="7">
        <v>2.5</v>
      </c>
      <c r="AB9" s="7">
        <v>2.5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f t="shared" si="3"/>
        <v>53.5</v>
      </c>
      <c r="AJ9" s="15">
        <f>$AH$9*$E$1</f>
        <v>2606.2741514360314</v>
      </c>
      <c r="AK9" s="16">
        <f>AH19</f>
        <v>3045</v>
      </c>
      <c r="AL9" s="15">
        <f t="shared" si="0"/>
        <v>438.72584856396861</v>
      </c>
      <c r="AM9" s="16">
        <f>N28</f>
        <v>3461.0476190476197</v>
      </c>
      <c r="AN9" s="15">
        <f t="shared" si="5"/>
        <v>3022.3217704836511</v>
      </c>
      <c r="AO9" s="15">
        <f>'Meal May''21 &amp; Rent June 2021'!AS9</f>
        <v>0.67475283263229358</v>
      </c>
      <c r="AP9" s="15">
        <f t="shared" si="1"/>
        <v>3021.6470176510188</v>
      </c>
      <c r="AQ9" s="6">
        <v>3000</v>
      </c>
      <c r="AR9" s="17">
        <v>44378</v>
      </c>
      <c r="AS9" s="15">
        <f>AQ9-AP9</f>
        <v>-21.647017651018814</v>
      </c>
      <c r="AU9" s="25"/>
      <c r="AZ9" s="1" t="s">
        <v>49</v>
      </c>
      <c r="BA9" s="1">
        <f t="shared" ref="BA9:BA12" si="6">$BA$6</f>
        <v>666.66666666666663</v>
      </c>
      <c r="BB9" s="1"/>
    </row>
    <row r="10" spans="1:54" x14ac:dyDescent="0.4">
      <c r="A10" s="2">
        <v>6</v>
      </c>
      <c r="B10" s="3" t="s">
        <v>7</v>
      </c>
      <c r="C10" s="7">
        <v>1</v>
      </c>
      <c r="D10" s="7">
        <v>1.5</v>
      </c>
      <c r="E10" s="7">
        <v>1.5</v>
      </c>
      <c r="F10" s="7">
        <v>2.5</v>
      </c>
      <c r="G10" s="7">
        <v>1.5</v>
      </c>
      <c r="H10" s="7">
        <v>1.5</v>
      </c>
      <c r="I10" s="7">
        <v>1.5</v>
      </c>
      <c r="J10" s="7">
        <v>1.5</v>
      </c>
      <c r="K10" s="7">
        <v>1.5</v>
      </c>
      <c r="L10" s="7">
        <v>1.5</v>
      </c>
      <c r="M10" s="7">
        <v>0</v>
      </c>
      <c r="N10" s="7">
        <v>1</v>
      </c>
      <c r="O10" s="7">
        <v>1</v>
      </c>
      <c r="P10" s="7">
        <v>1</v>
      </c>
      <c r="Q10" s="7">
        <v>1.5</v>
      </c>
      <c r="R10" s="7">
        <v>1.5</v>
      </c>
      <c r="S10" s="7">
        <v>1.5</v>
      </c>
      <c r="T10" s="7">
        <v>2.5</v>
      </c>
      <c r="U10" s="7">
        <v>2.5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2.5</v>
      </c>
      <c r="AB10" s="7">
        <v>1.5</v>
      </c>
      <c r="AC10" s="7">
        <v>2.5</v>
      </c>
      <c r="AD10" s="7">
        <v>2.5</v>
      </c>
      <c r="AE10" s="7">
        <v>2.5</v>
      </c>
      <c r="AF10" s="7">
        <v>2.5</v>
      </c>
      <c r="AG10" s="7">
        <v>0</v>
      </c>
      <c r="AH10" s="7">
        <f t="shared" si="3"/>
        <v>49.5</v>
      </c>
      <c r="AJ10" s="15">
        <f>AH10*$E$1</f>
        <v>2411.4125326370759</v>
      </c>
      <c r="AK10" s="16">
        <f t="shared" ref="AK10" si="7">AH20</f>
        <v>3128</v>
      </c>
      <c r="AL10" s="15">
        <f t="shared" si="0"/>
        <v>716.58746736292414</v>
      </c>
      <c r="AM10" s="16">
        <f>N29</f>
        <v>4627.7142857142853</v>
      </c>
      <c r="AN10" s="15">
        <f t="shared" si="5"/>
        <v>3911.1268183513612</v>
      </c>
      <c r="AO10" s="15">
        <f>'Meal May''21 &amp; Rent June 2021'!AS10</f>
        <v>-6.4989789916580776E-4</v>
      </c>
      <c r="AP10" s="15">
        <f t="shared" si="1"/>
        <v>3911.1274682492603</v>
      </c>
      <c r="AQ10" s="6"/>
      <c r="AR10" s="17"/>
      <c r="AS10" s="15">
        <f t="shared" si="2"/>
        <v>-3911.1274682492603</v>
      </c>
      <c r="AZ10" s="1" t="s">
        <v>38</v>
      </c>
      <c r="BA10" s="1">
        <f t="shared" si="6"/>
        <v>666.66666666666663</v>
      </c>
      <c r="BB10" s="1"/>
    </row>
    <row r="11" spans="1:54" x14ac:dyDescent="0.4">
      <c r="A11" s="2">
        <v>7</v>
      </c>
      <c r="B11" s="3" t="s">
        <v>8</v>
      </c>
      <c r="C11" s="7">
        <v>1</v>
      </c>
      <c r="D11" s="7">
        <v>1.5</v>
      </c>
      <c r="E11" s="7">
        <v>1</v>
      </c>
      <c r="F11" s="7">
        <v>2.5</v>
      </c>
      <c r="G11" s="7">
        <v>2.5</v>
      </c>
      <c r="H11" s="7">
        <v>2</v>
      </c>
      <c r="I11" s="7">
        <v>2</v>
      </c>
      <c r="J11" s="7">
        <v>2.5</v>
      </c>
      <c r="K11" s="7">
        <v>2.5</v>
      </c>
      <c r="L11" s="7">
        <v>2</v>
      </c>
      <c r="M11" s="7">
        <v>2.5</v>
      </c>
      <c r="N11" s="7">
        <v>2</v>
      </c>
      <c r="O11" s="7">
        <v>1</v>
      </c>
      <c r="P11" s="7">
        <v>2</v>
      </c>
      <c r="Q11" s="7">
        <v>2.5</v>
      </c>
      <c r="R11" s="7">
        <v>1</v>
      </c>
      <c r="S11" s="7">
        <v>1.5</v>
      </c>
      <c r="T11" s="7">
        <v>9.5</v>
      </c>
      <c r="U11" s="7">
        <v>2.5</v>
      </c>
      <c r="V11" s="7">
        <v>1</v>
      </c>
      <c r="W11" s="7">
        <v>2</v>
      </c>
      <c r="X11" s="7">
        <v>2.5</v>
      </c>
      <c r="Y11" s="7">
        <v>2</v>
      </c>
      <c r="Z11" s="7">
        <v>2</v>
      </c>
      <c r="AA11" s="7">
        <v>2.5</v>
      </c>
      <c r="AB11" s="7">
        <v>2.5</v>
      </c>
      <c r="AC11" s="7">
        <v>2.5</v>
      </c>
      <c r="AD11" s="7">
        <v>2.5</v>
      </c>
      <c r="AE11" s="7">
        <v>2.5</v>
      </c>
      <c r="AF11" s="7">
        <v>1.5</v>
      </c>
      <c r="AG11" s="7">
        <v>0</v>
      </c>
      <c r="AH11" s="7">
        <f>SUM(C11:AG11)</f>
        <v>67.5</v>
      </c>
      <c r="AJ11" s="15">
        <f>AH11*$E$1</f>
        <v>3288.2898172323762</v>
      </c>
      <c r="AK11" s="16">
        <f>AH21</f>
        <v>3603</v>
      </c>
      <c r="AL11" s="15">
        <f t="shared" si="0"/>
        <v>314.71018276762379</v>
      </c>
      <c r="AM11" s="16">
        <f>N30</f>
        <v>4627.7142857142853</v>
      </c>
      <c r="AN11" s="15">
        <f t="shared" si="5"/>
        <v>4313.0041029466611</v>
      </c>
      <c r="AO11" s="15">
        <f>'Meal May''21 &amp; Rent June 2021'!AS11</f>
        <v>-104.17155086508092</v>
      </c>
      <c r="AP11" s="15">
        <f t="shared" si="1"/>
        <v>4417.1756538117424</v>
      </c>
      <c r="AQ11" s="6">
        <f>120</f>
        <v>120</v>
      </c>
      <c r="AR11" s="17"/>
      <c r="AS11" s="15">
        <f>AQ11-AP11</f>
        <v>-4297.1756538117424</v>
      </c>
      <c r="AZ11" s="1" t="s">
        <v>99</v>
      </c>
      <c r="BA11" s="1">
        <f t="shared" si="6"/>
        <v>666.66666666666663</v>
      </c>
      <c r="BB11" s="1"/>
    </row>
    <row r="12" spans="1:54" x14ac:dyDescent="0.4">
      <c r="A12" s="1"/>
      <c r="B12" s="1"/>
      <c r="C12" s="7">
        <f>SUM(C5:C11)</f>
        <v>10</v>
      </c>
      <c r="D12" s="7">
        <f t="shared" ref="D12:AG12" si="8">SUM(D5:D11)</f>
        <v>11.5</v>
      </c>
      <c r="E12" s="7">
        <f t="shared" si="8"/>
        <v>10</v>
      </c>
      <c r="F12" s="7">
        <f t="shared" si="8"/>
        <v>12</v>
      </c>
      <c r="G12" s="7">
        <f t="shared" si="8"/>
        <v>10</v>
      </c>
      <c r="H12" s="7">
        <f t="shared" si="8"/>
        <v>9</v>
      </c>
      <c r="I12" s="7">
        <f t="shared" si="8"/>
        <v>9</v>
      </c>
      <c r="J12" s="7">
        <f t="shared" si="8"/>
        <v>9</v>
      </c>
      <c r="K12" s="7">
        <f t="shared" si="8"/>
        <v>9.5</v>
      </c>
      <c r="L12" s="7">
        <f t="shared" si="8"/>
        <v>10.5</v>
      </c>
      <c r="M12" s="7">
        <f t="shared" si="8"/>
        <v>10</v>
      </c>
      <c r="N12" s="7">
        <f t="shared" si="8"/>
        <v>10</v>
      </c>
      <c r="O12" s="7">
        <f t="shared" si="8"/>
        <v>10</v>
      </c>
      <c r="P12" s="7">
        <f t="shared" si="8"/>
        <v>10</v>
      </c>
      <c r="Q12" s="7">
        <f t="shared" si="8"/>
        <v>11.5</v>
      </c>
      <c r="R12" s="7">
        <f t="shared" si="8"/>
        <v>11</v>
      </c>
      <c r="S12" s="7">
        <f t="shared" si="8"/>
        <v>10.5</v>
      </c>
      <c r="T12" s="7">
        <f t="shared" si="8"/>
        <v>35</v>
      </c>
      <c r="U12" s="7">
        <f t="shared" si="8"/>
        <v>17</v>
      </c>
      <c r="V12" s="7">
        <f t="shared" si="8"/>
        <v>13.5</v>
      </c>
      <c r="W12" s="7">
        <f t="shared" si="8"/>
        <v>11.5</v>
      </c>
      <c r="X12" s="7">
        <f t="shared" si="8"/>
        <v>13.5</v>
      </c>
      <c r="Y12" s="7">
        <f t="shared" si="8"/>
        <v>14.5</v>
      </c>
      <c r="Z12" s="7">
        <f t="shared" si="8"/>
        <v>13.5</v>
      </c>
      <c r="AA12" s="7">
        <f t="shared" si="8"/>
        <v>15</v>
      </c>
      <c r="AB12" s="7">
        <f t="shared" si="8"/>
        <v>15</v>
      </c>
      <c r="AC12" s="7">
        <f t="shared" si="8"/>
        <v>15.5</v>
      </c>
      <c r="AD12" s="7">
        <f t="shared" si="8"/>
        <v>15.5</v>
      </c>
      <c r="AE12" s="7">
        <f t="shared" si="8"/>
        <v>15.5</v>
      </c>
      <c r="AF12" s="7">
        <f t="shared" si="8"/>
        <v>14.5</v>
      </c>
      <c r="AG12" s="7">
        <f t="shared" si="8"/>
        <v>0</v>
      </c>
      <c r="AH12" s="7">
        <f>SUM(AH5:AH11)</f>
        <v>383</v>
      </c>
      <c r="AJ12" s="15">
        <f>SUM(AJ5:AJ11)</f>
        <v>18658</v>
      </c>
      <c r="AK12" s="16">
        <f t="shared" ref="AK12" si="9">SUM(AK5:AK11)</f>
        <v>18658</v>
      </c>
      <c r="AL12" s="16">
        <f>SUM(AL5:AL11)</f>
        <v>-4.5474735088646412E-13</v>
      </c>
      <c r="AM12" s="16">
        <f>SUM(AM5:AM11)</f>
        <v>28894.000000000004</v>
      </c>
      <c r="AN12" s="16">
        <f>SUM(AN5:AN11)</f>
        <v>28894</v>
      </c>
      <c r="AO12" s="16">
        <f>SUM(AO5:AO11)</f>
        <v>-10355.602282660686</v>
      </c>
      <c r="AP12" s="15">
        <f>AN12-AO12+$AU$4</f>
        <v>39249.602282660686</v>
      </c>
      <c r="AQ12" s="16">
        <f>SUM(AQ5:AQ11)</f>
        <v>16220</v>
      </c>
      <c r="AR12" s="16"/>
      <c r="AS12" s="16">
        <f>SUM(AS5:AS11)</f>
        <v>-23029.602282660686</v>
      </c>
      <c r="AT12" s="9"/>
      <c r="AU12" s="9"/>
      <c r="AZ12" s="1" t="s">
        <v>40</v>
      </c>
      <c r="BA12" s="1">
        <f t="shared" si="6"/>
        <v>666.66666666666663</v>
      </c>
      <c r="BB12" s="1"/>
    </row>
    <row r="13" spans="1:54" x14ac:dyDescent="0.4">
      <c r="A13" s="36"/>
      <c r="B13" s="3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7"/>
      <c r="AF13" s="37"/>
      <c r="AG13" s="37"/>
      <c r="AH13" s="37"/>
      <c r="AJ13" s="38"/>
      <c r="AK13" s="39"/>
      <c r="AL13" s="39"/>
      <c r="AM13" s="39"/>
      <c r="AN13" s="39"/>
      <c r="AO13" s="39"/>
      <c r="AP13" s="38"/>
      <c r="AQ13" s="39"/>
      <c r="AR13" s="39"/>
      <c r="AS13" s="39"/>
      <c r="AT13" s="9"/>
      <c r="AU13" s="9"/>
      <c r="AV13" s="44" t="s">
        <v>88</v>
      </c>
      <c r="AW13" s="9"/>
      <c r="AZ13" s="1"/>
      <c r="BA13" s="1">
        <f>SUM(BA8:BA12)</f>
        <v>3333.333333333333</v>
      </c>
      <c r="BB13" s="1"/>
    </row>
    <row r="14" spans="1:54" x14ac:dyDescent="0.4">
      <c r="B14" s="10" t="s">
        <v>86</v>
      </c>
      <c r="AT14" s="9"/>
      <c r="AV14" s="1" t="s">
        <v>89</v>
      </c>
      <c r="AW14" s="1" t="s">
        <v>95</v>
      </c>
    </row>
    <row r="15" spans="1:54" x14ac:dyDescent="0.4">
      <c r="A15" s="2">
        <v>1</v>
      </c>
      <c r="B15" s="3" t="s">
        <v>4</v>
      </c>
      <c r="C15" s="8">
        <v>3190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f>SUM(C15:AG15)</f>
        <v>3190</v>
      </c>
      <c r="AP15" s="25"/>
      <c r="AR15" s="1"/>
      <c r="AS15" s="8"/>
      <c r="AV15" s="1" t="s">
        <v>90</v>
      </c>
      <c r="AW15" s="16">
        <f>O38</f>
        <v>23774</v>
      </c>
    </row>
    <row r="16" spans="1:54" x14ac:dyDescent="0.4">
      <c r="A16" s="2">
        <v>2</v>
      </c>
      <c r="B16" s="3" t="s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180</v>
      </c>
      <c r="S16" s="8">
        <v>1935</v>
      </c>
      <c r="T16" s="8">
        <v>410</v>
      </c>
      <c r="U16" s="8">
        <v>1030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f t="shared" ref="AH16:AH21" si="10">SUM(C16:AG16)</f>
        <v>3555</v>
      </c>
      <c r="AR16" s="1"/>
      <c r="AS16" s="8"/>
      <c r="AT16" s="25"/>
      <c r="AV16" s="1" t="s">
        <v>91</v>
      </c>
      <c r="AW16" s="16">
        <f>-AO12</f>
        <v>10355.602282660686</v>
      </c>
    </row>
    <row r="17" spans="1:49" x14ac:dyDescent="0.4">
      <c r="A17" s="2">
        <v>3</v>
      </c>
      <c r="B17" s="3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f t="shared" si="10"/>
        <v>35</v>
      </c>
      <c r="AP17" s="25"/>
      <c r="AR17" s="15"/>
      <c r="AS17" s="8"/>
      <c r="AT17" s="25"/>
      <c r="AV17" s="1"/>
      <c r="AW17" s="16">
        <f>SUM(AW15:AW16)</f>
        <v>34129.602282660686</v>
      </c>
    </row>
    <row r="18" spans="1:49" x14ac:dyDescent="0.4">
      <c r="A18" s="2">
        <v>4</v>
      </c>
      <c r="B18" s="3" t="s">
        <v>57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682</v>
      </c>
      <c r="N18" s="8">
        <v>1170</v>
      </c>
      <c r="O18" s="8">
        <v>0</v>
      </c>
      <c r="P18" s="8">
        <v>110</v>
      </c>
      <c r="Q18" s="8">
        <v>140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f t="shared" si="10"/>
        <v>2102</v>
      </c>
      <c r="AP18" s="25"/>
    </row>
    <row r="19" spans="1:49" x14ac:dyDescent="0.4">
      <c r="A19" s="2">
        <v>5</v>
      </c>
      <c r="B19" s="12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1950</v>
      </c>
      <c r="W19" s="8">
        <v>930</v>
      </c>
      <c r="X19" s="8">
        <v>0</v>
      </c>
      <c r="Y19" s="8">
        <v>165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f t="shared" si="10"/>
        <v>3045</v>
      </c>
      <c r="AV19" s="1" t="s">
        <v>92</v>
      </c>
      <c r="AW19" s="1"/>
    </row>
    <row r="20" spans="1:49" x14ac:dyDescent="0.4">
      <c r="A20" s="2">
        <v>6</v>
      </c>
      <c r="B20" s="3" t="s">
        <v>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1860</v>
      </c>
      <c r="AB20" s="8">
        <v>1268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f t="shared" si="10"/>
        <v>3128</v>
      </c>
      <c r="AT20" s="25"/>
      <c r="AV20" s="1" t="s">
        <v>93</v>
      </c>
      <c r="AW20" s="16">
        <f>-AS12</f>
        <v>23029.602282660686</v>
      </c>
    </row>
    <row r="21" spans="1:49" x14ac:dyDescent="0.4">
      <c r="A21" s="2">
        <v>7</v>
      </c>
      <c r="B21" s="3" t="s">
        <v>8</v>
      </c>
      <c r="C21" s="8">
        <v>0</v>
      </c>
      <c r="D21" s="8">
        <v>0</v>
      </c>
      <c r="E21" s="8">
        <v>0</v>
      </c>
      <c r="F21" s="8">
        <v>0</v>
      </c>
      <c r="G21" s="8">
        <v>1410</v>
      </c>
      <c r="H21" s="8">
        <v>300</v>
      </c>
      <c r="I21" s="8">
        <v>0</v>
      </c>
      <c r="J21" s="8">
        <v>1740</v>
      </c>
      <c r="K21" s="8">
        <v>153</v>
      </c>
      <c r="L21" s="8">
        <v>0</v>
      </c>
      <c r="M21" s="8"/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f t="shared" si="10"/>
        <v>3603</v>
      </c>
      <c r="AV21" s="1" t="s">
        <v>94</v>
      </c>
      <c r="AW21" s="1">
        <v>2000</v>
      </c>
    </row>
    <row r="22" spans="1:49" x14ac:dyDescent="0.4">
      <c r="AH22" s="9">
        <f>SUM(AH15:AH21)</f>
        <v>18658</v>
      </c>
      <c r="AV22" s="1"/>
      <c r="AW22" s="16">
        <f>SUM(AW20:AW21)</f>
        <v>25029.602282660686</v>
      </c>
    </row>
    <row r="23" spans="1:49" x14ac:dyDescent="0.4">
      <c r="A23" s="4"/>
      <c r="B23" s="13" t="s">
        <v>87</v>
      </c>
      <c r="C23" s="4" t="s">
        <v>11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4" t="s">
        <v>22</v>
      </c>
    </row>
    <row r="24" spans="1:49" x14ac:dyDescent="0.4">
      <c r="A24" s="2">
        <v>1</v>
      </c>
      <c r="B24" s="12" t="s">
        <v>4</v>
      </c>
      <c r="C24" s="8">
        <f>H34</f>
        <v>3142.8571428571427</v>
      </c>
      <c r="D24" s="8">
        <f>$D$31/7</f>
        <v>642.85714285714289</v>
      </c>
      <c r="E24" s="8">
        <f>$E$31/7</f>
        <v>0</v>
      </c>
      <c r="F24" s="8">
        <f>$F$31/7</f>
        <v>71.428571428571431</v>
      </c>
      <c r="G24" s="8">
        <f>$G$31/7</f>
        <v>139.28571428571428</v>
      </c>
      <c r="H24" s="8">
        <f>$H$31/7</f>
        <v>334.14285714285717</v>
      </c>
      <c r="I24" s="8">
        <f>$I$31/7</f>
        <v>244.28571428571428</v>
      </c>
      <c r="J24" s="8">
        <f>$J$31/7</f>
        <v>35.714285714285715</v>
      </c>
      <c r="K24" s="8">
        <f>$K$31/6</f>
        <v>0</v>
      </c>
      <c r="L24" s="8">
        <f>$L$31/7</f>
        <v>17.142857142857142</v>
      </c>
      <c r="M24" s="8">
        <f>$M$31/7</f>
        <v>0</v>
      </c>
      <c r="N24" s="8">
        <f t="shared" ref="N24:N30" si="11">SUM(C24:M24)</f>
        <v>4627.7142857142853</v>
      </c>
    </row>
    <row r="25" spans="1:49" x14ac:dyDescent="0.4">
      <c r="A25" s="2">
        <v>2</v>
      </c>
      <c r="B25" s="12" t="s">
        <v>5</v>
      </c>
      <c r="C25" s="8">
        <f>H35</f>
        <v>3142.8571428571427</v>
      </c>
      <c r="D25" s="8">
        <f t="shared" ref="D25:D30" si="12">$D$31/7</f>
        <v>642.85714285714289</v>
      </c>
      <c r="E25" s="8">
        <f>$E$31/7</f>
        <v>0</v>
      </c>
      <c r="F25" s="8">
        <f t="shared" ref="F25:F30" si="13">$F$31/7</f>
        <v>71.428571428571431</v>
      </c>
      <c r="G25" s="8">
        <f t="shared" ref="G25:G30" si="14">$G$31/7</f>
        <v>139.28571428571428</v>
      </c>
      <c r="H25" s="8">
        <f t="shared" ref="H25:H30" si="15">$H$31/7</f>
        <v>334.14285714285717</v>
      </c>
      <c r="I25" s="8">
        <f t="shared" ref="I25:I30" si="16">$I$31/7</f>
        <v>244.28571428571428</v>
      </c>
      <c r="J25" s="8">
        <f t="shared" ref="J25:J29" si="17">$J$31/7</f>
        <v>35.714285714285715</v>
      </c>
      <c r="K25" s="8">
        <f t="shared" ref="K25:K30" si="18">$K$31/6</f>
        <v>0</v>
      </c>
      <c r="L25" s="8">
        <f t="shared" ref="L25:L30" si="19">$L$31/7</f>
        <v>17.142857142857142</v>
      </c>
      <c r="M25" s="8">
        <f t="shared" ref="M25:M30" si="20">$M$31/7</f>
        <v>0</v>
      </c>
      <c r="N25" s="8">
        <f t="shared" si="11"/>
        <v>4627.7142857142853</v>
      </c>
    </row>
    <row r="26" spans="1:49" x14ac:dyDescent="0.4">
      <c r="A26" s="2">
        <v>3</v>
      </c>
      <c r="B26" s="12" t="s">
        <v>6</v>
      </c>
      <c r="C26" s="8">
        <f>H36</f>
        <v>1976.1904761904761</v>
      </c>
      <c r="D26" s="8">
        <f t="shared" si="12"/>
        <v>642.85714285714289</v>
      </c>
      <c r="E26" s="8">
        <f>$E$31/7</f>
        <v>0</v>
      </c>
      <c r="F26" s="8">
        <f t="shared" si="13"/>
        <v>71.428571428571431</v>
      </c>
      <c r="G26" s="8">
        <f t="shared" si="14"/>
        <v>139.28571428571428</v>
      </c>
      <c r="H26" s="8">
        <f t="shared" si="15"/>
        <v>334.14285714285717</v>
      </c>
      <c r="I26" s="8">
        <f t="shared" si="16"/>
        <v>244.28571428571428</v>
      </c>
      <c r="J26" s="8">
        <f t="shared" si="17"/>
        <v>35.714285714285715</v>
      </c>
      <c r="K26" s="8">
        <f t="shared" si="18"/>
        <v>0</v>
      </c>
      <c r="L26" s="8">
        <f t="shared" si="19"/>
        <v>17.142857142857142</v>
      </c>
      <c r="M26" s="8">
        <f t="shared" si="20"/>
        <v>0</v>
      </c>
      <c r="N26" s="8">
        <f t="shared" si="11"/>
        <v>3461.0476190476197</v>
      </c>
    </row>
    <row r="27" spans="1:49" x14ac:dyDescent="0.4">
      <c r="A27" s="2">
        <v>4</v>
      </c>
      <c r="B27" s="12" t="s">
        <v>57</v>
      </c>
      <c r="C27" s="8">
        <f>H36</f>
        <v>1976.1904761904761</v>
      </c>
      <c r="D27" s="8">
        <f t="shared" si="12"/>
        <v>642.85714285714289</v>
      </c>
      <c r="E27" s="8">
        <f>$E$31/7</f>
        <v>0</v>
      </c>
      <c r="F27" s="8">
        <f t="shared" si="13"/>
        <v>71.428571428571431</v>
      </c>
      <c r="G27" s="8">
        <f t="shared" si="14"/>
        <v>139.28571428571428</v>
      </c>
      <c r="H27" s="8">
        <f t="shared" si="15"/>
        <v>334.14285714285717</v>
      </c>
      <c r="I27" s="8">
        <f t="shared" si="16"/>
        <v>244.28571428571428</v>
      </c>
      <c r="J27" s="8">
        <f t="shared" si="17"/>
        <v>35.714285714285715</v>
      </c>
      <c r="K27" s="8"/>
      <c r="L27" s="8">
        <f t="shared" si="19"/>
        <v>17.142857142857142</v>
      </c>
      <c r="M27" s="8">
        <f t="shared" si="20"/>
        <v>0</v>
      </c>
      <c r="N27" s="8">
        <f t="shared" si="11"/>
        <v>3461.0476190476197</v>
      </c>
    </row>
    <row r="28" spans="1:49" x14ac:dyDescent="0.4">
      <c r="A28" s="2">
        <v>5</v>
      </c>
      <c r="B28" s="12" t="s">
        <v>51</v>
      </c>
      <c r="C28" s="8">
        <f>H36</f>
        <v>1976.1904761904761</v>
      </c>
      <c r="D28" s="8">
        <f t="shared" si="12"/>
        <v>642.85714285714289</v>
      </c>
      <c r="E28" s="8">
        <f t="shared" ref="E28:E30" si="21">$E$31/7</f>
        <v>0</v>
      </c>
      <c r="F28" s="8">
        <f t="shared" si="13"/>
        <v>71.428571428571431</v>
      </c>
      <c r="G28" s="8">
        <f t="shared" si="14"/>
        <v>139.28571428571428</v>
      </c>
      <c r="H28" s="8">
        <f t="shared" si="15"/>
        <v>334.14285714285717</v>
      </c>
      <c r="I28" s="8">
        <f t="shared" si="16"/>
        <v>244.28571428571428</v>
      </c>
      <c r="J28" s="8">
        <f t="shared" si="17"/>
        <v>35.714285714285715</v>
      </c>
      <c r="K28" s="8">
        <f t="shared" si="18"/>
        <v>0</v>
      </c>
      <c r="L28" s="8">
        <f t="shared" si="19"/>
        <v>17.142857142857142</v>
      </c>
      <c r="M28" s="8">
        <f t="shared" si="20"/>
        <v>0</v>
      </c>
      <c r="N28" s="8">
        <f t="shared" si="11"/>
        <v>3461.0476190476197</v>
      </c>
    </row>
    <row r="29" spans="1:49" x14ac:dyDescent="0.4">
      <c r="A29" s="2">
        <v>6</v>
      </c>
      <c r="B29" s="12" t="s">
        <v>7</v>
      </c>
      <c r="C29" s="8">
        <f>H35</f>
        <v>3142.8571428571427</v>
      </c>
      <c r="D29" s="8">
        <f t="shared" si="12"/>
        <v>642.85714285714289</v>
      </c>
      <c r="E29" s="8">
        <f t="shared" si="21"/>
        <v>0</v>
      </c>
      <c r="F29" s="8">
        <f t="shared" si="13"/>
        <v>71.428571428571431</v>
      </c>
      <c r="G29" s="8">
        <f t="shared" si="14"/>
        <v>139.28571428571428</v>
      </c>
      <c r="H29" s="8">
        <f t="shared" si="15"/>
        <v>334.14285714285717</v>
      </c>
      <c r="I29" s="8">
        <f t="shared" si="16"/>
        <v>244.28571428571428</v>
      </c>
      <c r="J29" s="8">
        <f t="shared" si="17"/>
        <v>35.714285714285715</v>
      </c>
      <c r="K29" s="8">
        <f t="shared" si="18"/>
        <v>0</v>
      </c>
      <c r="L29" s="8">
        <f t="shared" si="19"/>
        <v>17.142857142857142</v>
      </c>
      <c r="M29" s="8">
        <f t="shared" si="20"/>
        <v>0</v>
      </c>
      <c r="N29" s="8">
        <f t="shared" si="11"/>
        <v>4627.7142857142853</v>
      </c>
    </row>
    <row r="30" spans="1:49" x14ac:dyDescent="0.4">
      <c r="A30" s="2">
        <v>7</v>
      </c>
      <c r="B30" s="12" t="s">
        <v>8</v>
      </c>
      <c r="C30" s="8">
        <f>H35</f>
        <v>3142.8571428571427</v>
      </c>
      <c r="D30" s="8">
        <f t="shared" si="12"/>
        <v>642.85714285714289</v>
      </c>
      <c r="E30" s="8">
        <f t="shared" si="21"/>
        <v>0</v>
      </c>
      <c r="F30" s="8">
        <f t="shared" si="13"/>
        <v>71.428571428571431</v>
      </c>
      <c r="G30" s="8">
        <f t="shared" si="14"/>
        <v>139.28571428571428</v>
      </c>
      <c r="H30" s="8">
        <f t="shared" si="15"/>
        <v>334.14285714285717</v>
      </c>
      <c r="I30" s="8">
        <f t="shared" si="16"/>
        <v>244.28571428571428</v>
      </c>
      <c r="J30" s="8">
        <f>$J$31/7</f>
        <v>35.714285714285715</v>
      </c>
      <c r="K30" s="8">
        <f t="shared" si="18"/>
        <v>0</v>
      </c>
      <c r="L30" s="8">
        <f t="shared" si="19"/>
        <v>17.142857142857142</v>
      </c>
      <c r="M30" s="8">
        <f t="shared" si="20"/>
        <v>0</v>
      </c>
      <c r="N30" s="8">
        <f t="shared" si="11"/>
        <v>4627.7142857142853</v>
      </c>
    </row>
    <row r="31" spans="1:49" x14ac:dyDescent="0.4">
      <c r="C31" s="8">
        <f>SUM(C24:C30)</f>
        <v>18500</v>
      </c>
      <c r="D31" s="40">
        <f>3000+1500</f>
        <v>4500</v>
      </c>
      <c r="E31" s="8"/>
      <c r="F31" s="8">
        <f>500</f>
        <v>500</v>
      </c>
      <c r="G31" s="8">
        <f>975</f>
        <v>975</v>
      </c>
      <c r="H31" s="14">
        <v>2339</v>
      </c>
      <c r="I31" s="14">
        <v>1710</v>
      </c>
      <c r="J31" s="8">
        <f>250</f>
        <v>250</v>
      </c>
      <c r="K31" s="8">
        <f>0</f>
        <v>0</v>
      </c>
      <c r="L31" s="8">
        <f>120</f>
        <v>120</v>
      </c>
      <c r="M31" s="8"/>
      <c r="N31" s="8">
        <f>SUM(N24:N30)</f>
        <v>28894.000000000004</v>
      </c>
      <c r="O31" s="9">
        <f>O38+O46</f>
        <v>28894</v>
      </c>
      <c r="P31" s="9">
        <f>N31-O31</f>
        <v>0</v>
      </c>
    </row>
    <row r="33" spans="4:16" x14ac:dyDescent="0.4">
      <c r="N33" t="s">
        <v>61</v>
      </c>
      <c r="O33" s="9">
        <f>C31</f>
        <v>18500</v>
      </c>
    </row>
    <row r="34" spans="4:16" x14ac:dyDescent="0.4">
      <c r="D34" s="1">
        <v>6000</v>
      </c>
      <c r="E34" s="1">
        <v>2</v>
      </c>
      <c r="F34" s="1">
        <f>D34/E34</f>
        <v>3000</v>
      </c>
      <c r="G34" s="1">
        <f>(500+500)/7</f>
        <v>142.85714285714286</v>
      </c>
      <c r="H34" s="11">
        <f>F34+G34</f>
        <v>3142.8571428571427</v>
      </c>
      <c r="I34" s="11">
        <f>H34*E34</f>
        <v>6285.7142857142853</v>
      </c>
      <c r="N34" t="s">
        <v>71</v>
      </c>
      <c r="O34" s="9">
        <f>G31</f>
        <v>975</v>
      </c>
    </row>
    <row r="35" spans="4:16" x14ac:dyDescent="0.4">
      <c r="D35" s="1">
        <v>6000</v>
      </c>
      <c r="E35" s="1">
        <v>2</v>
      </c>
      <c r="F35" s="1">
        <f t="shared" ref="F35:F36" si="22">D35/E35</f>
        <v>3000</v>
      </c>
      <c r="G35" s="1">
        <f t="shared" ref="G35:G36" si="23">(500+500)/7</f>
        <v>142.85714285714286</v>
      </c>
      <c r="H35" s="11">
        <f t="shared" ref="H35" si="24">F35+G35</f>
        <v>3142.8571428571427</v>
      </c>
      <c r="I35" s="11">
        <f t="shared" ref="I35:I36" si="25">H35*E35</f>
        <v>6285.7142857142853</v>
      </c>
      <c r="N35" t="s">
        <v>72</v>
      </c>
      <c r="O35" s="9">
        <f>I31</f>
        <v>1710</v>
      </c>
    </row>
    <row r="36" spans="4:16" x14ac:dyDescent="0.4">
      <c r="D36" s="1">
        <v>5500</v>
      </c>
      <c r="E36" s="1">
        <v>3</v>
      </c>
      <c r="F36" s="11">
        <f t="shared" si="22"/>
        <v>1833.3333333333333</v>
      </c>
      <c r="G36" s="1">
        <f t="shared" si="23"/>
        <v>142.85714285714286</v>
      </c>
      <c r="H36" s="11">
        <f>F36+G36</f>
        <v>1976.1904761904761</v>
      </c>
      <c r="I36" s="11">
        <f t="shared" si="25"/>
        <v>5928.5714285714284</v>
      </c>
      <c r="N36" t="s">
        <v>73</v>
      </c>
      <c r="O36" s="9">
        <f>H31</f>
        <v>2339</v>
      </c>
    </row>
    <row r="37" spans="4:16" x14ac:dyDescent="0.4">
      <c r="D37" s="1">
        <f>SUM(D34:D36)</f>
        <v>17500</v>
      </c>
      <c r="E37" s="1"/>
      <c r="F37" s="1"/>
      <c r="G37" s="1"/>
      <c r="H37" s="1"/>
      <c r="I37" s="11">
        <f>SUM(I34:I36)</f>
        <v>18500</v>
      </c>
      <c r="N37" t="s">
        <v>74</v>
      </c>
      <c r="O37" s="9">
        <f>J31</f>
        <v>250</v>
      </c>
    </row>
    <row r="38" spans="4:16" x14ac:dyDescent="0.4">
      <c r="O38" s="9">
        <f>SUM(O33:O37)</f>
        <v>23774</v>
      </c>
    </row>
    <row r="40" spans="4:16" x14ac:dyDescent="0.4">
      <c r="P40" s="9">
        <f>O38+O46</f>
        <v>28894</v>
      </c>
    </row>
    <row r="41" spans="4:16" x14ac:dyDescent="0.4">
      <c r="N41" t="s">
        <v>12</v>
      </c>
      <c r="O41" s="9">
        <f>D31</f>
        <v>4500</v>
      </c>
    </row>
    <row r="42" spans="4:16" x14ac:dyDescent="0.4">
      <c r="N42" t="s">
        <v>13</v>
      </c>
      <c r="O42" s="9">
        <f>E31</f>
        <v>0</v>
      </c>
    </row>
    <row r="43" spans="4:16" x14ac:dyDescent="0.4">
      <c r="N43" t="s">
        <v>14</v>
      </c>
      <c r="O43" s="9">
        <f>F31</f>
        <v>500</v>
      </c>
    </row>
    <row r="44" spans="4:16" x14ac:dyDescent="0.4">
      <c r="N44" t="s">
        <v>20</v>
      </c>
      <c r="O44" s="9">
        <f>L31</f>
        <v>120</v>
      </c>
    </row>
    <row r="45" spans="4:16" x14ac:dyDescent="0.4">
      <c r="N45" t="s">
        <v>21</v>
      </c>
      <c r="O45" s="9">
        <f>M31</f>
        <v>0</v>
      </c>
    </row>
    <row r="46" spans="4:16" x14ac:dyDescent="0.4">
      <c r="O46" s="9">
        <f>SUM(O41:O45)</f>
        <v>5120</v>
      </c>
    </row>
  </sheetData>
  <mergeCells count="2">
    <mergeCell ref="C1:D2"/>
    <mergeCell ref="E1:F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4</vt:i4>
      </vt:variant>
    </vt:vector>
  </HeadingPairs>
  <TitlesOfParts>
    <vt:vector size="35" baseType="lpstr">
      <vt:lpstr>Advance</vt:lpstr>
      <vt:lpstr>Meal Nov'20 &amp; Rent December'20</vt:lpstr>
      <vt:lpstr>Meal Dec'20 &amp; Rent January'21</vt:lpstr>
      <vt:lpstr>Meal Jan'21 &amp; Rent February</vt:lpstr>
      <vt:lpstr>Meal Feb'21 &amp; Rent March</vt:lpstr>
      <vt:lpstr>Meal Mar'21 &amp; Rent April</vt:lpstr>
      <vt:lpstr>Meal April'21 &amp; Rent May (2)</vt:lpstr>
      <vt:lpstr>Iftar accounts-2021</vt:lpstr>
      <vt:lpstr>Meal May'21 &amp; Rent June 2021</vt:lpstr>
      <vt:lpstr>Meal June'21 &amp; Rent July 2021</vt:lpstr>
      <vt:lpstr>Meal July'21 &amp; Rent Augut</vt:lpstr>
      <vt:lpstr>Meal August'21 &amp; Rent Sept 21</vt:lpstr>
      <vt:lpstr>Meal August'21 &amp; Rent Sept  (2)</vt:lpstr>
      <vt:lpstr>Meal Septem'21 &amp; Rent October</vt:lpstr>
      <vt:lpstr>Meal October'21 &amp; Rent November</vt:lpstr>
      <vt:lpstr>Meal Nov'21 &amp; Rent Dec'21</vt:lpstr>
      <vt:lpstr>Meal Dec'21 &amp; Rent Jan'22</vt:lpstr>
      <vt:lpstr>Meal Dec'21 &amp; Rent Jan'22 v2</vt:lpstr>
      <vt:lpstr>Meal Jan'22 &amp; Rent Feb'22 </vt:lpstr>
      <vt:lpstr>Meal Feb 22 &amp; Rent Mar 22</vt:lpstr>
      <vt:lpstr>Meal Mar 22 &amp; Rent April 22</vt:lpstr>
      <vt:lpstr>Meal Apr 22 &amp; Rent May 22</vt:lpstr>
      <vt:lpstr>Meal Apr 22 (Iftar)</vt:lpstr>
      <vt:lpstr>Meal May 22 &amp; Rent June 22</vt:lpstr>
      <vt:lpstr>Meal June 22 &amp; Rent July 22</vt:lpstr>
      <vt:lpstr>Meal July 22 &amp; Rent Aug 22</vt:lpstr>
      <vt:lpstr>Adjustment</vt:lpstr>
      <vt:lpstr>Adjustment (2)</vt:lpstr>
      <vt:lpstr>Print</vt:lpstr>
      <vt:lpstr>Correction</vt:lpstr>
      <vt:lpstr>Meal June'21 &amp; Rent July 20 (2)</vt:lpstr>
      <vt:lpstr>Advance!Print_Area</vt:lpstr>
      <vt:lpstr>Correction!Print_Area</vt:lpstr>
      <vt:lpstr>'Meal Apr 22 &amp; Rent May 22'!Print_Area</vt:lpstr>
      <vt:lpstr>Print!Print_Area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Latif</dc:creator>
  <cp:lastModifiedBy>Ahmed, Saklayen</cp:lastModifiedBy>
  <cp:lastPrinted>2022-07-17T15:26:58Z</cp:lastPrinted>
  <dcterms:created xsi:type="dcterms:W3CDTF">2015-06-05T18:17:20Z</dcterms:created>
  <dcterms:modified xsi:type="dcterms:W3CDTF">2022-09-11T03:50:32Z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2021-08-11T10:12:50Z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66ec9df0-30cd-45c2-a4dd-0859694bda7a</vt:lpwstr>
  </property>
  <property fmtid="{D5CDD505-2E9C-101B-9397-08002B2CF9AE}" pid="8" name="MSIP_Label_ea60d57e-af5b-4752-ac57-3e4f28ca11dc_ContentBits">
    <vt:lpwstr>0</vt:lpwstr>
  </property>
</Properties>
</file>