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4295" windowHeight="5535" firstSheet="6" activeTab="9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  <sheet name="Fixed Assets Roll Forward" sheetId="24" r:id="rId9"/>
    <sheet name="Financial Liabilities" sheetId="26" r:id="rId10"/>
    <sheet name="Equity schedule" sheetId="31" r:id="rId11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1" l="1"/>
  <c r="I16" i="21"/>
  <c r="H16" i="21"/>
  <c r="G16" i="21"/>
  <c r="F16" i="21"/>
  <c r="G9" i="31"/>
  <c r="H5" i="31" s="1"/>
  <c r="F9" i="31"/>
  <c r="G5" i="31" s="1"/>
  <c r="J8" i="31"/>
  <c r="I8" i="31"/>
  <c r="H8" i="31"/>
  <c r="G8" i="31"/>
  <c r="F8" i="31"/>
  <c r="J7" i="31"/>
  <c r="I7" i="31"/>
  <c r="H7" i="31"/>
  <c r="G7" i="31"/>
  <c r="F7" i="31"/>
  <c r="E9" i="31"/>
  <c r="F5" i="31" s="1"/>
  <c r="M15" i="15"/>
  <c r="L15" i="15"/>
  <c r="K15" i="15"/>
  <c r="J15" i="15"/>
  <c r="I15" i="15"/>
  <c r="H9" i="31" l="1"/>
  <c r="I5" i="31" s="1"/>
  <c r="J14" i="21"/>
  <c r="I14" i="21"/>
  <c r="H14" i="21"/>
  <c r="G14" i="21"/>
  <c r="F14" i="21"/>
  <c r="M13" i="15"/>
  <c r="L13" i="15"/>
  <c r="K13" i="15"/>
  <c r="J13" i="15"/>
  <c r="I13" i="15"/>
  <c r="F8" i="26"/>
  <c r="J7" i="26"/>
  <c r="I7" i="26"/>
  <c r="H7" i="26"/>
  <c r="G7" i="26"/>
  <c r="F7" i="26"/>
  <c r="E19" i="26"/>
  <c r="D19" i="26"/>
  <c r="E17" i="26" s="1"/>
  <c r="E18" i="26" s="1"/>
  <c r="D18" i="26"/>
  <c r="D17" i="26"/>
  <c r="C19" i="26"/>
  <c r="C18" i="26"/>
  <c r="C17" i="26"/>
  <c r="L16" i="26"/>
  <c r="K16" i="26"/>
  <c r="J16" i="26"/>
  <c r="I16" i="26"/>
  <c r="H16" i="26"/>
  <c r="G16" i="26"/>
  <c r="F16" i="26"/>
  <c r="E16" i="26"/>
  <c r="D16" i="26"/>
  <c r="C16" i="26"/>
  <c r="I9" i="31" l="1"/>
  <c r="J5" i="31" s="1"/>
  <c r="J9" i="31" s="1"/>
  <c r="F17" i="26"/>
  <c r="F18" i="26" s="1"/>
  <c r="F19" i="26" s="1"/>
  <c r="C12" i="26"/>
  <c r="G17" i="26" l="1"/>
  <c r="G18" i="26" s="1"/>
  <c r="G19" i="26" s="1"/>
  <c r="E7" i="26"/>
  <c r="D7" i="26"/>
  <c r="G5" i="26"/>
  <c r="F5" i="26"/>
  <c r="E5" i="26"/>
  <c r="D5" i="26"/>
  <c r="E8" i="26"/>
  <c r="D8" i="26"/>
  <c r="C8" i="26"/>
  <c r="G8" i="26" l="1"/>
  <c r="H5" i="26" s="1"/>
  <c r="H17" i="26"/>
  <c r="H18" i="26" s="1"/>
  <c r="H19" i="26" s="1"/>
  <c r="F5" i="24"/>
  <c r="E8" i="24"/>
  <c r="E5" i="24"/>
  <c r="D8" i="24"/>
  <c r="D5" i="24"/>
  <c r="H8" i="26" l="1"/>
  <c r="I5" i="26" s="1"/>
  <c r="I17" i="26"/>
  <c r="I18" i="26" s="1"/>
  <c r="I19" i="26" s="1"/>
  <c r="J13" i="21"/>
  <c r="I13" i="21"/>
  <c r="H13" i="21"/>
  <c r="G13" i="21"/>
  <c r="F13" i="21"/>
  <c r="I8" i="26" l="1"/>
  <c r="J5" i="26" s="1"/>
  <c r="J8" i="26" s="1"/>
  <c r="J17" i="26"/>
  <c r="J18" i="26" s="1"/>
  <c r="J19" i="26" s="1"/>
  <c r="M32" i="15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K17" i="26" l="1"/>
  <c r="K18" i="26" s="1"/>
  <c r="K19" i="26" s="1"/>
  <c r="L17" i="26" l="1"/>
  <c r="L18" i="26" s="1"/>
  <c r="L19" i="26" s="1"/>
  <c r="E16" i="21" l="1"/>
  <c r="E15" i="21"/>
  <c r="E14" i="21"/>
  <c r="E13" i="21"/>
  <c r="E12" i="21"/>
  <c r="E9" i="21"/>
  <c r="E8" i="21"/>
  <c r="E7" i="21"/>
  <c r="E6" i="21"/>
  <c r="E5" i="21"/>
  <c r="D16" i="21"/>
  <c r="D15" i="21"/>
  <c r="D14" i="21"/>
  <c r="D13" i="21"/>
  <c r="D12" i="21"/>
  <c r="D9" i="21"/>
  <c r="D8" i="21"/>
  <c r="D7" i="21"/>
  <c r="D6" i="21"/>
  <c r="D5" i="21"/>
  <c r="C16" i="21"/>
  <c r="C15" i="21"/>
  <c r="C14" i="21"/>
  <c r="C13" i="21"/>
  <c r="C12" i="21"/>
  <c r="C9" i="21"/>
  <c r="C8" i="21"/>
  <c r="C7" i="21"/>
  <c r="C6" i="21"/>
  <c r="C5" i="21"/>
  <c r="E17" i="21" l="1"/>
  <c r="E10" i="21"/>
  <c r="D10" i="21"/>
  <c r="D17" i="21"/>
  <c r="C17" i="21"/>
  <c r="C10" i="21"/>
  <c r="E25" i="21" l="1"/>
  <c r="D25" i="21"/>
  <c r="C25" i="21"/>
  <c r="E15" i="15"/>
  <c r="D15" i="15"/>
  <c r="G15" i="15" s="1"/>
  <c r="C15" i="15"/>
  <c r="E13" i="15"/>
  <c r="D13" i="15"/>
  <c r="C13" i="15"/>
  <c r="E11" i="15"/>
  <c r="E6" i="24" s="1"/>
  <c r="D11" i="15"/>
  <c r="D6" i="24" s="1"/>
  <c r="C11" i="15"/>
  <c r="E9" i="15"/>
  <c r="D9" i="15"/>
  <c r="C9" i="15"/>
  <c r="E7" i="15"/>
  <c r="D7" i="15"/>
  <c r="C7" i="15"/>
  <c r="E6" i="15"/>
  <c r="D6" i="15"/>
  <c r="C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5" i="15" l="1"/>
  <c r="C34" i="15"/>
  <c r="C33" i="15"/>
  <c r="D7" i="24"/>
  <c r="D11" i="24" s="1"/>
  <c r="D10" i="24"/>
  <c r="C28" i="15"/>
  <c r="C29" i="15"/>
  <c r="C27" i="15"/>
  <c r="C21" i="21"/>
  <c r="C20" i="21"/>
  <c r="D35" i="15"/>
  <c r="D33" i="15"/>
  <c r="D34" i="15"/>
  <c r="E10" i="24"/>
  <c r="E7" i="24"/>
  <c r="E11" i="24" s="1"/>
  <c r="I6" i="15"/>
  <c r="E22" i="21"/>
  <c r="E23" i="21"/>
  <c r="E19" i="21"/>
  <c r="C22" i="21"/>
  <c r="C23" i="21"/>
  <c r="C19" i="21"/>
  <c r="G7" i="15"/>
  <c r="D29" i="15"/>
  <c r="D28" i="15"/>
  <c r="D27" i="15"/>
  <c r="D21" i="21"/>
  <c r="D20" i="21"/>
  <c r="E33" i="15"/>
  <c r="E34" i="15"/>
  <c r="E35" i="15"/>
  <c r="D23" i="21"/>
  <c r="D22" i="21"/>
  <c r="D19" i="21"/>
  <c r="E27" i="15"/>
  <c r="E28" i="15"/>
  <c r="E29" i="15"/>
  <c r="E21" i="21"/>
  <c r="E20" i="21"/>
  <c r="H7" i="15"/>
  <c r="G13" i="15"/>
  <c r="H15" i="15"/>
  <c r="G11" i="15"/>
  <c r="G9" i="15"/>
  <c r="H11" i="15"/>
  <c r="D8" i="15"/>
  <c r="D10" i="15" s="1"/>
  <c r="H9" i="15"/>
  <c r="H13" i="15"/>
  <c r="E8" i="15"/>
  <c r="E10" i="15" s="1"/>
  <c r="C8" i="15"/>
  <c r="C10" i="15" s="1"/>
  <c r="C12" i="15" s="1"/>
  <c r="C14" i="15" s="1"/>
  <c r="C16" i="15" s="1"/>
  <c r="G6" i="15"/>
  <c r="H6" i="15"/>
  <c r="I22" i="21" l="1"/>
  <c r="H22" i="21"/>
  <c r="G22" i="21"/>
  <c r="J22" i="21"/>
  <c r="F22" i="21"/>
  <c r="F9" i="21" s="1"/>
  <c r="F5" i="21"/>
  <c r="J6" i="15"/>
  <c r="I7" i="15"/>
  <c r="I9" i="15"/>
  <c r="H11" i="24"/>
  <c r="G11" i="24"/>
  <c r="J11" i="24"/>
  <c r="F11" i="24"/>
  <c r="F7" i="24" s="1"/>
  <c r="I11" i="24"/>
  <c r="H19" i="21"/>
  <c r="G19" i="21"/>
  <c r="J19" i="21"/>
  <c r="F19" i="21"/>
  <c r="I19" i="21"/>
  <c r="G20" i="21"/>
  <c r="H20" i="21"/>
  <c r="J20" i="21"/>
  <c r="F20" i="21"/>
  <c r="F12" i="21" s="1"/>
  <c r="F17" i="21" s="1"/>
  <c r="I20" i="21"/>
  <c r="H23" i="21"/>
  <c r="G23" i="21"/>
  <c r="G15" i="21" s="1"/>
  <c r="I23" i="21"/>
  <c r="J23" i="21"/>
  <c r="F23" i="21"/>
  <c r="F15" i="21" s="1"/>
  <c r="J21" i="21"/>
  <c r="F21" i="21"/>
  <c r="I21" i="21"/>
  <c r="G21" i="21"/>
  <c r="H21" i="21"/>
  <c r="G10" i="24"/>
  <c r="J10" i="24"/>
  <c r="F10" i="24"/>
  <c r="F6" i="24" s="1"/>
  <c r="I10" i="24"/>
  <c r="H10" i="24"/>
  <c r="G8" i="15"/>
  <c r="H8" i="15"/>
  <c r="E12" i="15"/>
  <c r="H10" i="15"/>
  <c r="D12" i="15"/>
  <c r="G10" i="15"/>
  <c r="F6" i="21" l="1"/>
  <c r="G5" i="21"/>
  <c r="J7" i="15"/>
  <c r="G6" i="21" s="1"/>
  <c r="K6" i="15"/>
  <c r="J9" i="15"/>
  <c r="J8" i="15"/>
  <c r="J10" i="15" s="1"/>
  <c r="G9" i="21"/>
  <c r="I11" i="15"/>
  <c r="F8" i="24"/>
  <c r="H15" i="21"/>
  <c r="I8" i="15"/>
  <c r="I10" i="15" s="1"/>
  <c r="I12" i="15" s="1"/>
  <c r="I14" i="15" s="1"/>
  <c r="I16" i="15" s="1"/>
  <c r="H9" i="21"/>
  <c r="G12" i="21"/>
  <c r="G17" i="21" s="1"/>
  <c r="G12" i="15"/>
  <c r="D14" i="15"/>
  <c r="E14" i="15"/>
  <c r="H12" i="15"/>
  <c r="G5" i="24" l="1"/>
  <c r="F7" i="21"/>
  <c r="F10" i="21" s="1"/>
  <c r="F25" i="21" s="1"/>
  <c r="H5" i="21"/>
  <c r="K7" i="15"/>
  <c r="K9" i="15"/>
  <c r="L6" i="15"/>
  <c r="K8" i="15"/>
  <c r="K10" i="15" s="1"/>
  <c r="E16" i="15"/>
  <c r="H14" i="15"/>
  <c r="D16" i="15"/>
  <c r="G16" i="15" s="1"/>
  <c r="G14" i="15"/>
  <c r="I5" i="21" l="1"/>
  <c r="L9" i="15"/>
  <c r="L7" i="15"/>
  <c r="M6" i="15"/>
  <c r="I9" i="21"/>
  <c r="I15" i="21"/>
  <c r="H6" i="21"/>
  <c r="H12" i="21"/>
  <c r="H17" i="21" s="1"/>
  <c r="G8" i="24"/>
  <c r="G7" i="24"/>
  <c r="G6" i="24"/>
  <c r="J11" i="15" s="1"/>
  <c r="J12" i="15" s="1"/>
  <c r="J14" i="15" s="1"/>
  <c r="J16" i="15" s="1"/>
  <c r="H16" i="15"/>
  <c r="G7" i="21" l="1"/>
  <c r="G10" i="21" s="1"/>
  <c r="G25" i="21" s="1"/>
  <c r="H5" i="24"/>
  <c r="I6" i="21"/>
  <c r="I12" i="21"/>
  <c r="I17" i="21" s="1"/>
  <c r="L8" i="15"/>
  <c r="L10" i="15" s="1"/>
  <c r="J5" i="21"/>
  <c r="M9" i="15"/>
  <c r="M7" i="15"/>
  <c r="M8" i="15"/>
  <c r="M10" i="15" s="1"/>
  <c r="J9" i="21"/>
  <c r="J15" i="21"/>
  <c r="H7" i="24" l="1"/>
  <c r="H6" i="24"/>
  <c r="J6" i="21"/>
  <c r="J12" i="21"/>
  <c r="J17" i="21" s="1"/>
  <c r="H8" i="24" l="1"/>
  <c r="K11" i="15"/>
  <c r="K12" i="15" s="1"/>
  <c r="K14" i="15" s="1"/>
  <c r="K16" i="15" s="1"/>
  <c r="I5" i="24" l="1"/>
  <c r="H7" i="21"/>
  <c r="H10" i="21" s="1"/>
  <c r="H25" i="21" s="1"/>
  <c r="I7" i="24" l="1"/>
  <c r="I6" i="24"/>
  <c r="I8" i="24" l="1"/>
  <c r="L11" i="15"/>
  <c r="L12" i="15" s="1"/>
  <c r="L14" i="15" s="1"/>
  <c r="L16" i="15" s="1"/>
  <c r="J5" i="24" l="1"/>
  <c r="I7" i="21"/>
  <c r="I10" i="21" s="1"/>
  <c r="I25" i="21" s="1"/>
  <c r="J6" i="24" l="1"/>
  <c r="M11" i="15" s="1"/>
  <c r="M12" i="15" s="1"/>
  <c r="M14" i="15" s="1"/>
  <c r="M16" i="15" s="1"/>
  <c r="J7" i="24"/>
  <c r="J8" i="24" s="1"/>
  <c r="J7" i="21" s="1"/>
  <c r="J10" i="21" s="1"/>
  <c r="J25" i="21" s="1"/>
</calcChain>
</file>

<file path=xl/sharedStrings.xml><?xml version="1.0" encoding="utf-8"?>
<sst xmlns="http://schemas.openxmlformats.org/spreadsheetml/2006/main" count="2069" uniqueCount="163">
  <si>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</si>
  <si>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</si>
  <si>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</si>
  <si>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</si>
  <si>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</si>
  <si>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</si>
  <si>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</si>
  <si>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</si>
  <si>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</si>
  <si>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</si>
  <si>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</si>
  <si>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</si>
  <si>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</si>
  <si>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</si>
  <si>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</si>
  <si>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</si>
  <si>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</si>
  <si>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</si>
  <si>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</si>
  <si>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</si>
  <si>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</si>
  <si>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</si>
  <si>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</si>
  <si>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</si>
  <si>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</si>
  <si>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</si>
  <si>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</si>
  <si>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</si>
  <si>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</si>
  <si>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</si>
  <si>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</si>
  <si>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</si>
  <si>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</si>
  <si>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</si>
  <si>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</si>
  <si>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</si>
  <si>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</si>
  <si>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</si>
  <si>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</si>
  <si>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</si>
  <si>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</si>
  <si>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</si>
  <si>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</si>
  <si>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</si>
  <si>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</si>
  <si>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</si>
  <si>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</si>
  <si>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</si>
  <si>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</si>
  <si>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</si>
  <si>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</si>
  <si>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</si>
  <si>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</si>
  <si>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</si>
  <si>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</si>
  <si>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</si>
  <si>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</si>
  <si>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</si>
  <si>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</si>
  <si>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</si>
  <si>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</si>
  <si>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</si>
  <si>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</si>
  <si>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</si>
  <si>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</si>
  <si>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</si>
  <si>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</si>
  <si>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</si>
  <si>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</si>
  <si>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</si>
  <si>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</si>
  <si>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</si>
  <si>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</si>
  <si>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</si>
  <si>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</si>
  <si>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</si>
  <si>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</si>
  <si>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</si>
  <si>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</si>
  <si>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</si>
  <si>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</si>
  <si>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</si>
  <si>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</si>
  <si>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</si>
  <si>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</si>
  <si>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</si>
  <si>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</si>
  <si>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</si>
  <si>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</si>
  <si>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</si>
  <si>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</si>
  <si>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</si>
  <si>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</si>
  <si>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</si>
  <si>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</si>
  <si>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</si>
  <si>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</si>
  <si>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</si>
  <si>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</si>
  <si>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</si>
  <si>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</si>
  <si>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</si>
  <si>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</si>
  <si>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</si>
  <si>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</si>
  <si>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</si>
  <si>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</si>
  <si>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</si>
  <si>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</si>
  <si>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</si>
  <si>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</si>
  <si>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</si>
  <si>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</si>
  <si>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</si>
  <si>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</si>
  <si>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</si>
  <si>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</si>
  <si>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</si>
  <si>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</si>
  <si>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</si>
  <si>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</si>
  <si>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</si>
  <si>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</si>
  <si>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</si>
  <si>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</si>
  <si>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</si>
  <si>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</si>
  <si>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</si>
  <si>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</si>
  <si>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</si>
  <si>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</si>
  <si>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</si>
  <si>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</si>
  <si>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</si>
  <si>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</si>
  <si>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</si>
  <si>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</si>
  <si>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</si>
  <si>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</si>
  <si>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</si>
  <si>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</si>
  <si>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</si>
  <si>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</si>
  <si>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</si>
  <si>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</si>
  <si>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</si>
  <si>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</si>
  <si>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</si>
  <si>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</si>
  <si>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</si>
  <si>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</si>
  <si>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</si>
  <si>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</si>
  <si>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</si>
  <si>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</si>
  <si>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Taxes %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</si>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</sst>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5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0" fontId="10" fillId="5" borderId="0" xfId="0" applyFont="1" applyFill="1" applyBorder="1"/>
    <xf numFmtId="0" fontId="11" fillId="5" borderId="0" xfId="0" applyFont="1" applyFill="1" applyBorder="1"/>
    <xf numFmtId="165" fontId="10" fillId="5" borderId="0" xfId="6" applyNumberFormat="1" applyFont="1" applyFill="1"/>
    <xf numFmtId="164" fontId="7" fillId="5" borderId="0" xfId="2" applyFont="1" applyFill="1"/>
    <xf numFmtId="165" fontId="7" fillId="5" borderId="0" xfId="6" applyNumberFormat="1" applyFont="1" applyFill="1"/>
    <xf numFmtId="9" fontId="12" fillId="5" borderId="0" xfId="6" applyFont="1" applyFill="1"/>
    <xf numFmtId="9" fontId="1" fillId="2" borderId="0" xfId="0" applyNumberFormat="1" applyFont="1" applyFill="1"/>
    <xf numFmtId="0" fontId="5" fillId="2" borderId="5" xfId="0" applyFont="1" applyFill="1" applyBorder="1"/>
    <xf numFmtId="0" fontId="1" fillId="2" borderId="0" xfId="0" applyNumberFormat="1" applyFont="1" applyFill="1"/>
    <xf numFmtId="0" fontId="1" fillId="2" borderId="0" xfId="2" applyNumberFormat="1"/>
    <xf numFmtId="0" fontId="5" fillId="2" borderId="5" xfId="0" applyNumberFormat="1" applyFont="1" applyFill="1" applyBorder="1"/>
    <xf numFmtId="164" fontId="1" fillId="2" borderId="0" xfId="0" applyNumberFormat="1" applyFont="1" applyFill="1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314322</xdr:colOff>
      <xdr:row>5</xdr:row>
      <xdr:rowOff>133350</xdr:rowOff>
    </xdr:from>
    <xdr:to>
      <xdr:col>17</xdr:col>
      <xdr:colOff>200025</xdr:colOff>
      <xdr:row>10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9F76AA4-139E-4CFC-8AF2-E9B3E0213EE0}"/>
            </a:ext>
          </a:extLst>
        </xdr:cNvPr>
        <xdr:cNvSpPr/>
      </xdr:nvSpPr>
      <xdr:spPr>
        <a:xfrm>
          <a:off x="8048622" y="952500"/>
          <a:ext cx="2933703" cy="704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Create a new sheet.</a:t>
          </a:r>
          <a:r>
            <a:rPr lang="en-US" sz="1100" baseline="0">
              <a:solidFill>
                <a:sysClr val="windowText" lastClr="000000"/>
              </a:solidFill>
            </a:rPr>
            <a:t> Name the new sheet "Equity Schedule".</a:t>
          </a:r>
          <a:endParaRPr lang="en-US" sz="1100"/>
        </a:p>
      </xdr:txBody>
    </xdr:sp>
    <xdr:clientData/>
  </xdr:twoCellAnchor>
  <xdr:twoCellAnchor>
    <xdr:from>
      <xdr:col>12</xdr:col>
      <xdr:colOff>190500</xdr:colOff>
      <xdr:row>5</xdr:row>
      <xdr:rowOff>28575</xdr:rowOff>
    </xdr:from>
    <xdr:to>
      <xdr:col>12</xdr:col>
      <xdr:colOff>409575</xdr:colOff>
      <xdr:row>6</xdr:row>
      <xdr:rowOff>76200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E734B22-7B37-4557-8676-464D6639E105}"/>
            </a:ext>
          </a:extLst>
        </xdr:cNvPr>
        <xdr:cNvSpPr/>
      </xdr:nvSpPr>
      <xdr:spPr>
        <a:xfrm>
          <a:off x="7924800" y="8477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47622</xdr:colOff>
      <xdr:row>3</xdr:row>
      <xdr:rowOff>114300</xdr:rowOff>
    </xdr:from>
    <xdr:to>
      <xdr:col>17</xdr:col>
      <xdr:colOff>390525</xdr:colOff>
      <xdr:row>8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4FA3010-F72F-4D06-A0E2-F68BE6BF0B3C}"/>
            </a:ext>
          </a:extLst>
        </xdr:cNvPr>
        <xdr:cNvSpPr/>
      </xdr:nvSpPr>
      <xdr:spPr>
        <a:xfrm>
          <a:off x="7600947" y="619125"/>
          <a:ext cx="3390903" cy="704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Change</a:t>
          </a:r>
          <a:r>
            <a:rPr lang="en-US" sz="1100" baseline="0">
              <a:solidFill>
                <a:sysClr val="windowText" lastClr="000000"/>
              </a:solidFill>
            </a:rPr>
            <a:t> the line items in the table accordingly. Format the sheet nicely.</a:t>
          </a:r>
          <a:endParaRPr lang="en-US" sz="1100"/>
        </a:p>
      </xdr:txBody>
    </xdr:sp>
    <xdr:clientData/>
  </xdr:twoCellAnchor>
  <xdr:twoCellAnchor>
    <xdr:from>
      <xdr:col>10</xdr:col>
      <xdr:colOff>400050</xdr:colOff>
      <xdr:row>6</xdr:row>
      <xdr:rowOff>0</xdr:rowOff>
    </xdr:from>
    <xdr:to>
      <xdr:col>12</xdr:col>
      <xdr:colOff>47622</xdr:colOff>
      <xdr:row>6</xdr:row>
      <xdr:rowOff>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3E3727C-D60E-4679-B4E7-F333B408EE9E}"/>
            </a:ext>
          </a:extLst>
        </xdr:cNvPr>
        <xdr:cNvCxnSpPr>
          <a:stCxn id="5" idx="1"/>
        </xdr:cNvCxnSpPr>
      </xdr:nvCxnSpPr>
      <xdr:spPr>
        <a:xfrm flipH="1">
          <a:off x="6734175" y="971550"/>
          <a:ext cx="866772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</xdr:row>
      <xdr:rowOff>9525</xdr:rowOff>
    </xdr:from>
    <xdr:to>
      <xdr:col>12</xdr:col>
      <xdr:colOff>152400</xdr:colOff>
      <xdr:row>4</xdr:row>
      <xdr:rowOff>47625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CD22A29-1031-4939-A877-E7BF68B2EC4D}"/>
            </a:ext>
          </a:extLst>
        </xdr:cNvPr>
        <xdr:cNvSpPr/>
      </xdr:nvSpPr>
      <xdr:spPr>
        <a:xfrm>
          <a:off x="7486650" y="5143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2</a:t>
          </a:r>
        </a:p>
      </xdr:txBody>
    </xdr:sp>
    <xdr:clientData/>
  </xdr:twoCellAnchor>
  <xdr:twoCellAnchor>
    <xdr:from>
      <xdr:col>3</xdr:col>
      <xdr:colOff>428622</xdr:colOff>
      <xdr:row>13</xdr:row>
      <xdr:rowOff>28575</xdr:rowOff>
    </xdr:from>
    <xdr:to>
      <xdr:col>9</xdr:col>
      <xdr:colOff>390525</xdr:colOff>
      <xdr:row>16</xdr:row>
      <xdr:rowOff>57150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8F2B9EE-80EA-48A2-9BE1-ECBC6751D609}"/>
            </a:ext>
          </a:extLst>
        </xdr:cNvPr>
        <xdr:cNvSpPr/>
      </xdr:nvSpPr>
      <xdr:spPr>
        <a:xfrm>
          <a:off x="2495547" y="2076450"/>
          <a:ext cx="3619503" cy="4857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 The amount of dividends that will be paid to shareholders.</a:t>
          </a:r>
          <a:endParaRPr lang="en-US" sz="1100"/>
        </a:p>
      </xdr:txBody>
    </xdr:sp>
    <xdr:clientData/>
  </xdr:twoCellAnchor>
  <xdr:twoCellAnchor>
    <xdr:from>
      <xdr:col>3</xdr:col>
      <xdr:colOff>333375</xdr:colOff>
      <xdr:row>12</xdr:row>
      <xdr:rowOff>76200</xdr:rowOff>
    </xdr:from>
    <xdr:to>
      <xdr:col>3</xdr:col>
      <xdr:colOff>552450</xdr:colOff>
      <xdr:row>13</xdr:row>
      <xdr:rowOff>123825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7BD9A45-0F54-4DB9-8342-CE7B9A8F722C}"/>
            </a:ext>
          </a:extLst>
        </xdr:cNvPr>
        <xdr:cNvSpPr/>
      </xdr:nvSpPr>
      <xdr:spPr>
        <a:xfrm>
          <a:off x="2400300" y="19716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3</a:t>
          </a:r>
        </a:p>
      </xdr:txBody>
    </xdr:sp>
    <xdr:clientData/>
  </xdr:twoCellAnchor>
  <xdr:twoCellAnchor>
    <xdr:from>
      <xdr:col>6</xdr:col>
      <xdr:colOff>409574</xdr:colOff>
      <xdr:row>11</xdr:row>
      <xdr:rowOff>66675</xdr:rowOff>
    </xdr:from>
    <xdr:to>
      <xdr:col>6</xdr:col>
      <xdr:colOff>428625</xdr:colOff>
      <xdr:row>13</xdr:row>
      <xdr:rowOff>28575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80056C2-3EDD-4C83-912C-C3B6F06D418F}"/>
            </a:ext>
          </a:extLst>
        </xdr:cNvPr>
        <xdr:cNvCxnSpPr>
          <a:stCxn id="8" idx="0"/>
        </xdr:cNvCxnSpPr>
      </xdr:nvCxnSpPr>
      <xdr:spPr>
        <a:xfrm flipV="1">
          <a:off x="4305299" y="1809750"/>
          <a:ext cx="19051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428622</xdr:colOff>
      <xdr:row>17</xdr:row>
      <xdr:rowOff>104775</xdr:rowOff>
    </xdr:from>
    <xdr:to>
      <xdr:col>9</xdr:col>
      <xdr:colOff>390525</xdr:colOff>
      <xdr:row>20</xdr:row>
      <xdr:rowOff>133350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4A7DC87-09B3-415D-BE40-64DDD75F6999}"/>
            </a:ext>
          </a:extLst>
        </xdr:cNvPr>
        <xdr:cNvSpPr/>
      </xdr:nvSpPr>
      <xdr:spPr>
        <a:xfrm>
          <a:off x="2495547" y="2762250"/>
          <a:ext cx="3619503" cy="4857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Build an IF function for the payment of Dividends (the</a:t>
          </a:r>
          <a:r>
            <a:rPr lang="en-US" sz="1100" baseline="0">
              <a:solidFill>
                <a:sysClr val="windowText" lastClr="000000"/>
              </a:solidFill>
            </a:rPr>
            <a:t> company pays dividends only if its Net Income is positive).</a:t>
          </a:r>
          <a:endParaRPr lang="en-US" sz="1100"/>
        </a:p>
      </xdr:txBody>
    </xdr:sp>
    <xdr:clientData/>
  </xdr:twoCellAnchor>
  <xdr:twoCellAnchor>
    <xdr:from>
      <xdr:col>3</xdr:col>
      <xdr:colOff>333375</xdr:colOff>
      <xdr:row>17</xdr:row>
      <xdr:rowOff>0</xdr:rowOff>
    </xdr:from>
    <xdr:to>
      <xdr:col>3</xdr:col>
      <xdr:colOff>552450</xdr:colOff>
      <xdr:row>18</xdr:row>
      <xdr:rowOff>47625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50A6B882-F1ED-4447-B301-1D0F38EA0186}"/>
            </a:ext>
          </a:extLst>
        </xdr:cNvPr>
        <xdr:cNvSpPr/>
      </xdr:nvSpPr>
      <xdr:spPr>
        <a:xfrm>
          <a:off x="2400300" y="26574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4</a:t>
          </a:r>
        </a:p>
      </xdr:txBody>
    </xdr:sp>
    <xdr:clientData/>
  </xdr:twoCellAnchor>
  <xdr:twoCellAnchor>
    <xdr:from>
      <xdr:col>3</xdr:col>
      <xdr:colOff>428622</xdr:colOff>
      <xdr:row>22</xdr:row>
      <xdr:rowOff>66675</xdr:rowOff>
    </xdr:from>
    <xdr:to>
      <xdr:col>9</xdr:col>
      <xdr:colOff>390525</xdr:colOff>
      <xdr:row>25</xdr:row>
      <xdr:rowOff>95250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690D39C-1BA9-4479-80CA-98DCECDB2AF0}"/>
            </a:ext>
          </a:extLst>
        </xdr:cNvPr>
        <xdr:cNvSpPr/>
      </xdr:nvSpPr>
      <xdr:spPr>
        <a:xfrm>
          <a:off x="2495547" y="3486150"/>
          <a:ext cx="3619503" cy="4857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Assume no increases of capital in the forecast period.</a:t>
          </a:r>
          <a:endParaRPr lang="en-US" sz="1100"/>
        </a:p>
      </xdr:txBody>
    </xdr:sp>
    <xdr:clientData/>
  </xdr:twoCellAnchor>
  <xdr:twoCellAnchor>
    <xdr:from>
      <xdr:col>3</xdr:col>
      <xdr:colOff>333375</xdr:colOff>
      <xdr:row>21</xdr:row>
      <xdr:rowOff>114300</xdr:rowOff>
    </xdr:from>
    <xdr:to>
      <xdr:col>3</xdr:col>
      <xdr:colOff>552450</xdr:colOff>
      <xdr:row>23</xdr:row>
      <xdr:rowOff>9525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5D4A3FBC-A36A-4548-9BC0-63FF8F03C212}"/>
            </a:ext>
          </a:extLst>
        </xdr:cNvPr>
        <xdr:cNvSpPr/>
      </xdr:nvSpPr>
      <xdr:spPr>
        <a:xfrm>
          <a:off x="2400300" y="33813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5</a:t>
          </a:r>
        </a:p>
      </xdr:txBody>
    </xdr:sp>
    <xdr:clientData/>
  </xdr:twoCellAnchor>
  <xdr:twoCellAnchor>
    <xdr:from>
      <xdr:col>3</xdr:col>
      <xdr:colOff>428622</xdr:colOff>
      <xdr:row>27</xdr:row>
      <xdr:rowOff>28575</xdr:rowOff>
    </xdr:from>
    <xdr:to>
      <xdr:col>9</xdr:col>
      <xdr:colOff>390525</xdr:colOff>
      <xdr:row>30</xdr:row>
      <xdr:rowOff>57150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4335B0F-C4FC-4F19-A885-C2C6AF12B19B}"/>
            </a:ext>
          </a:extLst>
        </xdr:cNvPr>
        <xdr:cNvSpPr/>
      </xdr:nvSpPr>
      <xdr:spPr>
        <a:xfrm>
          <a:off x="2495547" y="4210050"/>
          <a:ext cx="3619503" cy="4857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Link Net</a:t>
          </a:r>
          <a:r>
            <a:rPr lang="en-US" sz="1100" baseline="0">
              <a:solidFill>
                <a:sysClr val="windowText" lastClr="000000"/>
              </a:solidFill>
            </a:rPr>
            <a:t> Income results to the "P&amp;L" sheet and calculate Ending equity.</a:t>
          </a:r>
          <a:endParaRPr lang="en-US" sz="1100"/>
        </a:p>
      </xdr:txBody>
    </xdr:sp>
    <xdr:clientData/>
  </xdr:twoCellAnchor>
  <xdr:twoCellAnchor>
    <xdr:from>
      <xdr:col>3</xdr:col>
      <xdr:colOff>333375</xdr:colOff>
      <xdr:row>26</xdr:row>
      <xdr:rowOff>76200</xdr:rowOff>
    </xdr:from>
    <xdr:to>
      <xdr:col>3</xdr:col>
      <xdr:colOff>552450</xdr:colOff>
      <xdr:row>27</xdr:row>
      <xdr:rowOff>123825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1DEBF917-F75A-402B-821D-79A9D0AE666A}"/>
            </a:ext>
          </a:extLst>
        </xdr:cNvPr>
        <xdr:cNvSpPr/>
      </xdr:nvSpPr>
      <xdr:spPr>
        <a:xfrm>
          <a:off x="2400300" y="41052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6</a:t>
          </a:r>
        </a:p>
      </xdr:txBody>
    </xdr:sp>
    <xdr:clientData/>
  </xdr:twoCellAnchor>
  <xdr:twoCellAnchor>
    <xdr:from>
      <xdr:col>3</xdr:col>
      <xdr:colOff>428622</xdr:colOff>
      <xdr:row>31</xdr:row>
      <xdr:rowOff>66675</xdr:rowOff>
    </xdr:from>
    <xdr:to>
      <xdr:col>9</xdr:col>
      <xdr:colOff>390525</xdr:colOff>
      <xdr:row>34</xdr:row>
      <xdr:rowOff>95250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FB730DD-E0C6-4253-922A-CD32FF495DD9}"/>
            </a:ext>
          </a:extLst>
        </xdr:cNvPr>
        <xdr:cNvSpPr/>
      </xdr:nvSpPr>
      <xdr:spPr>
        <a:xfrm>
          <a:off x="2495547" y="4857750"/>
          <a:ext cx="3619503" cy="4857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Link Ending</a:t>
          </a:r>
          <a:r>
            <a:rPr lang="en-US" sz="1100" baseline="0">
              <a:solidFill>
                <a:sysClr val="windowText" lastClr="000000"/>
              </a:solidFill>
            </a:rPr>
            <a:t> equity to the "BS" sheet.</a:t>
          </a:r>
          <a:endParaRPr lang="en-US" sz="1100"/>
        </a:p>
      </xdr:txBody>
    </xdr:sp>
    <xdr:clientData/>
  </xdr:twoCellAnchor>
  <xdr:twoCellAnchor>
    <xdr:from>
      <xdr:col>3</xdr:col>
      <xdr:colOff>333375</xdr:colOff>
      <xdr:row>30</xdr:row>
      <xdr:rowOff>114300</xdr:rowOff>
    </xdr:from>
    <xdr:to>
      <xdr:col>3</xdr:col>
      <xdr:colOff>552450</xdr:colOff>
      <xdr:row>32</xdr:row>
      <xdr:rowOff>9525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40D7B893-777F-4629-9C7F-7EC5409B8FF7}"/>
            </a:ext>
          </a:extLst>
        </xdr:cNvPr>
        <xdr:cNvSpPr/>
      </xdr:nvSpPr>
      <xdr:spPr>
        <a:xfrm>
          <a:off x="2400300" y="47529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workbookViewId="0">
      <selection activeCell="P15" sqref="P15"/>
    </sheetView>
  </sheetViews>
  <sheetFormatPr defaultRowHeight="12" x14ac:dyDescent="0.2"/>
  <cols>
    <col min="1" max="1" width="2" style="48" customWidth="1"/>
    <col min="2" max="2" width="22.5703125" style="48" bestFit="1" customWidth="1"/>
    <col min="3" max="16384" width="9.140625" style="48"/>
  </cols>
  <sheetData>
    <row r="1" spans="2:12" ht="15.75" x14ac:dyDescent="0.25">
      <c r="B1" s="25" t="s">
        <v>101</v>
      </c>
    </row>
    <row r="3" spans="2:12" x14ac:dyDescent="0.2">
      <c r="F3" s="89" t="s">
        <v>122</v>
      </c>
      <c r="G3" s="89"/>
      <c r="H3" s="89"/>
      <c r="I3" s="89"/>
      <c r="J3" s="89"/>
    </row>
    <row r="4" spans="2:12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2" x14ac:dyDescent="0.2">
      <c r="B5" s="59" t="s">
        <v>143</v>
      </c>
      <c r="C5" s="70"/>
      <c r="D5" s="59">
        <f>C8</f>
        <v>615.79999999999995</v>
      </c>
      <c r="E5" s="59">
        <f>D8</f>
        <v>610.4</v>
      </c>
      <c r="F5" s="59">
        <f t="shared" ref="F5:J5" si="0">E8</f>
        <v>605</v>
      </c>
      <c r="G5" s="59">
        <f t="shared" si="0"/>
        <v>565.17884560503455</v>
      </c>
      <c r="H5" s="59">
        <f t="shared" si="0"/>
        <v>521.77378731452222</v>
      </c>
      <c r="I5" s="59">
        <f t="shared" si="0"/>
        <v>474.4622737778638</v>
      </c>
      <c r="J5" s="59">
        <f t="shared" si="0"/>
        <v>422.89272402290612</v>
      </c>
    </row>
    <row r="6" spans="2:12" x14ac:dyDescent="0.2">
      <c r="B6" s="59" t="s">
        <v>144</v>
      </c>
      <c r="C6" s="70"/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2" x14ac:dyDescent="0.2">
      <c r="B7" s="59" t="s">
        <v>146</v>
      </c>
      <c r="C7" s="70"/>
      <c r="D7" s="59">
        <f>D8-D5</f>
        <v>-5.3999999999999773</v>
      </c>
      <c r="E7" s="59">
        <f>E8-E5</f>
        <v>-5.3999999999999773</v>
      </c>
      <c r="F7" s="59">
        <f>C18</f>
        <v>-39.82115439496544</v>
      </c>
      <c r="G7" s="59">
        <f t="shared" ref="G7:J7" si="1">D18</f>
        <v>-43.405058290512329</v>
      </c>
      <c r="H7" s="59">
        <f t="shared" si="1"/>
        <v>-47.311513536658438</v>
      </c>
      <c r="I7" s="59">
        <f t="shared" si="1"/>
        <v>-51.569549754957698</v>
      </c>
      <c r="J7" s="59">
        <f t="shared" si="1"/>
        <v>-56.210809232903884</v>
      </c>
    </row>
    <row r="8" spans="2:12" ht="12.75" thickBot="1" x14ac:dyDescent="0.25">
      <c r="B8" s="18" t="s">
        <v>145</v>
      </c>
      <c r="C8" s="18">
        <f>BS!C14</f>
        <v>615.79999999999995</v>
      </c>
      <c r="D8" s="18">
        <f>BS!D14</f>
        <v>610.4</v>
      </c>
      <c r="E8" s="18">
        <f>BS!E14</f>
        <v>605</v>
      </c>
      <c r="F8" s="18">
        <f>SUM(F5:F7)</f>
        <v>565.17884560503455</v>
      </c>
      <c r="G8" s="18">
        <f t="shared" ref="G8:J8" si="2">SUM(G5:G7)</f>
        <v>521.77378731452222</v>
      </c>
      <c r="H8" s="18">
        <f t="shared" si="2"/>
        <v>474.4622737778638</v>
      </c>
      <c r="I8" s="18">
        <f t="shared" si="2"/>
        <v>422.89272402290612</v>
      </c>
      <c r="J8" s="18">
        <f t="shared" si="2"/>
        <v>366.68191479000222</v>
      </c>
    </row>
    <row r="10" spans="2:12" x14ac:dyDescent="0.2">
      <c r="B10" s="85" t="s">
        <v>153</v>
      </c>
      <c r="C10" s="85">
        <v>10</v>
      </c>
      <c r="D10" s="85"/>
      <c r="E10" s="85"/>
      <c r="F10" s="85"/>
      <c r="G10" s="85"/>
      <c r="H10" s="85"/>
    </row>
    <row r="11" spans="2:12" x14ac:dyDescent="0.2">
      <c r="B11" s="85" t="s">
        <v>147</v>
      </c>
      <c r="C11" s="83">
        <v>0.09</v>
      </c>
      <c r="D11" s="85"/>
      <c r="E11" s="85"/>
      <c r="F11" s="85"/>
      <c r="G11" s="85"/>
      <c r="H11" s="85"/>
    </row>
    <row r="12" spans="2:12" x14ac:dyDescent="0.2">
      <c r="B12" s="85" t="s">
        <v>154</v>
      </c>
      <c r="C12" s="59">
        <f>PMT(C11,C10,E8)</f>
        <v>-94.271154394965436</v>
      </c>
      <c r="D12" s="85"/>
      <c r="E12" s="85"/>
      <c r="F12" s="85"/>
      <c r="G12" s="85"/>
      <c r="H12" s="85"/>
    </row>
    <row r="13" spans="2:12" x14ac:dyDescent="0.2">
      <c r="B13" s="85"/>
      <c r="C13" s="86"/>
      <c r="D13" s="85"/>
      <c r="E13" s="85"/>
      <c r="F13" s="85"/>
      <c r="G13" s="85"/>
      <c r="H13" s="85"/>
    </row>
    <row r="14" spans="2:12" x14ac:dyDescent="0.2">
      <c r="B14" s="85"/>
      <c r="C14" s="85"/>
      <c r="D14" s="85"/>
      <c r="E14" s="85"/>
      <c r="F14" s="85"/>
      <c r="G14" s="85"/>
      <c r="H14" s="85"/>
    </row>
    <row r="15" spans="2:12" x14ac:dyDescent="0.2">
      <c r="B15" s="87" t="s">
        <v>149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4">
        <v>7</v>
      </c>
      <c r="J15" s="84">
        <v>8</v>
      </c>
      <c r="K15" s="84">
        <v>9</v>
      </c>
      <c r="L15" s="84">
        <v>10</v>
      </c>
    </row>
    <row r="16" spans="2:12" x14ac:dyDescent="0.2">
      <c r="B16" s="85" t="s">
        <v>148</v>
      </c>
      <c r="C16" s="88">
        <f>$C$12</f>
        <v>-94.271154394965436</v>
      </c>
      <c r="D16" s="88">
        <f t="shared" ref="D16:L16" si="3">$C$12</f>
        <v>-94.271154394965436</v>
      </c>
      <c r="E16" s="88">
        <f t="shared" si="3"/>
        <v>-94.271154394965436</v>
      </c>
      <c r="F16" s="88">
        <f t="shared" si="3"/>
        <v>-94.271154394965436</v>
      </c>
      <c r="G16" s="88">
        <f t="shared" si="3"/>
        <v>-94.271154394965436</v>
      </c>
      <c r="H16" s="88">
        <f t="shared" si="3"/>
        <v>-94.271154394965436</v>
      </c>
      <c r="I16" s="88">
        <f t="shared" si="3"/>
        <v>-94.271154394965436</v>
      </c>
      <c r="J16" s="88">
        <f t="shared" si="3"/>
        <v>-94.271154394965436</v>
      </c>
      <c r="K16" s="88">
        <f t="shared" si="3"/>
        <v>-94.271154394965436</v>
      </c>
      <c r="L16" s="88">
        <f t="shared" si="3"/>
        <v>-94.271154394965436</v>
      </c>
    </row>
    <row r="17" spans="2:12" x14ac:dyDescent="0.2">
      <c r="B17" s="85" t="s">
        <v>150</v>
      </c>
      <c r="C17" s="88">
        <f>-E8*C11</f>
        <v>-54.449999999999996</v>
      </c>
      <c r="D17" s="88">
        <f>-C19*$C$11</f>
        <v>-50.866096104453106</v>
      </c>
      <c r="E17" s="88">
        <f t="shared" ref="E17:L17" si="4">-D19*$C$11</f>
        <v>-46.959640858306997</v>
      </c>
      <c r="F17" s="88">
        <f t="shared" si="4"/>
        <v>-42.701604640007737</v>
      </c>
      <c r="G17" s="88">
        <f t="shared" si="4"/>
        <v>-38.060345162061552</v>
      </c>
      <c r="H17" s="88">
        <f t="shared" si="4"/>
        <v>-33.0013723311002</v>
      </c>
      <c r="I17" s="88">
        <f t="shared" si="4"/>
        <v>-27.487091945352326</v>
      </c>
      <c r="J17" s="88">
        <f t="shared" si="4"/>
        <v>-21.476526324887146</v>
      </c>
      <c r="K17" s="88">
        <f t="shared" si="4"/>
        <v>-14.925009798580101</v>
      </c>
      <c r="L17" s="88">
        <f t="shared" si="4"/>
        <v>-7.7838567849054208</v>
      </c>
    </row>
    <row r="18" spans="2:12" x14ac:dyDescent="0.2">
      <c r="B18" s="85" t="s">
        <v>151</v>
      </c>
      <c r="C18" s="88">
        <f>C16-C17</f>
        <v>-39.82115439496544</v>
      </c>
      <c r="D18" s="88">
        <f t="shared" ref="D18:L18" si="5">D16-D17</f>
        <v>-43.405058290512329</v>
      </c>
      <c r="E18" s="88">
        <f t="shared" si="5"/>
        <v>-47.311513536658438</v>
      </c>
      <c r="F18" s="88">
        <f t="shared" si="5"/>
        <v>-51.569549754957698</v>
      </c>
      <c r="G18" s="88">
        <f t="shared" si="5"/>
        <v>-56.210809232903884</v>
      </c>
      <c r="H18" s="88">
        <f t="shared" si="5"/>
        <v>-61.269782063865236</v>
      </c>
      <c r="I18" s="88">
        <f t="shared" si="5"/>
        <v>-66.784062449613117</v>
      </c>
      <c r="J18" s="88">
        <f t="shared" si="5"/>
        <v>-72.794628070078289</v>
      </c>
      <c r="K18" s="88">
        <f t="shared" si="5"/>
        <v>-79.346144596385329</v>
      </c>
      <c r="L18" s="88">
        <f t="shared" si="5"/>
        <v>-86.487297610060011</v>
      </c>
    </row>
    <row r="19" spans="2:12" x14ac:dyDescent="0.2">
      <c r="B19" s="85" t="s">
        <v>152</v>
      </c>
      <c r="C19" s="88">
        <f>E8+C18</f>
        <v>565.17884560503455</v>
      </c>
      <c r="D19" s="88">
        <f>C19+D18</f>
        <v>521.77378731452222</v>
      </c>
      <c r="E19" s="88">
        <f t="shared" ref="E19:L19" si="6">D19+E18</f>
        <v>474.4622737778638</v>
      </c>
      <c r="F19" s="88">
        <f t="shared" si="6"/>
        <v>422.89272402290612</v>
      </c>
      <c r="G19" s="88">
        <f t="shared" si="6"/>
        <v>366.68191479000222</v>
      </c>
      <c r="H19" s="88">
        <f t="shared" si="6"/>
        <v>305.41213272613697</v>
      </c>
      <c r="I19" s="88">
        <f t="shared" si="6"/>
        <v>238.62807027652386</v>
      </c>
      <c r="J19" s="88">
        <f t="shared" si="6"/>
        <v>165.83344220644557</v>
      </c>
      <c r="K19" s="88">
        <f t="shared" si="6"/>
        <v>86.487297610060239</v>
      </c>
      <c r="L19" s="88">
        <f t="shared" si="6"/>
        <v>2.2737367544323206E-13</v>
      </c>
    </row>
    <row r="20" spans="2:12" x14ac:dyDescent="0.2">
      <c r="B20" s="85"/>
      <c r="C20" s="85"/>
      <c r="D20" s="85"/>
      <c r="E20" s="85"/>
      <c r="F20" s="85"/>
      <c r="G20" s="85"/>
      <c r="H20" s="85"/>
    </row>
    <row r="21" spans="2:12" x14ac:dyDescent="0.2">
      <c r="B21" s="85"/>
      <c r="C21" s="85"/>
      <c r="D21" s="85"/>
      <c r="E21" s="85"/>
      <c r="F21" s="85"/>
      <c r="G21" s="85"/>
      <c r="H21" s="85"/>
    </row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L13" sqref="L13"/>
    </sheetView>
  </sheetViews>
  <sheetFormatPr defaultRowHeight="12" x14ac:dyDescent="0.2"/>
  <cols>
    <col min="1" max="1" width="2" style="48" customWidth="1"/>
    <col min="2" max="2" width="19.85546875" style="48" customWidth="1"/>
    <col min="3" max="16384" width="9.140625" style="48"/>
  </cols>
  <sheetData>
    <row r="1" spans="2:10" ht="15.75" x14ac:dyDescent="0.25">
      <c r="B1" s="25" t="s">
        <v>156</v>
      </c>
    </row>
    <row r="3" spans="2:10" x14ac:dyDescent="0.2">
      <c r="F3" s="89" t="s">
        <v>122</v>
      </c>
      <c r="G3" s="89"/>
      <c r="H3" s="89"/>
      <c r="I3" s="89"/>
      <c r="J3" s="89"/>
    </row>
    <row r="4" spans="2:10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160</v>
      </c>
      <c r="C5" s="70"/>
      <c r="D5" s="70"/>
      <c r="E5" s="70"/>
      <c r="F5" s="59">
        <f>E9</f>
        <v>485.3</v>
      </c>
      <c r="G5" s="59">
        <f t="shared" ref="G5:J5" si="0">F9</f>
        <v>691.01555059288535</v>
      </c>
      <c r="H5" s="59">
        <f t="shared" si="0"/>
        <v>905.08695515642376</v>
      </c>
      <c r="I5" s="59">
        <f t="shared" si="0"/>
        <v>1127.8519457029515</v>
      </c>
      <c r="J5" s="59">
        <f t="shared" si="0"/>
        <v>1359.6660020586651</v>
      </c>
    </row>
    <row r="6" spans="2:10" x14ac:dyDescent="0.2">
      <c r="B6" s="59" t="s">
        <v>157</v>
      </c>
      <c r="C6" s="70"/>
      <c r="D6" s="70"/>
      <c r="E6" s="70"/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0" x14ac:dyDescent="0.2">
      <c r="B7" s="59" t="s">
        <v>158</v>
      </c>
      <c r="C7" s="70"/>
      <c r="D7" s="70"/>
      <c r="E7" s="70"/>
      <c r="F7" s="59">
        <f>'P&amp;L'!I16</f>
        <v>342.85925098814226</v>
      </c>
      <c r="G7" s="59">
        <f>'P&amp;L'!J16</f>
        <v>356.78567427256388</v>
      </c>
      <c r="H7" s="59">
        <f>'P&amp;L'!K16</f>
        <v>371.27498424421293</v>
      </c>
      <c r="I7" s="59">
        <f>'P&amp;L'!L16</f>
        <v>386.35676059285606</v>
      </c>
      <c r="J7" s="59">
        <f>'P&amp;L'!M16</f>
        <v>402.06260497856908</v>
      </c>
    </row>
    <row r="8" spans="2:10" x14ac:dyDescent="0.2">
      <c r="B8" s="59" t="s">
        <v>159</v>
      </c>
      <c r="C8" s="70"/>
      <c r="D8" s="70"/>
      <c r="E8" s="70"/>
      <c r="F8" s="59">
        <f>IF(F7&gt;0,-F11*F7,0)</f>
        <v>-137.1437003952569</v>
      </c>
      <c r="G8" s="59">
        <f t="shared" ref="G8:J8" si="1">IF(G7&gt;0,-G11*G7,0)</f>
        <v>-142.71426970902556</v>
      </c>
      <c r="H8" s="59">
        <f t="shared" si="1"/>
        <v>-148.50999369768519</v>
      </c>
      <c r="I8" s="59">
        <f t="shared" si="1"/>
        <v>-154.54270423714243</v>
      </c>
      <c r="J8" s="59">
        <f t="shared" si="1"/>
        <v>-160.82504199142764</v>
      </c>
    </row>
    <row r="9" spans="2:10" ht="12.75" thickBot="1" x14ac:dyDescent="0.25">
      <c r="B9" s="18" t="s">
        <v>161</v>
      </c>
      <c r="C9" s="18"/>
      <c r="D9" s="18"/>
      <c r="E9" s="18">
        <f>BS!E16</f>
        <v>485.3</v>
      </c>
      <c r="F9" s="18">
        <f>SUM(F5:F8)</f>
        <v>691.01555059288535</v>
      </c>
      <c r="G9" s="18">
        <f t="shared" ref="G9:J9" si="2">SUM(G5:G8)</f>
        <v>905.08695515642376</v>
      </c>
      <c r="H9" s="18">
        <f t="shared" si="2"/>
        <v>1127.8519457029515</v>
      </c>
      <c r="I9" s="18">
        <f t="shared" si="2"/>
        <v>1359.6660020586651</v>
      </c>
      <c r="J9" s="18">
        <f t="shared" si="2"/>
        <v>1600.9035650458065</v>
      </c>
    </row>
    <row r="11" spans="2:10" x14ac:dyDescent="0.2">
      <c r="B11" s="81" t="s">
        <v>162</v>
      </c>
      <c r="C11" s="81"/>
      <c r="D11" s="81"/>
      <c r="E11" s="81"/>
      <c r="F11" s="81">
        <v>0.4</v>
      </c>
      <c r="G11" s="81">
        <v>0.4</v>
      </c>
      <c r="H11" s="81">
        <v>0.4</v>
      </c>
      <c r="I11" s="81">
        <v>0.4</v>
      </c>
      <c r="J11" s="81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7"/>
  <sheetViews>
    <sheetView workbookViewId="0">
      <selection activeCell="H9" sqref="H9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1" t="s">
        <v>57</v>
      </c>
    </row>
    <row r="2" spans="2:13" s="48" customFormat="1" x14ac:dyDescent="0.2">
      <c r="B2" s="65"/>
    </row>
    <row r="3" spans="2:13" s="48" customFormat="1" x14ac:dyDescent="0.2">
      <c r="B3" s="67" t="s">
        <v>124</v>
      </c>
      <c r="C3" s="66" t="s">
        <v>126</v>
      </c>
    </row>
    <row r="4" spans="2:13" x14ac:dyDescent="0.2">
      <c r="I4" s="89" t="s">
        <v>122</v>
      </c>
      <c r="J4" s="89"/>
      <c r="K4" s="89"/>
      <c r="L4" s="89"/>
      <c r="M4" s="89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3131.2000000000003</v>
      </c>
      <c r="J6" s="15">
        <f>I6*(1+J20)</f>
        <v>3225.1360000000004</v>
      </c>
      <c r="K6" s="15">
        <f t="shared" ref="K6:M6" si="1">J6*(1+K20)</f>
        <v>3321.8900800000006</v>
      </c>
      <c r="L6" s="15">
        <f t="shared" si="1"/>
        <v>3421.5467824000007</v>
      </c>
      <c r="M6" s="15">
        <f t="shared" si="1"/>
        <v>3524.1931858720009</v>
      </c>
    </row>
    <row r="7" spans="2:13" x14ac:dyDescent="0.2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-1409.0400000000002</v>
      </c>
      <c r="J7" s="15">
        <f t="shared" ref="J7:M7" si="3">J6*J26</f>
        <v>-1451.3112000000003</v>
      </c>
      <c r="K7" s="15">
        <f t="shared" si="3"/>
        <v>-1494.8505360000004</v>
      </c>
      <c r="L7" s="15">
        <f t="shared" si="3"/>
        <v>-1539.6960520800003</v>
      </c>
      <c r="M7" s="15">
        <f t="shared" si="3"/>
        <v>-1585.8869336424004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1722.16</v>
      </c>
      <c r="J8" s="16">
        <f t="shared" ref="J8:M8" si="4">SUM(J6:J7)</f>
        <v>1773.8248000000001</v>
      </c>
      <c r="K8" s="16">
        <f t="shared" si="4"/>
        <v>1827.0395440000002</v>
      </c>
      <c r="L8" s="16">
        <f t="shared" si="4"/>
        <v>1881.8507303200004</v>
      </c>
      <c r="M8" s="16">
        <f t="shared" si="4"/>
        <v>1938.3062522296004</v>
      </c>
    </row>
    <row r="9" spans="2:13" x14ac:dyDescent="0.2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-1095.92</v>
      </c>
      <c r="J9" s="15">
        <f t="shared" ref="J9:M9" si="5">J6*J32</f>
        <v>-1128.7976000000001</v>
      </c>
      <c r="K9" s="15">
        <f t="shared" si="5"/>
        <v>-1162.6615280000001</v>
      </c>
      <c r="L9" s="15">
        <f t="shared" si="5"/>
        <v>-1197.5413738400002</v>
      </c>
      <c r="M9" s="15">
        <f t="shared" si="5"/>
        <v>-1233.4676150552002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626.24</v>
      </c>
      <c r="J10" s="16">
        <f t="shared" ref="J10:M10" si="6">SUM(J8:J9)</f>
        <v>645.02719999999999</v>
      </c>
      <c r="K10" s="16">
        <f t="shared" si="6"/>
        <v>664.37801600000012</v>
      </c>
      <c r="L10" s="16">
        <f t="shared" si="6"/>
        <v>684.30935648000013</v>
      </c>
      <c r="M10" s="16">
        <f t="shared" si="6"/>
        <v>704.83863717440022</v>
      </c>
    </row>
    <row r="11" spans="2:13" x14ac:dyDescent="0.2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2"/>
        <v>0.41935483870967749</v>
      </c>
      <c r="H11" s="20">
        <f t="shared" si="0"/>
        <v>-6.8181818181818232E-2</v>
      </c>
      <c r="I11" s="15">
        <f>'Fixed Assets Roll Forward'!F6</f>
        <v>-44.314229249011859</v>
      </c>
      <c r="J11" s="15">
        <f>'Fixed Assets Roll Forward'!G6</f>
        <v>-45.260066553140966</v>
      </c>
      <c r="K11" s="15">
        <f>'Fixed Assets Roll Forward'!H6</f>
        <v>-46.22609168905781</v>
      </c>
      <c r="L11" s="15">
        <f>'Fixed Assets Roll Forward'!I6</f>
        <v>-47.212735543290663</v>
      </c>
      <c r="M11" s="15">
        <f>'Fixed Assets Roll Forward'!J6</f>
        <v>-48.22043819915536</v>
      </c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581.92577075098814</v>
      </c>
      <c r="J12" s="16">
        <f t="shared" ref="J12:M12" si="7">SUM(J10:J11)</f>
        <v>599.76713344685902</v>
      </c>
      <c r="K12" s="16">
        <f t="shared" si="7"/>
        <v>618.15192431094226</v>
      </c>
      <c r="L12" s="16">
        <f t="shared" si="7"/>
        <v>637.09662093670943</v>
      </c>
      <c r="M12" s="16">
        <f t="shared" si="7"/>
        <v>656.61819897524481</v>
      </c>
    </row>
    <row r="13" spans="2:13" x14ac:dyDescent="0.2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2"/>
        <v>0.16071428571428581</v>
      </c>
      <c r="H13" s="20">
        <f t="shared" si="0"/>
        <v>-0.19999999999999996</v>
      </c>
      <c r="I13" s="15">
        <f>'Financial Liabilities'!C17</f>
        <v>-54.449999999999996</v>
      </c>
      <c r="J13" s="15">
        <f>'Financial Liabilities'!D17</f>
        <v>-50.866096104453106</v>
      </c>
      <c r="K13" s="15">
        <f>'Financial Liabilities'!E17</f>
        <v>-46.959640858306997</v>
      </c>
      <c r="L13" s="15">
        <f>'Financial Liabilities'!F17</f>
        <v>-42.701604640007737</v>
      </c>
      <c r="M13" s="15">
        <f>'Financial Liabilities'!G17</f>
        <v>-38.060345162061552</v>
      </c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527.47577075098809</v>
      </c>
      <c r="J14" s="16">
        <f t="shared" ref="J14:M14" si="8">SUM(J12:J13)</f>
        <v>548.90103734240597</v>
      </c>
      <c r="K14" s="16">
        <f t="shared" si="8"/>
        <v>571.19228345263525</v>
      </c>
      <c r="L14" s="16">
        <f t="shared" si="8"/>
        <v>594.39501629670167</v>
      </c>
      <c r="M14" s="16">
        <f t="shared" si="8"/>
        <v>618.55785381318321</v>
      </c>
    </row>
    <row r="15" spans="2:13" x14ac:dyDescent="0.2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>
        <f>I14*I37</f>
        <v>-184.61651976284583</v>
      </c>
      <c r="J15" s="15">
        <f t="shared" ref="J15:M15" si="9">J14*J37</f>
        <v>-192.11536306984209</v>
      </c>
      <c r="K15" s="15">
        <f t="shared" si="9"/>
        <v>-199.91729920842232</v>
      </c>
      <c r="L15" s="15">
        <f t="shared" si="9"/>
        <v>-208.03825570384558</v>
      </c>
      <c r="M15" s="15">
        <f t="shared" si="9"/>
        <v>-216.4952488346141</v>
      </c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342.85925098814226</v>
      </c>
      <c r="J16" s="18">
        <f t="shared" ref="J16:M16" si="10">SUM(J14:J15)</f>
        <v>356.78567427256388</v>
      </c>
      <c r="K16" s="18">
        <f t="shared" si="10"/>
        <v>371.27498424421293</v>
      </c>
      <c r="L16" s="18">
        <f t="shared" si="10"/>
        <v>386.35676059285606</v>
      </c>
      <c r="M16" s="18">
        <f t="shared" si="10"/>
        <v>402.06260497856908</v>
      </c>
    </row>
    <row r="17" spans="2:13" ht="3.75" customHeight="1" x14ac:dyDescent="0.25">
      <c r="B17" s="12"/>
      <c r="D17" s="10"/>
    </row>
    <row r="18" spans="2:13" ht="15" x14ac:dyDescent="0.25">
      <c r="B18" s="64" t="s">
        <v>123</v>
      </c>
      <c r="C18" s="62"/>
      <c r="D18" s="63"/>
      <c r="E18" s="62"/>
      <c r="F18" s="62"/>
      <c r="G18" s="62"/>
      <c r="H18" s="62"/>
      <c r="I18" s="62"/>
      <c r="J18" s="62"/>
      <c r="K18" s="62"/>
      <c r="L18" s="62"/>
      <c r="M18" s="62"/>
    </row>
    <row r="19" spans="2:13" ht="15" x14ac:dyDescent="0.25">
      <c r="B19" s="62" t="s">
        <v>125</v>
      </c>
      <c r="C19" s="62"/>
      <c r="D19" s="63"/>
      <c r="E19" s="62"/>
      <c r="F19" s="62"/>
      <c r="G19" s="62"/>
      <c r="H19" s="62"/>
      <c r="I19" s="62"/>
      <c r="J19" s="62"/>
      <c r="K19" s="62"/>
      <c r="L19" s="62"/>
      <c r="M19" s="62"/>
    </row>
    <row r="20" spans="2:13" s="48" customFormat="1" ht="15" x14ac:dyDescent="0.25">
      <c r="B20" s="68" t="s">
        <v>131</v>
      </c>
      <c r="C20" s="62"/>
      <c r="D20" s="63"/>
      <c r="E20" s="62"/>
      <c r="F20" s="62"/>
      <c r="G20" s="62"/>
      <c r="H20" s="62"/>
      <c r="I20" s="82">
        <f>VLOOKUP($C$3,$B21:$M23,COLUMNS($B21:I23),FALSE)</f>
        <v>0.03</v>
      </c>
      <c r="J20" s="82">
        <f>VLOOKUP($C$3,$B21:$M23,COLUMNS($B21:J23),FALSE)</f>
        <v>0.03</v>
      </c>
      <c r="K20" s="82">
        <f>VLOOKUP($C$3,$B21:$M23,COLUMNS($B21:K23),FALSE)</f>
        <v>0.03</v>
      </c>
      <c r="L20" s="82">
        <f>VLOOKUP($C$3,$B21:$M23,COLUMNS($B21:L23),FALSE)</f>
        <v>0.03</v>
      </c>
      <c r="M20" s="82">
        <f>VLOOKUP($C$3,$B21:$M23,COLUMNS($B21:M23),FALSE)</f>
        <v>0.03</v>
      </c>
    </row>
    <row r="21" spans="2:13" ht="15" x14ac:dyDescent="0.25">
      <c r="B21" s="62" t="s">
        <v>126</v>
      </c>
      <c r="C21" s="70"/>
      <c r="D21" s="71"/>
      <c r="E21" s="70"/>
      <c r="F21" s="62"/>
      <c r="G21" s="62"/>
      <c r="H21" s="62"/>
      <c r="I21" s="73">
        <v>0.03</v>
      </c>
      <c r="J21" s="73">
        <v>0.03</v>
      </c>
      <c r="K21" s="73">
        <v>0.03</v>
      </c>
      <c r="L21" s="73">
        <v>0.03</v>
      </c>
      <c r="M21" s="73">
        <v>0.03</v>
      </c>
    </row>
    <row r="22" spans="2:13" ht="15" x14ac:dyDescent="0.25">
      <c r="B22" s="62" t="s">
        <v>127</v>
      </c>
      <c r="C22" s="70"/>
      <c r="D22" s="71"/>
      <c r="E22" s="70"/>
      <c r="F22" s="62"/>
      <c r="G22" s="62"/>
      <c r="H22" s="62"/>
      <c r="I22" s="73">
        <v>0.02</v>
      </c>
      <c r="J22" s="73">
        <v>0.02</v>
      </c>
      <c r="K22" s="73">
        <v>0.02</v>
      </c>
      <c r="L22" s="73">
        <v>0.02</v>
      </c>
      <c r="M22" s="73">
        <v>0.02</v>
      </c>
    </row>
    <row r="23" spans="2:13" ht="15" x14ac:dyDescent="0.25">
      <c r="B23" s="62" t="s">
        <v>128</v>
      </c>
      <c r="C23" s="70"/>
      <c r="D23" s="71"/>
      <c r="E23" s="70"/>
      <c r="F23" s="62"/>
      <c r="G23" s="62"/>
      <c r="H23" s="62"/>
      <c r="I23" s="73">
        <v>0.01</v>
      </c>
      <c r="J23" s="73">
        <v>0.01</v>
      </c>
      <c r="K23" s="73">
        <v>0.01</v>
      </c>
      <c r="L23" s="73">
        <v>0.01</v>
      </c>
      <c r="M23" s="73">
        <v>0.01</v>
      </c>
    </row>
    <row r="24" spans="2:13" s="48" customFormat="1" ht="15" x14ac:dyDescent="0.25">
      <c r="B24" s="62"/>
      <c r="C24" s="62"/>
      <c r="D24" s="63"/>
      <c r="E24" s="62"/>
      <c r="F24" s="62"/>
      <c r="G24" s="62"/>
      <c r="H24" s="62"/>
      <c r="I24" s="73"/>
      <c r="J24" s="73"/>
      <c r="K24" s="73"/>
      <c r="L24" s="73"/>
      <c r="M24" s="73"/>
    </row>
    <row r="25" spans="2:13" ht="15" x14ac:dyDescent="0.25">
      <c r="B25" s="62" t="s">
        <v>129</v>
      </c>
      <c r="C25" s="62"/>
      <c r="D25" s="63"/>
      <c r="E25" s="62"/>
      <c r="F25" s="62"/>
      <c r="G25" s="62"/>
      <c r="H25" s="62"/>
      <c r="I25" s="73"/>
      <c r="J25" s="73"/>
      <c r="K25" s="73"/>
      <c r="L25" s="73"/>
      <c r="M25" s="73"/>
    </row>
    <row r="26" spans="2:13" s="48" customFormat="1" ht="15" x14ac:dyDescent="0.25">
      <c r="B26" s="68" t="s">
        <v>131</v>
      </c>
      <c r="C26" s="62"/>
      <c r="D26" s="63"/>
      <c r="E26" s="62"/>
      <c r="F26" s="62"/>
      <c r="G26" s="62"/>
      <c r="H26" s="62"/>
      <c r="I26" s="82">
        <f>VLOOKUP($C$3,$B27:$M29,COLUMNS($B27:I29),FALSE)</f>
        <v>-0.45</v>
      </c>
      <c r="J26" s="82">
        <f>VLOOKUP($C$3,$B27:$M29,COLUMNS($B27:J29),FALSE)</f>
        <v>-0.45</v>
      </c>
      <c r="K26" s="82">
        <f>VLOOKUP($C$3,$B27:$M29,COLUMNS($B27:K29),FALSE)</f>
        <v>-0.45</v>
      </c>
      <c r="L26" s="82">
        <f>VLOOKUP($C$3,$B27:$M29,COLUMNS($B27:L29),FALSE)</f>
        <v>-0.45</v>
      </c>
      <c r="M26" s="82">
        <f>VLOOKUP($C$3,$B27:$M29,COLUMNS($B27:M29),FALSE)</f>
        <v>-0.45</v>
      </c>
    </row>
    <row r="27" spans="2:13" x14ac:dyDescent="0.2">
      <c r="B27" s="62" t="s">
        <v>126</v>
      </c>
      <c r="C27" s="73">
        <f t="shared" ref="C27:E29" si="11">C$7/C$6</f>
        <v>-0.47946611909650921</v>
      </c>
      <c r="D27" s="73">
        <f t="shared" si="11"/>
        <v>-0.46347184986595175</v>
      </c>
      <c r="E27" s="73">
        <f t="shared" si="11"/>
        <v>-0.44967105263157897</v>
      </c>
      <c r="F27" s="62"/>
      <c r="G27" s="62"/>
      <c r="H27" s="62"/>
      <c r="I27" s="73">
        <v>-0.45</v>
      </c>
      <c r="J27" s="73">
        <v>-0.45</v>
      </c>
      <c r="K27" s="73">
        <v>-0.45</v>
      </c>
      <c r="L27" s="73">
        <v>-0.45</v>
      </c>
      <c r="M27" s="73">
        <v>-0.45</v>
      </c>
    </row>
    <row r="28" spans="2:13" x14ac:dyDescent="0.2">
      <c r="B28" s="62" t="s">
        <v>127</v>
      </c>
      <c r="C28" s="73">
        <f t="shared" si="11"/>
        <v>-0.47946611909650921</v>
      </c>
      <c r="D28" s="73">
        <f t="shared" si="11"/>
        <v>-0.46347184986595175</v>
      </c>
      <c r="E28" s="73">
        <f t="shared" si="11"/>
        <v>-0.44967105263157897</v>
      </c>
      <c r="F28" s="62"/>
      <c r="G28" s="62"/>
      <c r="H28" s="62"/>
      <c r="I28" s="73">
        <v>-0.46</v>
      </c>
      <c r="J28" s="73">
        <v>-0.46</v>
      </c>
      <c r="K28" s="73">
        <v>-0.46</v>
      </c>
      <c r="L28" s="73">
        <v>-0.46</v>
      </c>
      <c r="M28" s="73">
        <v>-0.46</v>
      </c>
    </row>
    <row r="29" spans="2:13" x14ac:dyDescent="0.2">
      <c r="B29" s="62" t="s">
        <v>128</v>
      </c>
      <c r="C29" s="73">
        <f t="shared" si="11"/>
        <v>-0.47946611909650921</v>
      </c>
      <c r="D29" s="73">
        <f t="shared" si="11"/>
        <v>-0.46347184986595175</v>
      </c>
      <c r="E29" s="73">
        <f t="shared" si="11"/>
        <v>-0.44967105263157897</v>
      </c>
      <c r="F29" s="62"/>
      <c r="G29" s="62"/>
      <c r="H29" s="62"/>
      <c r="I29" s="73">
        <v>-0.47</v>
      </c>
      <c r="J29" s="73">
        <v>-0.47</v>
      </c>
      <c r="K29" s="73">
        <v>-0.47</v>
      </c>
      <c r="L29" s="73">
        <v>-0.47</v>
      </c>
      <c r="M29" s="73">
        <v>-0.47</v>
      </c>
    </row>
    <row r="30" spans="2:13" s="48" customFormat="1" ht="15" x14ac:dyDescent="0.25">
      <c r="B30" s="62"/>
      <c r="C30" s="75"/>
      <c r="D30" s="76"/>
      <c r="E30" s="75"/>
      <c r="F30" s="62"/>
      <c r="G30" s="62"/>
      <c r="H30" s="62"/>
      <c r="I30" s="73"/>
      <c r="J30" s="73"/>
      <c r="K30" s="73"/>
      <c r="L30" s="73"/>
      <c r="M30" s="73"/>
    </row>
    <row r="31" spans="2:13" s="12" customFormat="1" ht="15" x14ac:dyDescent="0.25">
      <c r="B31" s="69" t="s">
        <v>130</v>
      </c>
      <c r="C31" s="77"/>
      <c r="D31" s="78"/>
      <c r="E31" s="77"/>
      <c r="F31" s="69"/>
      <c r="G31" s="69"/>
      <c r="H31" s="69"/>
      <c r="I31" s="74"/>
      <c r="J31" s="74"/>
      <c r="K31" s="74"/>
      <c r="L31" s="74"/>
      <c r="M31" s="74"/>
    </row>
    <row r="32" spans="2:13" s="12" customFormat="1" ht="15" x14ac:dyDescent="0.25">
      <c r="B32" s="64" t="s">
        <v>131</v>
      </c>
      <c r="C32" s="77"/>
      <c r="D32" s="78"/>
      <c r="E32" s="77"/>
      <c r="F32" s="69"/>
      <c r="G32" s="69"/>
      <c r="H32" s="69"/>
      <c r="I32" s="82">
        <f>VLOOKUP($C$3,$B33:$M35,COLUMNS($B33:I35),FALSE)</f>
        <v>-0.35</v>
      </c>
      <c r="J32" s="82">
        <f>VLOOKUP($C$3,$B33:$M35,COLUMNS($B33:J35),FALSE)</f>
        <v>-0.35</v>
      </c>
      <c r="K32" s="82">
        <f>VLOOKUP($C$3,$B33:$M35,COLUMNS($B33:K35),FALSE)</f>
        <v>-0.35</v>
      </c>
      <c r="L32" s="82">
        <f>VLOOKUP($C$3,$B33:$M35,COLUMNS($B33:L35),FALSE)</f>
        <v>-0.35</v>
      </c>
      <c r="M32" s="82">
        <f>VLOOKUP($C$3,$B33:$M35,COLUMNS($B33:M35),FALSE)</f>
        <v>-0.35</v>
      </c>
    </row>
    <row r="33" spans="2:13" x14ac:dyDescent="0.2">
      <c r="B33" s="62" t="s">
        <v>126</v>
      </c>
      <c r="C33" s="79">
        <f>C$9/C$6</f>
        <v>-0.41484599589322374</v>
      </c>
      <c r="D33" s="79">
        <f t="shared" ref="D33:E35" si="12">D$9/D$6</f>
        <v>-0.4173391420911528</v>
      </c>
      <c r="E33" s="79">
        <f t="shared" si="12"/>
        <v>-0.35139473684210526</v>
      </c>
      <c r="F33" s="62"/>
      <c r="G33" s="62"/>
      <c r="H33" s="62"/>
      <c r="I33" s="73">
        <v>-0.35</v>
      </c>
      <c r="J33" s="73">
        <v>-0.35</v>
      </c>
      <c r="K33" s="73">
        <v>-0.35</v>
      </c>
      <c r="L33" s="73">
        <v>-0.35</v>
      </c>
      <c r="M33" s="73">
        <v>-0.35</v>
      </c>
    </row>
    <row r="34" spans="2:13" x14ac:dyDescent="0.2">
      <c r="B34" s="62" t="s">
        <v>127</v>
      </c>
      <c r="C34" s="79">
        <f t="shared" ref="C34:C35" si="13">C$9/C$6</f>
        <v>-0.41484599589322374</v>
      </c>
      <c r="D34" s="79">
        <f t="shared" si="12"/>
        <v>-0.4173391420911528</v>
      </c>
      <c r="E34" s="79">
        <f t="shared" si="12"/>
        <v>-0.35139473684210526</v>
      </c>
      <c r="F34" s="62"/>
      <c r="G34" s="62"/>
      <c r="H34" s="62"/>
      <c r="I34" s="73">
        <v>-0.39</v>
      </c>
      <c r="J34" s="73">
        <v>-0.39</v>
      </c>
      <c r="K34" s="73">
        <v>-0.39</v>
      </c>
      <c r="L34" s="73">
        <v>-0.39</v>
      </c>
      <c r="M34" s="73">
        <v>-0.39</v>
      </c>
    </row>
    <row r="35" spans="2:13" x14ac:dyDescent="0.2">
      <c r="B35" s="62" t="s">
        <v>128</v>
      </c>
      <c r="C35" s="79">
        <f t="shared" si="13"/>
        <v>-0.41484599589322374</v>
      </c>
      <c r="D35" s="79">
        <f t="shared" si="12"/>
        <v>-0.4173391420911528</v>
      </c>
      <c r="E35" s="79">
        <f t="shared" si="12"/>
        <v>-0.35139473684210526</v>
      </c>
      <c r="F35" s="62"/>
      <c r="G35" s="62"/>
      <c r="H35" s="62"/>
      <c r="I35" s="73">
        <v>-0.41</v>
      </c>
      <c r="J35" s="73">
        <v>-0.41</v>
      </c>
      <c r="K35" s="73">
        <v>-0.41</v>
      </c>
      <c r="L35" s="73">
        <v>-0.41</v>
      </c>
      <c r="M35" s="73">
        <v>-0.41</v>
      </c>
    </row>
    <row r="36" spans="2:13" ht="15" x14ac:dyDescent="0.25">
      <c r="B36" s="63"/>
      <c r="C36" s="62"/>
      <c r="D36" s="63"/>
      <c r="E36" s="62"/>
      <c r="F36" s="62"/>
      <c r="G36" s="62"/>
      <c r="H36" s="62"/>
      <c r="I36" s="72"/>
      <c r="J36" s="72"/>
      <c r="K36" s="72"/>
      <c r="L36" s="72"/>
      <c r="M36" s="72"/>
    </row>
    <row r="37" spans="2:13" x14ac:dyDescent="0.2">
      <c r="B37" s="69" t="s">
        <v>155</v>
      </c>
      <c r="C37" s="79"/>
      <c r="D37" s="79"/>
      <c r="E37" s="79"/>
      <c r="F37" s="62"/>
      <c r="G37" s="62"/>
      <c r="H37" s="62"/>
      <c r="I37" s="73">
        <v>-0.35</v>
      </c>
      <c r="J37" s="73">
        <v>-0.35</v>
      </c>
      <c r="K37" s="73">
        <v>-0.35</v>
      </c>
      <c r="L37" s="73">
        <v>-0.35</v>
      </c>
      <c r="M37" s="73">
        <v>-0.35</v>
      </c>
    </row>
    <row r="38" spans="2:13" ht="15" x14ac:dyDescent="0.25">
      <c r="B38" s="10"/>
      <c r="D38" s="10"/>
    </row>
    <row r="39" spans="2:13" ht="15" x14ac:dyDescent="0.25">
      <c r="B39" s="10"/>
      <c r="D39" s="10"/>
    </row>
    <row r="40" spans="2:13" ht="15" x14ac:dyDescent="0.25">
      <c r="B40" s="10"/>
      <c r="D40" s="10"/>
    </row>
    <row r="41" spans="2:13" ht="15" x14ac:dyDescent="0.25">
      <c r="B41" s="10"/>
      <c r="D41" s="10"/>
    </row>
    <row r="42" spans="2:13" ht="15" x14ac:dyDescent="0.25">
      <c r="B42" s="10"/>
      <c r="D42" s="10"/>
    </row>
    <row r="43" spans="2:13" ht="15" x14ac:dyDescent="0.25">
      <c r="B43" s="10"/>
      <c r="D43" s="10"/>
    </row>
    <row r="44" spans="2:13" ht="15" x14ac:dyDescent="0.25">
      <c r="B44" s="10"/>
      <c r="D44" s="10"/>
    </row>
    <row r="45" spans="2:13" ht="15" x14ac:dyDescent="0.25">
      <c r="B45" s="10"/>
      <c r="D45" s="10"/>
    </row>
    <row r="46" spans="2:13" ht="15" x14ac:dyDescent="0.25">
      <c r="B46" s="10"/>
      <c r="D46" s="10"/>
    </row>
    <row r="47" spans="2:13" ht="15" x14ac:dyDescent="0.25">
      <c r="B47" s="10"/>
      <c r="D47" s="10"/>
    </row>
    <row r="48" spans="2:13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  <c r="D439" s="10"/>
    </row>
    <row r="440" spans="2:4" ht="15" x14ac:dyDescent="0.25">
      <c r="B440" s="10"/>
      <c r="D440" s="10"/>
    </row>
    <row r="441" spans="2:4" ht="15" x14ac:dyDescent="0.25">
      <c r="B441" s="10"/>
      <c r="D441" s="10"/>
    </row>
    <row r="442" spans="2:4" ht="15" x14ac:dyDescent="0.25">
      <c r="B442" s="10"/>
      <c r="D442" s="10"/>
    </row>
    <row r="443" spans="2:4" ht="15" x14ac:dyDescent="0.25">
      <c r="B443" s="10"/>
      <c r="D443" s="10"/>
    </row>
    <row r="444" spans="2:4" ht="15" x14ac:dyDescent="0.25">
      <c r="B444" s="10"/>
    </row>
    <row r="445" spans="2:4" ht="15" x14ac:dyDescent="0.25">
      <c r="B445" s="10"/>
    </row>
    <row r="446" spans="2:4" ht="15" x14ac:dyDescent="0.25">
      <c r="B446" s="10"/>
    </row>
    <row r="447" spans="2:4" ht="15" x14ac:dyDescent="0.25">
      <c r="B447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F18" sqref="F18"/>
    </sheetView>
  </sheetViews>
  <sheetFormatPr defaultRowHeight="12" x14ac:dyDescent="0.2"/>
  <cols>
    <col min="1" max="1" width="2" style="48" customWidth="1"/>
    <col min="2" max="2" width="24" style="48" customWidth="1"/>
    <col min="3" max="5" width="9.28515625" style="48" bestFit="1" customWidth="1"/>
    <col min="6" max="16384" width="9.140625" style="48"/>
  </cols>
  <sheetData>
    <row r="1" spans="2:10" ht="15.75" x14ac:dyDescent="0.25">
      <c r="B1" s="25" t="s">
        <v>120</v>
      </c>
    </row>
    <row r="2" spans="2:10" ht="15.75" x14ac:dyDescent="0.25">
      <c r="B2" s="25"/>
    </row>
    <row r="3" spans="2:10" x14ac:dyDescent="0.2">
      <c r="F3" s="89" t="s">
        <v>122</v>
      </c>
      <c r="G3" s="89"/>
      <c r="H3" s="89"/>
      <c r="I3" s="89"/>
      <c r="J3" s="89"/>
    </row>
    <row r="4" spans="2:10" s="12" customFormat="1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72</v>
      </c>
      <c r="C5" s="59">
        <f>INDEX('BS 2014'!$1:$1048576,MATCH(BS!$B5,'BS 2014'!$A:$A,0),MATCH(BS!C$4,'BS 2014'!$1:$1,0))</f>
        <v>143.9</v>
      </c>
      <c r="D5" s="59">
        <f>INDEX('BS 2015'!$1:$1048576,MATCH(BS!$B5,'BS 2015'!$A:$A,0),MATCH(BS!D$4,'BS 2015'!$1:$1,0))</f>
        <v>154.80000000000001</v>
      </c>
      <c r="E5" s="59">
        <f>INDEX('BS 2016'!$1:$1048576,MATCH(BS!$B5,'BS 2016'!$A:$A,0),MATCH(BS!E$4,'BS 2016'!$1:$1,0))</f>
        <v>169.3</v>
      </c>
      <c r="F5" s="59">
        <f>F19*'P&amp;L'!I6/360</f>
        <v>163.67257936433663</v>
      </c>
      <c r="G5" s="59">
        <f>G19*'P&amp;L'!J6/360</f>
        <v>168.58275674526672</v>
      </c>
      <c r="H5" s="59">
        <f>H19*'P&amp;L'!K6/360</f>
        <v>173.64023944762474</v>
      </c>
      <c r="I5" s="59">
        <f>I19*'P&amp;L'!L6/360</f>
        <v>178.8494466310535</v>
      </c>
      <c r="J5" s="59">
        <f>J19*'P&amp;L'!M6/360</f>
        <v>184.21493002998508</v>
      </c>
    </row>
    <row r="6" spans="2:10" x14ac:dyDescent="0.2">
      <c r="B6" s="59" t="s">
        <v>78</v>
      </c>
      <c r="C6" s="59">
        <f>INDEX('BS 2014'!$1:$1048576,MATCH(BS!$B6,'BS 2014'!$A:$A,0),MATCH(BS!C$4,'BS 2014'!$1:$1,0))</f>
        <v>84.999999999999986</v>
      </c>
      <c r="D6" s="59">
        <f>INDEX('BS 2015'!$1:$1048576,MATCH(BS!$B6,'BS 2015'!$A:$A,0),MATCH(BS!D$4,'BS 2015'!$1:$1,0))</f>
        <v>92.000000000000014</v>
      </c>
      <c r="E6" s="59">
        <f>INDEX('BS 2016'!$1:$1048576,MATCH(BS!$B6,'BS 2016'!$A:$A,0),MATCH(BS!E$4,'BS 2016'!$1:$1,0))</f>
        <v>110</v>
      </c>
      <c r="F6" s="59">
        <f>-F21*'P&amp;L'!I$7/360</f>
        <v>97.534303643238303</v>
      </c>
      <c r="G6" s="59">
        <f>-G21*'P&amp;L'!J$7/360</f>
        <v>100.46033275253548</v>
      </c>
      <c r="H6" s="59">
        <f>-H21*'P&amp;L'!K$7/360</f>
        <v>103.47414273511156</v>
      </c>
      <c r="I6" s="59">
        <f>-I21*'P&amp;L'!L$7/360</f>
        <v>106.57836701716488</v>
      </c>
      <c r="J6" s="59">
        <f>-J21*'P&amp;L'!M$7/360</f>
        <v>109.77571802767983</v>
      </c>
    </row>
    <row r="7" spans="2:10" x14ac:dyDescent="0.2">
      <c r="B7" s="59" t="s">
        <v>83</v>
      </c>
      <c r="C7" s="59">
        <f>INDEX('BS 2014'!$1:$1048576,MATCH(BS!$B7,'BS 2014'!$A:$A,0),MATCH(BS!C$4,'BS 2014'!$1:$1,0))</f>
        <v>632.5</v>
      </c>
      <c r="D7" s="59">
        <f>INDEX('BS 2015'!$1:$1048576,MATCH(BS!$B7,'BS 2015'!$A:$A,0),MATCH(BS!D$4,'BS 2015'!$1:$1,0))</f>
        <v>632.5</v>
      </c>
      <c r="E7" s="59">
        <f>INDEX('BS 2016'!$1:$1048576,MATCH(BS!$B7,'BS 2016'!$A:$A,0),MATCH(BS!E$4,'BS 2016'!$1:$1,0))</f>
        <v>659.5</v>
      </c>
      <c r="F7" s="59">
        <f>'Fixed Assets Roll Forward'!F8</f>
        <v>673.57628458498027</v>
      </c>
      <c r="G7" s="59">
        <f>'Fixed Assets Roll Forward'!G8</f>
        <v>687.95301160774272</v>
      </c>
      <c r="H7" s="59">
        <f>'Fixed Assets Roll Forward'!H8</f>
        <v>702.6365936736787</v>
      </c>
      <c r="I7" s="59">
        <f>'Fixed Assets Roll Forward'!I8</f>
        <v>717.63358025801801</v>
      </c>
      <c r="J7" s="59">
        <f>'Fixed Assets Roll Forward'!J8</f>
        <v>732.95066062716148</v>
      </c>
    </row>
    <row r="8" spans="2:10" x14ac:dyDescent="0.2">
      <c r="B8" s="59" t="s">
        <v>87</v>
      </c>
      <c r="C8" s="59">
        <f>INDEX('BS 2014'!$1:$1048576,MATCH(BS!$B8,'BS 2014'!$A:$A,0),MATCH(BS!C$4,'BS 2014'!$1:$1,0))</f>
        <v>24.8</v>
      </c>
      <c r="D8" s="59">
        <f>INDEX('BS 2015'!$1:$1048576,MATCH(BS!$B8,'BS 2015'!$A:$A,0),MATCH(BS!D$4,'BS 2015'!$1:$1,0))</f>
        <v>21.8</v>
      </c>
      <c r="E8" s="59">
        <f>INDEX('BS 2016'!$1:$1048576,MATCH(BS!$B8,'BS 2016'!$A:$A,0),MATCH(BS!E$4,'BS 2016'!$1:$1,0))</f>
        <v>220</v>
      </c>
      <c r="F8" s="59"/>
      <c r="G8" s="59"/>
      <c r="H8" s="59"/>
      <c r="I8" s="59"/>
      <c r="J8" s="59"/>
    </row>
    <row r="9" spans="2:10" x14ac:dyDescent="0.2">
      <c r="B9" s="59" t="s">
        <v>88</v>
      </c>
      <c r="C9" s="59">
        <f>INDEX('BS 2014'!$1:$1048576,MATCH(BS!$B9,'BS 2014'!$A:$A,0),MATCH(BS!C$4,'BS 2014'!$1:$1,0))</f>
        <v>45.9</v>
      </c>
      <c r="D9" s="59">
        <f>INDEX('BS 2015'!$1:$1048576,MATCH(BS!$B9,'BS 2015'!$A:$A,0),MATCH(BS!D$4,'BS 2015'!$1:$1,0))</f>
        <v>46.9</v>
      </c>
      <c r="E9" s="59">
        <f>INDEX('BS 2016'!$1:$1048576,MATCH(BS!$B9,'BS 2016'!$A:$A,0),MATCH(BS!E$4,'BS 2016'!$1:$1,0))</f>
        <v>68</v>
      </c>
      <c r="F9" s="59">
        <f>F22*'P&amp;L'!I$6</f>
        <v>56.146588971892989</v>
      </c>
      <c r="G9" s="59">
        <f>G22*'P&amp;L'!J$6</f>
        <v>57.830986641049783</v>
      </c>
      <c r="H9" s="59">
        <f>H22*'P&amp;L'!K$6</f>
        <v>59.565916240281283</v>
      </c>
      <c r="I9" s="59">
        <f>I22*'P&amp;L'!L$6</f>
        <v>61.352893727489722</v>
      </c>
      <c r="J9" s="59">
        <f>J22*'P&amp;L'!M$6</f>
        <v>63.193480539314415</v>
      </c>
    </row>
    <row r="10" spans="2:10" s="59" customFormat="1" ht="12.75" thickBot="1" x14ac:dyDescent="0.25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>
        <f t="shared" ref="F10:J10" si="0">SUM(F5:F9)</f>
        <v>990.92975656444821</v>
      </c>
      <c r="G10" s="18">
        <f t="shared" si="0"/>
        <v>1014.8270877465948</v>
      </c>
      <c r="H10" s="18">
        <f t="shared" si="0"/>
        <v>1039.3168920966962</v>
      </c>
      <c r="I10" s="18">
        <f t="shared" si="0"/>
        <v>1064.4142876337262</v>
      </c>
      <c r="J10" s="18">
        <f t="shared" si="0"/>
        <v>1090.1347892241406</v>
      </c>
    </row>
    <row r="12" spans="2:10" x14ac:dyDescent="0.2">
      <c r="B12" s="59" t="s">
        <v>95</v>
      </c>
      <c r="C12" s="59">
        <f>INDEX('BS 2014'!$1:$1048576,MATCH(BS!$B12,'BS 2014'!$A:$A,0),MATCH(BS!C$4,'BS 2014'!$1:$1,0))</f>
        <v>68</v>
      </c>
      <c r="D12" s="59">
        <f>INDEX('BS 2015'!$1:$1048576,MATCH(BS!$B12,'BS 2015'!$A:$A,0),MATCH(BS!D$4,'BS 2015'!$1:$1,0))</f>
        <v>68.900000000000006</v>
      </c>
      <c r="E12" s="59">
        <f>INDEX('BS 2016'!$1:$1048576,MATCH(BS!$B12,'BS 2016'!$A:$A,0),MATCH(BS!E$4,'BS 2016'!$1:$1,0))</f>
        <v>68.900000000000006</v>
      </c>
      <c r="F12" s="59">
        <f>-F20*'P&amp;L'!I$7/360</f>
        <v>69.868814266268799</v>
      </c>
      <c r="G12" s="59">
        <f>-G20*'P&amp;L'!J$7/360</f>
        <v>71.964878694256868</v>
      </c>
      <c r="H12" s="59">
        <f>-H20*'P&amp;L'!K$7/360</f>
        <v>74.123825055084566</v>
      </c>
      <c r="I12" s="59">
        <f>-I20*'P&amp;L'!L$7/360</f>
        <v>76.347539806737103</v>
      </c>
      <c r="J12" s="59">
        <f>-J20*'P&amp;L'!M$7/360</f>
        <v>78.63796600093923</v>
      </c>
    </row>
    <row r="13" spans="2:10" x14ac:dyDescent="0.2">
      <c r="B13" s="59" t="s">
        <v>99</v>
      </c>
      <c r="C13" s="59">
        <f>INDEX('BS 2014'!$1:$1048576,MATCH(BS!$B13,'BS 2014'!$A:$A,0),MATCH(BS!C$4,'BS 2014'!$1:$1,0))</f>
        <v>32.5</v>
      </c>
      <c r="D13" s="59">
        <f>INDEX('BS 2015'!$1:$1048576,MATCH(BS!$B13,'BS 2015'!$A:$A,0),MATCH(BS!D$4,'BS 2015'!$1:$1,0))</f>
        <v>28.699999999999996</v>
      </c>
      <c r="E13" s="59">
        <f>INDEX('BS 2016'!$1:$1048576,MATCH(BS!$B13,'BS 2016'!$A:$A,0),MATCH(BS!E$4,'BS 2016'!$1:$1,0))</f>
        <v>28.699999999999996</v>
      </c>
      <c r="F13" s="59">
        <f>$E$13</f>
        <v>28.699999999999996</v>
      </c>
      <c r="G13" s="59">
        <f t="shared" ref="G13:J13" si="1">$E$13</f>
        <v>28.699999999999996</v>
      </c>
      <c r="H13" s="59">
        <f t="shared" si="1"/>
        <v>28.699999999999996</v>
      </c>
      <c r="I13" s="59">
        <f t="shared" si="1"/>
        <v>28.699999999999996</v>
      </c>
      <c r="J13" s="59">
        <f t="shared" si="1"/>
        <v>28.699999999999996</v>
      </c>
    </row>
    <row r="14" spans="2:10" x14ac:dyDescent="0.2">
      <c r="B14" s="59" t="s">
        <v>101</v>
      </c>
      <c r="C14" s="59">
        <f>INDEX('BS 2014'!$1:$1048576,MATCH(BS!$B14,'BS 2014'!$A:$A,0),MATCH(BS!C$4,'BS 2014'!$1:$1,0))</f>
        <v>615.79999999999995</v>
      </c>
      <c r="D14" s="59">
        <f>INDEX('BS 2015'!$1:$1048576,MATCH(BS!$B14,'BS 2015'!$A:$A,0),MATCH(BS!D$4,'BS 2015'!$1:$1,0))</f>
        <v>610.4</v>
      </c>
      <c r="E14" s="59">
        <f>INDEX('BS 2016'!$1:$1048576,MATCH(BS!$B14,'BS 2016'!$A:$A,0),MATCH(BS!E$4,'BS 2016'!$1:$1,0))</f>
        <v>605</v>
      </c>
      <c r="F14" s="59">
        <f>'Financial Liabilities'!F8</f>
        <v>565.17884560503455</v>
      </c>
      <c r="G14" s="59">
        <f>'Financial Liabilities'!G8</f>
        <v>521.77378731452222</v>
      </c>
      <c r="H14" s="59">
        <f>'Financial Liabilities'!H8</f>
        <v>474.4622737778638</v>
      </c>
      <c r="I14" s="59">
        <f>'Financial Liabilities'!I8</f>
        <v>422.89272402290612</v>
      </c>
      <c r="J14" s="59">
        <f>'Financial Liabilities'!J8</f>
        <v>366.68191479000222</v>
      </c>
    </row>
    <row r="15" spans="2:10" x14ac:dyDescent="0.2">
      <c r="B15" s="59" t="s">
        <v>102</v>
      </c>
      <c r="C15" s="59">
        <f>INDEX('BS 2014'!$1:$1048576,MATCH(BS!$B15,'BS 2014'!$A:$A,0),MATCH(BS!C$4,'BS 2014'!$1:$1,0))</f>
        <v>48.3</v>
      </c>
      <c r="D15" s="59">
        <f>INDEX('BS 2015'!$1:$1048576,MATCH(BS!$B15,'BS 2015'!$A:$A,0),MATCH(BS!D$4,'BS 2015'!$1:$1,0))</f>
        <v>43.3</v>
      </c>
      <c r="E15" s="59">
        <f>INDEX('BS 2016'!$1:$1048576,MATCH(BS!$B15,'BS 2016'!$A:$A,0),MATCH(BS!E$4,'BS 2016'!$1:$1,0))</f>
        <v>38.9</v>
      </c>
      <c r="F15" s="59">
        <f>F23*'P&amp;L'!I$6</f>
        <v>45.75366909990403</v>
      </c>
      <c r="G15" s="59">
        <f>G23*'P&amp;L'!J$6</f>
        <v>47.12627917290115</v>
      </c>
      <c r="H15" s="59">
        <f>H23*'P&amp;L'!K$6</f>
        <v>48.540067548088189</v>
      </c>
      <c r="I15" s="59">
        <f>I23*'P&amp;L'!L$6</f>
        <v>49.996269574530835</v>
      </c>
      <c r="J15" s="59">
        <f>J23*'P&amp;L'!M$6</f>
        <v>51.496157661766766</v>
      </c>
    </row>
    <row r="16" spans="2:10" x14ac:dyDescent="0.2">
      <c r="B16" s="59" t="s">
        <v>106</v>
      </c>
      <c r="C16" s="59">
        <f>INDEX('BS 2014'!$1:$1048576,MATCH(BS!$B16,'BS 2014'!$A:$A,0),MATCH(BS!C$4,'BS 2014'!$1:$1,0))</f>
        <v>167.50000000000003</v>
      </c>
      <c r="D16" s="59">
        <f>INDEX('BS 2015'!$1:$1048576,MATCH(BS!$B16,'BS 2015'!$A:$A,0),MATCH(BS!D$4,'BS 2015'!$1:$1,0))</f>
        <v>196.7</v>
      </c>
      <c r="E16" s="59">
        <f>INDEX('BS 2016'!$1:$1048576,MATCH(BS!$B16,'BS 2016'!$A:$A,0),MATCH(BS!E$4,'BS 2016'!$1:$1,0))</f>
        <v>485.3</v>
      </c>
      <c r="F16" s="59">
        <f>'Equity schedule'!F9</f>
        <v>691.01555059288535</v>
      </c>
      <c r="G16" s="59">
        <f>'Equity schedule'!G9</f>
        <v>905.08695515642376</v>
      </c>
      <c r="H16" s="59">
        <f>'Equity schedule'!H9</f>
        <v>1127.8519457029515</v>
      </c>
      <c r="I16" s="59">
        <f>'Equity schedule'!I9</f>
        <v>1359.6660020586651</v>
      </c>
      <c r="J16" s="59">
        <f>'Equity schedule'!J9</f>
        <v>1600.9035650458065</v>
      </c>
    </row>
    <row r="17" spans="2:10" s="59" customFormat="1" ht="12.75" thickBot="1" x14ac:dyDescent="0.25">
      <c r="B17" s="18" t="s">
        <v>107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>
        <f t="shared" ref="F17:J17" si="2">SUM(F12:F16)</f>
        <v>1400.5168795640927</v>
      </c>
      <c r="G17" s="18">
        <f t="shared" si="2"/>
        <v>1574.651900338104</v>
      </c>
      <c r="H17" s="18">
        <f t="shared" si="2"/>
        <v>1753.678112083988</v>
      </c>
      <c r="I17" s="18">
        <f t="shared" si="2"/>
        <v>1937.6025354628391</v>
      </c>
      <c r="J17" s="18">
        <f t="shared" si="2"/>
        <v>2126.4196034985148</v>
      </c>
    </row>
    <row r="18" spans="2:10" s="59" customFormat="1" x14ac:dyDescent="0.2"/>
    <row r="19" spans="2:10" s="59" customFormat="1" x14ac:dyDescent="0.2">
      <c r="B19" s="80" t="s">
        <v>132</v>
      </c>
      <c r="C19" s="80">
        <f>C5/'P&amp;L'!C6*360</f>
        <v>17.728952772073921</v>
      </c>
      <c r="D19" s="80">
        <f>D5/'P&amp;L'!D6*360</f>
        <v>18.675603217158177</v>
      </c>
      <c r="E19" s="80">
        <f>E5/'P&amp;L'!E6*360</f>
        <v>20.048684210526318</v>
      </c>
      <c r="F19" s="80">
        <f>AVERAGE($C19:$E19)</f>
        <v>18.817746733252804</v>
      </c>
      <c r="G19" s="80">
        <f t="shared" ref="G19:J23" si="3">AVERAGE($C19:$E19)</f>
        <v>18.817746733252804</v>
      </c>
      <c r="H19" s="80">
        <f t="shared" si="3"/>
        <v>18.817746733252804</v>
      </c>
      <c r="I19" s="80">
        <f t="shared" si="3"/>
        <v>18.817746733252804</v>
      </c>
      <c r="J19" s="80">
        <f t="shared" si="3"/>
        <v>18.817746733252804</v>
      </c>
    </row>
    <row r="20" spans="2:10" s="59" customFormat="1" x14ac:dyDescent="0.2">
      <c r="B20" s="80" t="s">
        <v>133</v>
      </c>
      <c r="C20" s="80">
        <f>-1*C12/'P&amp;L'!C$7*360</f>
        <v>17.473233404710921</v>
      </c>
      <c r="D20" s="80">
        <f>-1*D12/'P&amp;L'!D$7*360</f>
        <v>17.934924078091107</v>
      </c>
      <c r="E20" s="80">
        <f>-1*E12/'P&amp;L'!E$7*360</f>
        <v>18.144842721287493</v>
      </c>
      <c r="F20" s="80">
        <f t="shared" ref="F20:F23" si="4">AVERAGE($C20:$E20)</f>
        <v>17.851000068029837</v>
      </c>
      <c r="G20" s="80">
        <f t="shared" si="3"/>
        <v>17.851000068029837</v>
      </c>
      <c r="H20" s="80">
        <f t="shared" si="3"/>
        <v>17.851000068029837</v>
      </c>
      <c r="I20" s="80">
        <f t="shared" si="3"/>
        <v>17.851000068029837</v>
      </c>
      <c r="J20" s="80">
        <f t="shared" si="3"/>
        <v>17.851000068029837</v>
      </c>
    </row>
    <row r="21" spans="2:10" s="59" customFormat="1" x14ac:dyDescent="0.2">
      <c r="B21" s="80" t="s">
        <v>134</v>
      </c>
      <c r="C21" s="80">
        <f>-1*C6/'P&amp;L'!C$7*360</f>
        <v>21.841541755888645</v>
      </c>
      <c r="D21" s="80">
        <f>-1*D6/'P&amp;L'!D$7*360</f>
        <v>23.94793926247289</v>
      </c>
      <c r="E21" s="80">
        <f>-1*E6/'P&amp;L'!E$7*360</f>
        <v>28.96854425749817</v>
      </c>
      <c r="F21" s="80">
        <f t="shared" si="4"/>
        <v>24.919341758619904</v>
      </c>
      <c r="G21" s="80">
        <f t="shared" si="3"/>
        <v>24.919341758619904</v>
      </c>
      <c r="H21" s="80">
        <f t="shared" si="3"/>
        <v>24.919341758619904</v>
      </c>
      <c r="I21" s="80">
        <f t="shared" si="3"/>
        <v>24.919341758619904</v>
      </c>
      <c r="J21" s="80">
        <f t="shared" si="3"/>
        <v>24.919341758619904</v>
      </c>
    </row>
    <row r="22" spans="2:10" s="59" customFormat="1" x14ac:dyDescent="0.2">
      <c r="B22" s="80" t="s">
        <v>135</v>
      </c>
      <c r="C22" s="81">
        <f>C9/'P&amp;L'!C$6</f>
        <v>1.5708418891170431E-2</v>
      </c>
      <c r="D22" s="81">
        <f>D9/'P&amp;L'!D$6</f>
        <v>1.5717158176943698E-2</v>
      </c>
      <c r="E22" s="81">
        <f>E9/'P&amp;L'!E$6</f>
        <v>2.2368421052631579E-2</v>
      </c>
      <c r="F22" s="81">
        <f t="shared" si="4"/>
        <v>1.7931332706915236E-2</v>
      </c>
      <c r="G22" s="81">
        <f t="shared" si="3"/>
        <v>1.7931332706915236E-2</v>
      </c>
      <c r="H22" s="81">
        <f t="shared" si="3"/>
        <v>1.7931332706915236E-2</v>
      </c>
      <c r="I22" s="81">
        <f t="shared" si="3"/>
        <v>1.7931332706915236E-2</v>
      </c>
      <c r="J22" s="81">
        <f t="shared" si="3"/>
        <v>1.7931332706915236E-2</v>
      </c>
    </row>
    <row r="23" spans="2:10" s="59" customFormat="1" x14ac:dyDescent="0.2">
      <c r="B23" s="80" t="s">
        <v>136</v>
      </c>
      <c r="C23" s="81">
        <f>C15/'P&amp;L'!C$6</f>
        <v>1.6529774127310062E-2</v>
      </c>
      <c r="D23" s="81">
        <f>D15/'P&amp;L'!D$6</f>
        <v>1.4510723860589811E-2</v>
      </c>
      <c r="E23" s="81">
        <f>E15/'P&amp;L'!E$6</f>
        <v>1.2796052631578948E-2</v>
      </c>
      <c r="F23" s="81">
        <f t="shared" si="4"/>
        <v>1.4612183539826273E-2</v>
      </c>
      <c r="G23" s="81">
        <f t="shared" si="3"/>
        <v>1.4612183539826273E-2</v>
      </c>
      <c r="H23" s="81">
        <f t="shared" si="3"/>
        <v>1.4612183539826273E-2</v>
      </c>
      <c r="I23" s="81">
        <f t="shared" si="3"/>
        <v>1.4612183539826273E-2</v>
      </c>
      <c r="J23" s="81">
        <f t="shared" si="3"/>
        <v>1.4612183539826273E-2</v>
      </c>
    </row>
    <row r="24" spans="2:10" s="59" customFormat="1" x14ac:dyDescent="0.2"/>
    <row r="25" spans="2:10" s="59" customFormat="1" x14ac:dyDescent="0.2">
      <c r="B25" s="61" t="s">
        <v>121</v>
      </c>
      <c r="C25" s="61">
        <f>C10-C17</f>
        <v>0</v>
      </c>
      <c r="D25" s="61">
        <f>D10-D17</f>
        <v>0</v>
      </c>
      <c r="E25" s="61">
        <f>E10-E17</f>
        <v>0</v>
      </c>
      <c r="F25" s="61">
        <f t="shared" ref="F25:J25" si="5">F10-F17</f>
        <v>-409.58712299964452</v>
      </c>
      <c r="G25" s="61">
        <f t="shared" si="5"/>
        <v>-559.82481259150927</v>
      </c>
      <c r="H25" s="61">
        <f t="shared" si="5"/>
        <v>-714.36121998729186</v>
      </c>
      <c r="I25" s="61">
        <f t="shared" si="5"/>
        <v>-873.18824782911292</v>
      </c>
      <c r="J25" s="61">
        <f t="shared" si="5"/>
        <v>-1036.2848142743742</v>
      </c>
    </row>
    <row r="26" spans="2:10" s="59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E24" sqref="E24"/>
    </sheetView>
  </sheetViews>
  <sheetFormatPr defaultRowHeight="12" x14ac:dyDescent="0.2"/>
  <cols>
    <col min="1" max="1" width="2" style="48" customWidth="1"/>
    <col min="2" max="2" width="19.85546875" style="48" customWidth="1"/>
    <col min="3" max="16384" width="9.140625" style="48"/>
  </cols>
  <sheetData>
    <row r="1" spans="2:10" ht="15.75" x14ac:dyDescent="0.25">
      <c r="B1" s="25" t="s">
        <v>137</v>
      </c>
    </row>
    <row r="3" spans="2:10" x14ac:dyDescent="0.2">
      <c r="F3" s="89" t="s">
        <v>122</v>
      </c>
      <c r="G3" s="89"/>
      <c r="H3" s="89"/>
      <c r="I3" s="89"/>
      <c r="J3" s="89"/>
    </row>
    <row r="4" spans="2:10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138</v>
      </c>
      <c r="C5" s="70"/>
      <c r="D5" s="59">
        <f>BS!C7</f>
        <v>632.5</v>
      </c>
      <c r="E5" s="59">
        <f>BS!D7</f>
        <v>632.5</v>
      </c>
      <c r="F5" s="59">
        <f>E8</f>
        <v>659.5</v>
      </c>
      <c r="G5" s="59">
        <f t="shared" ref="G5:J5" si="0">F8</f>
        <v>673.57628458498027</v>
      </c>
      <c r="H5" s="59">
        <f t="shared" si="0"/>
        <v>687.95301160774272</v>
      </c>
      <c r="I5" s="59">
        <f t="shared" si="0"/>
        <v>702.6365936736787</v>
      </c>
      <c r="J5" s="59">
        <f t="shared" si="0"/>
        <v>717.63358025801801</v>
      </c>
    </row>
    <row r="6" spans="2:10" x14ac:dyDescent="0.2">
      <c r="B6" s="59" t="s">
        <v>12</v>
      </c>
      <c r="C6" s="70"/>
      <c r="D6" s="59">
        <f>'P&amp;L'!D11</f>
        <v>-44</v>
      </c>
      <c r="E6" s="59">
        <f>'P&amp;L'!E11</f>
        <v>-41</v>
      </c>
      <c r="F6" s="59">
        <f>F$5*F10</f>
        <v>-44.314229249011859</v>
      </c>
      <c r="G6" s="59">
        <f t="shared" ref="G6:J6" si="1">G$5*G10</f>
        <v>-45.260066553140966</v>
      </c>
      <c r="H6" s="59">
        <f t="shared" si="1"/>
        <v>-46.22609168905781</v>
      </c>
      <c r="I6" s="59">
        <f t="shared" si="1"/>
        <v>-47.212735543290663</v>
      </c>
      <c r="J6" s="59">
        <f t="shared" si="1"/>
        <v>-48.22043819915536</v>
      </c>
    </row>
    <row r="7" spans="2:10" x14ac:dyDescent="0.2">
      <c r="B7" s="59" t="s">
        <v>139</v>
      </c>
      <c r="C7" s="70"/>
      <c r="D7" s="59">
        <f>D8-D6-D5</f>
        <v>44</v>
      </c>
      <c r="E7" s="59">
        <f>E8-E6-E5</f>
        <v>68</v>
      </c>
      <c r="F7" s="59">
        <f t="shared" ref="F7:J7" si="2">F$5*F11</f>
        <v>58.390513833992095</v>
      </c>
      <c r="G7" s="59">
        <f t="shared" si="2"/>
        <v>59.63679357590339</v>
      </c>
      <c r="H7" s="59">
        <f t="shared" si="2"/>
        <v>60.909673754993825</v>
      </c>
      <c r="I7" s="59">
        <f t="shared" si="2"/>
        <v>62.209722127630052</v>
      </c>
      <c r="J7" s="59">
        <f t="shared" si="2"/>
        <v>63.537518568298829</v>
      </c>
    </row>
    <row r="8" spans="2:10" ht="12.75" thickBot="1" x14ac:dyDescent="0.25">
      <c r="B8" s="18" t="s">
        <v>140</v>
      </c>
      <c r="C8" s="18"/>
      <c r="D8" s="18">
        <f>BS!D7</f>
        <v>632.5</v>
      </c>
      <c r="E8" s="18">
        <f>BS!E7</f>
        <v>659.5</v>
      </c>
      <c r="F8" s="18">
        <f t="shared" ref="F8:J8" si="3">SUM(F5:F7)</f>
        <v>673.57628458498027</v>
      </c>
      <c r="G8" s="18">
        <f t="shared" si="3"/>
        <v>687.95301160774272</v>
      </c>
      <c r="H8" s="18">
        <f t="shared" si="3"/>
        <v>702.6365936736787</v>
      </c>
      <c r="I8" s="18">
        <f t="shared" si="3"/>
        <v>717.63358025801801</v>
      </c>
      <c r="J8" s="18">
        <f t="shared" si="3"/>
        <v>732.95066062716148</v>
      </c>
    </row>
    <row r="10" spans="2:10" x14ac:dyDescent="0.2">
      <c r="B10" s="81" t="s">
        <v>141</v>
      </c>
      <c r="C10" s="81"/>
      <c r="D10" s="81">
        <f>D6/D5</f>
        <v>-6.9565217391304349E-2</v>
      </c>
      <c r="E10" s="81">
        <f>E6/E5</f>
        <v>-6.4822134387351779E-2</v>
      </c>
      <c r="F10" s="81">
        <f>AVERAGE($D10:$E10)</f>
        <v>-6.7193675889328064E-2</v>
      </c>
      <c r="G10" s="81">
        <f t="shared" ref="G10:J11" si="4">AVERAGE($D10:$E10)</f>
        <v>-6.7193675889328064E-2</v>
      </c>
      <c r="H10" s="81">
        <f t="shared" si="4"/>
        <v>-6.7193675889328064E-2</v>
      </c>
      <c r="I10" s="81">
        <f t="shared" si="4"/>
        <v>-6.7193675889328064E-2</v>
      </c>
      <c r="J10" s="81">
        <f t="shared" si="4"/>
        <v>-6.7193675889328064E-2</v>
      </c>
    </row>
    <row r="11" spans="2:10" x14ac:dyDescent="0.2">
      <c r="B11" s="81" t="s">
        <v>142</v>
      </c>
      <c r="C11" s="81"/>
      <c r="D11" s="81">
        <f>D7/D5</f>
        <v>6.9565217391304349E-2</v>
      </c>
      <c r="E11" s="81">
        <f>E7/E5</f>
        <v>0.10750988142292491</v>
      </c>
      <c r="F11" s="81">
        <f t="shared" ref="F11" si="5">AVERAGE($D11:$E11)</f>
        <v>8.8537549407114627E-2</v>
      </c>
      <c r="G11" s="81">
        <f t="shared" si="4"/>
        <v>8.8537549407114627E-2</v>
      </c>
      <c r="H11" s="81">
        <f t="shared" si="4"/>
        <v>8.8537549407114627E-2</v>
      </c>
      <c r="I11" s="81">
        <f t="shared" si="4"/>
        <v>8.8537549407114627E-2</v>
      </c>
      <c r="J11" s="81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  <vt:lpstr>Fixed Assets Roll Forward</vt:lpstr>
      <vt:lpstr>Financial Liabilities</vt:lpstr>
      <vt:lpstr>Equity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2016-11-14T13:03:37Z</dcterms:modified>
</cp:coreProperties>
</file>