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codeName="ThisWorkbook"/>
  <mc:AlternateContent xmlns:mc="http://schemas.openxmlformats.org/markup-compatibility/2006">
    <mc:Choice Requires="x15">
      <x15ac:absPath xmlns:x15ac="http://schemas.microsoft.com/office/spreadsheetml/2010/11/ac" url="/Users/tanishqjain/Desktop/4-1/SOP/data/"/>
    </mc:Choice>
  </mc:AlternateContent>
  <xr:revisionPtr revIDLastSave="0" documentId="13_ncr:1_{81C50C0C-773F-E046-8555-E054919DB465}" xr6:coauthVersionLast="47" xr6:coauthVersionMax="47" xr10:uidLastSave="{00000000-0000-0000-0000-000000000000}"/>
  <bookViews>
    <workbookView xWindow="0" yWindow="0" windowWidth="28800" windowHeight="18000" activeTab="6" xr2:uid="{00000000-000D-0000-FFFF-FFFF00000000}"/>
  </bookViews>
  <sheets>
    <sheet name="Instructions" sheetId="16" r:id="rId1"/>
    <sheet name="Summary" sheetId="15" r:id="rId2"/>
    <sheet name="Checklist" sheetId="14" r:id="rId3"/>
    <sheet name="Balance Sheet" sheetId="2" r:id="rId4"/>
    <sheet name="Profit &amp; Loss" sheetId="1" r:id="rId5"/>
    <sheet name="Cash Flow" sheetId="4" r:id="rId6"/>
    <sheet name="Key Ratios" sheetId="17" r:id="rId7"/>
    <sheet name="Charts" sheetId="18" r:id="rId8"/>
    <sheet name="Common Size Analysis" sheetId="13" r:id="rId9"/>
    <sheet name="Dhandho IV" sheetId="9" r:id="rId10"/>
    <sheet name="Ben Graham Formula" sheetId="8" r:id="rId11"/>
    <sheet name="DCF" sheetId="11" r:id="rId12"/>
    <sheet name="Expected Returns" sheetId="12" r:id="rId13"/>
    <sheet name="Intrinsic Values" sheetId="10" r:id="rId14"/>
    <sheet name="Quarters" sheetId="3" r:id="rId15"/>
    <sheet name="Data Sheet" sheetId="6" r:id="rId16"/>
    <sheet name="Customization" sheetId="5" r:id="rId17"/>
  </sheets>
  <definedNames>
    <definedName name="UPDATE">'Data Sheet'!$E$1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K19" i="2" l="1"/>
  <c r="J19" i="2"/>
  <c r="I19" i="2"/>
  <c r="H19" i="2"/>
  <c r="G19" i="2"/>
  <c r="F19" i="2"/>
  <c r="E19" i="2"/>
  <c r="D19" i="2"/>
  <c r="K7" i="17" l="1"/>
  <c r="J7" i="17"/>
  <c r="I7" i="17"/>
  <c r="H7" i="17"/>
  <c r="G7" i="17"/>
  <c r="F7" i="17"/>
  <c r="E7" i="17"/>
  <c r="D7" i="17"/>
  <c r="C7" i="17"/>
  <c r="A53" i="18"/>
  <c r="A52" i="18"/>
  <c r="A51" i="18"/>
  <c r="B6" i="4"/>
  <c r="C6" i="4"/>
  <c r="D6" i="4"/>
  <c r="E6" i="4"/>
  <c r="F6" i="4"/>
  <c r="G6" i="4"/>
  <c r="H6" i="4"/>
  <c r="I6" i="4"/>
  <c r="J6" i="4"/>
  <c r="K6" i="4"/>
  <c r="L6" i="4" l="1"/>
  <c r="A22" i="17"/>
  <c r="A21" i="17"/>
  <c r="A17" i="17"/>
  <c r="A16" i="17"/>
  <c r="A15" i="17"/>
  <c r="B14" i="12" l="1"/>
  <c r="B11" i="15" l="1"/>
  <c r="B10" i="15"/>
  <c r="B9" i="15"/>
  <c r="B19" i="15"/>
  <c r="F4" i="13" l="1"/>
  <c r="K11" i="13" l="1"/>
  <c r="J11" i="13"/>
  <c r="I11" i="13"/>
  <c r="H11" i="13"/>
  <c r="G11" i="13"/>
  <c r="F11" i="13"/>
  <c r="E11" i="13"/>
  <c r="D11" i="13"/>
  <c r="C11" i="13"/>
  <c r="B11" i="13"/>
  <c r="K34" i="13"/>
  <c r="J34" i="13"/>
  <c r="I34" i="13"/>
  <c r="H34" i="13"/>
  <c r="G34" i="13"/>
  <c r="F34" i="13"/>
  <c r="E34" i="13"/>
  <c r="D34" i="13"/>
  <c r="C34" i="13"/>
  <c r="B34" i="13"/>
  <c r="K33" i="13"/>
  <c r="J33" i="13"/>
  <c r="I33" i="13"/>
  <c r="H33" i="13"/>
  <c r="G33" i="13"/>
  <c r="F33" i="13"/>
  <c r="E33" i="13"/>
  <c r="D33" i="13"/>
  <c r="C33" i="13"/>
  <c r="B33" i="13"/>
  <c r="K32" i="13"/>
  <c r="J32" i="13"/>
  <c r="I32" i="13"/>
  <c r="H32" i="13"/>
  <c r="G32" i="13"/>
  <c r="F32" i="13"/>
  <c r="E32" i="13"/>
  <c r="D32" i="13"/>
  <c r="C32" i="13"/>
  <c r="B32" i="13"/>
  <c r="K30" i="13"/>
  <c r="J30" i="13"/>
  <c r="I30" i="13"/>
  <c r="H30" i="13"/>
  <c r="G30" i="13"/>
  <c r="F30" i="13"/>
  <c r="E30" i="13"/>
  <c r="D30" i="13"/>
  <c r="C30" i="13"/>
  <c r="B30" i="13"/>
  <c r="K29" i="13"/>
  <c r="J29" i="13"/>
  <c r="I29" i="13"/>
  <c r="H29" i="13"/>
  <c r="G29" i="13"/>
  <c r="F29" i="13"/>
  <c r="E29" i="13"/>
  <c r="D29" i="13"/>
  <c r="C29" i="13"/>
  <c r="B29" i="13"/>
  <c r="K28" i="13"/>
  <c r="J28" i="13"/>
  <c r="I28" i="13"/>
  <c r="H28" i="13"/>
  <c r="G28" i="13"/>
  <c r="F28" i="13"/>
  <c r="E28" i="13"/>
  <c r="D28" i="13"/>
  <c r="C28" i="13"/>
  <c r="B28" i="13"/>
  <c r="K27" i="13"/>
  <c r="J27" i="13"/>
  <c r="I27" i="13"/>
  <c r="H27" i="13"/>
  <c r="G27" i="13"/>
  <c r="F27" i="13"/>
  <c r="E27" i="13"/>
  <c r="D27" i="13"/>
  <c r="C27" i="13"/>
  <c r="B27" i="13"/>
  <c r="K25" i="13"/>
  <c r="J25" i="13"/>
  <c r="I25" i="13"/>
  <c r="H25" i="13"/>
  <c r="G25" i="13"/>
  <c r="F25" i="13"/>
  <c r="E25" i="13"/>
  <c r="D25" i="13"/>
  <c r="C25" i="13"/>
  <c r="B25" i="13"/>
  <c r="K24" i="13"/>
  <c r="J24" i="13"/>
  <c r="I24" i="13"/>
  <c r="H24" i="13"/>
  <c r="G24" i="13"/>
  <c r="F24" i="13"/>
  <c r="E24" i="13"/>
  <c r="D24" i="13"/>
  <c r="C24" i="13"/>
  <c r="B24" i="13"/>
  <c r="K23" i="13"/>
  <c r="J23" i="13"/>
  <c r="I23" i="13"/>
  <c r="H23" i="13"/>
  <c r="G23" i="13"/>
  <c r="F23" i="13"/>
  <c r="E23" i="13"/>
  <c r="D23" i="13"/>
  <c r="C23" i="13"/>
  <c r="B23" i="13"/>
  <c r="K22" i="13"/>
  <c r="J22" i="13"/>
  <c r="I22" i="13"/>
  <c r="H22" i="13"/>
  <c r="G22" i="13"/>
  <c r="F22" i="13"/>
  <c r="E22" i="13"/>
  <c r="D22" i="13"/>
  <c r="C22" i="13"/>
  <c r="B22" i="13"/>
  <c r="K18" i="13"/>
  <c r="J18" i="13"/>
  <c r="I18" i="13"/>
  <c r="H18" i="13"/>
  <c r="G18" i="13"/>
  <c r="F18" i="13"/>
  <c r="E18" i="13"/>
  <c r="D18" i="13"/>
  <c r="C18" i="13"/>
  <c r="B18" i="13"/>
  <c r="K17" i="13"/>
  <c r="J17" i="13"/>
  <c r="I17" i="13"/>
  <c r="H17" i="13"/>
  <c r="G17" i="13"/>
  <c r="F17" i="13"/>
  <c r="E17" i="13"/>
  <c r="D17" i="13"/>
  <c r="C17" i="13"/>
  <c r="B17" i="13"/>
  <c r="K16" i="13"/>
  <c r="J16" i="13"/>
  <c r="I16" i="13"/>
  <c r="H16" i="13"/>
  <c r="G16" i="13"/>
  <c r="F16" i="13"/>
  <c r="E16" i="13"/>
  <c r="D16" i="13"/>
  <c r="C16" i="13"/>
  <c r="B16" i="13"/>
  <c r="K15" i="13"/>
  <c r="J15" i="13"/>
  <c r="I15" i="13"/>
  <c r="H15" i="13"/>
  <c r="G15" i="13"/>
  <c r="F15" i="13"/>
  <c r="E15" i="13"/>
  <c r="D15" i="13"/>
  <c r="C15" i="13"/>
  <c r="B15" i="13"/>
  <c r="K14" i="13"/>
  <c r="J14" i="13"/>
  <c r="I14" i="13"/>
  <c r="H14" i="13"/>
  <c r="G14" i="13"/>
  <c r="F14" i="13"/>
  <c r="E14" i="13"/>
  <c r="D14" i="13"/>
  <c r="C14" i="13"/>
  <c r="B14" i="13"/>
  <c r="K13" i="13"/>
  <c r="J13" i="13"/>
  <c r="I13" i="13"/>
  <c r="H13" i="13"/>
  <c r="G13" i="13"/>
  <c r="F13" i="13"/>
  <c r="E13" i="13"/>
  <c r="D13" i="13"/>
  <c r="C13" i="13"/>
  <c r="B13" i="13"/>
  <c r="K12" i="13"/>
  <c r="J12" i="13"/>
  <c r="I12" i="13"/>
  <c r="H12" i="13"/>
  <c r="G12" i="13"/>
  <c r="F12" i="13"/>
  <c r="E12" i="13"/>
  <c r="D12" i="13"/>
  <c r="C12" i="13"/>
  <c r="B12" i="13"/>
  <c r="K10" i="13"/>
  <c r="J10" i="13"/>
  <c r="I10" i="13"/>
  <c r="H10" i="13"/>
  <c r="G10" i="13"/>
  <c r="F10" i="13"/>
  <c r="E10" i="13"/>
  <c r="D10" i="13"/>
  <c r="C10" i="13"/>
  <c r="B10" i="13"/>
  <c r="K9" i="13"/>
  <c r="J9" i="13"/>
  <c r="I9" i="13"/>
  <c r="H9" i="13"/>
  <c r="G9" i="13"/>
  <c r="F9" i="13"/>
  <c r="E9" i="13"/>
  <c r="D9" i="13"/>
  <c r="C9" i="13"/>
  <c r="B9" i="13"/>
  <c r="K8" i="13"/>
  <c r="J8" i="13"/>
  <c r="I8" i="13"/>
  <c r="H8" i="13"/>
  <c r="G8" i="13"/>
  <c r="F8" i="13"/>
  <c r="E8" i="13"/>
  <c r="D8" i="13"/>
  <c r="C8" i="13"/>
  <c r="B8" i="13"/>
  <c r="K7" i="13"/>
  <c r="J7" i="13"/>
  <c r="I7" i="13"/>
  <c r="H7" i="13"/>
  <c r="G7" i="13"/>
  <c r="F7" i="13"/>
  <c r="E7" i="13"/>
  <c r="D7" i="13"/>
  <c r="C7" i="13"/>
  <c r="B7" i="13"/>
  <c r="K6" i="13"/>
  <c r="J6" i="13"/>
  <c r="I6" i="13"/>
  <c r="H6" i="13"/>
  <c r="G6" i="13"/>
  <c r="F6" i="13"/>
  <c r="E6" i="13"/>
  <c r="D6" i="13"/>
  <c r="C6" i="13"/>
  <c r="B6" i="13"/>
  <c r="K5" i="13"/>
  <c r="J5" i="13"/>
  <c r="I5" i="13"/>
  <c r="H5" i="13"/>
  <c r="G5" i="13"/>
  <c r="F5" i="13"/>
  <c r="E5" i="13"/>
  <c r="D5" i="13"/>
  <c r="C5" i="13"/>
  <c r="B5" i="13"/>
  <c r="K4" i="13"/>
  <c r="J4" i="13"/>
  <c r="I4" i="13"/>
  <c r="H4" i="13"/>
  <c r="G4" i="13"/>
  <c r="E4" i="13"/>
  <c r="D4" i="13"/>
  <c r="C4" i="13"/>
  <c r="B4" i="13"/>
  <c r="E5" i="11" l="1"/>
  <c r="B30" i="11"/>
  <c r="B16" i="12"/>
  <c r="B11" i="12"/>
  <c r="K4" i="12"/>
  <c r="B10" i="12" s="1"/>
  <c r="B13" i="12" s="1"/>
  <c r="J4" i="12"/>
  <c r="J5" i="12" s="1"/>
  <c r="I4" i="12"/>
  <c r="I5" i="12" s="1"/>
  <c r="H4" i="12"/>
  <c r="H5" i="12" s="1"/>
  <c r="G4" i="12"/>
  <c r="G5" i="12" s="1"/>
  <c r="F4" i="12"/>
  <c r="F5" i="12" s="1"/>
  <c r="E4" i="12"/>
  <c r="E5" i="12" s="1"/>
  <c r="D4" i="12"/>
  <c r="D5" i="12" s="1"/>
  <c r="C4" i="12"/>
  <c r="C5" i="12" s="1"/>
  <c r="B4" i="12"/>
  <c r="B5" i="12" s="1"/>
  <c r="K3" i="12"/>
  <c r="J3" i="12"/>
  <c r="I3" i="12"/>
  <c r="H3" i="12"/>
  <c r="G3" i="12"/>
  <c r="F3" i="12"/>
  <c r="E3" i="12"/>
  <c r="D3" i="12"/>
  <c r="C3" i="12"/>
  <c r="B3" i="12"/>
  <c r="A2" i="12"/>
  <c r="A2" i="11"/>
  <c r="C23" i="11"/>
  <c r="C22" i="11"/>
  <c r="C21" i="11"/>
  <c r="C20" i="11"/>
  <c r="C19" i="11"/>
  <c r="C18" i="11"/>
  <c r="C17" i="11"/>
  <c r="C16" i="11"/>
  <c r="C15" i="11"/>
  <c r="C14" i="11"/>
  <c r="K5" i="12" l="1"/>
  <c r="B15" i="12"/>
  <c r="B7" i="10" s="1"/>
  <c r="M4" i="12"/>
  <c r="L4" i="12"/>
  <c r="E7" i="8" l="1"/>
  <c r="A2" i="10"/>
  <c r="B8" i="10"/>
  <c r="D7" i="9" l="1"/>
  <c r="K7" i="9" s="1"/>
  <c r="A4" i="9"/>
  <c r="H4" i="9" s="1"/>
  <c r="D20" i="9"/>
  <c r="K20" i="9" s="1"/>
  <c r="B11" i="8" l="1"/>
  <c r="E11" i="8" s="1"/>
  <c r="K11" i="1" l="1"/>
  <c r="J11" i="1"/>
  <c r="I11" i="1"/>
  <c r="H11" i="1"/>
  <c r="G11" i="1"/>
  <c r="F11" i="1"/>
  <c r="E11" i="1"/>
  <c r="D11" i="1"/>
  <c r="C11" i="1"/>
  <c r="K10" i="1"/>
  <c r="J10" i="1"/>
  <c r="I10" i="1"/>
  <c r="H10" i="1"/>
  <c r="G10" i="1"/>
  <c r="F10" i="1"/>
  <c r="E10" i="1"/>
  <c r="D10" i="1"/>
  <c r="C10" i="1"/>
  <c r="K9" i="1"/>
  <c r="J9" i="1"/>
  <c r="I9" i="1"/>
  <c r="H9" i="1"/>
  <c r="G9" i="1"/>
  <c r="F9" i="1"/>
  <c r="E9" i="1"/>
  <c r="D9" i="1"/>
  <c r="C9" i="1"/>
  <c r="K8" i="1"/>
  <c r="J8" i="1"/>
  <c r="I8" i="1"/>
  <c r="H8" i="1"/>
  <c r="G8" i="1"/>
  <c r="F8" i="1"/>
  <c r="E8" i="1"/>
  <c r="D8" i="1"/>
  <c r="C8" i="1"/>
  <c r="K7" i="1"/>
  <c r="J7" i="1"/>
  <c r="I7" i="1"/>
  <c r="H7" i="1"/>
  <c r="G7" i="1"/>
  <c r="F7" i="1"/>
  <c r="E7" i="1"/>
  <c r="D7" i="1"/>
  <c r="C7" i="1"/>
  <c r="B11" i="1"/>
  <c r="B10" i="1"/>
  <c r="B9" i="1"/>
  <c r="B8" i="1"/>
  <c r="B7" i="1"/>
  <c r="B14" i="3" l="1"/>
  <c r="C14" i="3"/>
  <c r="D14" i="3"/>
  <c r="E14" i="3"/>
  <c r="F14" i="3"/>
  <c r="G14" i="3"/>
  <c r="H14" i="3"/>
  <c r="I14" i="3"/>
  <c r="J14" i="3"/>
  <c r="K14" i="3"/>
  <c r="C7" i="3" l="1"/>
  <c r="D7" i="3"/>
  <c r="E7" i="3"/>
  <c r="F7" i="3"/>
  <c r="G7" i="3"/>
  <c r="H7" i="3"/>
  <c r="I7" i="3"/>
  <c r="J7" i="3"/>
  <c r="K7" i="3"/>
  <c r="B7" i="3"/>
  <c r="C6" i="1"/>
  <c r="D6" i="1"/>
  <c r="E6" i="1"/>
  <c r="F6" i="1"/>
  <c r="G6" i="1"/>
  <c r="H6" i="1"/>
  <c r="I6" i="1"/>
  <c r="J6" i="1"/>
  <c r="K6" i="1"/>
  <c r="B6" i="1"/>
  <c r="B6" i="6" l="1"/>
  <c r="B12" i="15" s="1"/>
  <c r="B13" i="15" s="1"/>
  <c r="C17" i="2"/>
  <c r="D17" i="2"/>
  <c r="E17" i="2"/>
  <c r="F17" i="2"/>
  <c r="G17" i="2"/>
  <c r="H17" i="2"/>
  <c r="I17" i="2"/>
  <c r="J17" i="2"/>
  <c r="K17" i="2"/>
  <c r="C18" i="2"/>
  <c r="D18" i="2"/>
  <c r="E18" i="2"/>
  <c r="F18" i="2"/>
  <c r="G18" i="2"/>
  <c r="H18" i="2"/>
  <c r="I18" i="2"/>
  <c r="J18" i="2"/>
  <c r="K18" i="2"/>
  <c r="B17" i="2"/>
  <c r="C4" i="2"/>
  <c r="D4" i="2"/>
  <c r="E4" i="2"/>
  <c r="F4" i="2"/>
  <c r="G4" i="2"/>
  <c r="H4" i="2"/>
  <c r="I4" i="2"/>
  <c r="J4" i="2"/>
  <c r="K4" i="2"/>
  <c r="C5" i="2"/>
  <c r="D5" i="2"/>
  <c r="E5" i="2"/>
  <c r="F5" i="2"/>
  <c r="G5" i="2"/>
  <c r="H5" i="2"/>
  <c r="I5" i="2"/>
  <c r="J5" i="2"/>
  <c r="K5" i="2"/>
  <c r="C6" i="2"/>
  <c r="C19" i="17" s="1"/>
  <c r="D6" i="2"/>
  <c r="E6" i="2"/>
  <c r="F6" i="2"/>
  <c r="G6" i="2"/>
  <c r="G19" i="17" s="1"/>
  <c r="H6" i="2"/>
  <c r="H19" i="17" s="1"/>
  <c r="I6" i="2"/>
  <c r="I19" i="17" s="1"/>
  <c r="J6" i="2"/>
  <c r="J19" i="17" s="1"/>
  <c r="K6" i="2"/>
  <c r="K19" i="17" s="1"/>
  <c r="C7" i="2"/>
  <c r="D7" i="2"/>
  <c r="E7" i="2"/>
  <c r="F7" i="2"/>
  <c r="G7" i="2"/>
  <c r="H7" i="2"/>
  <c r="I7" i="2"/>
  <c r="J7" i="2"/>
  <c r="K7" i="2"/>
  <c r="C8" i="2"/>
  <c r="D8" i="2"/>
  <c r="E8" i="2"/>
  <c r="F8" i="2"/>
  <c r="G8" i="2"/>
  <c r="H8" i="2"/>
  <c r="I8" i="2"/>
  <c r="J8" i="2"/>
  <c r="K8" i="2"/>
  <c r="C10" i="2"/>
  <c r="D10" i="2"/>
  <c r="E10" i="2"/>
  <c r="F10" i="2"/>
  <c r="G10" i="2"/>
  <c r="H10" i="2"/>
  <c r="I10" i="2"/>
  <c r="J10" i="2"/>
  <c r="K10" i="2"/>
  <c r="C11" i="2"/>
  <c r="D11" i="2"/>
  <c r="E11" i="2"/>
  <c r="F11" i="2"/>
  <c r="G11" i="2"/>
  <c r="H11" i="2"/>
  <c r="I11" i="2"/>
  <c r="J11" i="2"/>
  <c r="K11" i="2"/>
  <c r="C12" i="2"/>
  <c r="D12" i="2"/>
  <c r="E12" i="2"/>
  <c r="F12" i="2"/>
  <c r="G12" i="2"/>
  <c r="H12" i="2"/>
  <c r="I12" i="2"/>
  <c r="J12" i="2"/>
  <c r="K12" i="2"/>
  <c r="C13" i="2"/>
  <c r="D13" i="2"/>
  <c r="E13" i="2"/>
  <c r="F13" i="2"/>
  <c r="G13" i="2"/>
  <c r="H13" i="2"/>
  <c r="I13" i="2"/>
  <c r="J13" i="2"/>
  <c r="K13" i="2"/>
  <c r="C14" i="2"/>
  <c r="D14" i="2"/>
  <c r="E14" i="2"/>
  <c r="F14" i="2"/>
  <c r="G14" i="2"/>
  <c r="H14" i="2"/>
  <c r="I14" i="2"/>
  <c r="J14" i="2"/>
  <c r="K14" i="2"/>
  <c r="B14" i="2"/>
  <c r="B5" i="2"/>
  <c r="B4" i="2"/>
  <c r="C4" i="4"/>
  <c r="C74" i="18" s="1"/>
  <c r="D4" i="4"/>
  <c r="D74" i="18" s="1"/>
  <c r="E4" i="4"/>
  <c r="E74" i="18" s="1"/>
  <c r="F4" i="4"/>
  <c r="F74" i="18" s="1"/>
  <c r="G4" i="4"/>
  <c r="H4" i="4"/>
  <c r="H74" i="18" s="1"/>
  <c r="I4" i="4"/>
  <c r="I74" i="18" s="1"/>
  <c r="J4" i="4"/>
  <c r="J74" i="18" s="1"/>
  <c r="K4" i="4"/>
  <c r="C7" i="4"/>
  <c r="D7" i="4"/>
  <c r="E7" i="4"/>
  <c r="F7" i="4"/>
  <c r="G7" i="4"/>
  <c r="H7" i="4"/>
  <c r="I7" i="4"/>
  <c r="J7" i="4"/>
  <c r="K7" i="4"/>
  <c r="C8" i="4"/>
  <c r="D8" i="4"/>
  <c r="E8" i="4"/>
  <c r="F8" i="4"/>
  <c r="G8" i="4"/>
  <c r="H8" i="4"/>
  <c r="I8" i="4"/>
  <c r="J8" i="4"/>
  <c r="K8" i="4"/>
  <c r="C4" i="3"/>
  <c r="D4" i="3"/>
  <c r="E4" i="3"/>
  <c r="F4" i="3"/>
  <c r="G4" i="3"/>
  <c r="H4" i="3"/>
  <c r="I4" i="3"/>
  <c r="J4" i="3"/>
  <c r="J5" i="3" s="1"/>
  <c r="K4" i="3"/>
  <c r="K5" i="3" s="1"/>
  <c r="C6" i="3"/>
  <c r="D6" i="3"/>
  <c r="E6" i="3"/>
  <c r="F6" i="3"/>
  <c r="G6" i="3"/>
  <c r="H6" i="3"/>
  <c r="I6" i="3"/>
  <c r="J6" i="3"/>
  <c r="K6" i="3"/>
  <c r="C8" i="3"/>
  <c r="D8" i="3"/>
  <c r="E8" i="3"/>
  <c r="F8" i="3"/>
  <c r="G8" i="3"/>
  <c r="H8" i="3"/>
  <c r="I8" i="3"/>
  <c r="J8" i="3"/>
  <c r="K8" i="3"/>
  <c r="C9" i="3"/>
  <c r="D9" i="3"/>
  <c r="E9" i="3"/>
  <c r="F9" i="3"/>
  <c r="G9" i="3"/>
  <c r="H9" i="3"/>
  <c r="I9" i="3"/>
  <c r="J9" i="3"/>
  <c r="K9" i="3"/>
  <c r="C10" i="3"/>
  <c r="D10" i="3"/>
  <c r="E10" i="3"/>
  <c r="F10" i="3"/>
  <c r="G10" i="3"/>
  <c r="H10" i="3"/>
  <c r="I10" i="3"/>
  <c r="J10" i="3"/>
  <c r="K10" i="3"/>
  <c r="C11" i="3"/>
  <c r="D11" i="3"/>
  <c r="E11" i="3"/>
  <c r="F11" i="3"/>
  <c r="F12" i="3" s="1"/>
  <c r="G11" i="3"/>
  <c r="G12" i="3" s="1"/>
  <c r="H11" i="3"/>
  <c r="I11" i="3"/>
  <c r="J11" i="3"/>
  <c r="K11" i="3"/>
  <c r="C15" i="3"/>
  <c r="D15" i="3"/>
  <c r="E15" i="3"/>
  <c r="F15" i="3"/>
  <c r="G15" i="3"/>
  <c r="G16" i="3" s="1"/>
  <c r="H15" i="3"/>
  <c r="I15" i="3"/>
  <c r="J15" i="3"/>
  <c r="K15" i="3"/>
  <c r="B6" i="3"/>
  <c r="C30" i="1"/>
  <c r="D30" i="1"/>
  <c r="E30" i="1"/>
  <c r="F30" i="1"/>
  <c r="G30" i="1"/>
  <c r="H30" i="1"/>
  <c r="I30" i="1"/>
  <c r="J30" i="1"/>
  <c r="K30" i="1"/>
  <c r="B30" i="1"/>
  <c r="C4" i="1"/>
  <c r="D4" i="1"/>
  <c r="E4" i="1"/>
  <c r="F4" i="1"/>
  <c r="G4" i="1"/>
  <c r="H4" i="1"/>
  <c r="I4" i="1"/>
  <c r="J4" i="1"/>
  <c r="K4" i="1"/>
  <c r="C14" i="1"/>
  <c r="D14" i="1"/>
  <c r="D15" i="1" s="1"/>
  <c r="E14" i="1"/>
  <c r="F14" i="1"/>
  <c r="F15" i="1" s="1"/>
  <c r="G14" i="1"/>
  <c r="H14" i="1"/>
  <c r="H15" i="1" s="1"/>
  <c r="I14" i="1"/>
  <c r="J14" i="1"/>
  <c r="J15" i="1" s="1"/>
  <c r="K14" i="1"/>
  <c r="C16" i="1"/>
  <c r="D16" i="1"/>
  <c r="E16" i="1"/>
  <c r="F16" i="1"/>
  <c r="G16" i="1"/>
  <c r="H16" i="1"/>
  <c r="I16" i="1"/>
  <c r="J16" i="1"/>
  <c r="K16" i="1"/>
  <c r="C17" i="1"/>
  <c r="D17" i="1"/>
  <c r="E17" i="1"/>
  <c r="F17" i="1"/>
  <c r="G17" i="1"/>
  <c r="H17" i="1"/>
  <c r="I17" i="1"/>
  <c r="J17" i="1"/>
  <c r="K17" i="1"/>
  <c r="C22" i="1"/>
  <c r="D22" i="1"/>
  <c r="E22" i="1"/>
  <c r="F22" i="1"/>
  <c r="G22" i="1"/>
  <c r="H22" i="1"/>
  <c r="I22" i="1"/>
  <c r="J22" i="1"/>
  <c r="K22" i="1"/>
  <c r="C29" i="1"/>
  <c r="C31" i="1" s="1"/>
  <c r="D29" i="1"/>
  <c r="D31" i="1" s="1"/>
  <c r="E29" i="1"/>
  <c r="E31" i="1" s="1"/>
  <c r="F29" i="1"/>
  <c r="F31" i="1" s="1"/>
  <c r="G29" i="1"/>
  <c r="G31" i="1" s="1"/>
  <c r="H29" i="1"/>
  <c r="H31" i="1" s="1"/>
  <c r="I29" i="1"/>
  <c r="I31" i="1" s="1"/>
  <c r="J29" i="1"/>
  <c r="J31" i="1" s="1"/>
  <c r="K29" i="1"/>
  <c r="K31" i="1" s="1"/>
  <c r="B29" i="1"/>
  <c r="B31" i="1" s="1"/>
  <c r="B14" i="1"/>
  <c r="B4" i="1"/>
  <c r="A2" i="1"/>
  <c r="E1" i="6"/>
  <c r="D12" i="3" l="1"/>
  <c r="I5" i="3"/>
  <c r="A2" i="2"/>
  <c r="A2" i="17"/>
  <c r="D12" i="1"/>
  <c r="D68" i="18"/>
  <c r="H16" i="3"/>
  <c r="D19" i="17"/>
  <c r="G5" i="4"/>
  <c r="G8" i="17" s="1"/>
  <c r="G74" i="18"/>
  <c r="H12" i="1"/>
  <c r="H68" i="18"/>
  <c r="B12" i="1"/>
  <c r="B68" i="18"/>
  <c r="C12" i="1"/>
  <c r="C19" i="1" s="1"/>
  <c r="C68" i="18"/>
  <c r="J12" i="1"/>
  <c r="J68" i="18"/>
  <c r="I12" i="1"/>
  <c r="I68" i="18"/>
  <c r="G12" i="1"/>
  <c r="G68" i="18"/>
  <c r="F12" i="1"/>
  <c r="F68" i="18"/>
  <c r="J16" i="3"/>
  <c r="C12" i="3"/>
  <c r="H5" i="3"/>
  <c r="K5" i="4"/>
  <c r="K8" i="17" s="1"/>
  <c r="K74" i="18"/>
  <c r="F19" i="17"/>
  <c r="K12" i="1"/>
  <c r="K68" i="18"/>
  <c r="K16" i="3"/>
  <c r="E12" i="1"/>
  <c r="E68" i="18"/>
  <c r="I16" i="3"/>
  <c r="G5" i="3"/>
  <c r="E19" i="17"/>
  <c r="C12" i="4"/>
  <c r="C75" i="18" s="1"/>
  <c r="J12" i="4"/>
  <c r="J75" i="18" s="1"/>
  <c r="J5" i="4"/>
  <c r="J8" i="17" s="1"/>
  <c r="F12" i="4"/>
  <c r="F75" i="18" s="1"/>
  <c r="F5" i="4"/>
  <c r="F8" i="17" s="1"/>
  <c r="I12" i="4"/>
  <c r="I75" i="18" s="1"/>
  <c r="I5" i="4"/>
  <c r="I8" i="17" s="1"/>
  <c r="E12" i="4"/>
  <c r="E75" i="18" s="1"/>
  <c r="E5" i="4"/>
  <c r="E8" i="17" s="1"/>
  <c r="H12" i="4"/>
  <c r="H75" i="18" s="1"/>
  <c r="H5" i="4"/>
  <c r="H8" i="17" s="1"/>
  <c r="D12" i="4"/>
  <c r="D75" i="18" s="1"/>
  <c r="D5" i="4"/>
  <c r="D8" i="17" s="1"/>
  <c r="D16" i="4"/>
  <c r="I19" i="1"/>
  <c r="E19" i="1"/>
  <c r="E21" i="1" s="1"/>
  <c r="E12" i="17" s="1"/>
  <c r="E52" i="18" s="1"/>
  <c r="K15" i="1"/>
  <c r="G15" i="1"/>
  <c r="C15" i="1"/>
  <c r="H25" i="2"/>
  <c r="H18" i="17" s="1"/>
  <c r="D25" i="2"/>
  <c r="D18" i="17" s="1"/>
  <c r="K25" i="2"/>
  <c r="K18" i="17" s="1"/>
  <c r="B11" i="11"/>
  <c r="G25" i="2"/>
  <c r="G18" i="17" s="1"/>
  <c r="C25" i="2"/>
  <c r="C18" i="17" s="1"/>
  <c r="H19" i="1"/>
  <c r="D19" i="1"/>
  <c r="B15" i="1"/>
  <c r="K19" i="1"/>
  <c r="G19" i="1"/>
  <c r="I15" i="1"/>
  <c r="E15" i="1"/>
  <c r="J19" i="1"/>
  <c r="F19" i="1"/>
  <c r="C37" i="1"/>
  <c r="D37" i="1"/>
  <c r="E37" i="1"/>
  <c r="B37" i="1"/>
  <c r="B17" i="15" s="1"/>
  <c r="F13" i="9"/>
  <c r="K12" i="4"/>
  <c r="K13" i="3"/>
  <c r="K12" i="3"/>
  <c r="H13" i="3"/>
  <c r="H12" i="3"/>
  <c r="J13" i="3"/>
  <c r="J12" i="3"/>
  <c r="J25" i="2"/>
  <c r="J18" i="17" s="1"/>
  <c r="F25" i="2"/>
  <c r="F18" i="17" s="1"/>
  <c r="I13" i="3"/>
  <c r="I12" i="3"/>
  <c r="E12" i="3"/>
  <c r="I25" i="2"/>
  <c r="I18" i="17" s="1"/>
  <c r="E25" i="2"/>
  <c r="E18" i="17" s="1"/>
  <c r="D18" i="1"/>
  <c r="D20" i="17" s="1"/>
  <c r="G13" i="3"/>
  <c r="F5" i="1"/>
  <c r="F4" i="17" s="1"/>
  <c r="E62" i="18" s="1"/>
  <c r="F9" i="4"/>
  <c r="F24" i="2"/>
  <c r="F17" i="17" s="1"/>
  <c r="I24" i="2"/>
  <c r="I17" i="17" s="1"/>
  <c r="I9" i="4"/>
  <c r="E24" i="2"/>
  <c r="E17" i="17" s="1"/>
  <c r="E9" i="4"/>
  <c r="H24" i="2"/>
  <c r="H17" i="17" s="1"/>
  <c r="H9" i="4"/>
  <c r="D5" i="1"/>
  <c r="D4" i="17" s="1"/>
  <c r="C62" i="18" s="1"/>
  <c r="D24" i="2"/>
  <c r="D17" i="17" s="1"/>
  <c r="D9" i="4"/>
  <c r="J24" i="2"/>
  <c r="J17" i="17" s="1"/>
  <c r="J9" i="4"/>
  <c r="K24" i="2"/>
  <c r="K17" i="17" s="1"/>
  <c r="K9" i="4"/>
  <c r="G24" i="2"/>
  <c r="G17" i="17" s="1"/>
  <c r="G9" i="4"/>
  <c r="C24" i="2"/>
  <c r="C17" i="17" s="1"/>
  <c r="C9" i="4"/>
  <c r="E5" i="1"/>
  <c r="E4" i="17" s="1"/>
  <c r="D62" i="18" s="1"/>
  <c r="I5" i="1"/>
  <c r="I4" i="17" s="1"/>
  <c r="H62" i="18" s="1"/>
  <c r="H5" i="1"/>
  <c r="H4" i="17" s="1"/>
  <c r="G62" i="18" s="1"/>
  <c r="J5" i="1"/>
  <c r="J4" i="17" s="1"/>
  <c r="I62" i="18" s="1"/>
  <c r="K5" i="1"/>
  <c r="K4" i="17" s="1"/>
  <c r="J62" i="18" s="1"/>
  <c r="G5" i="1"/>
  <c r="G4" i="17" s="1"/>
  <c r="F62" i="18" s="1"/>
  <c r="C5" i="1"/>
  <c r="C4" i="17" s="1"/>
  <c r="B62" i="18" s="1"/>
  <c r="B3" i="8"/>
  <c r="E3" i="8" s="1"/>
  <c r="E1" i="3"/>
  <c r="H16" i="2"/>
  <c r="D16" i="2"/>
  <c r="G16" i="2"/>
  <c r="I16" i="2"/>
  <c r="E16" i="2"/>
  <c r="K16" i="2"/>
  <c r="C16" i="2"/>
  <c r="J16" i="2"/>
  <c r="F16" i="2"/>
  <c r="C23" i="1" l="1"/>
  <c r="C69" i="18"/>
  <c r="C27" i="2"/>
  <c r="C22" i="17" s="1"/>
  <c r="C58" i="18" s="1"/>
  <c r="C18" i="1"/>
  <c r="C20" i="17" s="1"/>
  <c r="I27" i="2"/>
  <c r="I22" i="17" s="1"/>
  <c r="I58" i="18" s="1"/>
  <c r="I69" i="18"/>
  <c r="I18" i="1"/>
  <c r="I20" i="17" s="1"/>
  <c r="F23" i="1"/>
  <c r="F27" i="2"/>
  <c r="F22" i="17" s="1"/>
  <c r="F58" i="18" s="1"/>
  <c r="F69" i="18"/>
  <c r="C16" i="4"/>
  <c r="K23" i="17"/>
  <c r="K75" i="18"/>
  <c r="J23" i="1"/>
  <c r="J69" i="18"/>
  <c r="J27" i="2"/>
  <c r="J22" i="17" s="1"/>
  <c r="J58" i="18" s="1"/>
  <c r="D23" i="1"/>
  <c r="D27" i="2"/>
  <c r="D22" i="17" s="1"/>
  <c r="D58" i="18" s="1"/>
  <c r="D69" i="18"/>
  <c r="I23" i="1"/>
  <c r="J24" i="1" s="1"/>
  <c r="J6" i="17" s="1"/>
  <c r="I64" i="18" s="1"/>
  <c r="H23" i="1"/>
  <c r="H26" i="1" s="1"/>
  <c r="H27" i="2"/>
  <c r="H22" i="17" s="1"/>
  <c r="H58" i="18" s="1"/>
  <c r="H69" i="18"/>
  <c r="K23" i="1"/>
  <c r="K69" i="18"/>
  <c r="K27" i="2"/>
  <c r="K22" i="17" s="1"/>
  <c r="K58" i="18" s="1"/>
  <c r="H15" i="4"/>
  <c r="J18" i="1"/>
  <c r="J20" i="17" s="1"/>
  <c r="G23" i="1"/>
  <c r="G27" i="2"/>
  <c r="G22" i="17" s="1"/>
  <c r="G58" i="18" s="1"/>
  <c r="G69" i="18"/>
  <c r="E23" i="1"/>
  <c r="E70" i="18" s="1"/>
  <c r="E27" i="2"/>
  <c r="E22" i="17" s="1"/>
  <c r="E58" i="18" s="1"/>
  <c r="E69" i="18"/>
  <c r="I21" i="1"/>
  <c r="I12" i="17" s="1"/>
  <c r="I52" i="18" s="1"/>
  <c r="D23" i="17"/>
  <c r="D14" i="4"/>
  <c r="D9" i="17" s="1"/>
  <c r="E23" i="17"/>
  <c r="E14" i="4"/>
  <c r="E9" i="17" s="1"/>
  <c r="F23" i="17"/>
  <c r="F14" i="4"/>
  <c r="F9" i="17" s="1"/>
  <c r="F16" i="4"/>
  <c r="D15" i="4"/>
  <c r="E15" i="4"/>
  <c r="H23" i="17"/>
  <c r="I23" i="17"/>
  <c r="I14" i="4"/>
  <c r="I9" i="17" s="1"/>
  <c r="J23" i="17"/>
  <c r="K14" i="4"/>
  <c r="K9" i="17" s="1"/>
  <c r="J14" i="4"/>
  <c r="J9" i="17" s="1"/>
  <c r="C23" i="17"/>
  <c r="J16" i="4"/>
  <c r="J15" i="4"/>
  <c r="I15" i="4"/>
  <c r="F15" i="4"/>
  <c r="H16" i="4"/>
  <c r="C15" i="4"/>
  <c r="E16" i="4"/>
  <c r="I16" i="4"/>
  <c r="E32" i="1"/>
  <c r="E10" i="4"/>
  <c r="E24" i="1"/>
  <c r="E6" i="17" s="1"/>
  <c r="D64" i="18" s="1"/>
  <c r="K18" i="1"/>
  <c r="K20" i="17" s="1"/>
  <c r="I10" i="4"/>
  <c r="K26" i="2"/>
  <c r="I24" i="1"/>
  <c r="I6" i="17" s="1"/>
  <c r="H64" i="18" s="1"/>
  <c r="E18" i="1"/>
  <c r="E20" i="17" s="1"/>
  <c r="K20" i="1"/>
  <c r="K5" i="17" s="1"/>
  <c r="J63" i="18" s="1"/>
  <c r="F15" i="9"/>
  <c r="K16" i="4"/>
  <c r="K15" i="4"/>
  <c r="B13" i="4"/>
  <c r="B4" i="11" s="1"/>
  <c r="B14" i="11" s="1"/>
  <c r="I26" i="2"/>
  <c r="K21" i="1"/>
  <c r="K12" i="17" s="1"/>
  <c r="K52" i="18" s="1"/>
  <c r="H18" i="1"/>
  <c r="H20" i="17" s="1"/>
  <c r="K10" i="4"/>
  <c r="H21" i="1"/>
  <c r="H12" i="17" s="1"/>
  <c r="H52" i="18" s="1"/>
  <c r="I25" i="1"/>
  <c r="I13" i="17" s="1"/>
  <c r="I53" i="18" s="1"/>
  <c r="I20" i="1"/>
  <c r="I5" i="17" s="1"/>
  <c r="H63" i="18" s="1"/>
  <c r="I26" i="1"/>
  <c r="I28" i="1" s="1"/>
  <c r="C38" i="1"/>
  <c r="E38" i="1"/>
  <c r="C26" i="2"/>
  <c r="D20" i="1"/>
  <c r="D5" i="17" s="1"/>
  <c r="C63" i="18" s="1"/>
  <c r="C32" i="1"/>
  <c r="G21" i="1"/>
  <c r="G12" i="17" s="1"/>
  <c r="G52" i="18" s="1"/>
  <c r="J21" i="1"/>
  <c r="J12" i="17" s="1"/>
  <c r="J52" i="18" s="1"/>
  <c r="J26" i="1"/>
  <c r="D26" i="1"/>
  <c r="D21" i="1"/>
  <c r="D12" i="17" s="1"/>
  <c r="D52" i="18" s="1"/>
  <c r="J20" i="1"/>
  <c r="J5" i="17" s="1"/>
  <c r="I63" i="18" s="1"/>
  <c r="H24" i="1"/>
  <c r="H6" i="17" s="1"/>
  <c r="G64" i="18" s="1"/>
  <c r="D24" i="1"/>
  <c r="D6" i="17" s="1"/>
  <c r="C64" i="18" s="1"/>
  <c r="H20" i="1"/>
  <c r="H5" i="17" s="1"/>
  <c r="G63" i="18" s="1"/>
  <c r="B6" i="8"/>
  <c r="E6" i="8" s="1"/>
  <c r="D38" i="1"/>
  <c r="C10" i="4"/>
  <c r="F20" i="1"/>
  <c r="F5" i="17" s="1"/>
  <c r="E63" i="18" s="1"/>
  <c r="J26" i="2"/>
  <c r="C21" i="1"/>
  <c r="C12" i="17" s="1"/>
  <c r="C52" i="18" s="1"/>
  <c r="E20" i="1"/>
  <c r="E5" i="17" s="1"/>
  <c r="D63" i="18" s="1"/>
  <c r="K24" i="1"/>
  <c r="K6" i="17" s="1"/>
  <c r="J64" i="18" s="1"/>
  <c r="G10" i="4"/>
  <c r="B20" i="15"/>
  <c r="F25" i="1"/>
  <c r="F13" i="17" s="1"/>
  <c r="F53" i="18" s="1"/>
  <c r="F21" i="1"/>
  <c r="F12" i="17" s="1"/>
  <c r="F52" i="18" s="1"/>
  <c r="F10" i="4"/>
  <c r="F14" i="9"/>
  <c r="B8" i="8"/>
  <c r="F26" i="1"/>
  <c r="F28" i="1" s="1"/>
  <c r="G20" i="1"/>
  <c r="G5" i="17" s="1"/>
  <c r="F63" i="18" s="1"/>
  <c r="E8" i="8"/>
  <c r="G24" i="1"/>
  <c r="G6" i="17" s="1"/>
  <c r="F64" i="18" s="1"/>
  <c r="F18" i="1"/>
  <c r="F20" i="17" s="1"/>
  <c r="G18" i="1"/>
  <c r="G20" i="17" s="1"/>
  <c r="D39" i="1"/>
  <c r="B13" i="1"/>
  <c r="B11" i="17" s="1"/>
  <c r="B51" i="18" s="1"/>
  <c r="H13" i="1"/>
  <c r="H11" i="17" s="1"/>
  <c r="H51" i="18" s="1"/>
  <c r="C13" i="1"/>
  <c r="C11" i="17" s="1"/>
  <c r="C51" i="18" s="1"/>
  <c r="E13" i="1"/>
  <c r="E11" i="17" s="1"/>
  <c r="E51" i="18" s="1"/>
  <c r="I13" i="1"/>
  <c r="I11" i="17" s="1"/>
  <c r="I51" i="18" s="1"/>
  <c r="F13" i="1"/>
  <c r="F11" i="17" s="1"/>
  <c r="F51" i="18" s="1"/>
  <c r="J13" i="1"/>
  <c r="J11" i="17" s="1"/>
  <c r="J51" i="18" s="1"/>
  <c r="G13" i="1"/>
  <c r="G11" i="17" s="1"/>
  <c r="G51" i="18" s="1"/>
  <c r="D13" i="1"/>
  <c r="D11" i="17" s="1"/>
  <c r="D51" i="18" s="1"/>
  <c r="K13" i="1"/>
  <c r="K11" i="17" s="1"/>
  <c r="K51" i="18" s="1"/>
  <c r="C3" i="4"/>
  <c r="D3" i="4"/>
  <c r="E3" i="4"/>
  <c r="F3" i="4"/>
  <c r="G3" i="4"/>
  <c r="H3" i="4"/>
  <c r="I3" i="4"/>
  <c r="J3" i="4"/>
  <c r="K3" i="4"/>
  <c r="C3" i="2"/>
  <c r="D3" i="2"/>
  <c r="E3" i="2"/>
  <c r="F3" i="2"/>
  <c r="G3" i="2"/>
  <c r="H3" i="2"/>
  <c r="I3" i="2"/>
  <c r="J3" i="2"/>
  <c r="K3" i="2"/>
  <c r="C3" i="3"/>
  <c r="D3" i="3"/>
  <c r="E3" i="3"/>
  <c r="F3" i="3"/>
  <c r="G3" i="3"/>
  <c r="H3" i="3"/>
  <c r="I3" i="3"/>
  <c r="J3" i="3"/>
  <c r="K3" i="3"/>
  <c r="C3" i="1"/>
  <c r="C3" i="17" s="1"/>
  <c r="C50" i="18" s="1"/>
  <c r="C56" i="18" s="1"/>
  <c r="D3" i="1"/>
  <c r="D3" i="17" s="1"/>
  <c r="D50" i="18" s="1"/>
  <c r="D56" i="18" s="1"/>
  <c r="E3" i="1"/>
  <c r="E3" i="17" s="1"/>
  <c r="E50" i="18" s="1"/>
  <c r="E56" i="18" s="1"/>
  <c r="F3" i="1"/>
  <c r="F3" i="17" s="1"/>
  <c r="F50" i="18" s="1"/>
  <c r="F56" i="18" s="1"/>
  <c r="G3" i="1"/>
  <c r="G3" i="17" s="1"/>
  <c r="G50" i="18" s="1"/>
  <c r="G56" i="18" s="1"/>
  <c r="H3" i="1"/>
  <c r="H3" i="17" s="1"/>
  <c r="H50" i="18" s="1"/>
  <c r="H56" i="18" s="1"/>
  <c r="I3" i="1"/>
  <c r="I3" i="17" s="1"/>
  <c r="I50" i="18" s="1"/>
  <c r="I56" i="18" s="1"/>
  <c r="J3" i="1"/>
  <c r="J3" i="17" s="1"/>
  <c r="J50" i="18" s="1"/>
  <c r="J56" i="18" s="1"/>
  <c r="K3" i="1"/>
  <c r="K3" i="17" s="1"/>
  <c r="K50" i="18" s="1"/>
  <c r="K56" i="18" s="1"/>
  <c r="I27" i="1" l="1"/>
  <c r="H28" i="1"/>
  <c r="K25" i="1"/>
  <c r="K13" i="17" s="1"/>
  <c r="K53" i="18" s="1"/>
  <c r="K70" i="18"/>
  <c r="K26" i="1"/>
  <c r="K28" i="1" s="1"/>
  <c r="F32" i="1"/>
  <c r="F70" i="18"/>
  <c r="K67" i="18"/>
  <c r="K73" i="18" s="1"/>
  <c r="J61" i="18"/>
  <c r="J67" i="18"/>
  <c r="J73" i="18" s="1"/>
  <c r="I61" i="18"/>
  <c r="G67" i="18"/>
  <c r="G73" i="18" s="1"/>
  <c r="F61" i="18"/>
  <c r="F67" i="18"/>
  <c r="F73" i="18" s="1"/>
  <c r="E61" i="18"/>
  <c r="E67" i="18"/>
  <c r="E73" i="18" s="1"/>
  <c r="D61" i="18"/>
  <c r="C61" i="18"/>
  <c r="D67" i="18"/>
  <c r="D73" i="18" s="1"/>
  <c r="E26" i="2"/>
  <c r="J32" i="1"/>
  <c r="J70" i="18"/>
  <c r="J10" i="4"/>
  <c r="J25" i="1"/>
  <c r="J13" i="17" s="1"/>
  <c r="J53" i="18" s="1"/>
  <c r="E26" i="1"/>
  <c r="G32" i="1"/>
  <c r="G70" i="18"/>
  <c r="G26" i="2"/>
  <c r="G25" i="1"/>
  <c r="G13" i="17" s="1"/>
  <c r="G53" i="18" s="1"/>
  <c r="H32" i="1"/>
  <c r="H70" i="18"/>
  <c r="H25" i="1"/>
  <c r="H13" i="17" s="1"/>
  <c r="H53" i="18" s="1"/>
  <c r="I21" i="17"/>
  <c r="I57" i="18" s="1"/>
  <c r="I6" i="12"/>
  <c r="K6" i="12"/>
  <c r="K21" i="17"/>
  <c r="K57" i="18" s="1"/>
  <c r="I32" i="1"/>
  <c r="I70" i="18"/>
  <c r="C67" i="18"/>
  <c r="C73" i="18" s="1"/>
  <c r="B61" i="18"/>
  <c r="I67" i="18"/>
  <c r="I73" i="18" s="1"/>
  <c r="H61" i="18"/>
  <c r="C21" i="17"/>
  <c r="C57" i="18" s="1"/>
  <c r="C6" i="12"/>
  <c r="J21" i="17"/>
  <c r="J57" i="18" s="1"/>
  <c r="J6" i="12"/>
  <c r="G61" i="18"/>
  <c r="H67" i="18"/>
  <c r="H73" i="18" s="1"/>
  <c r="F24" i="1"/>
  <c r="F6" i="17" s="1"/>
  <c r="E64" i="18" s="1"/>
  <c r="F26" i="2"/>
  <c r="G26" i="1"/>
  <c r="G28" i="1" s="1"/>
  <c r="H26" i="2"/>
  <c r="J28" i="1"/>
  <c r="E40" i="1" s="1"/>
  <c r="E27" i="1"/>
  <c r="H10" i="4"/>
  <c r="K32" i="1"/>
  <c r="E25" i="1"/>
  <c r="E13" i="17" s="1"/>
  <c r="E53" i="18" s="1"/>
  <c r="D32" i="1"/>
  <c r="D70" i="18"/>
  <c r="D10" i="4"/>
  <c r="D26" i="2"/>
  <c r="D25" i="1"/>
  <c r="D13" i="17" s="1"/>
  <c r="D53" i="18" s="1"/>
  <c r="C25" i="1"/>
  <c r="C13" i="17" s="1"/>
  <c r="C53" i="18" s="1"/>
  <c r="C70" i="18"/>
  <c r="C26" i="1"/>
  <c r="C28" i="1" s="1"/>
  <c r="C39" i="1"/>
  <c r="E39" i="1"/>
  <c r="D14" i="11"/>
  <c r="B15" i="11"/>
  <c r="E10" i="8"/>
  <c r="H27" i="1"/>
  <c r="G27" i="1"/>
  <c r="J27" i="1"/>
  <c r="B10" i="8"/>
  <c r="B5" i="10" s="1"/>
  <c r="B21" i="15"/>
  <c r="D28" i="1"/>
  <c r="C5" i="10"/>
  <c r="J8" i="9"/>
  <c r="C8" i="9"/>
  <c r="B4" i="8"/>
  <c r="E4" i="8" s="1"/>
  <c r="B8" i="4"/>
  <c r="L8" i="4" s="1"/>
  <c r="B7" i="4"/>
  <c r="L7" i="4" s="1"/>
  <c r="B4" i="4"/>
  <c r="B3" i="4"/>
  <c r="K23" i="2"/>
  <c r="K16" i="17" s="1"/>
  <c r="J23" i="2"/>
  <c r="J16" i="17" s="1"/>
  <c r="I23" i="2"/>
  <c r="I16" i="17" s="1"/>
  <c r="H23" i="2"/>
  <c r="H16" i="17" s="1"/>
  <c r="G23" i="2"/>
  <c r="G16" i="17" s="1"/>
  <c r="F23" i="2"/>
  <c r="F16" i="17" s="1"/>
  <c r="E23" i="2"/>
  <c r="E16" i="17" s="1"/>
  <c r="D23" i="2"/>
  <c r="D16" i="17" s="1"/>
  <c r="C23" i="2"/>
  <c r="C16" i="17" s="1"/>
  <c r="B18" i="2"/>
  <c r="B23" i="2" s="1"/>
  <c r="B16" i="17" s="1"/>
  <c r="B13" i="2"/>
  <c r="B12" i="2"/>
  <c r="B11" i="2"/>
  <c r="B10" i="2"/>
  <c r="B24" i="2" s="1"/>
  <c r="B17" i="17" s="1"/>
  <c r="B8" i="2"/>
  <c r="B7" i="2"/>
  <c r="B6" i="2"/>
  <c r="B3" i="2"/>
  <c r="J17" i="3"/>
  <c r="H17" i="3"/>
  <c r="F17" i="3"/>
  <c r="D17" i="3"/>
  <c r="B15" i="3"/>
  <c r="F16" i="3" s="1"/>
  <c r="B11" i="3"/>
  <c r="B10" i="3"/>
  <c r="B9" i="3"/>
  <c r="B8" i="3"/>
  <c r="B4" i="3"/>
  <c r="F5" i="3" s="1"/>
  <c r="B3" i="3"/>
  <c r="L29" i="1"/>
  <c r="B22" i="1"/>
  <c r="B17" i="1"/>
  <c r="B16" i="1"/>
  <c r="B22" i="2"/>
  <c r="B15" i="17" s="1"/>
  <c r="B3" i="1"/>
  <c r="B3" i="17" s="1"/>
  <c r="B50" i="18" s="1"/>
  <c r="B56" i="18" s="1"/>
  <c r="B67" i="18" s="1"/>
  <c r="B73" i="18" s="1"/>
  <c r="K27" i="1" l="1"/>
  <c r="B22" i="15"/>
  <c r="D6" i="12"/>
  <c r="D21" i="17"/>
  <c r="D57" i="18" s="1"/>
  <c r="G21" i="17"/>
  <c r="G57" i="18" s="1"/>
  <c r="G6" i="12"/>
  <c r="E6" i="12"/>
  <c r="E21" i="17"/>
  <c r="E57" i="18" s="1"/>
  <c r="D27" i="1"/>
  <c r="B19" i="1"/>
  <c r="B25" i="2"/>
  <c r="B18" i="17" s="1"/>
  <c r="B19" i="17"/>
  <c r="F6" i="12"/>
  <c r="F21" i="17"/>
  <c r="F57" i="18" s="1"/>
  <c r="H21" i="17"/>
  <c r="H57" i="18" s="1"/>
  <c r="H6" i="12"/>
  <c r="E28" i="1"/>
  <c r="C40" i="1" s="1"/>
  <c r="F27" i="1"/>
  <c r="D40" i="1"/>
  <c r="C5" i="4"/>
  <c r="C8" i="17" s="1"/>
  <c r="B74" i="18"/>
  <c r="B9" i="4"/>
  <c r="L4" i="4"/>
  <c r="B12" i="4"/>
  <c r="B75" i="18" s="1"/>
  <c r="D15" i="11"/>
  <c r="B16" i="11"/>
  <c r="B23" i="1"/>
  <c r="B10" i="4" s="1"/>
  <c r="B38" i="1"/>
  <c r="B18" i="15" s="1"/>
  <c r="C9" i="9"/>
  <c r="D9" i="9" s="1"/>
  <c r="D8" i="9"/>
  <c r="J9" i="9"/>
  <c r="K9" i="9" s="1"/>
  <c r="K8" i="9"/>
  <c r="F13" i="3"/>
  <c r="B12" i="3"/>
  <c r="B18" i="1"/>
  <c r="B20" i="17" s="1"/>
  <c r="C24" i="1"/>
  <c r="C6" i="17" s="1"/>
  <c r="B64" i="18" s="1"/>
  <c r="B21" i="1"/>
  <c r="C20" i="1"/>
  <c r="C5" i="17" s="1"/>
  <c r="B63" i="18" s="1"/>
  <c r="B16" i="2"/>
  <c r="B17" i="3"/>
  <c r="E17" i="3"/>
  <c r="I17" i="3"/>
  <c r="C17" i="3"/>
  <c r="G17" i="3"/>
  <c r="K17" i="3"/>
  <c r="G22" i="2"/>
  <c r="G15" i="17" s="1"/>
  <c r="I22" i="2"/>
  <c r="I15" i="17" s="1"/>
  <c r="K22" i="2"/>
  <c r="K15" i="17" s="1"/>
  <c r="D22" i="2"/>
  <c r="D15" i="17" s="1"/>
  <c r="F22" i="2"/>
  <c r="F15" i="17" s="1"/>
  <c r="H22" i="2"/>
  <c r="H15" i="17" s="1"/>
  <c r="J22" i="2"/>
  <c r="J15" i="17" s="1"/>
  <c r="C22" i="2"/>
  <c r="C15" i="17" s="1"/>
  <c r="E22" i="2"/>
  <c r="E15" i="17" s="1"/>
  <c r="L22" i="1"/>
  <c r="L17" i="1"/>
  <c r="L16" i="1"/>
  <c r="L14" i="1"/>
  <c r="L4" i="1"/>
  <c r="A1" i="3"/>
  <c r="A2" i="4"/>
  <c r="B39" i="1" l="1"/>
  <c r="B12" i="17"/>
  <c r="B52" i="18" s="1"/>
  <c r="B25" i="1"/>
  <c r="B13" i="17" s="1"/>
  <c r="B53" i="18" s="1"/>
  <c r="B32" i="1"/>
  <c r="B33" i="1" s="1"/>
  <c r="B70" i="18"/>
  <c r="B26" i="2"/>
  <c r="B69" i="18"/>
  <c r="B27" i="2"/>
  <c r="B22" i="17" s="1"/>
  <c r="B58" i="18" s="1"/>
  <c r="B26" i="1"/>
  <c r="B23" i="17"/>
  <c r="C14" i="4"/>
  <c r="C9" i="17" s="1"/>
  <c r="B16" i="4"/>
  <c r="B15" i="4"/>
  <c r="D16" i="11"/>
  <c r="B17" i="11"/>
  <c r="L15" i="1"/>
  <c r="J10" i="9"/>
  <c r="K10" i="9" s="1"/>
  <c r="C10" i="9"/>
  <c r="D10" i="9" s="1"/>
  <c r="B28" i="1"/>
  <c r="B40" i="1" s="1"/>
  <c r="C27" i="1"/>
  <c r="L6" i="1"/>
  <c r="L12" i="1" s="1"/>
  <c r="B21" i="17" l="1"/>
  <c r="B57" i="18" s="1"/>
  <c r="B6" i="12"/>
  <c r="D17" i="11"/>
  <c r="B18" i="11"/>
  <c r="L19" i="1"/>
  <c r="L13" i="1"/>
  <c r="C11" i="9"/>
  <c r="D11" i="9" s="1"/>
  <c r="J11" i="9"/>
  <c r="K11" i="9" s="1"/>
  <c r="B19" i="11" l="1"/>
  <c r="D18" i="11"/>
  <c r="L23" i="1"/>
  <c r="B23" i="15" s="1"/>
  <c r="L18" i="1"/>
  <c r="L21" i="1"/>
  <c r="J12" i="9"/>
  <c r="K12" i="9" s="1"/>
  <c r="C12" i="9"/>
  <c r="D12" i="9" s="1"/>
  <c r="D19" i="11" l="1"/>
  <c r="B20" i="11"/>
  <c r="L25" i="1"/>
  <c r="L26" i="1"/>
  <c r="L28" i="1" s="1"/>
  <c r="C13" i="9"/>
  <c r="D13" i="9" s="1"/>
  <c r="J13" i="9"/>
  <c r="K13" i="9" s="1"/>
  <c r="B21" i="11" l="1"/>
  <c r="D20" i="11"/>
  <c r="J14" i="9"/>
  <c r="K14" i="9" s="1"/>
  <c r="C14" i="9"/>
  <c r="D14" i="9" s="1"/>
  <c r="D21" i="11" l="1"/>
  <c r="B22" i="11"/>
  <c r="C15" i="9"/>
  <c r="D15" i="9" s="1"/>
  <c r="J15" i="9"/>
  <c r="K15" i="9" s="1"/>
  <c r="B23" i="11" l="1"/>
  <c r="D22" i="11"/>
  <c r="J16" i="9"/>
  <c r="K16" i="9" s="1"/>
  <c r="C16" i="9"/>
  <c r="D16" i="9" s="1"/>
  <c r="G12" i="4"/>
  <c r="G75" i="18" s="1"/>
  <c r="G23" i="17" l="1"/>
  <c r="G14" i="4"/>
  <c r="G9" i="17" s="1"/>
  <c r="H14" i="4"/>
  <c r="H9" i="17" s="1"/>
  <c r="G16" i="4"/>
  <c r="G15" i="4"/>
  <c r="L12" i="4"/>
  <c r="D23" i="11"/>
  <c r="B27" i="11" s="1"/>
  <c r="B26" i="11"/>
  <c r="B28" i="11" s="1"/>
  <c r="C17" i="9"/>
  <c r="D17" i="9" s="1"/>
  <c r="J17" i="9"/>
  <c r="K17" i="9" s="1"/>
  <c r="B29" i="11" l="1"/>
  <c r="E4" i="11" s="1"/>
  <c r="E6" i="11" s="1"/>
  <c r="B6" i="10"/>
  <c r="J18" i="9"/>
  <c r="K18" i="9" s="1"/>
  <c r="C18" i="9"/>
  <c r="D18" i="9" s="1"/>
  <c r="K19" i="9" l="1"/>
  <c r="D19" i="9"/>
  <c r="K21" i="9" l="1"/>
  <c r="C4" i="10"/>
  <c r="D21" i="9"/>
  <c r="B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22" authorId="0" shapeId="0" xr:uid="{1AFEE0E1-F671-4A3B-9426-7DFF9F41FBD7}">
      <text>
        <r>
          <rPr>
            <b/>
            <sz val="9"/>
            <color indexed="81"/>
            <rFont val="Tahoma"/>
            <family val="2"/>
          </rPr>
          <t xml:space="preserve">Vishal: </t>
        </r>
        <r>
          <rPr>
            <sz val="9"/>
            <color indexed="81"/>
            <rFont val="Tahoma"/>
            <family val="2"/>
          </rPr>
          <t xml:space="preserve">Debtors Days ratio measures how quickly cash is being collected from debtors. The longer it takes for a company to collect, the greater the number of debtors days. The number of debtor days should be compared to that of other companies in the same industry to see if it is unusually high or low. 
A high number here shows that a company is selling its product to customers on credit and taking longer to collect money. This may lead to cash flow problems because of the long duration between the time of a sale and the time the company receives payment. A low number here means that it takes a company fewer days to collect its accounts receivable. In effect, the ability to determine the average length of time that a company’s outstanding balances are carried in receivables can in some cases tell a great deal about the nature of the company’s cash flow. </t>
        </r>
        <r>
          <rPr>
            <i/>
            <sz val="9"/>
            <color indexed="81"/>
            <rFont val="Tahoma"/>
            <family val="2"/>
          </rPr>
          <t>(Source: Investopedia)</t>
        </r>
      </text>
    </comment>
    <comment ref="A23" authorId="0" shapeId="0" xr:uid="{124E5830-0821-466D-8A0F-39C5FC4E9F5F}">
      <text>
        <r>
          <rPr>
            <b/>
            <sz val="9"/>
            <color indexed="81"/>
            <rFont val="Tahoma"/>
            <family val="2"/>
          </rPr>
          <t>Vishal:</t>
        </r>
        <r>
          <rPr>
            <sz val="9"/>
            <color indexed="81"/>
            <rFont val="Tahoma"/>
            <family val="2"/>
          </rPr>
          <t xml:space="preserve"> The inventory turnover ratio is an efficiency ratio that shows how effectively inventory is managed by comparing cost of goods sold with average inventory for a period. This measures how many times average inventory is “turned” or sold during a period. In other words, it measures how many times a company sold its total average inventory amount during the year.</t>
        </r>
      </text>
    </comment>
    <comment ref="A24" authorId="0" shapeId="0" xr:uid="{58C8A5E7-D475-4913-9378-FB90949D463B}">
      <text>
        <r>
          <rPr>
            <b/>
            <sz val="9"/>
            <color indexed="81"/>
            <rFont val="Tahoma"/>
            <family val="2"/>
          </rPr>
          <t>Vishal:</t>
        </r>
        <r>
          <rPr>
            <sz val="9"/>
            <color indexed="81"/>
            <rFont val="Tahoma"/>
            <family val="2"/>
          </rPr>
          <t xml:space="preserve"> Fixed-asset turnover is the ratio of sales (on the profit and loss account) to the value of fixed assets (on the balance sheet). It indicates how well the business is using its fixed assets to generate sales.
Generally speaking, the higher the ratio, the better, because a high ratio indicates the business has less money tied up in fixed assets for each unit of currency of sales revenue. A declining ratio may indicate that the business is over-invested in plant, equipment, or other fixed assets.</t>
        </r>
      </text>
    </comment>
    <comment ref="A25" authorId="0" shapeId="0" xr:uid="{50460EC3-3F80-41B7-ACED-010575AF01DE}">
      <text>
        <r>
          <rPr>
            <b/>
            <sz val="9"/>
            <color indexed="81"/>
            <rFont val="Tahoma"/>
            <family val="2"/>
          </rPr>
          <t>Vishal:</t>
        </r>
        <r>
          <rPr>
            <sz val="9"/>
            <color indexed="81"/>
            <rFont val="Tahoma"/>
            <family val="2"/>
          </rPr>
          <t xml:space="preserve"> Debt/Equity (D/E) ratio, calculated by dividing a company’s total debt or borrowings by its stockholders' equity, is used to measure a company's financial leverage. The D/E ratio indicates how much debt a company is using to finance its assets relative to the value of shareholders’ equity.
A high debt/equity ratio generally means that a company has been aggressive in financing its growth with debt. Aggressive leveraging practices are often associated with high levels of risk. This may result in volatile earnings as a result of the additional interest expense.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5" authorId="0" shapeId="0" xr:uid="{2B86F004-D2E7-414D-AEAA-B43CB8BF2DF0}">
      <text>
        <r>
          <rPr>
            <b/>
            <sz val="9"/>
            <color indexed="81"/>
            <rFont val="Tahoma"/>
            <family val="2"/>
          </rPr>
          <t xml:space="preserve">Vishal: </t>
        </r>
        <r>
          <rPr>
            <sz val="9"/>
            <color indexed="81"/>
            <rFont val="Tahoma"/>
            <family val="2"/>
          </rPr>
          <t>Check for sales growth. If a business is not growing for a few years, or growing slower than the industry and peers, you may give it a pass.</t>
        </r>
      </text>
    </comment>
    <comment ref="A18" authorId="0" shapeId="0" xr:uid="{01A3225E-3E5A-43FF-B83F-84DD88670B4A}">
      <text>
        <r>
          <rPr>
            <b/>
            <sz val="9"/>
            <color indexed="81"/>
            <rFont val="Tahoma"/>
            <family val="2"/>
          </rPr>
          <t xml:space="preserve">Vishal: </t>
        </r>
        <r>
          <rPr>
            <sz val="9"/>
            <color indexed="81"/>
            <rFont val="Tahoma"/>
            <family val="2"/>
          </rPr>
          <t>Check this number especially for firms with debt. It shows the safety of interest payments, and whether the firm has enough profits to pay the same.</t>
        </r>
      </text>
    </comment>
    <comment ref="A21" authorId="0" shapeId="0" xr:uid="{CD4C2DF3-DDFD-4E40-85A1-AA2D4EA191EF}">
      <text>
        <r>
          <rPr>
            <b/>
            <sz val="9"/>
            <color indexed="81"/>
            <rFont val="Tahoma"/>
            <family val="2"/>
          </rPr>
          <t xml:space="preserve">Vishal: </t>
        </r>
        <r>
          <rPr>
            <sz val="9"/>
            <color indexed="81"/>
            <rFont val="Tahoma"/>
            <family val="2"/>
          </rPr>
          <t xml:space="preserve">Important profitability number. Better than Operating Margin. Check out changes in the same over years, and explore reasons for the same. Falling/rising PBT margin may indicate narrowing/expanding moat.
</t>
        </r>
      </text>
    </comment>
    <comment ref="A27" authorId="0" shapeId="0" xr:uid="{326EFA96-0A48-41A1-9BB5-FC5F20E47636}">
      <text>
        <r>
          <rPr>
            <b/>
            <sz val="9"/>
            <color indexed="81"/>
            <rFont val="Tahoma"/>
            <family val="2"/>
          </rPr>
          <t xml:space="preserve">Vishal: </t>
        </r>
        <r>
          <rPr>
            <sz val="9"/>
            <color indexed="81"/>
            <rFont val="Tahoma"/>
            <family val="2"/>
          </rPr>
          <t xml:space="preserve">Better growth number than Net profit growth, because EPS is adjusted for any dilution etc. Seek gradual growth in this number, and be careful of a declining number.
</t>
        </r>
      </text>
    </comment>
    <comment ref="A28" authorId="0" shapeId="0" xr:uid="{052726BD-CDAC-4AA8-838E-BF0BC24D9344}">
      <text>
        <r>
          <rPr>
            <b/>
            <sz val="9"/>
            <color indexed="81"/>
            <rFont val="Tahoma"/>
            <family val="2"/>
          </rPr>
          <t xml:space="preserve">Vishal: </t>
        </r>
        <r>
          <rPr>
            <sz val="9"/>
            <color indexed="81"/>
            <rFont val="Tahoma"/>
            <family val="2"/>
          </rPr>
          <t>Suggests the attractiveness of a firm in the eyes of Mr. Market. Lower P/Es reflect lower attractivenss, and higher reflect higher attractiveness. However, P/Es in isolation tell nothing about the quality of the business, especially when you are looking at short term numbers.</t>
        </r>
      </text>
    </comment>
    <comment ref="A33" authorId="0" shapeId="0" xr:uid="{16417B2D-B9A9-44A5-AF86-1E209B196DB5}">
      <text>
        <r>
          <rPr>
            <b/>
            <sz val="9"/>
            <color indexed="81"/>
            <rFont val="Tahoma"/>
            <family val="2"/>
          </rPr>
          <t xml:space="preserve">Vishal: </t>
        </r>
        <r>
          <rPr>
            <sz val="9"/>
            <color indexed="81"/>
            <rFont val="Tahoma"/>
            <family val="2"/>
          </rPr>
          <t xml:space="preserve">This number shows how much wealth the business has created for shareholders (excluding dividends) for every Rupee it has retained over years. 
This idea is from Warren Buffett who wrote this in his 1984 letter – </t>
        </r>
        <r>
          <rPr>
            <i/>
            <sz val="9"/>
            <color indexed="81"/>
            <rFont val="Tahoma"/>
            <family val="2"/>
          </rPr>
          <t>“For a number of reasons managers like to withhold unrestricted readily distributable earnings from shareholders – to expand the corporate empire over which the managers rule, to operate from a position of exceptional financial comfort, etc. But we believe there is only one valid reason for retention. Unrestricted earnings should be retained only when there is a reasonable prospect – backed preferably by historical evidence or, when appropriate, by a thoughtful analysis of the future – that for every dollar retained by the corporation, at least one dollar of market value will be created for owners. This will happen only if the capital retained produces incremental earnings equal to, or above, those generally available to investors.”</t>
        </r>
        <r>
          <rPr>
            <sz val="9"/>
            <color indexed="81"/>
            <rFont val="Tahoma"/>
            <family val="2"/>
          </rPr>
          <t xml:space="preserve">
</t>
        </r>
        <r>
          <rPr>
            <b/>
            <sz val="9"/>
            <color indexed="81"/>
            <rFont val="Tahoma"/>
            <family val="2"/>
          </rPr>
          <t xml:space="preserve">Formula is - Change in Market Cap over, say, 10 years </t>
        </r>
        <r>
          <rPr>
            <b/>
            <i/>
            <sz val="9"/>
            <color indexed="81"/>
            <rFont val="Tahoma"/>
            <family val="2"/>
          </rPr>
          <t>Divided By</t>
        </r>
        <r>
          <rPr>
            <b/>
            <sz val="9"/>
            <color indexed="81"/>
            <rFont val="Tahoma"/>
            <family val="2"/>
          </rPr>
          <t xml:space="preserve"> Total Retained Earnings during the same period
</t>
        </r>
        <r>
          <rPr>
            <sz val="9"/>
            <color indexed="81"/>
            <rFont val="Tahoma"/>
            <family val="2"/>
          </rPr>
          <t xml:space="preserve">Here, Retained Earnings = Net Profit </t>
        </r>
        <r>
          <rPr>
            <i/>
            <sz val="9"/>
            <color indexed="81"/>
            <rFont val="Tahoma"/>
            <family val="2"/>
          </rPr>
          <t>minus</t>
        </r>
        <r>
          <rPr>
            <sz val="9"/>
            <color indexed="81"/>
            <rFont val="Tahoma"/>
            <family val="2"/>
          </rPr>
          <t xml:space="preserve"> Dividend paid
Bigger the number, more wealth has been created by the business for every Rupee retained, which is good.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D7" authorId="0" shapeId="0" xr:uid="{D21B8C9B-F7E8-4379-A173-B4B61E2A23EE}">
      <text>
        <r>
          <rPr>
            <b/>
            <sz val="9"/>
            <color indexed="81"/>
            <rFont val="Tahoma"/>
            <family val="2"/>
          </rPr>
          <t xml:space="preserve">Vishal: </t>
        </r>
        <r>
          <rPr>
            <sz val="9"/>
            <color indexed="81"/>
            <rFont val="Tahoma"/>
            <family val="2"/>
          </rPr>
          <t>This is the latest "Cash and Bank" number that is updated automatically in this sheet from the "Cash Flow Sheet". This cash number is added to arrive at the Intrinsic Value.</t>
        </r>
      </text>
    </comment>
    <comment ref="C18" authorId="0" shapeId="0" xr:uid="{BD7EEABA-B977-44F3-A105-46F130EA0896}">
      <text>
        <r>
          <rPr>
            <b/>
            <sz val="9"/>
            <color indexed="81"/>
            <rFont val="Tahoma"/>
            <family val="2"/>
          </rPr>
          <t xml:space="preserve">Vishal: </t>
        </r>
        <r>
          <rPr>
            <sz val="9"/>
            <color indexed="81"/>
            <rFont val="Tahoma"/>
            <family val="2"/>
          </rPr>
          <t>This is the price at which the business is sold at the end of the 10th year. This price is calculated using a multiple - like 10x or 15x - to 10th year's calculated FCF.</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B6" authorId="0" shapeId="0" xr:uid="{B907545C-986F-49A6-A2C9-9860B85A60A5}">
      <text>
        <r>
          <rPr>
            <b/>
            <sz val="9"/>
            <color indexed="81"/>
            <rFont val="Tahoma"/>
            <family val="2"/>
          </rPr>
          <t xml:space="preserve">Vishal: </t>
        </r>
        <r>
          <rPr>
            <sz val="9"/>
            <color indexed="81"/>
            <rFont val="Tahoma"/>
            <family val="2"/>
          </rPr>
          <t>Instead of trailing 12-months EPS as Graham proposed, I have used the average Net Profit of last five years. The reason I have used Net Profit instead of EPS is so that I arrive at Intrinsic value in terms of market cap and not stock price.</t>
        </r>
      </text>
    </comment>
    <comment ref="B8" authorId="0" shapeId="0" xr:uid="{9E1306AB-D03D-4D37-8CD9-92204909AF28}">
      <text>
        <r>
          <rPr>
            <b/>
            <sz val="9"/>
            <color indexed="81"/>
            <rFont val="Tahoma"/>
            <family val="2"/>
          </rPr>
          <t xml:space="preserve">Vishal: </t>
        </r>
        <r>
          <rPr>
            <sz val="9"/>
            <color indexed="81"/>
            <rFont val="Tahoma"/>
            <family val="2"/>
          </rPr>
          <t xml:space="preserve">Instead of assumed EPS growth rate of next 7-10 years as Graham proposed, I have assumed 50% of last five years CAGR in net profit (to arrive at the lower level of the Intrinsic Value range)
</t>
        </r>
      </text>
    </comment>
    <comment ref="E8" authorId="0" shapeId="0" xr:uid="{830B5BF8-E529-4B7C-A950-6A1901A8CBBC}">
      <text>
        <r>
          <rPr>
            <b/>
            <sz val="9"/>
            <color indexed="81"/>
            <rFont val="Tahoma"/>
            <family val="2"/>
          </rPr>
          <t xml:space="preserve">Vishal: </t>
        </r>
        <r>
          <rPr>
            <sz val="9"/>
            <color indexed="81"/>
            <rFont val="Tahoma"/>
            <family val="2"/>
          </rPr>
          <t xml:space="preserve">Instead of assumed EPS growth rate of next 7-10 years as Graham proposed, I have assumed 100% of last five years CAGR in net profit (to arrive at the upper level of the Intrinsic Value range)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Vishal</author>
    <author>Safal Niveshak</author>
  </authors>
  <commentList>
    <comment ref="A4" authorId="0" shapeId="0" xr:uid="{98F89FE9-CA13-4D67-84A5-09A8705D697E}">
      <text>
        <r>
          <rPr>
            <b/>
            <sz val="9"/>
            <color indexed="81"/>
            <rFont val="Tahoma"/>
            <family val="2"/>
          </rPr>
          <t xml:space="preserve">Safal Niveshak: </t>
        </r>
        <r>
          <rPr>
            <sz val="9"/>
            <color indexed="81"/>
            <rFont val="Tahoma"/>
            <family val="2"/>
          </rPr>
          <t xml:space="preserve">Normalize!
It's better to take a 3-5 years average FCF as this starting number instead of the latest year's FCF. This is for the simple reason that the latest year can be a best/worst number.
FCF can be calculated from the Cash Flow Statement in the annual report.
</t>
        </r>
        <r>
          <rPr>
            <b/>
            <sz val="9"/>
            <color indexed="81"/>
            <rFont val="Tahoma"/>
            <family val="2"/>
          </rPr>
          <t xml:space="preserve">FCF formula = Net Cash from/(used in) Operating Activities </t>
        </r>
        <r>
          <rPr>
            <b/>
            <i/>
            <sz val="9"/>
            <color indexed="81"/>
            <rFont val="Tahoma"/>
            <family val="2"/>
          </rPr>
          <t>minus</t>
        </r>
        <r>
          <rPr>
            <b/>
            <sz val="9"/>
            <color indexed="81"/>
            <rFont val="Tahoma"/>
            <family val="2"/>
          </rPr>
          <t xml:space="preserve"> Purchase of Fixed Assets</t>
        </r>
        <r>
          <rPr>
            <sz val="9"/>
            <color indexed="81"/>
            <rFont val="Tahoma"/>
            <family val="2"/>
          </rPr>
          <t xml:space="preserve">
In case of companies earning negative FCF, where this model will not work, you must use a normalized positive FCF as the starting number. This number is your assumption of FCF the business will earn in a normal year, without capex.</t>
        </r>
      </text>
    </comment>
    <comment ref="A6" authorId="0" shapeId="0" xr:uid="{2A61CD75-F089-448D-A31E-A1EC27D566CD}">
      <text>
        <r>
          <rPr>
            <b/>
            <sz val="9"/>
            <color indexed="81"/>
            <rFont val="Tahoma"/>
            <family val="2"/>
          </rPr>
          <t>Safal Niveshak:</t>
        </r>
        <r>
          <rPr>
            <sz val="9"/>
            <color indexed="81"/>
            <rFont val="Tahoma"/>
            <family val="2"/>
          </rPr>
          <t xml:space="preserve"> In a 2-stage DCF, we break the next 10 years into two phases of five years each, and then calculate the FCF growth based on growth rates assumed below.</t>
        </r>
      </text>
    </comment>
    <comment ref="A7" authorId="0" shapeId="0" xr:uid="{153D9C84-FF23-4046-82BB-D5D1F521FB3D}">
      <text>
        <r>
          <rPr>
            <b/>
            <sz val="9"/>
            <color indexed="81"/>
            <rFont val="Tahoma"/>
            <family val="2"/>
          </rPr>
          <t xml:space="preserve">Safal Niveshak: </t>
        </r>
        <r>
          <rPr>
            <sz val="9"/>
            <color indexed="81"/>
            <rFont val="Tahoma"/>
            <family val="2"/>
          </rPr>
          <t>Be conservative!
Prefer to value stocks based on the present data rather than what will happen in the future. Anything could happen even in 1 year, and if the growth rate is too high and the company cannot meet those expectations, there is no where to go but down.
The best practice is to keep growth rates as low as possible. If the company looks to be undervalued with 0% growth rate, you have more upside than downside. The higher you set the growth rate, the higher you set up the downside potential. Just be reasonable and use common sense.
On most of the stocks I value, I rarely go above 15% (for the first 5-year period), and that’s only for the safest, cash-generating businesses. This is approx. 2x India's expected long-term GDP growth rate (in real terms).
The goal of choosing a growth rate is to find a number which is conservative yet not very low or pessimistic, and close to reality in order to capture potential future gains without eliminating too many investment candidates.</t>
        </r>
      </text>
    </comment>
    <comment ref="A8" authorId="0" shapeId="0" xr:uid="{445DD87D-40E3-4943-AE1B-606432D446C4}">
      <text>
        <r>
          <rPr>
            <b/>
            <sz val="9"/>
            <color indexed="81"/>
            <rFont val="Tahoma"/>
            <family val="2"/>
          </rPr>
          <t xml:space="preserve">Safal Niveshak: </t>
        </r>
        <r>
          <rPr>
            <sz val="9"/>
            <color indexed="81"/>
            <rFont val="Tahoma"/>
            <family val="2"/>
          </rPr>
          <t xml:space="preserve">This is the rate at which you discount the future cash flows to the present value.
Look at discount rate as the “annual rate of return” you want to earn from the stock. In other words, if you are looking to invest in a business that has comparatively higher (business) risk than other businesses (like in case of most mid and small cap stocks), you may want to earn a 15% annual return from it. For valuing such businesses, take 15% as the discount rate. In case of relatively safer businesses, earning around 12% annual return over the long term is a good expectation (because these businesses will also provide some stability to your portfolio during bad times). For valuing such businesses, take 12% as the discount rate.
</t>
        </r>
        <r>
          <rPr>
            <b/>
            <sz val="9"/>
            <color indexed="81"/>
            <rFont val="Tahoma"/>
            <family val="2"/>
          </rPr>
          <t xml:space="preserve">Better still, assume a constant discount rate for all companies. I have gradually turned to this model – of taking a constant 12% discount rate for all kind of businesses (safe or risky). (P.S. I earlier assumed a 15% discount rate)
</t>
        </r>
        <r>
          <rPr>
            <sz val="9"/>
            <color indexed="81"/>
            <rFont val="Tahoma"/>
            <family val="2"/>
          </rPr>
          <t>Also, do not adjust the entire risk of a investment in its discount rate. In other words, if a stock is a "riskier" investment than another, adjust for some risk in the cash flow growth estimates and some in the discount rate.
Ignore simple yet junk models like CAPM to get the discount rate. People in the finance world pour out their hearts to obtain the most accurate discount rate by analyzing risk free rates, beta, risk premium and WACC. It's just short of rubbish! What’s the point in learning every method of hammering a nail when all you have to do is hit it on the head. So do not over-complicate this aspect.
The beauty of old school Graham and Buffett is that their investments are based on common sense, not volatility and other mumbo jumbo. There is no hard and fast rule for choosing a discount rate. Using a high discount rate to discount the future cash just means you are willing to pay less today for the future cash and vice versa. Do understand that - “You can’t compensate for risk by using a high discount rate.” 
The important aspect is not deciding upon a discount rate, but in being logical and reasonable about cash projections.
Another way you can look at discount rate is to not using different discount rates for different businesses. It won't really matter what rate you use as long as you are being intellectually honest and conservative about future cash flows.</t>
        </r>
      </text>
    </comment>
    <comment ref="A9" authorId="0" shapeId="0" xr:uid="{6090F19E-73A6-4905-8C30-ED6C6970D606}">
      <text>
        <r>
          <rPr>
            <b/>
            <sz val="9"/>
            <color indexed="81"/>
            <rFont val="Tahoma"/>
            <family val="2"/>
          </rPr>
          <t xml:space="preserve">Safal Niveshak: </t>
        </r>
        <r>
          <rPr>
            <sz val="9"/>
            <color indexed="81"/>
            <rFont val="Tahoma"/>
            <family val="2"/>
          </rPr>
          <t xml:space="preserve">Since it isn’t practical to forecast cash flows for an infinite number of years, it’s usual to end the DCF with a terminal value.
The best terminal growth rate is 0%, and the highest you should go (for safest businesses) is 2%.
</t>
        </r>
      </text>
    </comment>
    <comment ref="A11" authorId="1" shapeId="0" xr:uid="{8C074590-16ED-47F4-980B-AF5F987BFBD9}">
      <text>
        <r>
          <rPr>
            <b/>
            <sz val="9"/>
            <color indexed="81"/>
            <rFont val="Tahoma"/>
            <family val="2"/>
          </rPr>
          <t xml:space="preserve">Safal Niveshak: </t>
        </r>
        <r>
          <rPr>
            <sz val="9"/>
            <color indexed="81"/>
            <rFont val="Tahoma"/>
            <family val="2"/>
          </rPr>
          <t xml:space="preserve">If this figure is negative, i.e., in brackets, it means that the company has more Cash than Debt. This is automatically added to the PV of cash flows below to give a complete picture of the company's valuation.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9" authorId="0" shapeId="0" xr:uid="{13632878-8864-4D6C-AC40-514621DB527C}">
      <text>
        <r>
          <rPr>
            <b/>
            <sz val="9"/>
            <color indexed="81"/>
            <rFont val="Tahoma"/>
            <family val="2"/>
          </rPr>
          <t>Vishal:</t>
        </r>
        <r>
          <rPr>
            <sz val="9"/>
            <color indexed="81"/>
            <rFont val="Tahoma"/>
            <family val="2"/>
          </rPr>
          <t xml:space="preserve"> Highest EPS growth you should accord to a high quality business is 15% p.a.
</t>
        </r>
      </text>
    </comment>
    <comment ref="A12" authorId="0" shapeId="0" xr:uid="{14CB2B46-B17F-4448-80D1-0A7E0813F05D}">
      <text>
        <r>
          <rPr>
            <b/>
            <sz val="9"/>
            <color indexed="81"/>
            <rFont val="Tahoma"/>
            <family val="2"/>
          </rPr>
          <t xml:space="preserve">Vishal: </t>
        </r>
        <r>
          <rPr>
            <sz val="9"/>
            <color indexed="81"/>
            <rFont val="Tahoma"/>
            <family val="2"/>
          </rPr>
          <t xml:space="preserve">Maximum exit P/E you should accord to a high-quality business is 20x.
</t>
        </r>
      </text>
    </comment>
  </commentList>
</comments>
</file>

<file path=xl/sharedStrings.xml><?xml version="1.0" encoding="utf-8"?>
<sst xmlns="http://schemas.openxmlformats.org/spreadsheetml/2006/main" count="458" uniqueCount="318">
  <si>
    <t>COMPANY NAME</t>
  </si>
  <si>
    <t>SCREENER.IN</t>
  </si>
  <si>
    <t>Narration</t>
  </si>
  <si>
    <t>Trailing</t>
  </si>
  <si>
    <t>Sales</t>
  </si>
  <si>
    <t>Expenses</t>
  </si>
  <si>
    <t>Operating Profit</t>
  </si>
  <si>
    <t>Other Income</t>
  </si>
  <si>
    <t>Depreciation</t>
  </si>
  <si>
    <t>Interest</t>
  </si>
  <si>
    <t>Profit before tax</t>
  </si>
  <si>
    <t>Tax</t>
  </si>
  <si>
    <t>Net profit</t>
  </si>
  <si>
    <t>Price to earning</t>
  </si>
  <si>
    <t>Dividend Payout</t>
  </si>
  <si>
    <t>OPM</t>
  </si>
  <si>
    <t>TRENDS:</t>
  </si>
  <si>
    <t>Sales Growth</t>
  </si>
  <si>
    <t>Price to Earning</t>
  </si>
  <si>
    <t>Equity Share Capital</t>
  </si>
  <si>
    <t>Reserves</t>
  </si>
  <si>
    <t>Total</t>
  </si>
  <si>
    <t>Net Block</t>
  </si>
  <si>
    <t>Capital Work in Progress</t>
  </si>
  <si>
    <t>Investments</t>
  </si>
  <si>
    <t>Working Capital</t>
  </si>
  <si>
    <t>Face Value</t>
  </si>
  <si>
    <t>Cash from Operating Activity</t>
  </si>
  <si>
    <t>Cash from Investing Activity</t>
  </si>
  <si>
    <t>Cash from Financing Activity</t>
  </si>
  <si>
    <t>Net Cash Flow</t>
  </si>
  <si>
    <t>PLEASE DO NOT MAKE ANY CHANGES TO THIS SHEET</t>
  </si>
  <si>
    <t>PROFIT &amp; LOSS</t>
  </si>
  <si>
    <t>Report Date</t>
  </si>
  <si>
    <t>Quarters</t>
  </si>
  <si>
    <t>BALANCE SHEET</t>
  </si>
  <si>
    <t>CASH FLOW:</t>
  </si>
  <si>
    <t>Number of shares</t>
  </si>
  <si>
    <t>Current Price</t>
  </si>
  <si>
    <t>Debtors</t>
  </si>
  <si>
    <t>Inventory</t>
  </si>
  <si>
    <t>Debtor Days</t>
  </si>
  <si>
    <t>Inventory Turnover</t>
  </si>
  <si>
    <t>You can customize this workbook as you want.</t>
  </si>
  <si>
    <t>Please don't edit the "Data Sheet" only.</t>
  </si>
  <si>
    <t>After customization, you can upload this back on Screener.</t>
  </si>
  <si>
    <t>Upload on:</t>
  </si>
  <si>
    <t>Download your customized workbooks now onwards.</t>
  </si>
  <si>
    <t>Now whenever you will "Export to excel" from Screener, it will export your customized file.</t>
  </si>
  <si>
    <t>TESTING:</t>
  </si>
  <si>
    <t>This is a testing feature currently.</t>
  </si>
  <si>
    <t>You can report any formula errors on the worksheet at:</t>
  </si>
  <si>
    <t>How to use it?</t>
  </si>
  <si>
    <t>EPS</t>
  </si>
  <si>
    <t>Price</t>
  </si>
  <si>
    <t>Return on Equity</t>
  </si>
  <si>
    <t>LATEST VERSION</t>
  </si>
  <si>
    <t>CURRENT VERSION</t>
  </si>
  <si>
    <t>BAJAJ AUTO LTD</t>
  </si>
  <si>
    <t>META</t>
  </si>
  <si>
    <t>10 YEARS</t>
  </si>
  <si>
    <t>7 YEARS</t>
  </si>
  <si>
    <t>5 YEARS</t>
  </si>
  <si>
    <t>3 YEARS</t>
  </si>
  <si>
    <t>Dividend Amount</t>
  </si>
  <si>
    <t>Borrowings</t>
  </si>
  <si>
    <t>Other Liabilities</t>
  </si>
  <si>
    <t>Other Assets</t>
  </si>
  <si>
    <t>No. of Equity Shares</t>
  </si>
  <si>
    <t>New Bonus Shares</t>
  </si>
  <si>
    <t>DERIVED:</t>
  </si>
  <si>
    <t>PRICE:</t>
  </si>
  <si>
    <t>Receivables</t>
  </si>
  <si>
    <t>Market Capitalization</t>
  </si>
  <si>
    <t>Raw Material Cost</t>
  </si>
  <si>
    <t>Change in Inventory</t>
  </si>
  <si>
    <t>Power and Fuel</t>
  </si>
  <si>
    <t>Other Mfr. Exp</t>
  </si>
  <si>
    <t>Employee Cost</t>
  </si>
  <si>
    <t>Selling and admin</t>
  </si>
  <si>
    <t>Other Expenses</t>
  </si>
  <si>
    <t>Cash &amp; Bank</t>
  </si>
  <si>
    <t>Face value</t>
  </si>
  <si>
    <t>Adjusted Equity Shares in Cr</t>
  </si>
  <si>
    <t>You can add custom formating, add conditional formating, add your own formulas… do ANYTHING.</t>
  </si>
  <si>
    <t xml:space="preserve"> https://www.screener.in/excel/</t>
  </si>
  <si>
    <t xml:space="preserve"> screener.feedback@dalal-street.in</t>
  </si>
  <si>
    <t>PE Ratio at 0% Growth</t>
  </si>
  <si>
    <t>Year Ended</t>
  </si>
  <si>
    <t>Company Name</t>
  </si>
  <si>
    <t>Operating Profit Margin</t>
  </si>
  <si>
    <t>Net Profit Margin</t>
  </si>
  <si>
    <t>% Growth YOY</t>
  </si>
  <si>
    <t>Cash from Operating Activity (CFO)</t>
  </si>
  <si>
    <t>CFO/Sales</t>
  </si>
  <si>
    <t>CFO/Net Profit</t>
  </si>
  <si>
    <t>Return on Capital Employed</t>
  </si>
  <si>
    <t>Fixed Asset Turnover</t>
  </si>
  <si>
    <t>Debt/Equity</t>
  </si>
  <si>
    <t>Interest Coverage(Times)</t>
  </si>
  <si>
    <t>PBT Margin</t>
  </si>
  <si>
    <t>Selling and Admin Cost</t>
  </si>
  <si>
    <t>Material Cost (% of Sales)</t>
  </si>
  <si>
    <t>Profit before tax (PBT)</t>
  </si>
  <si>
    <t>Check for wide fluctuations in key expense items. For manufacturing firms, check their material costs etc. For services firms, look at employee costs.</t>
  </si>
  <si>
    <t>Long-Term Growth Rate</t>
  </si>
  <si>
    <t>Current Market Cap (Rs Crore)</t>
  </si>
  <si>
    <t>Ben Graham Value (Rs Crore)</t>
  </si>
  <si>
    <t>Avg 5-Yr Net Profit (Rs Crore)</t>
  </si>
  <si>
    <t>Year</t>
  </si>
  <si>
    <t>FCF (Rs Cr)</t>
  </si>
  <si>
    <t>PV of FCF (Rs Cr)</t>
  </si>
  <si>
    <t>Assumed FCF Growth</t>
  </si>
  <si>
    <t>Year 1-3</t>
  </si>
  <si>
    <t>FY18</t>
  </si>
  <si>
    <t>Year 4-6</t>
  </si>
  <si>
    <t>FY19</t>
  </si>
  <si>
    <t>Year 7-10</t>
  </si>
  <si>
    <t>FY20</t>
  </si>
  <si>
    <t>FY21</t>
  </si>
  <si>
    <t>Discount Rate</t>
  </si>
  <si>
    <t>FY22</t>
  </si>
  <si>
    <t>FY23</t>
  </si>
  <si>
    <t>FY24</t>
  </si>
  <si>
    <t>FY25</t>
  </si>
  <si>
    <t>FY26</t>
  </si>
  <si>
    <t>FY27</t>
  </si>
  <si>
    <t>Current Mkt. Cap.</t>
  </si>
  <si>
    <t>Premium/(Discount) to IV</t>
  </si>
  <si>
    <t>Excess Cash (Latest)</t>
  </si>
  <si>
    <t>FCF</t>
  </si>
  <si>
    <t>Average FCF (3 Years)</t>
  </si>
  <si>
    <t>PBT</t>
  </si>
  <si>
    <t>Intrinsic Value</t>
  </si>
  <si>
    <t>Dhandho</t>
  </si>
  <si>
    <t>Ben Graham</t>
  </si>
  <si>
    <t>Years</t>
  </si>
  <si>
    <t>1-5</t>
  </si>
  <si>
    <t>6-10</t>
  </si>
  <si>
    <t>FCF Growth Rate</t>
  </si>
  <si>
    <t>Terminal Growth Rate</t>
  </si>
  <si>
    <t>Growth</t>
  </si>
  <si>
    <t>Present Value</t>
  </si>
  <si>
    <t>Final Calculations</t>
  </si>
  <si>
    <t>Terminal Year</t>
  </si>
  <si>
    <t>PV of Year 1-10 Cash Flows</t>
  </si>
  <si>
    <t>Terminal Value</t>
  </si>
  <si>
    <t>Total PV of Cash Flows</t>
  </si>
  <si>
    <t>Particulars</t>
  </si>
  <si>
    <t>CAGR (5-Yr)</t>
  </si>
  <si>
    <t>Current P/E (x)</t>
  </si>
  <si>
    <t>Exit P/E in the 10th year from now (x, Estimated)</t>
  </si>
  <si>
    <t>CAGR (9-Yr)</t>
  </si>
  <si>
    <t>Estimated CAGR in Net Profit over next 10 years</t>
  </si>
  <si>
    <t>Estimated Net Profit after 10 years (Rs Cr)</t>
  </si>
  <si>
    <t>Net Profit (Rs Crore)</t>
  </si>
  <si>
    <t>Esti. Market Cap (10th year from now; Rs Cr)</t>
  </si>
  <si>
    <t>Current Market Cap (Rs Cr)</t>
  </si>
  <si>
    <t>Discounted Value (Rs Cr)</t>
  </si>
  <si>
    <r>
      <t>Calculations</t>
    </r>
    <r>
      <rPr>
        <sz val="10"/>
        <color rgb="FFC00000"/>
        <rFont val="Arial"/>
        <family val="2"/>
      </rPr>
      <t xml:space="preserve"> </t>
    </r>
    <r>
      <rPr>
        <i/>
        <sz val="10"/>
        <color theme="1"/>
        <rFont val="Arial"/>
        <family val="2"/>
      </rPr>
      <t>(Enter values only in black cells)</t>
    </r>
  </si>
  <si>
    <t>Current Market Cap</t>
  </si>
  <si>
    <t>Dicounted Cash Flow Valuation</t>
  </si>
  <si>
    <t>Initial Cash Flow (Rs Cr)</t>
  </si>
  <si>
    <t>Net Debt Level (Rs Cr)</t>
  </si>
  <si>
    <t>DCF</t>
  </si>
  <si>
    <r>
      <t xml:space="preserve">DCF Value </t>
    </r>
    <r>
      <rPr>
        <b/>
        <i/>
        <sz val="10"/>
        <color theme="1"/>
        <rFont val="Arial"/>
        <family val="2"/>
      </rPr>
      <t>(As calculated in cell B29)</t>
    </r>
  </si>
  <si>
    <t>Expected Returns Model</t>
  </si>
  <si>
    <t>Expected Return</t>
  </si>
  <si>
    <t>Common Size P&amp;L</t>
  </si>
  <si>
    <t>Common Size Balance Sheet</t>
  </si>
  <si>
    <t>Total Liabilities</t>
  </si>
  <si>
    <t>Total Assets</t>
  </si>
  <si>
    <t>Profit Before Tax</t>
  </si>
  <si>
    <t>Net Profit</t>
  </si>
  <si>
    <t>FCF/Sales</t>
  </si>
  <si>
    <t>FCF/Net Profit</t>
  </si>
  <si>
    <t>Lower</t>
  </si>
  <si>
    <t>Higher</t>
  </si>
  <si>
    <t>Cost of Capital/Discount Rate</t>
  </si>
  <si>
    <t>Rs Cr</t>
  </si>
  <si>
    <t>PBT Growth</t>
  </si>
  <si>
    <t>Market Cap</t>
  </si>
  <si>
    <t>Retained Earnings</t>
  </si>
  <si>
    <t>Buffett's $1 Test</t>
  </si>
  <si>
    <t>Other Income as % of Sales</t>
  </si>
  <si>
    <t>Note: See explanation of this model here</t>
  </si>
  <si>
    <t>Buffett Checklist - Read, Remember, Follow!</t>
  </si>
  <si>
    <t>Source - Buffettology by Mary Buffett &amp; David Clark</t>
  </si>
  <si>
    <t>Parameter</t>
  </si>
  <si>
    <t>Explanation</t>
  </si>
  <si>
    <t>Consumer monopoly or commodity?</t>
  </si>
  <si>
    <t>Seek out companies that have no or less competition, either due to a patent or brand name or similar intangible that makes the product unique. Such companies will typically have high gross and operating profit margins because of their unique niche. However, don't just go on margins as high margins may simply highlight companies within industries with traditionally high margins. Thus, look for companies with gross, operating and net profit margins above industry norms. Also look for strong growth in earnings and high return on equity in the past.</t>
  </si>
  <si>
    <t>Understand how business works</t>
  </si>
  <si>
    <t>Try to invest in industries where you possess some specialized knowledge (where you work) or can more effectively judge a company, its industry, and its competitive environment (simple products you consume). While it is difficult to construct a quantitative filter, you should be able to identify areas of interest. You should "only" consider analyzing those companies that operate in areas that you can clearly grasp - your circle of competence. Of course you can increase the size of the circle, but only over time by learning about new industries. More important than the size of the circle is to know its boundaries.</t>
  </si>
  <si>
    <t>Is the company conservatively financed?</t>
  </si>
  <si>
    <t>Seeks out companies with conservative financing, which equates to a simple, safe balance sheet. Such companies tend to have strong cash flows, with little need for long-term debt. Look for low debt to equity or low debt-burden ratios. Also seek companies that have history of consistently generating positive free cash flows.</t>
  </si>
  <si>
    <t>Are earnings strong and do they show an upward trend?</t>
  </si>
  <si>
    <t>Does the company stick with what it knows?</t>
  </si>
  <si>
    <t>Like you should stock to your circle of competence, a company should invest its capital only in those businesses within its circle of competence. This is a difficult factor to screen for on a quantitative level. Before investing in a company, look at the company’s past pattern of acquisitions and new directions. They should fit within the primary range of operations for the firm. Be cautious of companies that have been very aggressive in acquisitions in the past.</t>
  </si>
  <si>
    <t>Has the company been buying back its shares?</t>
  </si>
  <si>
    <t>Buffett prefers that firms reinvest their earnings within the company, provided that profitable opportunities exist. When companies have excess cash flow, Buffett favours shareholder-enhancing maneuvers such as share buybacks. While we do not screen for this factor, a follow-up examination of a company would reveal if it has a share buyback plan in place.</t>
  </si>
  <si>
    <t>Have retained earnings been invested well?</t>
  </si>
  <si>
    <t>Seek companies where earnings have risen as retained earnings (earnings after paying dividends) have been employed profitably. A great way to screen for such companies is by looking at those that have had consistent earnings and strong return on equity in the past.</t>
  </si>
  <si>
    <t>Is the company’s return on equity above average?</t>
  </si>
  <si>
    <t>Is the company free to adjust prices to inflation?</t>
  </si>
  <si>
    <t>That's what is called "pricing power". Companies with moat (as seen from other screening metrics as suggested above (like high ROE, high grow margins, low debt etc.) are able to adjust prices to inflation without the risk of losing significant volume sales.</t>
  </si>
  <si>
    <t>Does the company need to constantly reinvest in capital?</t>
  </si>
  <si>
    <t>Companies that consistently need capital to grow their sales and profits are like bank savings account, and thus bad for an investor's long term portfolio. Seek companies that don't need high capital investments consistently. Retained earnings must first go toward maintaining current operations at competitive levels, so the lower the amount needed to maintain current operations, the better. Here, more than just an absolute assessment, a comparison against competitors will help a lot. Seek companies that consistently generate positive and rising free cash flows.</t>
  </si>
  <si>
    <t>Conclusion</t>
  </si>
  <si>
    <t>Sensible investing is always about using “folly and discipline” - the discipline to identify excellent businesses, and wait for the folly of the market to drive down the value of these businesses to attractive levels. You will have little trouble understanding this philosophy. However, its successful implementation is dependent upon your dedication to learn and follow the principles, and apply them to pick stocks successfully.</t>
  </si>
  <si>
    <t>Never Forget</t>
  </si>
  <si>
    <t>Focus on decisions, not outcomes. Look for disconfirming evidence.</t>
  </si>
  <si>
    <t>www.safalniveshak.com</t>
  </si>
  <si>
    <t>Basic Company Details</t>
  </si>
  <si>
    <t>Parameters</t>
  </si>
  <si>
    <t>Details</t>
  </si>
  <si>
    <t>Company</t>
  </si>
  <si>
    <t>Current Stock Price (Rs)</t>
  </si>
  <si>
    <t>Face Value (Rs)</t>
  </si>
  <si>
    <t>No. of Shares (Crore)</t>
  </si>
  <si>
    <t>Market Capitalization (Rs Crore)</t>
  </si>
  <si>
    <t>Net Profit Growth (8-Year CAGR)</t>
  </si>
  <si>
    <t>Average Debt/Equity (5-Years, x)</t>
  </si>
  <si>
    <t>Average Return on Equity (5-Years)</t>
  </si>
  <si>
    <t>Key Financials - Trend</t>
  </si>
  <si>
    <t>Sales Growth (9-Year CAGR)</t>
  </si>
  <si>
    <t>Profit Before Tax Growth (9-Year CAGR)</t>
  </si>
  <si>
    <t>Latest P/E (x)</t>
  </si>
  <si>
    <t>Average P/E (5-Years, x)</t>
  </si>
  <si>
    <t>Cash &amp; Bank**</t>
  </si>
  <si>
    <t>Capex**</t>
  </si>
  <si>
    <t>Ben Graham's Original Formula: Value = EPS x (8.5 + 2G)</t>
  </si>
  <si>
    <t>Here, EPS is the trailing 12 month EPS, 8.5 is the P/E ratio of a stock with 0% growth and g is the growth rate for the next 7-10 years</t>
  </si>
  <si>
    <t>Ben Graham's Revised Formula: Value = [EPS x (8.5 + 2G) x 4.4] / Y</t>
  </si>
  <si>
    <t>Here, 4.4 is what Graham determined to be his minimum required rate of return. At the time of around 1962 when Graham was publicizing his works, the risk free interest rate was 4.4% but to adjust to the present, we divide this number by today’s AAA corporate bond rate, represented by Y in the formula above.</t>
  </si>
  <si>
    <t>Note: I have used Graham's original formula in the above calculations</t>
  </si>
  <si>
    <r>
      <rPr>
        <b/>
        <i/>
        <u/>
        <sz val="10"/>
        <color rgb="FF0000FF"/>
        <rFont val="Arial"/>
        <family val="2"/>
      </rPr>
      <t>Note:</t>
    </r>
    <r>
      <rPr>
        <i/>
        <u/>
        <sz val="10"/>
        <color rgb="FF0000FF"/>
        <rFont val="Arial"/>
        <family val="2"/>
      </rPr>
      <t xml:space="preserve"> See explanation of DCF here</t>
    </r>
  </si>
  <si>
    <r>
      <rPr>
        <i/>
        <sz val="10"/>
        <color rgb="FF0000FF"/>
        <rFont val="Arial"/>
        <family val="2"/>
      </rPr>
      <t xml:space="preserve">Note: </t>
    </r>
    <r>
      <rPr>
        <i/>
        <u/>
        <sz val="10"/>
        <color rgb="FF0000FF"/>
        <rFont val="Arial"/>
        <family val="2"/>
      </rPr>
      <t>See explanation of this model here</t>
    </r>
  </si>
  <si>
    <t>Intrinsic Value Range</t>
  </si>
  <si>
    <t>Profit &amp; Loss Account / Income Statement</t>
  </si>
  <si>
    <t>Check for long term vs short term trends here. Check if the growth over past 3 or 5 years has slowed down / improved compared to long term (7 to 10 years) growth numbers.</t>
  </si>
  <si>
    <t>Dhandho Intrinsic Value Calculation</t>
  </si>
  <si>
    <t>Read the book - The Dhandho Investor by Mohnish Pabrai</t>
  </si>
  <si>
    <t>Dhandho IV - Lower Range</t>
  </si>
  <si>
    <t>Dhandho IV - Higher Range</t>
  </si>
  <si>
    <r>
      <rPr>
        <b/>
        <sz val="10"/>
        <color rgb="FFC00000"/>
        <rFont val="Arial"/>
        <family val="2"/>
      </rPr>
      <t xml:space="preserve">Remember! </t>
    </r>
    <r>
      <rPr>
        <b/>
        <sz val="10"/>
        <color theme="1"/>
        <rFont val="Arial"/>
        <family val="2"/>
      </rPr>
      <t>Focus on decisions, not outcomes. Look for disconfirming evidence. Calculate. Pray!</t>
    </r>
  </si>
  <si>
    <r>
      <rPr>
        <b/>
        <sz val="10"/>
        <color rgb="FFC00000"/>
        <rFont val="Arial"/>
        <family val="2"/>
      </rPr>
      <t xml:space="preserve">Please! </t>
    </r>
    <r>
      <rPr>
        <b/>
        <sz val="10"/>
        <color theme="1"/>
        <rFont val="Arial"/>
        <family val="2"/>
      </rPr>
      <t>It's your money. Please don't blame me if results of this excel cause you to lose it all! I've designed this excel to aid your own thinking, but you alone are responsible for your actions. I want to live peacefully ever after! I am not a sadist who wants you to do the hard work by analyzing companies on your own. But I'd rather give you a compass instead of a map, for you can confuse map with territory and lose it all. All the best!</t>
    </r>
  </si>
  <si>
    <t>HOW TO USE THIS SPREADSHEET</t>
  </si>
  <si>
    <t>IMPORTANT INSTRUCTIONS</t>
  </si>
  <si>
    <t>2. All financial data of your chosen company will be automatically updated in the sheet you download, except "Cash and Bank" (Balance Sheet sheet) and Capex (Cash Flow sheet) figures, which you must update manually from the company's annual reports. Don’t forget to make these changes as these numbers are key inputs in a few Intrinsic Value calculations.</t>
  </si>
  <si>
    <t>** Manually enter this number; Convert to Rs Crore if not already done in the Annual Reports; Use Cash+Bank+Current Investments from Consolidated Balance Sheet in Annual Reports</t>
  </si>
  <si>
    <t>** Manually enter this number; Convert to Rs Crore if not already done in the Annual Reports; Use "Capital expenditure" number shown under "Cash Flow from Investing Activities" segment of Consolidated Cash Flow Statement available in the Annual Reports</t>
  </si>
  <si>
    <t>4. I have added Comments and Instructions wherever necessary so as to explain the concepts. Read those carefully before working on the sheet.</t>
  </si>
  <si>
    <t>6. I could not find a bug/errors in this spreadsheet, but if you notice some, please email me at - vishal@safalniveshak.com - and I will try to fix the same and update the sheet</t>
  </si>
  <si>
    <t>7. I will keep on updating the sheet from time to time and will update the same on the website. I invite you to share your feedback and thoughts on the sheet so that we can make it better together.</t>
  </si>
  <si>
    <t>1. Ensure that the company whose data you are downloading has numbers at least starting from FY08 (March 2008). This is because if, for instance, the company has financials starting from, say, FY10, you will see incorrect data for FY08 and FY09 (which will be of Hero Motocorp on whose financials I have created this Analysis sheet format)</t>
  </si>
  <si>
    <t>5. This sheet is not a replacement of the work required to read annual reports as part of the analysis process. So please do that along with working on this sheet. You may sometime find some discrepancy in numbers (though rare), but you will know this only when you read annual reports.</t>
  </si>
  <si>
    <t>A common-size financial statement is displays line items as a percentage of one selected or common figure. Creating common-size financial statements makes it easier to analyze a company over time and compare it with its peers. Using common-size financial statements helps investors spot trends that a raw financial statement may not uncover.</t>
  </si>
  <si>
    <t>Last 5-Years' CAGR</t>
  </si>
  <si>
    <t>EXPLANATION</t>
  </si>
  <si>
    <t>Ben Graham Formula (Low Range)</t>
  </si>
  <si>
    <t>Ben Graham Formula (High Range)</t>
  </si>
  <si>
    <t>4. DON’T touch any cell except the black ones, where you are required to update the numbers manually from Annual Reports (just Cash and Capex numbers) or where you may change the growth assumptions etc.</t>
  </si>
  <si>
    <t>3. You may update the sheet and add your own analysis, formulae etc. and then upload again to Screener.in site using the Step 2 mentioned above. But DON'T touch the sheet titled "Data Sheet" because this will cause errors in your future downloads.</t>
  </si>
  <si>
    <t>Balance Sheet</t>
  </si>
  <si>
    <t>Cash Flow Statement</t>
  </si>
  <si>
    <t>DCF as % of Current Mkt Cap</t>
  </si>
  <si>
    <t>Rising earnings serve as a good catalyst for stock prices. So seek companies with strong, consistent, and expanding earnings (profits). Seek companies with 5/10 year earnings per share growth greater than 25% (along with safe balance sheets). To help indicate that earnings growth is still strong, look for companies where the last 3-years earnings growth rate is higher than the last 10-years growth rate. More important than the rate of growth is the consistency in such growth. So exclude companies with volatile earnings growth in the past, even if the "average" growth has been high.</t>
  </si>
  <si>
    <t>Consider it a positive sign when a company is able to earn above-average (better than competitors) returns on equity without employing much debt. Average return on equity for Indian companies over the last 10 years is approximately 16%. Thus, seek companies that earn at least this much (16%) or more than this. Again, consistency is the key here.</t>
  </si>
  <si>
    <t>Current Market Cap.</t>
  </si>
  <si>
    <r>
      <rPr>
        <b/>
        <sz val="10"/>
        <color theme="1"/>
        <rFont val="Arial"/>
        <family val="2"/>
      </rPr>
      <t>P.S.</t>
    </r>
    <r>
      <rPr>
        <sz val="10"/>
        <color theme="1"/>
        <rFont val="Arial"/>
        <family val="2"/>
      </rPr>
      <t xml:space="preserve"> In case of companies earning negative FCF, where this model will not work, you must use a normalized positive FCF as the starting number. This number is your assumption of FCF the business will earn in a normal year, without capex. Check the history of this business while arriving at your assumption, and use your judgment wisely without twisting the model to fit your version of reality.</t>
    </r>
  </si>
  <si>
    <t>8. This excel won't work for banking and financial services companies.</t>
  </si>
  <si>
    <r>
      <rPr>
        <b/>
        <sz val="11"/>
        <color theme="1"/>
        <rFont val="Calibri"/>
        <family val="2"/>
        <scheme val="minor"/>
      </rPr>
      <t>Step 1 -</t>
    </r>
    <r>
      <rPr>
        <sz val="11"/>
        <color theme="1"/>
        <rFont val="Calibri"/>
        <family val="2"/>
        <scheme val="minor"/>
      </rPr>
      <t xml:space="preserve"> This spreadsheet works </t>
    </r>
    <r>
      <rPr>
        <i/>
        <sz val="11"/>
        <color theme="1"/>
        <rFont val="Calibri"/>
        <family val="2"/>
        <scheme val="minor"/>
      </rPr>
      <t>only</t>
    </r>
    <r>
      <rPr>
        <sz val="11"/>
        <color theme="1"/>
        <rFont val="Calibri"/>
        <family val="2"/>
        <scheme val="minor"/>
      </rPr>
      <t xml:space="preserve"> on Screener.in. The first step is to create a free account here - https://www.screener.in/register/</t>
    </r>
  </si>
  <si>
    <r>
      <rPr>
        <b/>
        <sz val="11"/>
        <color theme="1"/>
        <rFont val="Calibri"/>
        <family val="2"/>
        <scheme val="minor"/>
      </rPr>
      <t xml:space="preserve">Step 2 - </t>
    </r>
    <r>
      <rPr>
        <sz val="11"/>
        <color theme="1"/>
        <rFont val="Calibri"/>
        <family val="2"/>
        <scheme val="minor"/>
      </rPr>
      <t>After creating your account, while you are logged in to Screener.in website, visit this page - https://www.screener.in/excel/ - and upload this excel file.</t>
    </r>
  </si>
  <si>
    <r>
      <rPr>
        <b/>
        <sz val="10"/>
        <color theme="1"/>
        <rFont val="Arial"/>
        <family val="2"/>
      </rPr>
      <t>Step 3 -</t>
    </r>
    <r>
      <rPr>
        <sz val="10"/>
        <color theme="1"/>
        <rFont val="Arial"/>
        <family val="2"/>
      </rPr>
      <t xml:space="preserve"> Visit the home page of Screener.in and choose a company of your choice. Once you do that, you will see details of your chosen company. Scroll down and come to the first financial statement table called "Quarterly Results" and click on "View Consolidated". Now, all data you see for this company will be consolidated.</t>
    </r>
  </si>
  <si>
    <r>
      <rPr>
        <b/>
        <sz val="10"/>
        <color theme="1"/>
        <rFont val="Arial"/>
        <family val="2"/>
      </rPr>
      <t>Step 5 -</t>
    </r>
    <r>
      <rPr>
        <sz val="10"/>
        <color theme="1"/>
        <rFont val="Arial"/>
        <family val="2"/>
      </rPr>
      <t xml:space="preserve"> Email me your love and testimonial for helping you with this excel. :-)</t>
    </r>
  </si>
  <si>
    <r>
      <rPr>
        <b/>
        <sz val="10"/>
        <color theme="1"/>
        <rFont val="Arial"/>
        <family val="2"/>
      </rPr>
      <t>Note:</t>
    </r>
    <r>
      <rPr>
        <sz val="10"/>
        <color theme="1"/>
        <rFont val="Arial"/>
        <family val="2"/>
      </rPr>
      <t xml:space="preserve"> All data is sourced from Screener.in</t>
    </r>
  </si>
  <si>
    <t>Operating Margin</t>
  </si>
  <si>
    <t>Net Profit Growth</t>
  </si>
  <si>
    <t>Net Margin</t>
  </si>
  <si>
    <t>Key Ratios</t>
  </si>
  <si>
    <t>Free Cash Flow (Rs Cr)</t>
  </si>
  <si>
    <t>Interest Coverage (Times)</t>
  </si>
  <si>
    <t>% Growth YoY</t>
  </si>
  <si>
    <t>Operating Cash Flow Growth</t>
  </si>
  <si>
    <t>Free Cash Flow Growth</t>
  </si>
  <si>
    <t>FCF Growth YoY</t>
  </si>
  <si>
    <t>Debt/Assets</t>
  </si>
  <si>
    <t>Margins</t>
  </si>
  <si>
    <t>Management Effectiveness</t>
  </si>
  <si>
    <t>ROE</t>
  </si>
  <si>
    <t>ROCE</t>
  </si>
  <si>
    <t>Dividend Growth</t>
  </si>
  <si>
    <t>Revenue &amp; Profit Growth</t>
  </si>
  <si>
    <t>Revenue Growth</t>
  </si>
  <si>
    <t>Revenue &amp; Profit</t>
  </si>
  <si>
    <t>Revenue</t>
  </si>
  <si>
    <r>
      <t xml:space="preserve">Warning! Excel can be a wonderful tool to analyze the past. But it can be a deadly weapon if you wish to use it to predict the future! So be very careful of what you are getting into. Here, garbage in will </t>
    </r>
    <r>
      <rPr>
        <b/>
        <i/>
        <sz val="10"/>
        <color theme="0"/>
        <rFont val="Arial"/>
        <family val="2"/>
      </rPr>
      <t>always</t>
    </r>
    <r>
      <rPr>
        <b/>
        <sz val="10"/>
        <color theme="0"/>
        <rFont val="Arial"/>
        <family val="2"/>
      </rPr>
      <t xml:space="preserve"> equal garbage out. And if you need the excel to tell you what you must do with a given stock, you must not use this tool anyways.</t>
    </r>
  </si>
  <si>
    <t>Higher is better, but also look for long term stability and consistency</t>
  </si>
  <si>
    <t>Higher isn't always better, esp. when the company is generating high ROE, which means the management is allocating capital efficiently</t>
  </si>
  <si>
    <r>
      <rPr>
        <b/>
        <sz val="10"/>
        <color theme="1"/>
        <rFont val="Arial"/>
        <family val="2"/>
      </rPr>
      <t xml:space="preserve">Note: </t>
    </r>
    <r>
      <rPr>
        <sz val="10"/>
        <color theme="1"/>
        <rFont val="Arial"/>
        <family val="2"/>
      </rPr>
      <t>Please ignore the dates on the X-axis. The figures are for/as on the year ending date, which for most Indian companies would be 31st March of that year</t>
    </r>
  </si>
  <si>
    <t>Cash Flows</t>
  </si>
  <si>
    <t>Operating Cash Flow</t>
  </si>
  <si>
    <t>Free Cash Flow</t>
  </si>
  <si>
    <t>Data for Charts (Please don't touch any number below)</t>
  </si>
  <si>
    <r>
      <rPr>
        <b/>
        <sz val="10"/>
        <color theme="1"/>
        <rFont val="Arial"/>
        <family val="2"/>
      </rPr>
      <t>Explanation:</t>
    </r>
    <r>
      <rPr>
        <sz val="10"/>
        <color theme="1"/>
        <rFont val="Arial"/>
        <family val="2"/>
      </rPr>
      <t xml:space="preserve"> Considering the above range, we can say that Hero Moto's IV range is between Rs 55,000 crore to Rs 95,000 crore. It's a big range, but that's fine (who is looking for precision?). Now, if the current market cap is within this IV range, it makes the stock reasonably/attractively priced. If the current market cap is higher then the higher value of the range, it makes it overpriced. But remember, these are just numbers!</t>
    </r>
  </si>
  <si>
    <r>
      <rPr>
        <b/>
        <sz val="10"/>
        <color rgb="FFC00000"/>
        <rFont val="Arial"/>
        <family val="2"/>
      </rPr>
      <t>Remember!</t>
    </r>
    <r>
      <rPr>
        <b/>
        <sz val="10"/>
        <color theme="1"/>
        <rFont val="Arial"/>
        <family val="2"/>
      </rPr>
      <t xml:space="preserve"> Give importance to a stock's valuations / fair value only "after" you have answered in "Yes" to these two questions - (1) Is this business simple to be understood? and (2) Can I understand this business?
Don't try to quantify everything. In stock research, the less non-mathematical you are, the more simple, sensible, and useful will be your analysis and results. Great analysis is generally "back-of-the-envelope".
Also, your calculated "fair value" will be proven wrong in the future, so don't invest your savings just because you fall in love with it. Don't look for perfection. It is overrated. Focus on decisions, not outcomes. Look for disconfirming evidence.</t>
    </r>
  </si>
  <si>
    <t>Higher is better, but also look for long term stability and consistency, plus the nature of the industry. Also compare with industry peer(s)</t>
  </si>
  <si>
    <t xml:space="preserve">Higher/rising is better. Compare with industry peer(s) </t>
  </si>
  <si>
    <t xml:space="preserve">Lower/reducing is better. Compare with industry peer(s) </t>
  </si>
  <si>
    <t>Nil / lower than 0.5 / reducing is better</t>
  </si>
  <si>
    <t>Lower is better</t>
  </si>
  <si>
    <t>Look for number &gt; 5</t>
  </si>
  <si>
    <t>Look for number &gt; 20%. Also check if the debt is low/nil. Compare with industry peer(s)</t>
  </si>
  <si>
    <t>Look for positive and rising numbers. If the company consistently generates negative FCF over say 10 years, avoid it.</t>
  </si>
  <si>
    <t>What to look for?</t>
  </si>
  <si>
    <t>Safal Niveshak Stock Analysis Excel (Ver. 4.0)</t>
  </si>
  <si>
    <r>
      <rPr>
        <b/>
        <sz val="10"/>
        <color theme="1"/>
        <rFont val="Arial"/>
        <family val="2"/>
      </rPr>
      <t>Step 4 -</t>
    </r>
    <r>
      <rPr>
        <sz val="10"/>
        <color theme="1"/>
        <rFont val="Arial"/>
        <family val="2"/>
      </rPr>
      <t xml:space="preserve"> Scroll back to the top of the page, and you will see a button "Export to Excel" on the right side. Click the button and the company's financial data will be exported in an excel file in the exact format as "Safal Niveshak's Stock Analysis Excel Ver. 4.0". Now onwards, any excel you export for any company on Screener.in will be downloaded in this very format.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</si>
</sst>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quot;$&quot;#,##0_);[Red]\(&quot;$&quot;#,##0\)"/>
    <numFmt numFmtId="165" formatCode="_ * #,##0.00_ ;_ * \-#,##0.00_ ;_ * &quot;-&quot;??_ ;_ @_ "/>
    <numFmt numFmtId="166" formatCode="[$-409]mmm\-yy;@"/>
    <numFmt numFmtId="167" formatCode="_(* #,##0_);_(* \(#,##0\);_(* &quot;-&quot;??_);_(@_)"/>
    <numFmt numFmtId="168" formatCode="_(* #,##0.0_);_(* \(#,##0.0\);_(* &quot;-&quot;??_);_(@_)"/>
    <numFmt numFmtId="169" formatCode="[$-409]mmm/yy;@"/>
    <numFmt numFmtId="170" formatCode="_ * #,##0.0_ ;_ * \-#,##0.0_ ;_ * &quot;-&quot;??_ ;_ @_ "/>
    <numFmt numFmtId="171" formatCode="_ * #,##0_ ;_ * \-#,##0_ ;_ * &quot;-&quot;??_ ;_ @_ "/>
    <numFmt numFmtId="172" formatCode="0.0%"/>
    <numFmt numFmtId="173" formatCode="#,##0.000_);[Red]\(#,##0.000\)"/>
    <numFmt numFmtId="174" formatCode="0.0000%"/>
  </numFmts>
  <fonts count="56"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font>
    <font>
      <sz val="11"/>
      <color theme="0"/>
      <name val="Calibri"/>
      <family val="2"/>
      <scheme val="minor"/>
    </font>
    <font>
      <b/>
      <u/>
      <sz val="11"/>
      <color theme="10"/>
      <name val="Calibri"/>
      <family val="2"/>
    </font>
    <font>
      <b/>
      <sz val="16"/>
      <color theme="1"/>
      <name val="Calibri"/>
      <family val="2"/>
      <scheme val="minor"/>
    </font>
    <font>
      <b/>
      <sz val="15"/>
      <color theme="1"/>
      <name val="Arial"/>
      <family val="2"/>
    </font>
    <font>
      <b/>
      <sz val="10"/>
      <color theme="1"/>
      <name val="Arial"/>
      <family val="2"/>
    </font>
    <font>
      <sz val="10"/>
      <color theme="1"/>
      <name val="Arial"/>
      <family val="2"/>
    </font>
    <font>
      <b/>
      <sz val="10"/>
      <color theme="0"/>
      <name val="Arial"/>
      <family val="2"/>
    </font>
    <font>
      <i/>
      <sz val="10"/>
      <color theme="1"/>
      <name val="Arial"/>
      <family val="2"/>
    </font>
    <font>
      <sz val="10"/>
      <color theme="0"/>
      <name val="Arial"/>
      <family val="2"/>
    </font>
    <font>
      <sz val="10"/>
      <name val="Arial"/>
      <family val="2"/>
    </font>
    <font>
      <u/>
      <sz val="10"/>
      <color theme="10"/>
      <name val="Arial"/>
      <family val="2"/>
    </font>
    <font>
      <sz val="9"/>
      <color indexed="81"/>
      <name val="Tahoma"/>
      <family val="2"/>
    </font>
    <font>
      <b/>
      <sz val="9"/>
      <color indexed="81"/>
      <name val="Tahoma"/>
      <family val="2"/>
    </font>
    <font>
      <b/>
      <sz val="12"/>
      <color theme="1"/>
      <name val="Arial"/>
      <family val="2"/>
    </font>
    <font>
      <sz val="10"/>
      <color rgb="FFC00000"/>
      <name val="Arial"/>
      <family val="2"/>
    </font>
    <font>
      <b/>
      <sz val="10"/>
      <color theme="1" tint="0.14999847407452621"/>
      <name val="Arial"/>
      <family val="2"/>
    </font>
    <font>
      <sz val="10"/>
      <color theme="1" tint="0.14999847407452621"/>
      <name val="Arial"/>
      <family val="2"/>
    </font>
    <font>
      <i/>
      <sz val="10"/>
      <color theme="0"/>
      <name val="Arial"/>
      <family val="2"/>
    </font>
    <font>
      <b/>
      <i/>
      <sz val="9"/>
      <color indexed="81"/>
      <name val="Tahoma"/>
      <family val="2"/>
    </font>
    <font>
      <b/>
      <sz val="10"/>
      <name val="Arial"/>
      <family val="2"/>
    </font>
    <font>
      <i/>
      <sz val="10"/>
      <color rgb="FFC00000"/>
      <name val="Arial"/>
      <family val="2"/>
    </font>
    <font>
      <b/>
      <sz val="10"/>
      <color rgb="FFC00000"/>
      <name val="Arial"/>
      <family val="2"/>
    </font>
    <font>
      <b/>
      <i/>
      <sz val="10"/>
      <color theme="1"/>
      <name val="Arial"/>
      <family val="2"/>
    </font>
    <font>
      <sz val="10"/>
      <color theme="1"/>
      <name val="Calibri"/>
      <family val="2"/>
      <scheme val="minor"/>
    </font>
    <font>
      <i/>
      <u/>
      <sz val="10"/>
      <color rgb="FF0000FF"/>
      <name val="Arial"/>
      <family val="2"/>
    </font>
    <font>
      <b/>
      <i/>
      <u/>
      <sz val="10"/>
      <color rgb="FF0000FF"/>
      <name val="Arial"/>
      <family val="2"/>
    </font>
    <font>
      <i/>
      <sz val="10"/>
      <color rgb="FF0000FF"/>
      <name val="Arial"/>
      <family val="2"/>
    </font>
    <font>
      <sz val="10"/>
      <color theme="1"/>
      <name val="Arial"/>
      <family val="2"/>
    </font>
    <font>
      <b/>
      <sz val="10"/>
      <color theme="1"/>
      <name val="Arial"/>
      <family val="2"/>
    </font>
    <font>
      <b/>
      <sz val="10"/>
      <color theme="0"/>
      <name val="Arial"/>
      <family val="2"/>
    </font>
    <font>
      <i/>
      <sz val="10"/>
      <color theme="1"/>
      <name val="Arial"/>
      <family val="2"/>
    </font>
    <font>
      <i/>
      <sz val="9"/>
      <color indexed="81"/>
      <name val="Tahoma"/>
      <family val="2"/>
    </font>
    <font>
      <b/>
      <sz val="10"/>
      <color theme="1"/>
      <name val="Arial"/>
      <family val="2"/>
    </font>
    <font>
      <sz val="10"/>
      <color theme="1"/>
      <name val="Arial"/>
      <family val="2"/>
    </font>
    <font>
      <sz val="20"/>
      <color theme="1"/>
      <name val="Arial Black"/>
      <family val="2"/>
    </font>
    <font>
      <b/>
      <sz val="10"/>
      <color theme="1"/>
      <name val="Arial"/>
      <family val="2"/>
    </font>
    <font>
      <sz val="10"/>
      <color theme="1"/>
      <name val="Arial"/>
      <family val="2"/>
    </font>
    <font>
      <b/>
      <sz val="10"/>
      <color theme="0"/>
      <name val="Arial"/>
      <family val="2"/>
    </font>
    <font>
      <sz val="10"/>
      <color theme="0"/>
      <name val="Arial"/>
      <family val="2"/>
    </font>
    <font>
      <i/>
      <sz val="10"/>
      <color theme="1"/>
      <name val="Arial"/>
      <family val="2"/>
    </font>
    <font>
      <b/>
      <i/>
      <sz val="10"/>
      <color rgb="FFC00000"/>
      <name val="Arial"/>
      <family val="2"/>
    </font>
    <font>
      <b/>
      <u/>
      <sz val="12"/>
      <color rgb="FF0000FF"/>
      <name val="Arial"/>
      <family val="2"/>
    </font>
    <font>
      <sz val="10"/>
      <color theme="1"/>
      <name val="Arial"/>
      <family val="2"/>
    </font>
    <font>
      <b/>
      <u/>
      <sz val="12"/>
      <color rgb="FF0000FF"/>
      <name val="Arial"/>
      <family val="2"/>
    </font>
    <font>
      <b/>
      <sz val="12"/>
      <color rgb="FFC00000"/>
      <name val="Arial"/>
      <family val="2"/>
    </font>
    <font>
      <i/>
      <sz val="11"/>
      <color theme="1"/>
      <name val="Calibri"/>
      <family val="2"/>
      <scheme val="minor"/>
    </font>
    <font>
      <i/>
      <sz val="10"/>
      <color theme="1"/>
      <name val="Arial"/>
      <family val="2"/>
    </font>
    <font>
      <b/>
      <i/>
      <sz val="10"/>
      <color theme="0"/>
      <name val="Arial"/>
      <family val="2"/>
    </font>
    <font>
      <sz val="9"/>
      <color theme="1"/>
      <name val="Arial"/>
      <family val="2"/>
    </font>
    <font>
      <b/>
      <sz val="9"/>
      <color theme="1"/>
      <name val="Arial"/>
      <family val="2"/>
    </font>
    <font>
      <u/>
      <sz val="10"/>
      <color rgb="FF0070C0"/>
      <name val="Arial"/>
      <family val="2"/>
    </font>
    <font>
      <b/>
      <sz val="10"/>
      <color rgb="FF0070C0"/>
      <name val="Arial"/>
      <family val="2"/>
    </font>
  </fonts>
  <fills count="11">
    <fill>
      <patternFill patternType="none"/>
    </fill>
    <fill>
      <patternFill patternType="gray125"/>
    </fill>
    <fill>
      <patternFill patternType="solid">
        <fgColor theme="9"/>
      </patternFill>
    </fill>
    <fill>
      <patternFill patternType="solid">
        <fgColor rgb="FF0275D8"/>
        <bgColor indexed="64"/>
      </patternFill>
    </fill>
    <fill>
      <patternFill patternType="solid">
        <fgColor theme="1"/>
        <bgColor indexed="64"/>
      </patternFill>
    </fill>
    <fill>
      <patternFill patternType="solid">
        <fgColor theme="0"/>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000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5">
    <xf numFmtId="0" fontId="0" fillId="0" borderId="0"/>
    <xf numFmtId="165" fontId="2" fillId="0" borderId="0" applyFont="0" applyFill="0" applyBorder="0" applyAlignment="0" applyProtection="0"/>
    <xf numFmtId="0" fontId="3" fillId="0" borderId="0" applyNumberFormat="0" applyFill="0" applyBorder="0" applyAlignment="0" applyProtection="0">
      <alignment vertical="top"/>
      <protection locked="0"/>
    </xf>
    <xf numFmtId="0" fontId="4" fillId="2" borderId="0" applyNumberFormat="0" applyBorder="0" applyAlignment="0" applyProtection="0"/>
    <xf numFmtId="9" fontId="2" fillId="0" borderId="0" applyFont="0" applyFill="0" applyBorder="0" applyAlignment="0" applyProtection="0"/>
  </cellStyleXfs>
  <cellXfs count="412">
    <xf numFmtId="0" fontId="0" fillId="0" borderId="0" xfId="0"/>
    <xf numFmtId="0" fontId="1" fillId="0" borderId="0" xfId="0" applyFont="1"/>
    <xf numFmtId="0" fontId="6" fillId="0" borderId="0" xfId="0" applyFont="1"/>
    <xf numFmtId="0" fontId="0" fillId="0" borderId="0" xfId="0" applyAlignment="1">
      <alignment horizontal="left"/>
    </xf>
    <xf numFmtId="0" fontId="5" fillId="0" borderId="0" xfId="2" applyFont="1" applyBorder="1" applyAlignment="1" applyProtection="1">
      <alignment horizontal="left"/>
    </xf>
    <xf numFmtId="0" fontId="5" fillId="0" borderId="0" xfId="2" applyFont="1" applyBorder="1" applyAlignment="1" applyProtection="1"/>
    <xf numFmtId="0" fontId="8" fillId="0" borderId="0" xfId="0" applyFont="1"/>
    <xf numFmtId="0" fontId="9" fillId="0" borderId="0" xfId="0" applyFont="1"/>
    <xf numFmtId="166" fontId="10" fillId="3" borderId="0" xfId="0" applyNumberFormat="1" applyFont="1" applyFill="1" applyAlignment="1">
      <alignment horizontal="center"/>
    </xf>
    <xf numFmtId="165" fontId="8" fillId="0" borderId="0" xfId="1" applyFont="1" applyBorder="1"/>
    <xf numFmtId="0" fontId="11" fillId="0" borderId="0" xfId="0" applyFont="1"/>
    <xf numFmtId="165" fontId="9" fillId="0" borderId="0" xfId="1" applyFont="1" applyBorder="1"/>
    <xf numFmtId="0" fontId="9" fillId="0" borderId="1" xfId="0" applyFont="1" applyBorder="1"/>
    <xf numFmtId="0" fontId="9" fillId="5" borderId="1" xfId="0" applyFont="1" applyFill="1" applyBorder="1" applyAlignment="1">
      <alignment horizontal="right"/>
    </xf>
    <xf numFmtId="169" fontId="9" fillId="5" borderId="1" xfId="0" applyNumberFormat="1" applyFont="1" applyFill="1" applyBorder="1" applyAlignment="1">
      <alignment horizontal="right"/>
    </xf>
    <xf numFmtId="0" fontId="9" fillId="5" borderId="0" xfId="0" applyFont="1" applyFill="1" applyAlignment="1">
      <alignment horizontal="right"/>
    </xf>
    <xf numFmtId="168" fontId="9" fillId="5" borderId="1" xfId="1" applyNumberFormat="1" applyFont="1" applyFill="1" applyBorder="1" applyAlignment="1">
      <alignment horizontal="right"/>
    </xf>
    <xf numFmtId="167" fontId="9" fillId="0" borderId="0" xfId="1" applyNumberFormat="1" applyFont="1"/>
    <xf numFmtId="0" fontId="9" fillId="0" borderId="0" xfId="0" applyFont="1" applyAlignment="1">
      <alignment horizontal="right"/>
    </xf>
    <xf numFmtId="9" fontId="9" fillId="0" borderId="0" xfId="4" applyFont="1"/>
    <xf numFmtId="0" fontId="13" fillId="0" borderId="0" xfId="0" applyFont="1"/>
    <xf numFmtId="166" fontId="10" fillId="3" borderId="0" xfId="1" applyNumberFormat="1" applyFont="1" applyFill="1" applyBorder="1"/>
    <xf numFmtId="166" fontId="13" fillId="0" borderId="0" xfId="1" applyNumberFormat="1" applyFont="1" applyFill="1" applyBorder="1"/>
    <xf numFmtId="43" fontId="9" fillId="0" borderId="0" xfId="1" applyNumberFormat="1" applyFont="1" applyBorder="1"/>
    <xf numFmtId="171" fontId="9" fillId="0" borderId="1" xfId="1" applyNumberFormat="1" applyFont="1" applyBorder="1"/>
    <xf numFmtId="167" fontId="9" fillId="7" borderId="1" xfId="1" applyNumberFormat="1" applyFont="1" applyFill="1" applyBorder="1" applyAlignment="1">
      <alignment horizontal="right"/>
    </xf>
    <xf numFmtId="168" fontId="9" fillId="0" borderId="1" xfId="1" applyNumberFormat="1" applyFont="1" applyFill="1" applyBorder="1" applyAlignment="1">
      <alignment horizontal="right"/>
    </xf>
    <xf numFmtId="0" fontId="10" fillId="4" borderId="1" xfId="0" applyFont="1" applyFill="1" applyBorder="1"/>
    <xf numFmtId="0" fontId="9" fillId="0" borderId="1" xfId="0" applyFont="1" applyBorder="1" applyAlignment="1">
      <alignment horizontal="center"/>
    </xf>
    <xf numFmtId="167" fontId="18" fillId="0" borderId="1" xfId="1" applyNumberFormat="1" applyFont="1" applyBorder="1" applyAlignment="1">
      <alignment horizontal="right"/>
    </xf>
    <xf numFmtId="167" fontId="9" fillId="0" borderId="1" xfId="1" applyNumberFormat="1" applyFont="1" applyBorder="1" applyAlignment="1">
      <alignment horizontal="right"/>
    </xf>
    <xf numFmtId="167" fontId="9" fillId="0" borderId="1" xfId="1" applyNumberFormat="1" applyFont="1" applyBorder="1"/>
    <xf numFmtId="9" fontId="9" fillId="0" borderId="1" xfId="4" applyFont="1" applyBorder="1"/>
    <xf numFmtId="0" fontId="19" fillId="8" borderId="1" xfId="0" applyFont="1" applyFill="1" applyBorder="1" applyAlignment="1">
      <alignment horizontal="center"/>
    </xf>
    <xf numFmtId="0" fontId="19" fillId="8" borderId="1" xfId="0" applyFont="1" applyFill="1" applyBorder="1"/>
    <xf numFmtId="0" fontId="19" fillId="8" borderId="1" xfId="0" applyFont="1" applyFill="1" applyBorder="1" applyAlignment="1">
      <alignment horizontal="right"/>
    </xf>
    <xf numFmtId="9" fontId="10" fillId="4" borderId="1" xfId="0" applyNumberFormat="1" applyFont="1" applyFill="1" applyBorder="1"/>
    <xf numFmtId="167" fontId="10" fillId="4" borderId="1" xfId="1" applyNumberFormat="1" applyFont="1" applyFill="1" applyBorder="1" applyAlignment="1">
      <alignment horizontal="right"/>
    </xf>
    <xf numFmtId="171" fontId="10" fillId="4" borderId="1" xfId="1" applyNumberFormat="1" applyFont="1" applyFill="1" applyBorder="1" applyAlignment="1">
      <alignment horizontal="right"/>
    </xf>
    <xf numFmtId="167" fontId="9" fillId="7" borderId="1" xfId="1" applyNumberFormat="1" applyFont="1" applyFill="1" applyBorder="1"/>
    <xf numFmtId="167" fontId="20" fillId="7" borderId="1" xfId="1" applyNumberFormat="1" applyFont="1" applyFill="1" applyBorder="1"/>
    <xf numFmtId="0" fontId="24" fillId="0" borderId="0" xfId="0" applyFont="1" applyAlignment="1">
      <alignment horizontal="center"/>
    </xf>
    <xf numFmtId="167" fontId="9" fillId="0" borderId="13" xfId="1" applyNumberFormat="1" applyFont="1" applyFill="1" applyBorder="1" applyAlignment="1">
      <alignment horizontal="center"/>
    </xf>
    <xf numFmtId="0" fontId="9" fillId="0" borderId="0" xfId="0" applyFont="1" applyAlignment="1">
      <alignment horizontal="left"/>
    </xf>
    <xf numFmtId="49" fontId="23" fillId="9" borderId="14" xfId="0" applyNumberFormat="1" applyFont="1" applyFill="1" applyBorder="1" applyAlignment="1">
      <alignment horizontal="center"/>
    </xf>
    <xf numFmtId="49" fontId="23" fillId="9" borderId="15" xfId="0" applyNumberFormat="1" applyFont="1" applyFill="1" applyBorder="1" applyAlignment="1">
      <alignment horizontal="center"/>
    </xf>
    <xf numFmtId="49" fontId="13" fillId="0" borderId="0" xfId="0" applyNumberFormat="1" applyFont="1" applyAlignment="1">
      <alignment horizontal="center"/>
    </xf>
    <xf numFmtId="9" fontId="9" fillId="0" borderId="0" xfId="0" applyNumberFormat="1" applyFont="1" applyAlignment="1">
      <alignment horizontal="center"/>
    </xf>
    <xf numFmtId="0" fontId="25" fillId="0" borderId="0" xfId="0" applyFont="1"/>
    <xf numFmtId="9" fontId="9" fillId="0" borderId="0" xfId="0" applyNumberFormat="1" applyFont="1"/>
    <xf numFmtId="9" fontId="25" fillId="0" borderId="0" xfId="0" applyNumberFormat="1" applyFont="1" applyAlignment="1">
      <alignment horizontal="center"/>
    </xf>
    <xf numFmtId="0" fontId="23" fillId="9" borderId="7" xfId="0" applyFont="1" applyFill="1" applyBorder="1" applyAlignment="1">
      <alignment horizontal="center"/>
    </xf>
    <xf numFmtId="0" fontId="23" fillId="9" borderId="8" xfId="0" applyFont="1" applyFill="1" applyBorder="1" applyAlignment="1">
      <alignment horizontal="center"/>
    </xf>
    <xf numFmtId="0" fontId="23" fillId="9" borderId="9" xfId="0" applyFont="1" applyFill="1" applyBorder="1" applyAlignment="1">
      <alignment horizontal="center"/>
    </xf>
    <xf numFmtId="0" fontId="13" fillId="0" borderId="24" xfId="0" applyFont="1" applyBorder="1" applyAlignment="1">
      <alignment horizontal="center"/>
    </xf>
    <xf numFmtId="38" fontId="13" fillId="0" borderId="1" xfId="0" applyNumberFormat="1" applyFont="1" applyBorder="1" applyAlignment="1">
      <alignment horizontal="center"/>
    </xf>
    <xf numFmtId="9" fontId="13" fillId="0" borderId="1" xfId="0" applyNumberFormat="1" applyFont="1" applyBorder="1" applyAlignment="1">
      <alignment horizontal="center"/>
    </xf>
    <xf numFmtId="167" fontId="13" fillId="0" borderId="25" xfId="0" applyNumberFormat="1" applyFont="1" applyBorder="1" applyAlignment="1">
      <alignment horizontal="center"/>
    </xf>
    <xf numFmtId="167" fontId="9" fillId="0" borderId="0" xfId="0" applyNumberFormat="1" applyFont="1"/>
    <xf numFmtId="0" fontId="13" fillId="0" borderId="10" xfId="0" applyFont="1" applyBorder="1" applyAlignment="1">
      <alignment horizontal="center"/>
    </xf>
    <xf numFmtId="38" fontId="13" fillId="0" borderId="11" xfId="0" applyNumberFormat="1" applyFont="1" applyBorder="1" applyAlignment="1">
      <alignment horizontal="center"/>
    </xf>
    <xf numFmtId="9" fontId="13" fillId="0" borderId="11" xfId="0" applyNumberFormat="1" applyFont="1" applyBorder="1" applyAlignment="1">
      <alignment horizontal="center"/>
    </xf>
    <xf numFmtId="167" fontId="13" fillId="0" borderId="12" xfId="0" applyNumberFormat="1" applyFont="1" applyBorder="1" applyAlignment="1">
      <alignment horizontal="center"/>
    </xf>
    <xf numFmtId="0" fontId="13" fillId="0" borderId="0" xfId="0" applyFont="1" applyAlignment="1">
      <alignment horizontal="center"/>
    </xf>
    <xf numFmtId="173" fontId="13" fillId="0" borderId="0" xfId="0" applyNumberFormat="1" applyFont="1" applyAlignment="1">
      <alignment horizontal="center"/>
    </xf>
    <xf numFmtId="9" fontId="13" fillId="0" borderId="0" xfId="0" applyNumberFormat="1" applyFont="1" applyAlignment="1">
      <alignment horizontal="center"/>
    </xf>
    <xf numFmtId="164" fontId="13" fillId="0" borderId="0" xfId="0" applyNumberFormat="1" applyFont="1" applyAlignment="1">
      <alignment horizontal="center"/>
    </xf>
    <xf numFmtId="0" fontId="13" fillId="0" borderId="24" xfId="0" applyFont="1" applyBorder="1" applyAlignment="1">
      <alignment horizontal="left"/>
    </xf>
    <xf numFmtId="0" fontId="13" fillId="0" borderId="24" xfId="0" quotePrefix="1" applyFont="1" applyBorder="1" applyAlignment="1">
      <alignment horizontal="left"/>
    </xf>
    <xf numFmtId="0" fontId="8" fillId="9" borderId="29" xfId="0" applyFont="1" applyFill="1" applyBorder="1"/>
    <xf numFmtId="169" fontId="8" fillId="9" borderId="30" xfId="0" applyNumberFormat="1" applyFont="1" applyFill="1" applyBorder="1" applyAlignment="1">
      <alignment horizontal="right"/>
    </xf>
    <xf numFmtId="0" fontId="9" fillId="0" borderId="32" xfId="0" applyFont="1" applyBorder="1" applyAlignment="1">
      <alignment wrapText="1"/>
    </xf>
    <xf numFmtId="0" fontId="11" fillId="0" borderId="24" xfId="0" applyFont="1" applyBorder="1" applyAlignment="1">
      <alignment wrapText="1"/>
    </xf>
    <xf numFmtId="9" fontId="11" fillId="0" borderId="1" xfId="4" applyFont="1" applyBorder="1" applyAlignment="1">
      <alignment horizontal="right" wrapText="1"/>
    </xf>
    <xf numFmtId="0" fontId="11" fillId="0" borderId="10" xfId="0" applyFont="1" applyBorder="1" applyAlignment="1">
      <alignment wrapText="1"/>
    </xf>
    <xf numFmtId="9" fontId="11" fillId="0" borderId="11" xfId="4" applyFont="1" applyBorder="1" applyAlignment="1">
      <alignment horizontal="right" wrapText="1"/>
    </xf>
    <xf numFmtId="0" fontId="9" fillId="0" borderId="0" xfId="0" applyFont="1" applyAlignment="1">
      <alignment wrapText="1"/>
    </xf>
    <xf numFmtId="9" fontId="9" fillId="0" borderId="0" xfId="4" applyFont="1" applyBorder="1" applyAlignment="1">
      <alignment horizontal="right" wrapText="1"/>
    </xf>
    <xf numFmtId="167" fontId="9" fillId="0" borderId="0" xfId="1" applyNumberFormat="1" applyFont="1" applyAlignment="1">
      <alignment wrapText="1"/>
    </xf>
    <xf numFmtId="0" fontId="9" fillId="0" borderId="7" xfId="0" applyFont="1" applyBorder="1"/>
    <xf numFmtId="0" fontId="9" fillId="0" borderId="24" xfId="0" applyFont="1" applyBorder="1"/>
    <xf numFmtId="167" fontId="9" fillId="5" borderId="25" xfId="1" applyNumberFormat="1" applyFont="1" applyFill="1" applyBorder="1"/>
    <xf numFmtId="174" fontId="9" fillId="0" borderId="0" xfId="4" applyNumberFormat="1" applyFont="1"/>
    <xf numFmtId="0" fontId="27" fillId="0" borderId="0" xfId="0" applyFont="1"/>
    <xf numFmtId="0" fontId="8" fillId="9" borderId="30" xfId="0" applyFont="1" applyFill="1" applyBorder="1" applyAlignment="1">
      <alignment horizontal="right"/>
    </xf>
    <xf numFmtId="0" fontId="8" fillId="9" borderId="31" xfId="0" applyFont="1" applyFill="1" applyBorder="1" applyAlignment="1">
      <alignment horizontal="right"/>
    </xf>
    <xf numFmtId="171" fontId="9" fillId="0" borderId="1" xfId="1" applyNumberFormat="1" applyFont="1" applyBorder="1" applyAlignment="1">
      <alignment horizontal="right" wrapText="1"/>
    </xf>
    <xf numFmtId="9" fontId="9" fillId="5" borderId="25" xfId="4" applyFont="1" applyFill="1" applyBorder="1"/>
    <xf numFmtId="9" fontId="9" fillId="0" borderId="1" xfId="4" applyFont="1" applyFill="1" applyBorder="1" applyAlignment="1">
      <alignment horizontal="center"/>
    </xf>
    <xf numFmtId="9" fontId="9" fillId="0" borderId="25" xfId="4" applyFont="1" applyFill="1" applyBorder="1" applyAlignment="1">
      <alignment horizontal="center"/>
    </xf>
    <xf numFmtId="9" fontId="11" fillId="0" borderId="1" xfId="4" applyFont="1" applyFill="1" applyBorder="1" applyAlignment="1">
      <alignment horizontal="center"/>
    </xf>
    <xf numFmtId="9" fontId="11" fillId="0" borderId="25" xfId="4" applyFont="1" applyFill="1" applyBorder="1" applyAlignment="1">
      <alignment horizontal="center"/>
    </xf>
    <xf numFmtId="9" fontId="11" fillId="0" borderId="11" xfId="4" applyFont="1" applyFill="1" applyBorder="1" applyAlignment="1">
      <alignment horizontal="center"/>
    </xf>
    <xf numFmtId="9" fontId="11" fillId="0" borderId="12" xfId="4" applyFont="1" applyFill="1" applyBorder="1" applyAlignment="1">
      <alignment horizontal="center"/>
    </xf>
    <xf numFmtId="168" fontId="9" fillId="5" borderId="25" xfId="1" applyNumberFormat="1" applyFont="1" applyFill="1" applyBorder="1"/>
    <xf numFmtId="9" fontId="12" fillId="4" borderId="9" xfId="0" applyNumberFormat="1" applyFont="1" applyFill="1" applyBorder="1"/>
    <xf numFmtId="168" fontId="12" fillId="4" borderId="25" xfId="1" applyNumberFormat="1" applyFont="1" applyFill="1" applyBorder="1"/>
    <xf numFmtId="9" fontId="10" fillId="4" borderId="16" xfId="0" applyNumberFormat="1" applyFont="1" applyFill="1" applyBorder="1" applyAlignment="1">
      <alignment horizontal="center"/>
    </xf>
    <xf numFmtId="9" fontId="10" fillId="4" borderId="17" xfId="0" applyNumberFormat="1" applyFont="1" applyFill="1" applyBorder="1" applyAlignment="1">
      <alignment horizontal="center"/>
    </xf>
    <xf numFmtId="9" fontId="10" fillId="4" borderId="21" xfId="0" applyNumberFormat="1" applyFont="1" applyFill="1" applyBorder="1" applyAlignment="1">
      <alignment horizontal="center"/>
    </xf>
    <xf numFmtId="9" fontId="10" fillId="4" borderId="13" xfId="0" applyNumberFormat="1" applyFont="1" applyFill="1" applyBorder="1" applyAlignment="1">
      <alignment horizontal="center"/>
    </xf>
    <xf numFmtId="0" fontId="11" fillId="0" borderId="1" xfId="0" applyFont="1" applyBorder="1"/>
    <xf numFmtId="0" fontId="8" fillId="0" borderId="1" xfId="0" applyFont="1" applyBorder="1"/>
    <xf numFmtId="166" fontId="10" fillId="3" borderId="1" xfId="0" applyNumberFormat="1" applyFont="1" applyFill="1" applyBorder="1" applyAlignment="1">
      <alignment horizontal="center"/>
    </xf>
    <xf numFmtId="9" fontId="8" fillId="9" borderId="1" xfId="0" applyNumberFormat="1" applyFont="1" applyFill="1" applyBorder="1"/>
    <xf numFmtId="9" fontId="9" fillId="0" borderId="1" xfId="0" applyNumberFormat="1" applyFont="1" applyBorder="1"/>
    <xf numFmtId="9" fontId="9" fillId="9" borderId="1" xfId="4" applyFont="1" applyFill="1" applyBorder="1"/>
    <xf numFmtId="9" fontId="11" fillId="0" borderId="1" xfId="4" applyFont="1" applyBorder="1"/>
    <xf numFmtId="171" fontId="8" fillId="0" borderId="1" xfId="1" applyNumberFormat="1" applyFont="1" applyBorder="1"/>
    <xf numFmtId="171" fontId="21" fillId="4" borderId="1" xfId="1" applyNumberFormat="1" applyFont="1" applyFill="1" applyBorder="1"/>
    <xf numFmtId="171" fontId="11" fillId="0" borderId="1" xfId="0" applyNumberFormat="1" applyFont="1" applyBorder="1"/>
    <xf numFmtId="167" fontId="8" fillId="9" borderId="1" xfId="1" applyNumberFormat="1" applyFont="1" applyFill="1" applyBorder="1" applyAlignment="1">
      <alignment horizontal="right"/>
    </xf>
    <xf numFmtId="167" fontId="8" fillId="9" borderId="1" xfId="1" applyNumberFormat="1" applyFont="1" applyFill="1" applyBorder="1"/>
    <xf numFmtId="167" fontId="9" fillId="9" borderId="25" xfId="1" applyNumberFormat="1" applyFont="1" applyFill="1" applyBorder="1"/>
    <xf numFmtId="0" fontId="10" fillId="3" borderId="33" xfId="0" applyFont="1" applyFill="1" applyBorder="1"/>
    <xf numFmtId="166" fontId="10" fillId="3" borderId="30" xfId="0" applyNumberFormat="1" applyFont="1" applyFill="1" applyBorder="1" applyAlignment="1">
      <alignment horizontal="center"/>
    </xf>
    <xf numFmtId="166" fontId="10" fillId="3" borderId="2" xfId="0" applyNumberFormat="1" applyFont="1" applyFill="1" applyBorder="1" applyAlignment="1">
      <alignment horizontal="center"/>
    </xf>
    <xf numFmtId="0" fontId="8" fillId="0" borderId="6" xfId="0" applyFont="1" applyBorder="1"/>
    <xf numFmtId="171" fontId="8" fillId="0" borderId="4" xfId="1" applyNumberFormat="1" applyFont="1" applyBorder="1"/>
    <xf numFmtId="0" fontId="11" fillId="0" borderId="6" xfId="0" applyFont="1" applyBorder="1"/>
    <xf numFmtId="165" fontId="11" fillId="0" borderId="1" xfId="1" applyFont="1" applyBorder="1"/>
    <xf numFmtId="9" fontId="11" fillId="0" borderId="4" xfId="4" applyFont="1" applyBorder="1"/>
    <xf numFmtId="0" fontId="9" fillId="0" borderId="6" xfId="0" applyFont="1" applyBorder="1"/>
    <xf numFmtId="171" fontId="9" fillId="0" borderId="4" xfId="1" applyNumberFormat="1" applyFont="1" applyBorder="1"/>
    <xf numFmtId="0" fontId="11" fillId="0" borderId="34" xfId="0" applyFont="1" applyBorder="1"/>
    <xf numFmtId="9" fontId="11" fillId="0" borderId="35" xfId="4" applyFont="1" applyBorder="1"/>
    <xf numFmtId="9" fontId="11" fillId="0" borderId="36" xfId="4" applyFont="1" applyBorder="1"/>
    <xf numFmtId="0" fontId="8" fillId="9" borderId="7" xfId="0" applyFont="1" applyFill="1" applyBorder="1" applyAlignment="1">
      <alignment wrapText="1"/>
    </xf>
    <xf numFmtId="0" fontId="8" fillId="9" borderId="9" xfId="0" applyFont="1" applyFill="1" applyBorder="1" applyAlignment="1">
      <alignment horizontal="left"/>
    </xf>
    <xf numFmtId="0" fontId="8" fillId="0" borderId="10" xfId="0" applyFont="1" applyBorder="1" applyAlignment="1">
      <alignment vertical="center" wrapText="1"/>
    </xf>
    <xf numFmtId="0" fontId="9" fillId="0" borderId="12" xfId="0" applyFont="1" applyBorder="1" applyAlignment="1">
      <alignment wrapText="1"/>
    </xf>
    <xf numFmtId="0" fontId="9" fillId="9" borderId="0" xfId="0" applyFont="1" applyFill="1" applyAlignment="1">
      <alignment wrapText="1"/>
    </xf>
    <xf numFmtId="0" fontId="9" fillId="9" borderId="0" xfId="0" applyFont="1" applyFill="1"/>
    <xf numFmtId="0" fontId="8" fillId="0" borderId="16" xfId="0" applyFont="1" applyBorder="1" applyAlignment="1">
      <alignment vertical="center" wrapText="1"/>
    </xf>
    <xf numFmtId="0" fontId="9" fillId="0" borderId="17" xfId="0" applyFont="1" applyBorder="1" applyAlignment="1">
      <alignment wrapText="1"/>
    </xf>
    <xf numFmtId="0" fontId="8" fillId="9" borderId="0" xfId="0" applyFont="1" applyFill="1" applyAlignment="1">
      <alignment vertical="center"/>
    </xf>
    <xf numFmtId="0" fontId="8" fillId="0" borderId="1" xfId="0" applyFont="1" applyBorder="1" applyAlignment="1">
      <alignment vertical="center" wrapText="1"/>
    </xf>
    <xf numFmtId="0" fontId="9" fillId="0" borderId="1" xfId="0" applyFont="1" applyBorder="1" applyAlignment="1">
      <alignment wrapText="1"/>
    </xf>
    <xf numFmtId="0" fontId="18" fillId="9" borderId="0" xfId="0" applyFont="1" applyFill="1"/>
    <xf numFmtId="0" fontId="28" fillId="0" borderId="0" xfId="2" applyFont="1" applyFill="1" applyBorder="1" applyAlignment="1" applyProtection="1"/>
    <xf numFmtId="0" fontId="28" fillId="0" borderId="0" xfId="2" applyFont="1" applyAlignment="1" applyProtection="1">
      <alignment horizontal="left"/>
    </xf>
    <xf numFmtId="0" fontId="31" fillId="0" borderId="0" xfId="0" applyFont="1"/>
    <xf numFmtId="0" fontId="32" fillId="0" borderId="0" xfId="0" applyFont="1"/>
    <xf numFmtId="0" fontId="33" fillId="3" borderId="7" xfId="0" applyFont="1" applyFill="1" applyBorder="1"/>
    <xf numFmtId="166" fontId="33" fillId="3" borderId="8" xfId="0" applyNumberFormat="1" applyFont="1" applyFill="1" applyBorder="1" applyAlignment="1">
      <alignment horizontal="center"/>
    </xf>
    <xf numFmtId="0" fontId="33" fillId="3" borderId="9" xfId="0" applyFont="1" applyFill="1" applyBorder="1" applyAlignment="1">
      <alignment horizontal="center"/>
    </xf>
    <xf numFmtId="0" fontId="32" fillId="0" borderId="24" xfId="0" applyFont="1" applyBorder="1"/>
    <xf numFmtId="171" fontId="32" fillId="0" borderId="1" xfId="1" applyNumberFormat="1" applyFont="1" applyBorder="1"/>
    <xf numFmtId="171" fontId="32" fillId="0" borderId="25" xfId="1" applyNumberFormat="1" applyFont="1" applyBorder="1"/>
    <xf numFmtId="0" fontId="34" fillId="9" borderId="24" xfId="0" applyFont="1" applyFill="1" applyBorder="1"/>
    <xf numFmtId="165" fontId="32" fillId="9" borderId="1" xfId="1" applyFont="1" applyFill="1" applyBorder="1"/>
    <xf numFmtId="9" fontId="34" fillId="9" borderId="1" xfId="4" applyFont="1" applyFill="1" applyBorder="1"/>
    <xf numFmtId="9" fontId="34" fillId="9" borderId="25" xfId="4" applyFont="1" applyFill="1" applyBorder="1"/>
    <xf numFmtId="0" fontId="31" fillId="0" borderId="24" xfId="0" applyFont="1" applyBorder="1"/>
    <xf numFmtId="171" fontId="31" fillId="0" borderId="1" xfId="1" applyNumberFormat="1" applyFont="1" applyBorder="1"/>
    <xf numFmtId="171" fontId="31" fillId="0" borderId="25" xfId="1" applyNumberFormat="1" applyFont="1" applyBorder="1"/>
    <xf numFmtId="165" fontId="34" fillId="0" borderId="24" xfId="1" applyFont="1" applyBorder="1" applyAlignment="1">
      <alignment horizontal="left" indent="1"/>
    </xf>
    <xf numFmtId="9" fontId="34" fillId="0" borderId="1" xfId="4" applyFont="1" applyBorder="1"/>
    <xf numFmtId="9" fontId="34" fillId="0" borderId="25" xfId="4" applyFont="1" applyBorder="1"/>
    <xf numFmtId="172" fontId="34" fillId="9" borderId="1" xfId="1" applyNumberFormat="1" applyFont="1" applyFill="1" applyBorder="1"/>
    <xf numFmtId="172" fontId="34" fillId="9" borderId="25" xfId="1" applyNumberFormat="1" applyFont="1" applyFill="1" applyBorder="1"/>
    <xf numFmtId="171" fontId="34" fillId="9" borderId="1" xfId="1" applyNumberFormat="1" applyFont="1" applyFill="1" applyBorder="1"/>
    <xf numFmtId="171" fontId="34" fillId="9" borderId="25" xfId="1" applyNumberFormat="1" applyFont="1" applyFill="1" applyBorder="1"/>
    <xf numFmtId="170" fontId="31" fillId="0" borderId="1" xfId="1" applyNumberFormat="1" applyFont="1" applyBorder="1"/>
    <xf numFmtId="170" fontId="31" fillId="0" borderId="25" xfId="1" applyNumberFormat="1" applyFont="1" applyBorder="1"/>
    <xf numFmtId="0" fontId="31" fillId="9" borderId="24" xfId="0" applyFont="1" applyFill="1" applyBorder="1"/>
    <xf numFmtId="170" fontId="31" fillId="9" borderId="1" xfId="1" applyNumberFormat="1" applyFont="1" applyFill="1" applyBorder="1"/>
    <xf numFmtId="170" fontId="31" fillId="9" borderId="25" xfId="1" applyNumberFormat="1" applyFont="1" applyFill="1" applyBorder="1"/>
    <xf numFmtId="172" fontId="31" fillId="0" borderId="1" xfId="0" applyNumberFormat="1" applyFont="1" applyBorder="1"/>
    <xf numFmtId="10" fontId="31" fillId="0" borderId="25" xfId="0" applyNumberFormat="1" applyFont="1" applyBorder="1"/>
    <xf numFmtId="0" fontId="31" fillId="0" borderId="10" xfId="0" applyFont="1" applyBorder="1"/>
    <xf numFmtId="170" fontId="31" fillId="0" borderId="11" xfId="1" applyNumberFormat="1" applyFont="1" applyBorder="1"/>
    <xf numFmtId="172" fontId="31" fillId="0" borderId="11" xfId="0" applyNumberFormat="1" applyFont="1" applyBorder="1"/>
    <xf numFmtId="10" fontId="31" fillId="0" borderId="12" xfId="0" applyNumberFormat="1" applyFont="1" applyBorder="1"/>
    <xf numFmtId="10" fontId="31" fillId="0" borderId="0" xfId="0" applyNumberFormat="1" applyFont="1"/>
    <xf numFmtId="171" fontId="31" fillId="0" borderId="0" xfId="0" applyNumberFormat="1" applyFont="1"/>
    <xf numFmtId="166" fontId="33" fillId="3" borderId="1" xfId="0" applyNumberFormat="1" applyFont="1" applyFill="1" applyBorder="1" applyAlignment="1">
      <alignment horizontal="center"/>
    </xf>
    <xf numFmtId="0" fontId="31" fillId="0" borderId="1" xfId="0" applyFont="1" applyBorder="1"/>
    <xf numFmtId="172" fontId="31" fillId="9" borderId="1" xfId="0" applyNumberFormat="1" applyFont="1" applyFill="1" applyBorder="1"/>
    <xf numFmtId="0" fontId="37" fillId="0" borderId="0" xfId="0" applyFont="1"/>
    <xf numFmtId="0" fontId="36" fillId="9" borderId="4" xfId="0" applyFont="1" applyFill="1" applyBorder="1" applyAlignment="1">
      <alignment horizontal="center"/>
    </xf>
    <xf numFmtId="0" fontId="36" fillId="9" borderId="5" xfId="0" applyFont="1" applyFill="1" applyBorder="1" applyAlignment="1">
      <alignment horizontal="center"/>
    </xf>
    <xf numFmtId="0" fontId="36" fillId="9" borderId="6" xfId="0" applyFont="1" applyFill="1" applyBorder="1" applyAlignment="1">
      <alignment horizontal="center"/>
    </xf>
    <xf numFmtId="171" fontId="37" fillId="0" borderId="1" xfId="1" applyNumberFormat="1" applyFont="1" applyBorder="1"/>
    <xf numFmtId="0" fontId="27" fillId="0" borderId="0" xfId="0" applyFont="1" applyAlignment="1">
      <alignment horizontal="left"/>
    </xf>
    <xf numFmtId="0" fontId="8" fillId="9" borderId="24" xfId="0" applyFont="1" applyFill="1" applyBorder="1" applyAlignment="1">
      <alignment horizontal="left"/>
    </xf>
    <xf numFmtId="9" fontId="8" fillId="9" borderId="25" xfId="4" applyFont="1" applyFill="1" applyBorder="1" applyAlignment="1">
      <alignment horizontal="right"/>
    </xf>
    <xf numFmtId="9" fontId="9" fillId="0" borderId="25" xfId="4" applyFont="1" applyFill="1" applyBorder="1" applyAlignment="1">
      <alignment horizontal="left"/>
    </xf>
    <xf numFmtId="167" fontId="9" fillId="0" borderId="25" xfId="1" applyNumberFormat="1" applyFont="1" applyFill="1" applyBorder="1" applyAlignment="1">
      <alignment horizontal="left"/>
    </xf>
    <xf numFmtId="168" fontId="9" fillId="0" borderId="25" xfId="1" applyNumberFormat="1" applyFont="1" applyFill="1" applyBorder="1" applyAlignment="1">
      <alignment horizontal="left"/>
    </xf>
    <xf numFmtId="172" fontId="9" fillId="0" borderId="25" xfId="4" applyNumberFormat="1" applyFont="1" applyFill="1" applyBorder="1" applyAlignment="1">
      <alignment horizontal="right"/>
    </xf>
    <xf numFmtId="168" fontId="9" fillId="0" borderId="25" xfId="1" applyNumberFormat="1" applyFont="1" applyFill="1" applyBorder="1" applyAlignment="1">
      <alignment horizontal="left" indent="1"/>
    </xf>
    <xf numFmtId="172" fontId="9" fillId="0" borderId="25" xfId="4" applyNumberFormat="1" applyFont="1" applyFill="1" applyBorder="1" applyAlignment="1"/>
    <xf numFmtId="170" fontId="9" fillId="0" borderId="25" xfId="1" applyNumberFormat="1" applyFont="1" applyFill="1" applyBorder="1" applyAlignment="1"/>
    <xf numFmtId="0" fontId="13" fillId="0" borderId="10" xfId="0" applyFont="1" applyBorder="1" applyAlignment="1">
      <alignment horizontal="left"/>
    </xf>
    <xf numFmtId="170" fontId="9" fillId="0" borderId="12" xfId="1" applyNumberFormat="1" applyFont="1" applyFill="1" applyBorder="1" applyAlignment="1"/>
    <xf numFmtId="0" fontId="18" fillId="0" borderId="0" xfId="0" applyFont="1" applyAlignment="1">
      <alignment horizontal="left"/>
    </xf>
    <xf numFmtId="166" fontId="10" fillId="3" borderId="24" xfId="1" applyNumberFormat="1" applyFont="1" applyFill="1" applyBorder="1"/>
    <xf numFmtId="166" fontId="10" fillId="3" borderId="25" xfId="0" applyNumberFormat="1" applyFont="1" applyFill="1" applyBorder="1" applyAlignment="1">
      <alignment horizontal="center"/>
    </xf>
    <xf numFmtId="9" fontId="9" fillId="0" borderId="24" xfId="4" applyFont="1" applyBorder="1"/>
    <xf numFmtId="9" fontId="9" fillId="0" borderId="25" xfId="4" applyFont="1" applyBorder="1"/>
    <xf numFmtId="9" fontId="8" fillId="9" borderId="24" xfId="4" applyFont="1" applyFill="1" applyBorder="1"/>
    <xf numFmtId="9" fontId="8" fillId="9" borderId="25" xfId="0" applyNumberFormat="1" applyFont="1" applyFill="1" applyBorder="1"/>
    <xf numFmtId="9" fontId="9" fillId="0" borderId="26" xfId="4" applyFont="1" applyBorder="1"/>
    <xf numFmtId="0" fontId="9" fillId="0" borderId="27" xfId="0" applyFont="1" applyBorder="1"/>
    <xf numFmtId="0" fontId="9" fillId="0" borderId="28" xfId="0" applyFont="1" applyBorder="1"/>
    <xf numFmtId="9" fontId="9" fillId="0" borderId="25" xfId="0" applyNumberFormat="1" applyFont="1" applyBorder="1"/>
    <xf numFmtId="9" fontId="9" fillId="9" borderId="24" xfId="4" applyFont="1" applyFill="1" applyBorder="1"/>
    <xf numFmtId="9" fontId="9" fillId="9" borderId="25" xfId="4" applyFont="1" applyFill="1" applyBorder="1"/>
    <xf numFmtId="9" fontId="9" fillId="0" borderId="10" xfId="4" applyFont="1" applyBorder="1"/>
    <xf numFmtId="9" fontId="9" fillId="0" borderId="11" xfId="4" applyFont="1" applyBorder="1"/>
    <xf numFmtId="9" fontId="9" fillId="0" borderId="12" xfId="4" applyFont="1" applyBorder="1"/>
    <xf numFmtId="0" fontId="39" fillId="0" borderId="0" xfId="0" applyFont="1"/>
    <xf numFmtId="0" fontId="40" fillId="0" borderId="0" xfId="0" applyFont="1"/>
    <xf numFmtId="171" fontId="40" fillId="0" borderId="1" xfId="1" applyNumberFormat="1" applyFont="1" applyBorder="1" applyAlignment="1">
      <alignment horizontal="center"/>
    </xf>
    <xf numFmtId="171" fontId="39" fillId="0" borderId="1" xfId="1" applyNumberFormat="1" applyFont="1" applyBorder="1" applyAlignment="1">
      <alignment horizontal="center"/>
    </xf>
    <xf numFmtId="171" fontId="40" fillId="0" borderId="1" xfId="1" applyNumberFormat="1" applyFont="1" applyBorder="1"/>
    <xf numFmtId="171" fontId="40" fillId="0" borderId="0" xfId="1" applyNumberFormat="1" applyFont="1" applyBorder="1"/>
    <xf numFmtId="171" fontId="43" fillId="9" borderId="1" xfId="1" applyNumberFormat="1" applyFont="1" applyFill="1" applyBorder="1"/>
    <xf numFmtId="170" fontId="43" fillId="9" borderId="1" xfId="1" applyNumberFormat="1" applyFont="1" applyFill="1" applyBorder="1"/>
    <xf numFmtId="9" fontId="43" fillId="9" borderId="1" xfId="4" applyFont="1" applyFill="1" applyBorder="1"/>
    <xf numFmtId="0" fontId="44" fillId="0" borderId="0" xfId="0" applyFont="1"/>
    <xf numFmtId="0" fontId="44" fillId="0" borderId="0" xfId="0" applyFont="1" applyAlignment="1">
      <alignment wrapText="1"/>
    </xf>
    <xf numFmtId="166" fontId="41" fillId="3" borderId="30" xfId="0" applyNumberFormat="1" applyFont="1" applyFill="1" applyBorder="1" applyAlignment="1">
      <alignment horizontal="center"/>
    </xf>
    <xf numFmtId="0" fontId="41" fillId="3" borderId="29" xfId="0" applyFont="1" applyFill="1" applyBorder="1"/>
    <xf numFmtId="166" fontId="41" fillId="3" borderId="31" xfId="0" applyNumberFormat="1" applyFont="1" applyFill="1" applyBorder="1" applyAlignment="1">
      <alignment horizontal="center"/>
    </xf>
    <xf numFmtId="0" fontId="40" fillId="0" borderId="24" xfId="0" applyFont="1" applyBorder="1"/>
    <xf numFmtId="171" fontId="40" fillId="0" borderId="25" xfId="1" applyNumberFormat="1" applyFont="1" applyBorder="1" applyAlignment="1">
      <alignment horizontal="center"/>
    </xf>
    <xf numFmtId="0" fontId="39" fillId="0" borderId="24" xfId="0" applyFont="1" applyBorder="1"/>
    <xf numFmtId="171" fontId="39" fillId="0" borderId="25" xfId="1" applyNumberFormat="1" applyFont="1" applyBorder="1" applyAlignment="1">
      <alignment horizontal="center"/>
    </xf>
    <xf numFmtId="171" fontId="40" fillId="0" borderId="25" xfId="1" applyNumberFormat="1" applyFont="1" applyBorder="1"/>
    <xf numFmtId="0" fontId="42" fillId="4" borderId="10" xfId="0" applyFont="1" applyFill="1" applyBorder="1"/>
    <xf numFmtId="171" fontId="42" fillId="4" borderId="11" xfId="1" applyNumberFormat="1" applyFont="1" applyFill="1" applyBorder="1"/>
    <xf numFmtId="171" fontId="42" fillId="4" borderId="12" xfId="1" applyNumberFormat="1" applyFont="1" applyFill="1" applyBorder="1"/>
    <xf numFmtId="0" fontId="43" fillId="9" borderId="7" xfId="0" applyFont="1" applyFill="1" applyBorder="1"/>
    <xf numFmtId="171" fontId="43" fillId="9" borderId="8" xfId="1" applyNumberFormat="1" applyFont="1" applyFill="1" applyBorder="1"/>
    <xf numFmtId="171" fontId="43" fillId="9" borderId="9" xfId="1" applyNumberFormat="1" applyFont="1" applyFill="1" applyBorder="1"/>
    <xf numFmtId="0" fontId="43" fillId="9" borderId="24" xfId="0" applyFont="1" applyFill="1" applyBorder="1"/>
    <xf numFmtId="171" fontId="43" fillId="9" borderId="25" xfId="1" applyNumberFormat="1" applyFont="1" applyFill="1" applyBorder="1"/>
    <xf numFmtId="170" fontId="43" fillId="9" borderId="25" xfId="1" applyNumberFormat="1" applyFont="1" applyFill="1" applyBorder="1"/>
    <xf numFmtId="9" fontId="43" fillId="9" borderId="25" xfId="4" applyFont="1" applyFill="1" applyBorder="1"/>
    <xf numFmtId="0" fontId="43" fillId="9" borderId="10" xfId="0" applyFont="1" applyFill="1" applyBorder="1"/>
    <xf numFmtId="0" fontId="10" fillId="3" borderId="24" xfId="0" applyFont="1" applyFill="1" applyBorder="1"/>
    <xf numFmtId="0" fontId="8" fillId="0" borderId="24" xfId="0" applyFont="1" applyBorder="1"/>
    <xf numFmtId="171" fontId="8" fillId="0" borderId="23" xfId="1" applyNumberFormat="1" applyFont="1" applyBorder="1"/>
    <xf numFmtId="0" fontId="11" fillId="0" borderId="24" xfId="0" applyFont="1" applyBorder="1"/>
    <xf numFmtId="171" fontId="11" fillId="0" borderId="23" xfId="1" applyNumberFormat="1" applyFont="1" applyBorder="1"/>
    <xf numFmtId="0" fontId="21" fillId="4" borderId="24" xfId="0" applyFont="1" applyFill="1" applyBorder="1"/>
    <xf numFmtId="171" fontId="26" fillId="0" borderId="23" xfId="1" applyNumberFormat="1" applyFont="1" applyBorder="1"/>
    <xf numFmtId="171" fontId="9" fillId="0" borderId="23" xfId="1" applyNumberFormat="1" applyFont="1" applyBorder="1"/>
    <xf numFmtId="0" fontId="11" fillId="0" borderId="10" xfId="0" applyFont="1" applyBorder="1"/>
    <xf numFmtId="9" fontId="11" fillId="0" borderId="11" xfId="4" applyFont="1" applyBorder="1"/>
    <xf numFmtId="171" fontId="9" fillId="0" borderId="28" xfId="1" applyNumberFormat="1" applyFont="1" applyBorder="1"/>
    <xf numFmtId="0" fontId="46" fillId="0" borderId="0" xfId="0" applyFont="1" applyAlignment="1">
      <alignment wrapText="1"/>
    </xf>
    <xf numFmtId="0" fontId="47" fillId="0" borderId="0" xfId="2" applyFont="1" applyFill="1" applyBorder="1" applyAlignment="1" applyProtection="1">
      <alignment horizontal="center" wrapText="1"/>
    </xf>
    <xf numFmtId="0" fontId="48" fillId="8" borderId="40" xfId="0" applyFont="1" applyFill="1" applyBorder="1" applyAlignment="1">
      <alignment horizontal="center" wrapText="1"/>
    </xf>
    <xf numFmtId="0" fontId="46" fillId="0" borderId="41" xfId="0" applyFont="1" applyBorder="1" applyAlignment="1">
      <alignment wrapText="1"/>
    </xf>
    <xf numFmtId="0" fontId="46" fillId="0" borderId="42" xfId="0" applyFont="1" applyBorder="1" applyAlignment="1">
      <alignment wrapText="1"/>
    </xf>
    <xf numFmtId="0" fontId="50" fillId="0" borderId="0" xfId="0" applyFont="1" applyAlignment="1">
      <alignment wrapText="1"/>
    </xf>
    <xf numFmtId="0" fontId="0" fillId="0" borderId="41" xfId="0" applyBorder="1" applyAlignment="1">
      <alignment wrapText="1"/>
    </xf>
    <xf numFmtId="171" fontId="11" fillId="0" borderId="4" xfId="0" applyNumberFormat="1" applyFont="1" applyBorder="1" applyAlignment="1">
      <alignment horizontal="center"/>
    </xf>
    <xf numFmtId="171" fontId="26" fillId="0" borderId="1" xfId="1" applyNumberFormat="1" applyFont="1" applyBorder="1"/>
    <xf numFmtId="0" fontId="26" fillId="0" borderId="0" xfId="0" applyFont="1"/>
    <xf numFmtId="9" fontId="11" fillId="0" borderId="5" xfId="4" applyFont="1" applyBorder="1" applyAlignment="1">
      <alignment horizontal="center"/>
    </xf>
    <xf numFmtId="9" fontId="40" fillId="9" borderId="11" xfId="4" applyFont="1" applyFill="1" applyBorder="1"/>
    <xf numFmtId="9" fontId="40" fillId="9" borderId="12" xfId="4" applyFont="1" applyFill="1" applyBorder="1"/>
    <xf numFmtId="169" fontId="10" fillId="3" borderId="1" xfId="0" applyNumberFormat="1" applyFont="1" applyFill="1" applyBorder="1"/>
    <xf numFmtId="172" fontId="9" fillId="0" borderId="1" xfId="4" applyNumberFormat="1" applyFont="1" applyBorder="1"/>
    <xf numFmtId="172" fontId="9" fillId="0" borderId="1" xfId="0" applyNumberFormat="1" applyFont="1" applyBorder="1"/>
    <xf numFmtId="170" fontId="9" fillId="0" borderId="1" xfId="1" applyNumberFormat="1" applyFont="1" applyBorder="1"/>
    <xf numFmtId="0" fontId="12" fillId="3" borderId="24" xfId="0" applyFont="1" applyFill="1" applyBorder="1"/>
    <xf numFmtId="169" fontId="10" fillId="3" borderId="25" xfId="0" applyNumberFormat="1" applyFont="1" applyFill="1" applyBorder="1"/>
    <xf numFmtId="172" fontId="9" fillId="0" borderId="25" xfId="4" applyNumberFormat="1" applyFont="1" applyBorder="1"/>
    <xf numFmtId="0" fontId="9" fillId="0" borderId="25" xfId="0" applyFont="1" applyBorder="1"/>
    <xf numFmtId="172" fontId="9" fillId="0" borderId="25" xfId="0" applyNumberFormat="1" applyFont="1" applyBorder="1"/>
    <xf numFmtId="170" fontId="9" fillId="0" borderId="25" xfId="1" applyNumberFormat="1" applyFont="1" applyBorder="1"/>
    <xf numFmtId="0" fontId="9" fillId="0" borderId="10" xfId="0" applyFont="1" applyBorder="1"/>
    <xf numFmtId="171" fontId="9" fillId="0" borderId="11" xfId="1" applyNumberFormat="1" applyFont="1" applyBorder="1"/>
    <xf numFmtId="171" fontId="9" fillId="0" borderId="12" xfId="1" applyNumberFormat="1" applyFont="1" applyBorder="1"/>
    <xf numFmtId="0" fontId="52" fillId="0" borderId="0" xfId="0" applyFont="1"/>
    <xf numFmtId="0" fontId="53" fillId="0" borderId="0" xfId="0" applyFont="1"/>
    <xf numFmtId="169" fontId="52" fillId="0" borderId="0" xfId="0" applyNumberFormat="1" applyFont="1"/>
    <xf numFmtId="169" fontId="53" fillId="0" borderId="0" xfId="0" applyNumberFormat="1" applyFont="1"/>
    <xf numFmtId="9" fontId="52" fillId="0" borderId="0" xfId="4" applyFont="1"/>
    <xf numFmtId="171" fontId="52" fillId="0" borderId="0" xfId="1" applyNumberFormat="1" applyFont="1"/>
    <xf numFmtId="0" fontId="54" fillId="0" borderId="1" xfId="2" applyFont="1" applyBorder="1" applyAlignment="1" applyProtection="1"/>
    <xf numFmtId="0" fontId="8" fillId="7" borderId="1" xfId="0" applyFont="1" applyFill="1" applyBorder="1"/>
    <xf numFmtId="0" fontId="55" fillId="0" borderId="0" xfId="0" applyFont="1"/>
    <xf numFmtId="0" fontId="7" fillId="8" borderId="40" xfId="0" applyFont="1" applyFill="1" applyBorder="1" applyAlignment="1">
      <alignment horizontal="center" wrapText="1"/>
    </xf>
    <xf numFmtId="0" fontId="45" fillId="8" borderId="21" xfId="2" applyFont="1" applyFill="1" applyBorder="1" applyAlignment="1" applyProtection="1">
      <alignment horizontal="center" wrapText="1"/>
    </xf>
    <xf numFmtId="0" fontId="9" fillId="0" borderId="41" xfId="0" applyFont="1" applyBorder="1" applyAlignment="1">
      <alignment wrapText="1"/>
    </xf>
    <xf numFmtId="0" fontId="8" fillId="9" borderId="7" xfId="0" applyFont="1" applyFill="1" applyBorder="1" applyAlignment="1">
      <alignment horizontal="center"/>
    </xf>
    <xf numFmtId="0" fontId="8" fillId="9" borderId="9" xfId="0" applyFont="1" applyFill="1" applyBorder="1" applyAlignment="1">
      <alignment horizontal="center"/>
    </xf>
    <xf numFmtId="0" fontId="38" fillId="9" borderId="18" xfId="0" applyFont="1" applyFill="1" applyBorder="1" applyAlignment="1">
      <alignment horizontal="center" vertical="center" wrapText="1"/>
    </xf>
    <xf numFmtId="0" fontId="38" fillId="9" borderId="20" xfId="0" applyFont="1" applyFill="1" applyBorder="1" applyAlignment="1">
      <alignment horizontal="center" vertical="center" wrapText="1"/>
    </xf>
    <xf numFmtId="0" fontId="38" fillId="9" borderId="22" xfId="0" applyFont="1" applyFill="1" applyBorder="1" applyAlignment="1">
      <alignment horizontal="center" vertical="center" wrapText="1"/>
    </xf>
    <xf numFmtId="0" fontId="38" fillId="9" borderId="23" xfId="0" applyFont="1" applyFill="1" applyBorder="1" applyAlignment="1">
      <alignment horizontal="center" vertical="center" wrapText="1"/>
    </xf>
    <xf numFmtId="0" fontId="38" fillId="9" borderId="26" xfId="0" applyFont="1" applyFill="1" applyBorder="1" applyAlignment="1">
      <alignment horizontal="center" vertical="center" wrapText="1"/>
    </xf>
    <xf numFmtId="0" fontId="38" fillId="9" borderId="28" xfId="0" applyFont="1" applyFill="1" applyBorder="1" applyAlignment="1">
      <alignment horizontal="center" vertical="center" wrapText="1"/>
    </xf>
    <xf numFmtId="0" fontId="45" fillId="0" borderId="0" xfId="2" applyFont="1" applyAlignment="1" applyProtection="1">
      <alignment horizontal="center"/>
    </xf>
    <xf numFmtId="0" fontId="10" fillId="10" borderId="18" xfId="0" applyFont="1" applyFill="1" applyBorder="1" applyAlignment="1">
      <alignment horizontal="center" vertical="center" wrapText="1"/>
    </xf>
    <xf numFmtId="0" fontId="10" fillId="10" borderId="19" xfId="0" applyFont="1" applyFill="1" applyBorder="1" applyAlignment="1">
      <alignment horizontal="center" vertical="center" wrapText="1"/>
    </xf>
    <xf numFmtId="0" fontId="10" fillId="10" borderId="20"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0" fillId="10" borderId="0" xfId="0" applyFont="1" applyFill="1" applyAlignment="1">
      <alignment horizontal="center" vertical="center" wrapText="1"/>
    </xf>
    <xf numFmtId="0" fontId="10" fillId="10" borderId="23" xfId="0" applyFont="1" applyFill="1" applyBorder="1" applyAlignment="1">
      <alignment horizontal="center" vertical="center" wrapText="1"/>
    </xf>
    <xf numFmtId="0" fontId="10" fillId="10" borderId="26" xfId="0" applyFont="1" applyFill="1" applyBorder="1" applyAlignment="1">
      <alignment horizontal="center" vertical="center" wrapText="1"/>
    </xf>
    <xf numFmtId="0" fontId="10" fillId="10" borderId="27" xfId="0" applyFont="1" applyFill="1" applyBorder="1" applyAlignment="1">
      <alignment horizontal="center" vertical="center" wrapText="1"/>
    </xf>
    <xf numFmtId="0" fontId="10" fillId="10" borderId="28"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8" fillId="9" borderId="0" xfId="0" applyFont="1" applyFill="1" applyAlignment="1">
      <alignment horizontal="center" vertical="center" wrapText="1"/>
    </xf>
    <xf numFmtId="0" fontId="8" fillId="9" borderId="23" xfId="0" applyFont="1" applyFill="1" applyBorder="1" applyAlignment="1">
      <alignment horizontal="center" vertical="center" wrapText="1"/>
    </xf>
    <xf numFmtId="0" fontId="8" fillId="9" borderId="26" xfId="0" applyFont="1" applyFill="1" applyBorder="1" applyAlignment="1">
      <alignment horizontal="center" vertical="center" wrapText="1"/>
    </xf>
    <xf numFmtId="0" fontId="8" fillId="9" borderId="27" xfId="0" applyFont="1" applyFill="1" applyBorder="1" applyAlignment="1">
      <alignment horizontal="center" vertical="center" wrapText="1"/>
    </xf>
    <xf numFmtId="0" fontId="8" fillId="9" borderId="28" xfId="0" applyFont="1" applyFill="1" applyBorder="1" applyAlignment="1">
      <alignment horizontal="center" vertical="center" wrapText="1"/>
    </xf>
    <xf numFmtId="0" fontId="7" fillId="9" borderId="37" xfId="0" applyFont="1" applyFill="1" applyBorder="1" applyAlignment="1">
      <alignment horizontal="center"/>
    </xf>
    <xf numFmtId="0" fontId="7" fillId="9" borderId="38" xfId="0" applyFont="1" applyFill="1" applyBorder="1" applyAlignment="1">
      <alignment horizontal="center"/>
    </xf>
    <xf numFmtId="0" fontId="11" fillId="0" borderId="39" xfId="0" applyFont="1" applyBorder="1" applyAlignment="1">
      <alignment horizontal="center"/>
    </xf>
    <xf numFmtId="0" fontId="7" fillId="9" borderId="18" xfId="0" applyFont="1" applyFill="1" applyBorder="1" applyAlignment="1">
      <alignment horizontal="center"/>
    </xf>
    <xf numFmtId="0" fontId="7" fillId="9" borderId="19" xfId="0" applyFont="1" applyFill="1" applyBorder="1" applyAlignment="1">
      <alignment horizontal="center"/>
    </xf>
    <xf numFmtId="0" fontId="7" fillId="9" borderId="20" xfId="0" applyFont="1" applyFill="1" applyBorder="1" applyAlignment="1">
      <alignment horizontal="center"/>
    </xf>
    <xf numFmtId="0" fontId="39" fillId="9" borderId="26" xfId="0" applyFont="1" applyFill="1" applyBorder="1" applyAlignment="1">
      <alignment horizontal="center"/>
    </xf>
    <xf numFmtId="0" fontId="39" fillId="9" borderId="27" xfId="0" applyFont="1" applyFill="1" applyBorder="1" applyAlignment="1">
      <alignment horizontal="center"/>
    </xf>
    <xf numFmtId="0" fontId="39" fillId="9" borderId="28" xfId="0" applyFont="1" applyFill="1" applyBorder="1" applyAlignment="1">
      <alignment horizontal="center"/>
    </xf>
    <xf numFmtId="0" fontId="31" fillId="9" borderId="0" xfId="0" applyFont="1" applyFill="1" applyAlignment="1">
      <alignment horizontal="center" vertical="center" wrapText="1"/>
    </xf>
    <xf numFmtId="0" fontId="31" fillId="9" borderId="1" xfId="0" applyFont="1" applyFill="1" applyBorder="1" applyAlignment="1">
      <alignment horizontal="center" vertical="center" wrapText="1"/>
    </xf>
    <xf numFmtId="0" fontId="8" fillId="9" borderId="26" xfId="0" applyFont="1" applyFill="1" applyBorder="1" applyAlignment="1">
      <alignment horizontal="center"/>
    </xf>
    <xf numFmtId="0" fontId="8" fillId="9" borderId="27" xfId="0" applyFont="1" applyFill="1" applyBorder="1" applyAlignment="1">
      <alignment horizontal="center"/>
    </xf>
    <xf numFmtId="0" fontId="8" fillId="9" borderId="28" xfId="0" applyFont="1" applyFill="1" applyBorder="1" applyAlignment="1">
      <alignment horizontal="center"/>
    </xf>
    <xf numFmtId="171" fontId="11" fillId="0" borderId="4" xfId="0" applyNumberFormat="1" applyFont="1" applyBorder="1" applyAlignment="1">
      <alignment horizontal="center"/>
    </xf>
    <xf numFmtId="171" fontId="11" fillId="0" borderId="5" xfId="0" applyNumberFormat="1" applyFont="1" applyBorder="1" applyAlignment="1">
      <alignment horizontal="center"/>
    </xf>
    <xf numFmtId="171" fontId="11" fillId="0" borderId="6" xfId="0" applyNumberFormat="1" applyFont="1" applyBorder="1" applyAlignment="1">
      <alignment horizontal="center"/>
    </xf>
    <xf numFmtId="0" fontId="8" fillId="9" borderId="43" xfId="0" applyFont="1" applyFill="1" applyBorder="1" applyAlignment="1">
      <alignment horizontal="center"/>
    </xf>
    <xf numFmtId="0" fontId="8" fillId="9" borderId="3" xfId="0" applyFont="1" applyFill="1" applyBorder="1" applyAlignment="1">
      <alignment horizontal="center"/>
    </xf>
    <xf numFmtId="0" fontId="8" fillId="9" borderId="44" xfId="0" applyFont="1" applyFill="1" applyBorder="1" applyAlignment="1">
      <alignment horizontal="center"/>
    </xf>
    <xf numFmtId="0" fontId="7" fillId="9" borderId="45" xfId="0" applyFont="1" applyFill="1" applyBorder="1" applyAlignment="1">
      <alignment horizontal="center"/>
    </xf>
    <xf numFmtId="0" fontId="7" fillId="9" borderId="46" xfId="0" applyFont="1" applyFill="1" applyBorder="1" applyAlignment="1">
      <alignment horizontal="center"/>
    </xf>
    <xf numFmtId="0" fontId="7" fillId="9" borderId="47" xfId="0" applyFont="1" applyFill="1" applyBorder="1" applyAlignment="1">
      <alignment horizontal="center"/>
    </xf>
    <xf numFmtId="0" fontId="10" fillId="3" borderId="24" xfId="0" applyFont="1" applyFill="1" applyBorder="1" applyAlignment="1">
      <alignment horizontal="center"/>
    </xf>
    <xf numFmtId="0" fontId="10" fillId="3" borderId="1" xfId="0" applyFont="1" applyFill="1" applyBorder="1" applyAlignment="1">
      <alignment horizontal="center"/>
    </xf>
    <xf numFmtId="0" fontId="10" fillId="3" borderId="25" xfId="0" applyFont="1" applyFill="1" applyBorder="1" applyAlignment="1">
      <alignment horizontal="center"/>
    </xf>
    <xf numFmtId="0" fontId="9" fillId="8" borderId="18" xfId="0" applyFont="1" applyFill="1" applyBorder="1" applyAlignment="1">
      <alignment horizontal="center" vertical="center" wrapText="1"/>
    </xf>
    <xf numFmtId="0" fontId="9" fillId="8" borderId="19" xfId="0" applyFont="1" applyFill="1" applyBorder="1" applyAlignment="1">
      <alignment horizontal="center" vertical="center" wrapText="1"/>
    </xf>
    <xf numFmtId="0" fontId="9" fillId="8" borderId="20" xfId="0" applyFont="1" applyFill="1" applyBorder="1" applyAlignment="1">
      <alignment horizontal="center" vertical="center" wrapText="1"/>
    </xf>
    <xf numFmtId="0" fontId="9" fillId="8" borderId="22" xfId="0" applyFont="1" applyFill="1" applyBorder="1" applyAlignment="1">
      <alignment horizontal="center" vertical="center" wrapText="1"/>
    </xf>
    <xf numFmtId="0" fontId="9" fillId="8" borderId="0" xfId="0" applyFont="1" applyFill="1" applyAlignment="1">
      <alignment horizontal="center" vertical="center" wrapText="1"/>
    </xf>
    <xf numFmtId="0" fontId="9" fillId="8" borderId="23" xfId="0" applyFont="1" applyFill="1" applyBorder="1" applyAlignment="1">
      <alignment horizontal="center" vertical="center" wrapText="1"/>
    </xf>
    <xf numFmtId="0" fontId="9" fillId="8" borderId="26" xfId="0" applyFont="1" applyFill="1" applyBorder="1" applyAlignment="1">
      <alignment horizontal="center" vertical="center" wrapText="1"/>
    </xf>
    <xf numFmtId="0" fontId="9" fillId="8" borderId="27" xfId="0" applyFont="1" applyFill="1" applyBorder="1" applyAlignment="1">
      <alignment horizontal="center" vertical="center" wrapText="1"/>
    </xf>
    <xf numFmtId="0" fontId="9" fillId="8" borderId="28" xfId="0" applyFont="1" applyFill="1" applyBorder="1" applyAlignment="1">
      <alignment horizontal="center" vertical="center" wrapText="1"/>
    </xf>
    <xf numFmtId="9" fontId="17" fillId="9" borderId="7" xfId="4" applyFont="1" applyFill="1" applyBorder="1" applyAlignment="1">
      <alignment horizontal="center"/>
    </xf>
    <xf numFmtId="9" fontId="17" fillId="9" borderId="8" xfId="4" applyFont="1" applyFill="1" applyBorder="1" applyAlignment="1">
      <alignment horizontal="center"/>
    </xf>
    <xf numFmtId="9" fontId="17" fillId="9" borderId="9" xfId="4" applyFont="1" applyFill="1" applyBorder="1" applyAlignment="1">
      <alignment horizontal="center"/>
    </xf>
    <xf numFmtId="0" fontId="9" fillId="8" borderId="19" xfId="0" applyFont="1" applyFill="1" applyBorder="1" applyAlignment="1">
      <alignment horizontal="center" vertical="center"/>
    </xf>
    <xf numFmtId="0" fontId="9" fillId="8" borderId="20" xfId="0" applyFont="1" applyFill="1" applyBorder="1" applyAlignment="1">
      <alignment horizontal="center" vertical="center"/>
    </xf>
    <xf numFmtId="0" fontId="9" fillId="8" borderId="22" xfId="0" applyFont="1" applyFill="1" applyBorder="1" applyAlignment="1">
      <alignment horizontal="center" vertical="center"/>
    </xf>
    <xf numFmtId="0" fontId="9" fillId="8" borderId="0" xfId="0" applyFont="1" applyFill="1" applyAlignment="1">
      <alignment horizontal="center" vertical="center"/>
    </xf>
    <xf numFmtId="0" fontId="9" fillId="8" borderId="23" xfId="0" applyFont="1" applyFill="1" applyBorder="1" applyAlignment="1">
      <alignment horizontal="center" vertical="center"/>
    </xf>
    <xf numFmtId="0" fontId="9" fillId="8" borderId="26" xfId="0" applyFont="1" applyFill="1" applyBorder="1" applyAlignment="1">
      <alignment horizontal="center" vertical="center"/>
    </xf>
    <xf numFmtId="0" fontId="9" fillId="8" borderId="27" xfId="0" applyFont="1" applyFill="1" applyBorder="1" applyAlignment="1">
      <alignment horizontal="center" vertical="center"/>
    </xf>
    <xf numFmtId="0" fontId="9" fillId="8" borderId="28" xfId="0" applyFont="1" applyFill="1" applyBorder="1" applyAlignment="1">
      <alignment horizontal="center" vertical="center"/>
    </xf>
    <xf numFmtId="0" fontId="26" fillId="8" borderId="1" xfId="0" applyFont="1" applyFill="1" applyBorder="1" applyAlignment="1">
      <alignment horizontal="center"/>
    </xf>
    <xf numFmtId="0" fontId="9" fillId="0" borderId="4" xfId="0" applyFont="1" applyBorder="1" applyAlignment="1">
      <alignment horizontal="right"/>
    </xf>
    <xf numFmtId="0" fontId="9" fillId="0" borderId="5" xfId="0" applyFont="1" applyBorder="1" applyAlignment="1">
      <alignment horizontal="right"/>
    </xf>
    <xf numFmtId="0" fontId="9" fillId="0" borderId="6" xfId="0" applyFont="1" applyBorder="1" applyAlignment="1">
      <alignment horizontal="right"/>
    </xf>
    <xf numFmtId="0" fontId="7" fillId="6" borderId="18" xfId="0" applyFont="1" applyFill="1" applyBorder="1" applyAlignment="1">
      <alignment horizontal="center"/>
    </xf>
    <xf numFmtId="0" fontId="7" fillId="6" borderId="19" xfId="0" applyFont="1" applyFill="1" applyBorder="1" applyAlignment="1">
      <alignment horizontal="center"/>
    </xf>
    <xf numFmtId="0" fontId="7" fillId="6" borderId="20" xfId="0" applyFont="1" applyFill="1" applyBorder="1" applyAlignment="1">
      <alignment horizontal="center"/>
    </xf>
    <xf numFmtId="0" fontId="28" fillId="6" borderId="26" xfId="2" applyFont="1" applyFill="1" applyBorder="1" applyAlignment="1" applyProtection="1">
      <alignment horizontal="center"/>
    </xf>
    <xf numFmtId="0" fontId="28" fillId="6" borderId="27" xfId="2" applyFont="1" applyFill="1" applyBorder="1" applyAlignment="1" applyProtection="1">
      <alignment horizontal="center"/>
    </xf>
    <xf numFmtId="0" fontId="28" fillId="6" borderId="28" xfId="2" applyFont="1" applyFill="1" applyBorder="1" applyAlignment="1" applyProtection="1">
      <alignment horizontal="center"/>
    </xf>
    <xf numFmtId="0" fontId="8" fillId="8" borderId="1" xfId="0" applyFont="1" applyFill="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19" fillId="7" borderId="1" xfId="0" applyFont="1" applyFill="1" applyBorder="1" applyAlignment="1">
      <alignment horizontal="center"/>
    </xf>
    <xf numFmtId="0" fontId="7" fillId="7" borderId="37" xfId="0" applyFont="1" applyFill="1" applyBorder="1" applyAlignment="1">
      <alignment horizontal="center"/>
    </xf>
    <xf numFmtId="0" fontId="7" fillId="7" borderId="38" xfId="0" applyFont="1" applyFill="1" applyBorder="1" applyAlignment="1">
      <alignment horizontal="center"/>
    </xf>
    <xf numFmtId="0" fontId="23" fillId="9" borderId="7" xfId="0" applyFont="1" applyFill="1" applyBorder="1" applyAlignment="1">
      <alignment horizontal="center"/>
    </xf>
    <xf numFmtId="0" fontId="23" fillId="9" borderId="9" xfId="0" applyFont="1" applyFill="1" applyBorder="1" applyAlignment="1">
      <alignment horizontal="center"/>
    </xf>
    <xf numFmtId="0" fontId="7" fillId="7" borderId="18" xfId="0" applyFont="1" applyFill="1" applyBorder="1" applyAlignment="1">
      <alignment horizontal="center"/>
    </xf>
    <xf numFmtId="0" fontId="7" fillId="7" borderId="19" xfId="0" applyFont="1" applyFill="1" applyBorder="1" applyAlignment="1">
      <alignment horizontal="center"/>
    </xf>
    <xf numFmtId="0" fontId="7" fillId="7" borderId="20" xfId="0" applyFont="1" applyFill="1" applyBorder="1" applyAlignment="1">
      <alignment horizontal="center"/>
    </xf>
    <xf numFmtId="0" fontId="8" fillId="7" borderId="26" xfId="0" applyFont="1" applyFill="1" applyBorder="1" applyAlignment="1">
      <alignment horizontal="center" vertical="center"/>
    </xf>
    <xf numFmtId="0" fontId="8" fillId="7" borderId="27" xfId="0" applyFont="1" applyFill="1" applyBorder="1" applyAlignment="1">
      <alignment horizontal="center" vertical="center"/>
    </xf>
    <xf numFmtId="0" fontId="8" fillId="7" borderId="28" xfId="0" applyFont="1" applyFill="1" applyBorder="1" applyAlignment="1">
      <alignment horizontal="center" vertical="center"/>
    </xf>
    <xf numFmtId="0" fontId="7" fillId="7" borderId="4" xfId="0" applyFont="1" applyFill="1" applyBorder="1" applyAlignment="1">
      <alignment horizontal="center"/>
    </xf>
    <xf numFmtId="0" fontId="7" fillId="7" borderId="5" xfId="0" applyFont="1" applyFill="1" applyBorder="1" applyAlignment="1">
      <alignment horizontal="center"/>
    </xf>
    <xf numFmtId="0" fontId="7" fillId="7" borderId="6" xfId="0" applyFont="1" applyFill="1" applyBorder="1" applyAlignment="1">
      <alignment horizontal="center"/>
    </xf>
    <xf numFmtId="0" fontId="8" fillId="7" borderId="4" xfId="0" applyFont="1" applyFill="1" applyBorder="1" applyAlignment="1">
      <alignment horizontal="center"/>
    </xf>
    <xf numFmtId="0" fontId="8" fillId="7" borderId="5" xfId="0" applyFont="1" applyFill="1" applyBorder="1" applyAlignment="1">
      <alignment horizontal="center"/>
    </xf>
    <xf numFmtId="0" fontId="8" fillId="7" borderId="6" xfId="0" applyFont="1" applyFill="1" applyBorder="1" applyAlignment="1">
      <alignment horizontal="center"/>
    </xf>
    <xf numFmtId="0" fontId="7" fillId="9" borderId="4" xfId="0" applyFont="1" applyFill="1" applyBorder="1" applyAlignment="1">
      <alignment horizontal="center"/>
    </xf>
    <xf numFmtId="0" fontId="7" fillId="9" borderId="5" xfId="0" applyFont="1" applyFill="1" applyBorder="1" applyAlignment="1">
      <alignment horizontal="center"/>
    </xf>
    <xf numFmtId="0" fontId="7" fillId="9" borderId="6" xfId="0" applyFont="1" applyFill="1" applyBorder="1" applyAlignment="1">
      <alignment horizontal="center"/>
    </xf>
    <xf numFmtId="0" fontId="36" fillId="9" borderId="4" xfId="0" applyFont="1" applyFill="1" applyBorder="1" applyAlignment="1">
      <alignment horizontal="center"/>
    </xf>
    <xf numFmtId="0" fontId="36" fillId="9" borderId="5" xfId="0" applyFont="1" applyFill="1" applyBorder="1" applyAlignment="1">
      <alignment horizontal="center"/>
    </xf>
    <xf numFmtId="0" fontId="36" fillId="9" borderId="6" xfId="0" applyFont="1" applyFill="1" applyBorder="1" applyAlignment="1">
      <alignment horizontal="center"/>
    </xf>
    <xf numFmtId="171" fontId="8" fillId="7" borderId="4" xfId="1" applyNumberFormat="1" applyFont="1" applyFill="1" applyBorder="1" applyAlignment="1">
      <alignment horizontal="right"/>
    </xf>
    <xf numFmtId="171" fontId="8" fillId="7" borderId="6" xfId="1" applyNumberFormat="1" applyFont="1" applyFill="1" applyBorder="1" applyAlignment="1">
      <alignment horizontal="right"/>
    </xf>
    <xf numFmtId="0" fontId="36" fillId="9" borderId="19" xfId="0" applyFont="1" applyFill="1" applyBorder="1" applyAlignment="1">
      <alignment horizontal="center" vertical="center" wrapText="1"/>
    </xf>
    <xf numFmtId="0" fontId="36" fillId="9" borderId="20" xfId="0" applyFont="1" applyFill="1" applyBorder="1" applyAlignment="1">
      <alignment horizontal="center" vertical="center" wrapText="1"/>
    </xf>
    <xf numFmtId="0" fontId="36" fillId="9" borderId="22" xfId="0" applyFont="1" applyFill="1" applyBorder="1" applyAlignment="1">
      <alignment horizontal="center" vertical="center" wrapText="1"/>
    </xf>
    <xf numFmtId="0" fontId="36" fillId="9" borderId="0" xfId="0" applyFont="1" applyFill="1" applyAlignment="1">
      <alignment horizontal="center" vertical="center" wrapText="1"/>
    </xf>
    <xf numFmtId="0" fontId="36" fillId="9" borderId="23" xfId="0" applyFont="1" applyFill="1" applyBorder="1" applyAlignment="1">
      <alignment horizontal="center" vertical="center" wrapText="1"/>
    </xf>
    <xf numFmtId="0" fontId="36" fillId="9" borderId="26" xfId="0" applyFont="1" applyFill="1" applyBorder="1" applyAlignment="1">
      <alignment horizontal="center" vertical="center" wrapText="1"/>
    </xf>
    <xf numFmtId="0" fontId="36" fillId="9" borderId="27" xfId="0" applyFont="1" applyFill="1" applyBorder="1" applyAlignment="1">
      <alignment horizontal="center" vertical="center" wrapText="1"/>
    </xf>
    <xf numFmtId="0" fontId="36" fillId="9" borderId="28" xfId="0" applyFont="1" applyFill="1" applyBorder="1" applyAlignment="1">
      <alignment horizontal="center" vertical="center" wrapText="1"/>
    </xf>
    <xf numFmtId="165" fontId="14" fillId="0" borderId="0" xfId="2" applyNumberFormat="1" applyFont="1" applyBorder="1" applyAlignment="1" applyProtection="1">
      <alignment horizontal="center"/>
    </xf>
    <xf numFmtId="165" fontId="10" fillId="2" borderId="0" xfId="3" applyNumberFormat="1" applyFont="1" applyBorder="1" applyAlignment="1">
      <alignment horizontal="center"/>
    </xf>
  </cellXfs>
  <cellStyles count="5">
    <cellStyle name="Accent6" xfId="3" builtinId="49"/>
    <cellStyle name="Comma" xfId="1" builtinId="3"/>
    <cellStyle name="Hyperlink" xfId="2" builtinId="8"/>
    <cellStyle name="Normal" xfId="0" builtinId="0"/>
    <cellStyle name="Per cent" xfId="4" builtinId="5"/>
  </cellStyles>
  <dxfs count="65">
    <dxf>
      <font>
        <b/>
        <i val="0"/>
        <color theme="0"/>
      </font>
      <fill>
        <patternFill>
          <bgColor theme="5"/>
        </patternFill>
      </fill>
    </dxf>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style="thin">
          <color theme="4"/>
        </left>
        <right/>
        <top/>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166" formatCode="[$-409]mmm\-yy;@"/>
    </dxf>
    <dxf>
      <font>
        <b/>
        <i val="0"/>
        <strike val="0"/>
        <condense val="0"/>
        <extend val="0"/>
        <outline val="0"/>
        <shadow val="0"/>
        <u val="none"/>
        <vertAlign val="baseline"/>
        <sz val="10"/>
        <color theme="0"/>
        <name val="Arial"/>
        <family val="2"/>
        <scheme val="none"/>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4" formatCode="0.00%"/>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border diagonalUp="0" diagonalDown="0" outline="0">
        <left/>
        <right/>
        <top/>
        <bottom/>
      </border>
    </dxf>
    <dxf>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right/>
        <top/>
        <bottom/>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0"/>
        <name val="Arial"/>
        <family val="2"/>
        <scheme val="none"/>
      </font>
      <fill>
        <patternFill patternType="solid">
          <fgColor theme="4"/>
          <bgColor rgb="FF0275D8"/>
        </patternFill>
      </fill>
      <alignment horizontal="center" vertical="bottom" textRotation="0" wrapText="0" relativeIndent="0" justifyLastLine="0" shrinkToFit="0" readingOrder="0"/>
    </dxf>
  </dxfs>
  <tableStyles count="0" defaultTableStyle="TableStyleMedium9" defaultPivotStyle="PivotStyleLight16"/>
  <colors>
    <mruColors>
      <color rgb="FF0275D8"/>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Profit Margin</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0642162893700788"/>
          <c:y val="0.12063354983852827"/>
          <c:w val="0.86493253772965883"/>
          <c:h val="0.52987481403534231"/>
        </c:manualLayout>
      </c:layout>
      <c:lineChart>
        <c:grouping val="standard"/>
        <c:varyColors val="0"/>
        <c:ser>
          <c:idx val="0"/>
          <c:order val="0"/>
          <c:tx>
            <c:strRef>
              <c:f>Charts!$A$51</c:f>
              <c:strCache>
                <c:ptCount val="1"/>
                <c:pt idx="0">
                  <c:v>Operating Margin</c:v>
                </c:pt>
              </c:strCache>
            </c:strRef>
          </c:tx>
          <c:spPr>
            <a:ln w="28575" cap="rnd">
              <a:solidFill>
                <a:schemeClr val="accent1"/>
              </a:solidFill>
              <a:round/>
            </a:ln>
            <a:effectLst/>
          </c:spPr>
          <c:marker>
            <c:symbol val="none"/>
          </c:marker>
          <c:cat>
            <c:numRef>
              <c:f>Charts!$B$50:$K$50</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Charts!$B$51:$K$51</c:f>
              <c:numCache>
                <c:formatCode>0%</c:formatCode>
                <c:ptCount val="10"/>
                <c:pt idx="0">
                  <c:v>0.19116998773815186</c:v>
                </c:pt>
                <c:pt idx="1">
                  <c:v>0.21232461329981928</c:v>
                </c:pt>
                <c:pt idx="2">
                  <c:v>0.20357099516794519</c:v>
                </c:pt>
                <c:pt idx="3">
                  <c:v>0.19221790778475001</c:v>
                </c:pt>
                <c:pt idx="4">
                  <c:v>0.17122285237681603</c:v>
                </c:pt>
                <c:pt idx="5">
                  <c:v>0.17077441662641851</c:v>
                </c:pt>
                <c:pt idx="6">
                  <c:v>0.17799523306230322</c:v>
                </c:pt>
                <c:pt idx="7">
                  <c:v>0.15866181963879</c:v>
                </c:pt>
                <c:pt idx="8">
                  <c:v>0.17733020475990099</c:v>
                </c:pt>
                <c:pt idx="9">
                  <c:v>0.19533309576039276</c:v>
                </c:pt>
              </c:numCache>
            </c:numRef>
          </c:val>
          <c:smooth val="0"/>
          <c:extLst>
            <c:ext xmlns:c16="http://schemas.microsoft.com/office/drawing/2014/chart" uri="{C3380CC4-5D6E-409C-BE32-E72D297353CC}">
              <c16:uniqueId val="{00000000-26E1-4347-B20E-A510AB943424}"/>
            </c:ext>
          </c:extLst>
        </c:ser>
        <c:ser>
          <c:idx val="1"/>
          <c:order val="1"/>
          <c:tx>
            <c:strRef>
              <c:f>Charts!$A$52</c:f>
              <c:strCache>
                <c:ptCount val="1"/>
                <c:pt idx="0">
                  <c:v>PBT Margin</c:v>
                </c:pt>
              </c:strCache>
            </c:strRef>
          </c:tx>
          <c:spPr>
            <a:ln w="28575" cap="rnd">
              <a:solidFill>
                <a:schemeClr val="accent2"/>
              </a:solidFill>
              <a:round/>
            </a:ln>
            <a:effectLst/>
          </c:spPr>
          <c:marker>
            <c:symbol val="none"/>
          </c:marker>
          <c:cat>
            <c:numRef>
              <c:f>Charts!$B$50:$K$50</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Charts!$B$52:$K$52</c:f>
              <c:numCache>
                <c:formatCode>0%</c:formatCode>
                <c:ptCount val="10"/>
                <c:pt idx="0">
                  <c:v>0.18906537676472415</c:v>
                </c:pt>
                <c:pt idx="1">
                  <c:v>0.25157118751963004</c:v>
                </c:pt>
                <c:pt idx="2">
                  <c:v>0.25684311266704424</c:v>
                </c:pt>
                <c:pt idx="3">
                  <c:v>0.23536003471647887</c:v>
                </c:pt>
                <c:pt idx="4">
                  <c:v>0.22912131151213064</c:v>
                </c:pt>
                <c:pt idx="5">
                  <c:v>0.22367753892638859</c:v>
                </c:pt>
                <c:pt idx="6">
                  <c:v>0.22498871709392709</c:v>
                </c:pt>
                <c:pt idx="7">
                  <c:v>0.23085674908605325</c:v>
                </c:pt>
                <c:pt idx="8">
                  <c:v>0.2151117338510804</c:v>
                </c:pt>
                <c:pt idx="9">
                  <c:v>0.22375626888353864</c:v>
                </c:pt>
              </c:numCache>
            </c:numRef>
          </c:val>
          <c:smooth val="0"/>
          <c:extLst>
            <c:ext xmlns:c16="http://schemas.microsoft.com/office/drawing/2014/chart" uri="{C3380CC4-5D6E-409C-BE32-E72D297353CC}">
              <c16:uniqueId val="{00000001-26E1-4347-B20E-A510AB943424}"/>
            </c:ext>
          </c:extLst>
        </c:ser>
        <c:ser>
          <c:idx val="2"/>
          <c:order val="2"/>
          <c:tx>
            <c:strRef>
              <c:f>Charts!$A$53</c:f>
              <c:strCache>
                <c:ptCount val="1"/>
                <c:pt idx="0">
                  <c:v>Net Margin</c:v>
                </c:pt>
              </c:strCache>
            </c:strRef>
          </c:tx>
          <c:spPr>
            <a:ln w="28575" cap="rnd">
              <a:solidFill>
                <a:schemeClr val="accent3"/>
              </a:solidFill>
              <a:round/>
            </a:ln>
            <a:effectLst/>
          </c:spPr>
          <c:marker>
            <c:symbol val="none"/>
          </c:marker>
          <c:cat>
            <c:numRef>
              <c:f>Charts!$B$50:$K$50</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Charts!$B$53:$K$53</c:f>
              <c:numCache>
                <c:formatCode>0%</c:formatCode>
                <c:ptCount val="10"/>
                <c:pt idx="0">
                  <c:v>0.13020804392038293</c:v>
                </c:pt>
                <c:pt idx="1">
                  <c:v>0.1799103292372668</c:v>
                </c:pt>
                <c:pt idx="2">
                  <c:v>0.187521604506976</c:v>
                </c:pt>
                <c:pt idx="3">
                  <c:v>0.16735230918927591</c:v>
                </c:pt>
                <c:pt idx="4">
                  <c:v>0.1623183364445776</c:v>
                </c:pt>
                <c:pt idx="5">
                  <c:v>0.17420271302348186</c:v>
                </c:pt>
                <c:pt idx="6">
                  <c:v>0.17508402700976311</c:v>
                </c:pt>
                <c:pt idx="7">
                  <c:v>0.18602878106340345</c:v>
                </c:pt>
                <c:pt idx="8">
                  <c:v>0.16623636895295013</c:v>
                </c:pt>
                <c:pt idx="9">
                  <c:v>0.17178885961199836</c:v>
                </c:pt>
              </c:numCache>
            </c:numRef>
          </c:val>
          <c:smooth val="0"/>
          <c:extLst>
            <c:ext xmlns:c16="http://schemas.microsoft.com/office/drawing/2014/chart" uri="{C3380CC4-5D6E-409C-BE32-E72D297353CC}">
              <c16:uniqueId val="{00000002-26E1-4347-B20E-A510AB943424}"/>
            </c:ext>
          </c:extLst>
        </c:ser>
        <c:dLbls>
          <c:showLegendKey val="0"/>
          <c:showVal val="0"/>
          <c:showCatName val="0"/>
          <c:showSerName val="0"/>
          <c:showPercent val="0"/>
          <c:showBubbleSize val="0"/>
        </c:dLbls>
        <c:smooth val="0"/>
        <c:axId val="744897600"/>
        <c:axId val="744897272"/>
      </c:lineChart>
      <c:dateAx>
        <c:axId val="74489760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7272"/>
        <c:crosses val="autoZero"/>
        <c:auto val="1"/>
        <c:lblOffset val="100"/>
        <c:baseTimeUnit val="years"/>
      </c:dateAx>
      <c:valAx>
        <c:axId val="744897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Capital Allocation Quality</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2415144915396213"/>
          <c:y val="0.12524184476940384"/>
          <c:w val="0.84659323169710166"/>
          <c:h val="0.52526651910446676"/>
        </c:manualLayout>
      </c:layout>
      <c:barChart>
        <c:barDir val="col"/>
        <c:grouping val="clustered"/>
        <c:varyColors val="0"/>
        <c:ser>
          <c:idx val="0"/>
          <c:order val="0"/>
          <c:tx>
            <c:strRef>
              <c:f>Charts!$A$57</c:f>
              <c:strCache>
                <c:ptCount val="1"/>
                <c:pt idx="0">
                  <c:v>ROE</c:v>
                </c:pt>
              </c:strCache>
            </c:strRef>
          </c:tx>
          <c:spPr>
            <a:solidFill>
              <a:schemeClr val="accent1"/>
            </a:solidFill>
            <a:ln>
              <a:noFill/>
            </a:ln>
            <a:effectLst/>
          </c:spPr>
          <c:invertIfNegative val="0"/>
          <c:cat>
            <c:numRef>
              <c:f>Charts!$B$56:$K$56</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Charts!$B$57:$K$57</c:f>
              <c:numCache>
                <c:formatCode>0%</c:formatCode>
                <c:ptCount val="10"/>
                <c:pt idx="0">
                  <c:v>0.25343117638788187</c:v>
                </c:pt>
                <c:pt idx="1">
                  <c:v>0.28966834542174863</c:v>
                </c:pt>
                <c:pt idx="2">
                  <c:v>0.22845820893934285</c:v>
                </c:pt>
                <c:pt idx="3">
                  <c:v>0.20655522285172673</c:v>
                </c:pt>
                <c:pt idx="4">
                  <c:v>0.21208747080224907</c:v>
                </c:pt>
                <c:pt idx="5">
                  <c:v>0.2406006256093596</c:v>
                </c:pt>
                <c:pt idx="6">
                  <c:v>0.17808614464700626</c:v>
                </c:pt>
                <c:pt idx="7">
                  <c:v>0.20649505268815943</c:v>
                </c:pt>
                <c:pt idx="8">
                  <c:v>0.20639959620646597</c:v>
                </c:pt>
                <c:pt idx="9">
                  <c:v>0.26614636005774378</c:v>
                </c:pt>
              </c:numCache>
            </c:numRef>
          </c:val>
          <c:extLst>
            <c:ext xmlns:c16="http://schemas.microsoft.com/office/drawing/2014/chart" uri="{C3380CC4-5D6E-409C-BE32-E72D297353CC}">
              <c16:uniqueId val="{00000000-6118-4ABA-9339-77EEC81DC73E}"/>
            </c:ext>
          </c:extLst>
        </c:ser>
        <c:ser>
          <c:idx val="1"/>
          <c:order val="1"/>
          <c:tx>
            <c:strRef>
              <c:f>Charts!$A$58</c:f>
              <c:strCache>
                <c:ptCount val="1"/>
                <c:pt idx="0">
                  <c:v>ROCE</c:v>
                </c:pt>
              </c:strCache>
            </c:strRef>
          </c:tx>
          <c:spPr>
            <a:solidFill>
              <a:schemeClr val="accent2"/>
            </a:solidFill>
            <a:ln>
              <a:noFill/>
            </a:ln>
            <a:effectLst/>
          </c:spPr>
          <c:invertIfNegative val="0"/>
          <c:cat>
            <c:numRef>
              <c:f>Charts!$B$56:$K$56</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Charts!$B$58:$K$58</c:f>
              <c:numCache>
                <c:formatCode>0%</c:formatCode>
                <c:ptCount val="10"/>
                <c:pt idx="0">
                  <c:v>0.36487869467962508</c:v>
                </c:pt>
                <c:pt idx="1">
                  <c:v>0.40174506318710246</c:v>
                </c:pt>
                <c:pt idx="2">
                  <c:v>0.3109036423725014</c:v>
                </c:pt>
                <c:pt idx="3">
                  <c:v>0.28885024391597219</c:v>
                </c:pt>
                <c:pt idx="4">
                  <c:v>0.29796907570018932</c:v>
                </c:pt>
                <c:pt idx="5">
                  <c:v>0.30729720066441235</c:v>
                </c:pt>
                <c:pt idx="6">
                  <c:v>0.22807501691008794</c:v>
                </c:pt>
                <c:pt idx="7">
                  <c:v>0.2554943863770836</c:v>
                </c:pt>
                <c:pt idx="8">
                  <c:v>0.26729808989217507</c:v>
                </c:pt>
                <c:pt idx="9">
                  <c:v>0.32714746802745986</c:v>
                </c:pt>
              </c:numCache>
            </c:numRef>
          </c:val>
          <c:extLst>
            <c:ext xmlns:c16="http://schemas.microsoft.com/office/drawing/2014/chart" uri="{C3380CC4-5D6E-409C-BE32-E72D297353CC}">
              <c16:uniqueId val="{00000001-6118-4ABA-9339-77EEC81DC73E}"/>
            </c:ext>
          </c:extLst>
        </c:ser>
        <c:dLbls>
          <c:showLegendKey val="0"/>
          <c:showVal val="0"/>
          <c:showCatName val="0"/>
          <c:showSerName val="0"/>
          <c:showPercent val="0"/>
          <c:showBubbleSize val="0"/>
        </c:dLbls>
        <c:gapWidth val="219"/>
        <c:overlap val="-27"/>
        <c:axId val="683252768"/>
        <c:axId val="683254736"/>
      </c:barChart>
      <c:dateAx>
        <c:axId val="68325276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54736"/>
        <c:crosses val="autoZero"/>
        <c:auto val="1"/>
        <c:lblOffset val="100"/>
        <c:baseTimeUnit val="years"/>
      </c:dateAx>
      <c:valAx>
        <c:axId val="683254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52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Revenue and Profit Growth (YoY)</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2062740827609315"/>
          <c:y val="0.11656240886555849"/>
          <c:w val="0.85011727257497072"/>
          <c:h val="0.66610199766695832"/>
        </c:manualLayout>
      </c:layout>
      <c:lineChart>
        <c:grouping val="standard"/>
        <c:varyColors val="0"/>
        <c:ser>
          <c:idx val="0"/>
          <c:order val="0"/>
          <c:tx>
            <c:strRef>
              <c:f>Charts!$A$62</c:f>
              <c:strCache>
                <c:ptCount val="1"/>
                <c:pt idx="0">
                  <c:v>Revenue Growth</c:v>
                </c:pt>
              </c:strCache>
            </c:strRef>
          </c:tx>
          <c:spPr>
            <a:ln w="28575" cap="rnd">
              <a:solidFill>
                <a:schemeClr val="accent1"/>
              </a:solidFill>
              <a:round/>
            </a:ln>
            <a:effectLst/>
          </c:spPr>
          <c:marker>
            <c:symbol val="none"/>
          </c:marker>
          <c:cat>
            <c:numRef>
              <c:f>Charts!$B$61:$J$61</c:f>
              <c:numCache>
                <c:formatCode>[$-409]mmm/yy;@</c:formatCode>
                <c:ptCount val="9"/>
                <c:pt idx="0">
                  <c:v>42460</c:v>
                </c:pt>
                <c:pt idx="1">
                  <c:v>42825</c:v>
                </c:pt>
                <c:pt idx="2">
                  <c:v>43190</c:v>
                </c:pt>
                <c:pt idx="3">
                  <c:v>43555</c:v>
                </c:pt>
                <c:pt idx="4">
                  <c:v>43921</c:v>
                </c:pt>
                <c:pt idx="5">
                  <c:v>44286</c:v>
                </c:pt>
                <c:pt idx="6">
                  <c:v>44651</c:v>
                </c:pt>
                <c:pt idx="7">
                  <c:v>45016</c:v>
                </c:pt>
                <c:pt idx="8">
                  <c:v>45382</c:v>
                </c:pt>
              </c:numCache>
            </c:numRef>
          </c:cat>
          <c:val>
            <c:numRef>
              <c:f>Charts!$B$62:$J$62</c:f>
              <c:numCache>
                <c:formatCode>0%</c:formatCode>
                <c:ptCount val="9"/>
                <c:pt idx="0">
                  <c:v>4.5298914956120262E-2</c:v>
                </c:pt>
                <c:pt idx="1">
                  <c:v>-3.6279846139465777E-2</c:v>
                </c:pt>
                <c:pt idx="2">
                  <c:v>0.15882576286893135</c:v>
                </c:pt>
                <c:pt idx="3">
                  <c:v>0.20419334762135399</c:v>
                </c:pt>
                <c:pt idx="4">
                  <c:v>-1.4460285602005185E-2</c:v>
                </c:pt>
                <c:pt idx="5">
                  <c:v>-7.2783029982970482E-2</c:v>
                </c:pt>
                <c:pt idx="6">
                  <c:v>0.19478801834679826</c:v>
                </c:pt>
                <c:pt idx="7">
                  <c:v>9.9885321066317978E-2</c:v>
                </c:pt>
                <c:pt idx="8">
                  <c:v>0.23083149867042962</c:v>
                </c:pt>
              </c:numCache>
            </c:numRef>
          </c:val>
          <c:smooth val="0"/>
          <c:extLst>
            <c:ext xmlns:c16="http://schemas.microsoft.com/office/drawing/2014/chart" uri="{C3380CC4-5D6E-409C-BE32-E72D297353CC}">
              <c16:uniqueId val="{00000000-BED8-4D86-91BD-1B6873BA3D65}"/>
            </c:ext>
          </c:extLst>
        </c:ser>
        <c:ser>
          <c:idx val="1"/>
          <c:order val="1"/>
          <c:tx>
            <c:strRef>
              <c:f>Charts!$A$63</c:f>
              <c:strCache>
                <c:ptCount val="1"/>
                <c:pt idx="0">
                  <c:v>PBT Growth</c:v>
                </c:pt>
              </c:strCache>
            </c:strRef>
          </c:tx>
          <c:spPr>
            <a:ln w="28575" cap="rnd">
              <a:solidFill>
                <a:schemeClr val="accent2"/>
              </a:solidFill>
              <a:round/>
            </a:ln>
            <a:effectLst/>
          </c:spPr>
          <c:marker>
            <c:symbol val="none"/>
          </c:marker>
          <c:cat>
            <c:numRef>
              <c:f>Charts!$B$61:$J$61</c:f>
              <c:numCache>
                <c:formatCode>[$-409]mmm/yy;@</c:formatCode>
                <c:ptCount val="9"/>
                <c:pt idx="0">
                  <c:v>42460</c:v>
                </c:pt>
                <c:pt idx="1">
                  <c:v>42825</c:v>
                </c:pt>
                <c:pt idx="2">
                  <c:v>43190</c:v>
                </c:pt>
                <c:pt idx="3">
                  <c:v>43555</c:v>
                </c:pt>
                <c:pt idx="4">
                  <c:v>43921</c:v>
                </c:pt>
                <c:pt idx="5">
                  <c:v>44286</c:v>
                </c:pt>
                <c:pt idx="6">
                  <c:v>44651</c:v>
                </c:pt>
                <c:pt idx="7">
                  <c:v>45016</c:v>
                </c:pt>
                <c:pt idx="8">
                  <c:v>45382</c:v>
                </c:pt>
              </c:numCache>
            </c:numRef>
          </c:cat>
          <c:val>
            <c:numRef>
              <c:f>Charts!$B$63:$J$63</c:f>
              <c:numCache>
                <c:formatCode>0%</c:formatCode>
                <c:ptCount val="9"/>
                <c:pt idx="0">
                  <c:v>0.39087914375635369</c:v>
                </c:pt>
                <c:pt idx="1">
                  <c:v>-1.608412911678081E-2</c:v>
                </c:pt>
                <c:pt idx="2">
                  <c:v>6.1898327531744846E-2</c:v>
                </c:pt>
                <c:pt idx="3">
                  <c:v>0.17227361668922248</c:v>
                </c:pt>
                <c:pt idx="4">
                  <c:v>-3.7876064972296453E-2</c:v>
                </c:pt>
                <c:pt idx="5">
                  <c:v>-6.7347765210777011E-2</c:v>
                </c:pt>
                <c:pt idx="6">
                  <c:v>0.22594982239646999</c:v>
                </c:pt>
                <c:pt idx="7">
                  <c:v>2.4870355268385325E-2</c:v>
                </c:pt>
                <c:pt idx="8">
                  <c:v>0.28029400738078913</c:v>
                </c:pt>
              </c:numCache>
            </c:numRef>
          </c:val>
          <c:smooth val="0"/>
          <c:extLst>
            <c:ext xmlns:c16="http://schemas.microsoft.com/office/drawing/2014/chart" uri="{C3380CC4-5D6E-409C-BE32-E72D297353CC}">
              <c16:uniqueId val="{00000001-BED8-4D86-91BD-1B6873BA3D65}"/>
            </c:ext>
          </c:extLst>
        </c:ser>
        <c:ser>
          <c:idx val="2"/>
          <c:order val="2"/>
          <c:tx>
            <c:strRef>
              <c:f>Charts!$A$64</c:f>
              <c:strCache>
                <c:ptCount val="1"/>
                <c:pt idx="0">
                  <c:v>Net Profit Growth</c:v>
                </c:pt>
              </c:strCache>
            </c:strRef>
          </c:tx>
          <c:spPr>
            <a:ln w="28575" cap="rnd">
              <a:solidFill>
                <a:schemeClr val="accent3"/>
              </a:solidFill>
              <a:round/>
            </a:ln>
            <a:effectLst/>
          </c:spPr>
          <c:marker>
            <c:symbol val="none"/>
          </c:marker>
          <c:cat>
            <c:numRef>
              <c:f>Charts!$B$61:$J$61</c:f>
              <c:numCache>
                <c:formatCode>[$-409]mmm/yy;@</c:formatCode>
                <c:ptCount val="9"/>
                <c:pt idx="0">
                  <c:v>42460</c:v>
                </c:pt>
                <c:pt idx="1">
                  <c:v>42825</c:v>
                </c:pt>
                <c:pt idx="2">
                  <c:v>43190</c:v>
                </c:pt>
                <c:pt idx="3">
                  <c:v>43555</c:v>
                </c:pt>
                <c:pt idx="4">
                  <c:v>43921</c:v>
                </c:pt>
                <c:pt idx="5">
                  <c:v>44286</c:v>
                </c:pt>
                <c:pt idx="6">
                  <c:v>44651</c:v>
                </c:pt>
                <c:pt idx="7">
                  <c:v>45016</c:v>
                </c:pt>
                <c:pt idx="8">
                  <c:v>45382</c:v>
                </c:pt>
              </c:numCache>
            </c:numRef>
          </c:cat>
          <c:val>
            <c:numRef>
              <c:f>Charts!$B$64:$J$64</c:f>
              <c:numCache>
                <c:formatCode>0%</c:formatCode>
                <c:ptCount val="9"/>
                <c:pt idx="0">
                  <c:v>0.44430456275116637</c:v>
                </c:pt>
                <c:pt idx="1">
                  <c:v>4.491239128937119E-3</c:v>
                </c:pt>
                <c:pt idx="2">
                  <c:v>3.4185729553766864E-2</c:v>
                </c:pt>
                <c:pt idx="3">
                  <c:v>0.16797110174593599</c:v>
                </c:pt>
                <c:pt idx="4">
                  <c:v>5.769745920935021E-2</c:v>
                </c:pt>
                <c:pt idx="5">
                  <c:v>-6.8092119779504467E-2</c:v>
                </c:pt>
                <c:pt idx="6">
                  <c:v>0.26947593380303148</c:v>
                </c:pt>
                <c:pt idx="7">
                  <c:v>-1.7136267874606537E-2</c:v>
                </c:pt>
                <c:pt idx="8">
                  <c:v>0.27194272145684728</c:v>
                </c:pt>
              </c:numCache>
            </c:numRef>
          </c:val>
          <c:smooth val="0"/>
          <c:extLst>
            <c:ext xmlns:c16="http://schemas.microsoft.com/office/drawing/2014/chart" uri="{C3380CC4-5D6E-409C-BE32-E72D297353CC}">
              <c16:uniqueId val="{00000002-BED8-4D86-91BD-1B6873BA3D65}"/>
            </c:ext>
          </c:extLst>
        </c:ser>
        <c:dLbls>
          <c:showLegendKey val="0"/>
          <c:showVal val="0"/>
          <c:showCatName val="0"/>
          <c:showSerName val="0"/>
          <c:showPercent val="0"/>
          <c:showBubbleSize val="0"/>
        </c:dLbls>
        <c:smooth val="0"/>
        <c:axId val="683222432"/>
        <c:axId val="744898256"/>
      </c:lineChart>
      <c:dateAx>
        <c:axId val="6832224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8256"/>
        <c:crosses val="autoZero"/>
        <c:auto val="1"/>
        <c:lblOffset val="100"/>
        <c:baseTimeUnit val="years"/>
      </c:dateAx>
      <c:valAx>
        <c:axId val="744898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Revenue</a:t>
            </a:r>
          </a:p>
        </c:rich>
      </c:tx>
      <c:layout>
        <c:manualLayout>
          <c:xMode val="edge"/>
          <c:yMode val="edge"/>
          <c:x val="0.42964833497375327"/>
          <c:y val="2.7777777777777776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6169557906824147"/>
          <c:y val="0.11656240886555849"/>
          <c:w val="0.80965858759842524"/>
          <c:h val="0.65037693205016045"/>
        </c:manualLayout>
      </c:layout>
      <c:barChart>
        <c:barDir val="col"/>
        <c:grouping val="clustered"/>
        <c:varyColors val="0"/>
        <c:ser>
          <c:idx val="0"/>
          <c:order val="0"/>
          <c:tx>
            <c:strRef>
              <c:f>Charts!$A$68</c:f>
              <c:strCache>
                <c:ptCount val="1"/>
                <c:pt idx="0">
                  <c:v>Revenue</c:v>
                </c:pt>
              </c:strCache>
            </c:strRef>
          </c:tx>
          <c:spPr>
            <a:solidFill>
              <a:schemeClr val="accent1"/>
            </a:solidFill>
            <a:ln>
              <a:noFill/>
            </a:ln>
            <a:effectLst/>
          </c:spPr>
          <c:invertIfNegative val="0"/>
          <c:cat>
            <c:numRef>
              <c:f>Charts!$B$67:$K$67</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Charts!$B$68:$K$68</c:f>
              <c:numCache>
                <c:formatCode>_ * #,##0_ ;_ * \-#,##0_ ;_ * "-"??_ ;_ @_ </c:formatCode>
                <c:ptCount val="10"/>
                <c:pt idx="0">
                  <c:v>21595.439999999999</c:v>
                </c:pt>
                <c:pt idx="1">
                  <c:v>22573.69</c:v>
                </c:pt>
                <c:pt idx="2">
                  <c:v>21754.720000000001</c:v>
                </c:pt>
                <c:pt idx="3">
                  <c:v>25209.93</c:v>
                </c:pt>
                <c:pt idx="4">
                  <c:v>30357.63</c:v>
                </c:pt>
                <c:pt idx="5">
                  <c:v>29918.65</c:v>
                </c:pt>
                <c:pt idx="6">
                  <c:v>27741.08</c:v>
                </c:pt>
                <c:pt idx="7">
                  <c:v>33144.71</c:v>
                </c:pt>
                <c:pt idx="8">
                  <c:v>36455.379999999997</c:v>
                </c:pt>
                <c:pt idx="9">
                  <c:v>44870.43</c:v>
                </c:pt>
              </c:numCache>
            </c:numRef>
          </c:val>
          <c:extLst>
            <c:ext xmlns:c16="http://schemas.microsoft.com/office/drawing/2014/chart" uri="{C3380CC4-5D6E-409C-BE32-E72D297353CC}">
              <c16:uniqueId val="{00000000-5CBF-4601-96D0-0E949031A41A}"/>
            </c:ext>
          </c:extLst>
        </c:ser>
        <c:dLbls>
          <c:showLegendKey val="0"/>
          <c:showVal val="0"/>
          <c:showCatName val="0"/>
          <c:showSerName val="0"/>
          <c:showPercent val="0"/>
          <c:showBubbleSize val="0"/>
        </c:dLbls>
        <c:gapWidth val="219"/>
        <c:overlap val="-27"/>
        <c:axId val="683224728"/>
        <c:axId val="683225056"/>
      </c:barChart>
      <c:dateAx>
        <c:axId val="68322472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5056"/>
        <c:crosses val="autoZero"/>
        <c:auto val="1"/>
        <c:lblOffset val="100"/>
        <c:baseTimeUnit val="years"/>
      </c:dateAx>
      <c:valAx>
        <c:axId val="68322505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4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Profit Over Time</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4295849737532809"/>
          <c:y val="0.11656240886555849"/>
          <c:w val="0.82839566929133857"/>
          <c:h val="0.53232793817439483"/>
        </c:manualLayout>
      </c:layout>
      <c:barChart>
        <c:barDir val="col"/>
        <c:grouping val="clustered"/>
        <c:varyColors val="0"/>
        <c:ser>
          <c:idx val="0"/>
          <c:order val="0"/>
          <c:tx>
            <c:strRef>
              <c:f>Charts!$A$69</c:f>
              <c:strCache>
                <c:ptCount val="1"/>
                <c:pt idx="0">
                  <c:v>PBT</c:v>
                </c:pt>
              </c:strCache>
            </c:strRef>
          </c:tx>
          <c:spPr>
            <a:solidFill>
              <a:schemeClr val="accent1"/>
            </a:solidFill>
            <a:ln>
              <a:noFill/>
            </a:ln>
            <a:effectLst/>
          </c:spPr>
          <c:invertIfNegative val="0"/>
          <c:cat>
            <c:numRef>
              <c:f>Charts!$B$67:$K$67</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Charts!$B$69:$K$69</c:f>
              <c:numCache>
                <c:formatCode>_ * #,##0_ ;_ * \-#,##0_ ;_ * "-"??_ ;_ @_ </c:formatCode>
                <c:ptCount val="10"/>
                <c:pt idx="0">
                  <c:v>4082.9499999999944</c:v>
                </c:pt>
                <c:pt idx="1">
                  <c:v>5678.8899999999967</c:v>
                </c:pt>
                <c:pt idx="2">
                  <c:v>5587.5500000000011</c:v>
                </c:pt>
                <c:pt idx="3">
                  <c:v>5933.4100000000026</c:v>
                </c:pt>
                <c:pt idx="4">
                  <c:v>6955.5800000000027</c:v>
                </c:pt>
                <c:pt idx="5">
                  <c:v>6692.1299999999965</c:v>
                </c:pt>
                <c:pt idx="6">
                  <c:v>6241.4299999999994</c:v>
                </c:pt>
                <c:pt idx="7">
                  <c:v>7651.6799999999994</c:v>
                </c:pt>
                <c:pt idx="8">
                  <c:v>7841.9799999999987</c:v>
                </c:pt>
                <c:pt idx="9">
                  <c:v>10040.039999999999</c:v>
                </c:pt>
              </c:numCache>
            </c:numRef>
          </c:val>
          <c:extLst>
            <c:ext xmlns:c16="http://schemas.microsoft.com/office/drawing/2014/chart" uri="{C3380CC4-5D6E-409C-BE32-E72D297353CC}">
              <c16:uniqueId val="{00000000-2C56-4BEE-93A3-2E2983257535}"/>
            </c:ext>
          </c:extLst>
        </c:ser>
        <c:ser>
          <c:idx val="1"/>
          <c:order val="1"/>
          <c:tx>
            <c:strRef>
              <c:f>Charts!$A$70</c:f>
              <c:strCache>
                <c:ptCount val="1"/>
                <c:pt idx="0">
                  <c:v>Net Profit</c:v>
                </c:pt>
              </c:strCache>
            </c:strRef>
          </c:tx>
          <c:spPr>
            <a:solidFill>
              <a:schemeClr val="accent2"/>
            </a:solidFill>
            <a:ln>
              <a:noFill/>
            </a:ln>
            <a:effectLst/>
          </c:spPr>
          <c:invertIfNegative val="0"/>
          <c:cat>
            <c:numRef>
              <c:f>Charts!$B$67:$K$67</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Charts!$B$70:$K$70</c:f>
              <c:numCache>
                <c:formatCode>_ * #,##0_ ;_ * \-#,##0_ ;_ * "-"??_ ;_ @_ </c:formatCode>
                <c:ptCount val="10"/>
                <c:pt idx="0">
                  <c:v>2811.8999999999942</c:v>
                </c:pt>
                <c:pt idx="1">
                  <c:v>4061.2399999999966</c:v>
                </c:pt>
                <c:pt idx="2">
                  <c:v>4079.4800000000014</c:v>
                </c:pt>
                <c:pt idx="3">
                  <c:v>4218.9400000000023</c:v>
                </c:pt>
                <c:pt idx="4">
                  <c:v>4927.6000000000022</c:v>
                </c:pt>
                <c:pt idx="5">
                  <c:v>5211.9099999999962</c:v>
                </c:pt>
                <c:pt idx="6">
                  <c:v>4857.0199999999995</c:v>
                </c:pt>
                <c:pt idx="7">
                  <c:v>6165.869999999999</c:v>
                </c:pt>
                <c:pt idx="8">
                  <c:v>6060.2099999999991</c:v>
                </c:pt>
                <c:pt idx="9">
                  <c:v>7708.2399999999989</c:v>
                </c:pt>
              </c:numCache>
            </c:numRef>
          </c:val>
          <c:extLst>
            <c:ext xmlns:c16="http://schemas.microsoft.com/office/drawing/2014/chart" uri="{C3380CC4-5D6E-409C-BE32-E72D297353CC}">
              <c16:uniqueId val="{00000001-2C56-4BEE-93A3-2E2983257535}"/>
            </c:ext>
          </c:extLst>
        </c:ser>
        <c:dLbls>
          <c:showLegendKey val="0"/>
          <c:showVal val="0"/>
          <c:showCatName val="0"/>
          <c:showSerName val="0"/>
          <c:showPercent val="0"/>
          <c:showBubbleSize val="0"/>
        </c:dLbls>
        <c:gapWidth val="219"/>
        <c:overlap val="-27"/>
        <c:axId val="745524456"/>
        <c:axId val="745517240"/>
      </c:barChart>
      <c:dateAx>
        <c:axId val="74552445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5517240"/>
        <c:crosses val="autoZero"/>
        <c:auto val="1"/>
        <c:lblOffset val="100"/>
        <c:baseTimeUnit val="years"/>
      </c:dateAx>
      <c:valAx>
        <c:axId val="74551724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5524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Operating and Free Cash Flow</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4597357178756912"/>
          <c:y val="0.11656240886555849"/>
          <c:w val="0.82477110906349471"/>
          <c:h val="0.53232793817439483"/>
        </c:manualLayout>
      </c:layout>
      <c:barChart>
        <c:barDir val="col"/>
        <c:grouping val="clustered"/>
        <c:varyColors val="0"/>
        <c:ser>
          <c:idx val="0"/>
          <c:order val="0"/>
          <c:tx>
            <c:strRef>
              <c:f>Charts!$A$74</c:f>
              <c:strCache>
                <c:ptCount val="1"/>
                <c:pt idx="0">
                  <c:v>Operating Cash Flow</c:v>
                </c:pt>
              </c:strCache>
            </c:strRef>
          </c:tx>
          <c:spPr>
            <a:solidFill>
              <a:schemeClr val="accent1"/>
            </a:solidFill>
            <a:ln>
              <a:noFill/>
            </a:ln>
            <a:effectLst/>
          </c:spPr>
          <c:invertIfNegative val="0"/>
          <c:cat>
            <c:numRef>
              <c:f>Charts!$B$73:$K$73</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Charts!$B$74:$K$74</c:f>
              <c:numCache>
                <c:formatCode>_ * #,##0_ ;_ * \-#,##0_ ;_ * "-"??_ ;_ @_ </c:formatCode>
                <c:ptCount val="10"/>
                <c:pt idx="0">
                  <c:v>2113.8000000000002</c:v>
                </c:pt>
                <c:pt idx="1">
                  <c:v>3689.85</c:v>
                </c:pt>
                <c:pt idx="2">
                  <c:v>3267.36</c:v>
                </c:pt>
                <c:pt idx="3">
                  <c:v>4327.84</c:v>
                </c:pt>
                <c:pt idx="4">
                  <c:v>2486.86</c:v>
                </c:pt>
                <c:pt idx="5">
                  <c:v>3850.44</c:v>
                </c:pt>
                <c:pt idx="6">
                  <c:v>3119.88</c:v>
                </c:pt>
                <c:pt idx="7">
                  <c:v>4197.21</c:v>
                </c:pt>
                <c:pt idx="8">
                  <c:v>5277.42</c:v>
                </c:pt>
                <c:pt idx="9">
                  <c:v>6558.16</c:v>
                </c:pt>
              </c:numCache>
            </c:numRef>
          </c:val>
          <c:extLst>
            <c:ext xmlns:c16="http://schemas.microsoft.com/office/drawing/2014/chart" uri="{C3380CC4-5D6E-409C-BE32-E72D297353CC}">
              <c16:uniqueId val="{00000000-10E8-4AF9-9F83-7D71D7A3DA33}"/>
            </c:ext>
          </c:extLst>
        </c:ser>
        <c:ser>
          <c:idx val="1"/>
          <c:order val="1"/>
          <c:tx>
            <c:strRef>
              <c:f>Charts!$A$75</c:f>
              <c:strCache>
                <c:ptCount val="1"/>
                <c:pt idx="0">
                  <c:v>Free Cash Flow</c:v>
                </c:pt>
              </c:strCache>
            </c:strRef>
          </c:tx>
          <c:spPr>
            <a:solidFill>
              <a:schemeClr val="accent2"/>
            </a:solidFill>
            <a:ln>
              <a:noFill/>
            </a:ln>
            <a:effectLst/>
          </c:spPr>
          <c:invertIfNegative val="0"/>
          <c:cat>
            <c:numRef>
              <c:f>Charts!$B$73:$K$73</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Charts!$B$75:$K$75</c:f>
              <c:numCache>
                <c:formatCode>_ * #,##0_ ;_ * \-#,##0_ ;_ * "-"??_ ;_ @_ </c:formatCode>
                <c:ptCount val="10"/>
                <c:pt idx="0">
                  <c:v>1798.7200000000003</c:v>
                </c:pt>
                <c:pt idx="1">
                  <c:v>3478.2799999999997</c:v>
                </c:pt>
                <c:pt idx="2">
                  <c:v>2903.2400000000002</c:v>
                </c:pt>
                <c:pt idx="3">
                  <c:v>3762.84</c:v>
                </c:pt>
                <c:pt idx="4">
                  <c:v>1879.8600000000001</c:v>
                </c:pt>
                <c:pt idx="5">
                  <c:v>2913.44</c:v>
                </c:pt>
                <c:pt idx="6">
                  <c:v>1963.88</c:v>
                </c:pt>
                <c:pt idx="7">
                  <c:v>2559.21</c:v>
                </c:pt>
                <c:pt idx="8">
                  <c:v>4039.42</c:v>
                </c:pt>
                <c:pt idx="9">
                  <c:v>5734</c:v>
                </c:pt>
              </c:numCache>
            </c:numRef>
          </c:val>
          <c:extLst>
            <c:ext xmlns:c16="http://schemas.microsoft.com/office/drawing/2014/chart" uri="{C3380CC4-5D6E-409C-BE32-E72D297353CC}">
              <c16:uniqueId val="{00000001-10E8-4AF9-9F83-7D71D7A3DA33}"/>
            </c:ext>
          </c:extLst>
        </c:ser>
        <c:dLbls>
          <c:showLegendKey val="0"/>
          <c:showVal val="0"/>
          <c:showCatName val="0"/>
          <c:showSerName val="0"/>
          <c:showPercent val="0"/>
          <c:showBubbleSize val="0"/>
        </c:dLbls>
        <c:gapWidth val="219"/>
        <c:overlap val="-27"/>
        <c:axId val="750653480"/>
        <c:axId val="750654792"/>
      </c:barChart>
      <c:dateAx>
        <c:axId val="75065348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50654792"/>
        <c:crosses val="autoZero"/>
        <c:auto val="1"/>
        <c:lblOffset val="100"/>
        <c:baseTimeUnit val="years"/>
      </c:dateAx>
      <c:valAx>
        <c:axId val="75065479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50653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15875</xdr:colOff>
      <xdr:row>0</xdr:row>
      <xdr:rowOff>6350</xdr:rowOff>
    </xdr:from>
    <xdr:to>
      <xdr:col>7</xdr:col>
      <xdr:colOff>460375</xdr:colOff>
      <xdr:row>14</xdr:row>
      <xdr:rowOff>171450</xdr:rowOff>
    </xdr:to>
    <xdr:graphicFrame macro="">
      <xdr:nvGraphicFramePr>
        <xdr:cNvPr id="5" name="Chart 4">
          <a:extLst>
            <a:ext uri="{FF2B5EF4-FFF2-40B4-BE49-F238E27FC236}">
              <a16:creationId xmlns:a16="http://schemas.microsoft.com/office/drawing/2014/main" id="{39619E8A-D22F-490B-B95E-81C73B5AF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466725</xdr:colOff>
      <xdr:row>0</xdr:row>
      <xdr:rowOff>12700</xdr:rowOff>
    </xdr:from>
    <xdr:to>
      <xdr:col>15</xdr:col>
      <xdr:colOff>593725</xdr:colOff>
      <xdr:row>14</xdr:row>
      <xdr:rowOff>177800</xdr:rowOff>
    </xdr:to>
    <xdr:graphicFrame macro="">
      <xdr:nvGraphicFramePr>
        <xdr:cNvPr id="6" name="Chart 5">
          <a:extLst>
            <a:ext uri="{FF2B5EF4-FFF2-40B4-BE49-F238E27FC236}">
              <a16:creationId xmlns:a16="http://schemas.microsoft.com/office/drawing/2014/main" id="{5816AD59-8925-4B5F-9121-5221FEEC4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466725</xdr:colOff>
      <xdr:row>15</xdr:row>
      <xdr:rowOff>0</xdr:rowOff>
    </xdr:from>
    <xdr:to>
      <xdr:col>15</xdr:col>
      <xdr:colOff>593725</xdr:colOff>
      <xdr:row>29</xdr:row>
      <xdr:rowOff>165100</xdr:rowOff>
    </xdr:to>
    <xdr:graphicFrame macro="">
      <xdr:nvGraphicFramePr>
        <xdr:cNvPr id="7" name="Chart 6">
          <a:extLst>
            <a:ext uri="{FF2B5EF4-FFF2-40B4-BE49-F238E27FC236}">
              <a16:creationId xmlns:a16="http://schemas.microsoft.com/office/drawing/2014/main" id="{1BB77CB2-6C1C-411A-89AA-DC501FF82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15875</xdr:colOff>
      <xdr:row>14</xdr:row>
      <xdr:rowOff>177800</xdr:rowOff>
    </xdr:from>
    <xdr:to>
      <xdr:col>7</xdr:col>
      <xdr:colOff>460375</xdr:colOff>
      <xdr:row>29</xdr:row>
      <xdr:rowOff>158750</xdr:rowOff>
    </xdr:to>
    <xdr:graphicFrame macro="">
      <xdr:nvGraphicFramePr>
        <xdr:cNvPr id="9" name="Chart 8">
          <a:extLst>
            <a:ext uri="{FF2B5EF4-FFF2-40B4-BE49-F238E27FC236}">
              <a16:creationId xmlns:a16="http://schemas.microsoft.com/office/drawing/2014/main" id="{67DE20ED-17D6-4573-A827-3BB479739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15875</xdr:colOff>
      <xdr:row>29</xdr:row>
      <xdr:rowOff>171450</xdr:rowOff>
    </xdr:from>
    <xdr:to>
      <xdr:col>7</xdr:col>
      <xdr:colOff>460375</xdr:colOff>
      <xdr:row>44</xdr:row>
      <xdr:rowOff>152400</xdr:rowOff>
    </xdr:to>
    <xdr:graphicFrame macro="">
      <xdr:nvGraphicFramePr>
        <xdr:cNvPr id="10" name="Chart 9">
          <a:extLst>
            <a:ext uri="{FF2B5EF4-FFF2-40B4-BE49-F238E27FC236}">
              <a16:creationId xmlns:a16="http://schemas.microsoft.com/office/drawing/2014/main" id="{8688299A-9C5F-4875-9EFD-FDF0F4EAF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466725</xdr:colOff>
      <xdr:row>29</xdr:row>
      <xdr:rowOff>171450</xdr:rowOff>
    </xdr:from>
    <xdr:to>
      <xdr:col>15</xdr:col>
      <xdr:colOff>593725</xdr:colOff>
      <xdr:row>44</xdr:row>
      <xdr:rowOff>152400</xdr:rowOff>
    </xdr:to>
    <xdr:graphicFrame macro="">
      <xdr:nvGraphicFramePr>
        <xdr:cNvPr id="2" name="Chart 1">
          <a:extLst>
            <a:ext uri="{FF2B5EF4-FFF2-40B4-BE49-F238E27FC236}">
              <a16:creationId xmlns:a16="http://schemas.microsoft.com/office/drawing/2014/main" id="{74B582DB-DE89-44DD-8E60-F9313AD59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495301</xdr:colOff>
      <xdr:row>7</xdr:row>
      <xdr:rowOff>120650</xdr:rowOff>
    </xdr:from>
    <xdr:ext cx="3289300" cy="383695"/>
    <xdr:sp macro="" textlink="">
      <xdr:nvSpPr>
        <xdr:cNvPr id="3" name="TextBox 2">
          <a:extLst>
            <a:ext uri="{FF2B5EF4-FFF2-40B4-BE49-F238E27FC236}">
              <a16:creationId xmlns:a16="http://schemas.microsoft.com/office/drawing/2014/main" id="{CAD7CBD9-FAAE-4526-98DC-8BFD32416B78}"/>
            </a:ext>
          </a:extLst>
        </xdr:cNvPr>
        <xdr:cNvSpPr txBox="1"/>
      </xdr:nvSpPr>
      <xdr:spPr>
        <a:xfrm>
          <a:off x="495301" y="1416050"/>
          <a:ext cx="3289300" cy="3836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1">
              <a:solidFill>
                <a:srgbClr val="C00000"/>
              </a:solidFill>
              <a:latin typeface="Georgia" panose="02040502050405020303" pitchFamily="18" charset="0"/>
            </a:rPr>
            <a:t>Check for a rising trend and/or consistency. Compare with</a:t>
          </a:r>
          <a:r>
            <a:rPr lang="en-US" sz="1000" b="1" baseline="0">
              <a:solidFill>
                <a:srgbClr val="C00000"/>
              </a:solidFill>
              <a:latin typeface="Georgia" panose="02040502050405020303" pitchFamily="18" charset="0"/>
            </a:rPr>
            <a:t> a close competitor</a:t>
          </a:r>
          <a:endParaRPr lang="en-US" sz="1000" b="1">
            <a:solidFill>
              <a:srgbClr val="C00000"/>
            </a:solidFill>
            <a:latin typeface="Georgia" panose="02040502050405020303" pitchFamily="18" charset="0"/>
          </a:endParaRPr>
        </a:p>
      </xdr:txBody>
    </xdr:sp>
    <xdr:clientData/>
  </xdr:oneCellAnchor>
</xdr:wsDr>
</file>

<file path=xl/drawings/drawing2.xml><?xml version="1.0" encoding="utf-8"?>
<c:userShapes xmlns:c="http://schemas.openxmlformats.org/drawingml/2006/chart">
  <cdr:relSizeAnchor xmlns:cdr="http://schemas.openxmlformats.org/drawingml/2006/chartDrawing">
    <cdr:from>
      <cdr:x>0.10613</cdr:x>
      <cdr:y>0.12212</cdr:y>
    </cdr:from>
    <cdr:to>
      <cdr:x>0.99988</cdr:x>
      <cdr:y>0.36707</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506801" y="336550"/>
          <a:ext cx="4267835" cy="67505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 and/or consistency. </a:t>
          </a:r>
        </a:p>
        <a:p xmlns:a="http://schemas.openxmlformats.org/drawingml/2006/main">
          <a:pPr algn="l"/>
          <a:r>
            <a:rPr lang="en-US" sz="1000" b="1">
              <a:solidFill>
                <a:srgbClr val="C00000"/>
              </a:solidFill>
              <a:latin typeface="Georgia" panose="02040502050405020303" pitchFamily="18" charset="0"/>
            </a:rPr>
            <a:t>Numbers &gt; 20%</a:t>
          </a:r>
          <a:r>
            <a:rPr lang="en-US" sz="1000" b="1" baseline="0">
              <a:solidFill>
                <a:srgbClr val="C00000"/>
              </a:solidFill>
              <a:latin typeface="Georgia" panose="02040502050405020303" pitchFamily="18" charset="0"/>
            </a:rPr>
            <a:t> long term are good. Also check if the company has zero/marginal debt. </a:t>
          </a:r>
          <a:r>
            <a:rPr lang="en-US" sz="1000" b="1">
              <a:solidFill>
                <a:srgbClr val="C00000"/>
              </a:solidFill>
              <a:latin typeface="Georgia" panose="02040502050405020303" pitchFamily="18" charset="0"/>
            </a:rPr>
            <a:t>Compare with</a:t>
          </a:r>
          <a:r>
            <a:rPr lang="en-US" sz="1000" b="1" baseline="0">
              <a:solidFill>
                <a:srgbClr val="C00000"/>
              </a:solidFill>
              <a:latin typeface="Georgia" panose="02040502050405020303" pitchFamily="18" charset="0"/>
            </a:rPr>
            <a:t> a close competitor</a:t>
          </a:r>
          <a:endParaRPr lang="en-US" sz="1000" b="1">
            <a:solidFill>
              <a:srgbClr val="C00000"/>
            </a:solidFill>
            <a:latin typeface="Georgia" panose="02040502050405020303" pitchFamily="18"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0.27657</cdr:x>
      <cdr:y>0.11574</cdr:y>
    </cdr:from>
    <cdr:to>
      <cdr:x>0.99601</cdr:x>
      <cdr:y>0.25561</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1320659" y="317500"/>
          <a:ext cx="3435491" cy="38369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 and/or low volatility. Compare growth rates with</a:t>
          </a:r>
          <a:r>
            <a:rPr lang="en-US" sz="1000" b="1" baseline="0">
              <a:solidFill>
                <a:srgbClr val="C00000"/>
              </a:solidFill>
              <a:latin typeface="Georgia" panose="02040502050405020303" pitchFamily="18" charset="0"/>
            </a:rPr>
            <a:t> a close competitor.</a:t>
          </a:r>
          <a:endParaRPr lang="en-US" sz="1000" b="1">
            <a:solidFill>
              <a:srgbClr val="C00000"/>
            </a:solidFill>
            <a:latin typeface="Georgia" panose="02040502050405020303" pitchFamily="18"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0.15304</cdr:x>
      <cdr:y>0.125</cdr:y>
    </cdr:from>
    <cdr:to>
      <cdr:x>0.87248</cdr:x>
      <cdr:y>0.21177</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746337" y="342900"/>
          <a:ext cx="3508586" cy="23801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a:t>
          </a:r>
        </a:p>
      </cdr:txBody>
    </cdr:sp>
  </cdr:relSizeAnchor>
</c:userShapes>
</file>

<file path=xl/drawings/drawing5.xml><?xml version="1.0" encoding="utf-8"?>
<c:userShapes xmlns:c="http://schemas.openxmlformats.org/drawingml/2006/chart">
  <cdr:relSizeAnchor xmlns:cdr="http://schemas.openxmlformats.org/drawingml/2006/chartDrawing">
    <cdr:from>
      <cdr:x>0.1283</cdr:x>
      <cdr:y>0.12037</cdr:y>
    </cdr:from>
    <cdr:to>
      <cdr:x>0.84774</cdr:x>
      <cdr:y>0.20714</cdr:y>
    </cdr:to>
    <cdr:sp macro="" textlink="">
      <cdr:nvSpPr>
        <cdr:cNvPr id="2" name="TextBox 2">
          <a:extLst xmlns:a="http://schemas.openxmlformats.org/drawingml/2006/main">
            <a:ext uri="{FF2B5EF4-FFF2-40B4-BE49-F238E27FC236}">
              <a16:creationId xmlns:a16="http://schemas.microsoft.com/office/drawing/2014/main" id="{FD1D2F6C-2E78-470F-BF39-36F5D02A34E8}"/>
            </a:ext>
          </a:extLst>
        </cdr:cNvPr>
        <cdr:cNvSpPr txBox="1"/>
      </cdr:nvSpPr>
      <cdr:spPr>
        <a:xfrm xmlns:a="http://schemas.openxmlformats.org/drawingml/2006/main">
          <a:off x="625687" y="330200"/>
          <a:ext cx="3508586" cy="23801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a:t>
          </a:r>
        </a:p>
      </cdr:txBody>
    </cdr:sp>
  </cdr:relSizeAnchor>
</c:userShapes>
</file>

<file path=xl/drawings/drawing6.xml><?xml version="1.0" encoding="utf-8"?>
<c:userShapes xmlns:c="http://schemas.openxmlformats.org/drawingml/2006/chart">
  <cdr:relSizeAnchor xmlns:cdr="http://schemas.openxmlformats.org/drawingml/2006/chartDrawing">
    <cdr:from>
      <cdr:x>0.13265</cdr:x>
      <cdr:y>0.09954</cdr:y>
    </cdr:from>
    <cdr:to>
      <cdr:x>0.62224</cdr:x>
      <cdr:y>0.23941</cdr:y>
    </cdr:to>
    <cdr:sp macro="" textlink="">
      <cdr:nvSpPr>
        <cdr:cNvPr id="2" name="TextBox 2">
          <a:extLst xmlns:a="http://schemas.openxmlformats.org/drawingml/2006/main">
            <a:ext uri="{FF2B5EF4-FFF2-40B4-BE49-F238E27FC236}">
              <a16:creationId xmlns:a16="http://schemas.microsoft.com/office/drawing/2014/main" id="{FD1D2F6C-2E78-470F-BF39-36F5D02A34E8}"/>
            </a:ext>
          </a:extLst>
        </cdr:cNvPr>
        <cdr:cNvSpPr txBox="1"/>
      </cdr:nvSpPr>
      <cdr:spPr>
        <a:xfrm xmlns:a="http://schemas.openxmlformats.org/drawingml/2006/main">
          <a:off x="633448" y="273050"/>
          <a:ext cx="2337858" cy="38369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positive</a:t>
          </a:r>
          <a:r>
            <a:rPr lang="en-US" sz="1000" b="1" baseline="0">
              <a:solidFill>
                <a:srgbClr val="C00000"/>
              </a:solidFill>
              <a:latin typeface="Georgia" panose="02040502050405020303" pitchFamily="18" charset="0"/>
            </a:rPr>
            <a:t> numbers and which are rising over time.</a:t>
          </a:r>
          <a:endParaRPr lang="en-US" sz="1000" b="1">
            <a:solidFill>
              <a:srgbClr val="C00000"/>
            </a:solidFill>
            <a:latin typeface="Georgia" panose="02040502050405020303" pitchFamily="18" charset="0"/>
          </a:endParaRP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nual" displayName="Annual" ref="A3:L34" headerRowCount="0" totalsRowCount="1" headerRowDxfId="64" dataDxfId="63">
  <tableColumns count="12">
    <tableColumn id="1" xr3:uid="{00000000-0010-0000-0000-000001000000}" name="Column1" headerRowDxfId="62" dataDxfId="61" totalsRowDxfId="60"/>
    <tableColumn id="2" xr3:uid="{00000000-0010-0000-0000-000002000000}" name="Column2" headerRowDxfId="59" dataDxfId="58" totalsRowDxfId="57"/>
    <tableColumn id="3" xr3:uid="{00000000-0010-0000-0000-000003000000}" name="Column3" headerRowDxfId="56" dataDxfId="55" totalsRowDxfId="54"/>
    <tableColumn id="4" xr3:uid="{00000000-0010-0000-0000-000004000000}" name="Column4" headerRowDxfId="53" dataDxfId="52" totalsRowDxfId="51"/>
    <tableColumn id="5" xr3:uid="{00000000-0010-0000-0000-000005000000}" name="Column5" headerRowDxfId="50" dataDxfId="49" totalsRowDxfId="48"/>
    <tableColumn id="6" xr3:uid="{00000000-0010-0000-0000-000006000000}" name="Column6" headerRowDxfId="47" dataDxfId="46" totalsRowDxfId="45"/>
    <tableColumn id="7" xr3:uid="{00000000-0010-0000-0000-000007000000}" name="Column7" headerRowDxfId="44" dataDxfId="43" totalsRowDxfId="42"/>
    <tableColumn id="8" xr3:uid="{00000000-0010-0000-0000-000008000000}" name="Column8" headerRowDxfId="41" dataDxfId="40" totalsRowDxfId="39"/>
    <tableColumn id="9" xr3:uid="{00000000-0010-0000-0000-000009000000}" name="Column9" headerRowDxfId="38" dataDxfId="37" totalsRowDxfId="36"/>
    <tableColumn id="10" xr3:uid="{00000000-0010-0000-0000-00000A000000}" name="Column10" headerRowDxfId="35" dataDxfId="34" totalsRowDxfId="33"/>
    <tableColumn id="11" xr3:uid="{00000000-0010-0000-0000-00000B000000}" name="Column11" headerRowDxfId="32" dataDxfId="31" totalsRowDxfId="30"/>
    <tableColumn id="12" xr3:uid="{00000000-0010-0000-0000-00000C000000}" name="Column12" headerRowDxfId="29" dataDxfId="28" totalsRowDxfId="27"/>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Quarters" displayName="Quarters" ref="A3:K17" headerRowCount="0" totalsRowShown="0" headerRowDxfId="26" dataDxfId="25" tableBorderDxfId="24" totalsRowBorderDxfId="23">
  <tableColumns count="11">
    <tableColumn id="1" xr3:uid="{00000000-0010-0000-0100-000001000000}" name="Column1" headerRowDxfId="22" dataDxfId="21"/>
    <tableColumn id="2" xr3:uid="{00000000-0010-0000-0100-000002000000}" name="Column2" headerRowDxfId="20" dataDxfId="19"/>
    <tableColumn id="3" xr3:uid="{00000000-0010-0000-0100-000003000000}" name="Column3" headerRowDxfId="18" dataDxfId="17"/>
    <tableColumn id="4" xr3:uid="{00000000-0010-0000-0100-000004000000}" name="Column4" headerRowDxfId="16" dataDxfId="15"/>
    <tableColumn id="5" xr3:uid="{00000000-0010-0000-0100-000005000000}" name="Column5" headerRowDxfId="14" dataDxfId="13"/>
    <tableColumn id="6" xr3:uid="{00000000-0010-0000-0100-000006000000}" name="Column6" headerRowDxfId="12" dataDxfId="11"/>
    <tableColumn id="7" xr3:uid="{00000000-0010-0000-0100-000007000000}" name="Column7" headerRowDxfId="10" dataDxfId="9"/>
    <tableColumn id="8" xr3:uid="{00000000-0010-0000-0100-000008000000}" name="Column8" headerRowDxfId="8" dataDxfId="7"/>
    <tableColumn id="9" xr3:uid="{00000000-0010-0000-0100-000009000000}" name="Column9" headerRowDxfId="6" dataDxfId="5"/>
    <tableColumn id="10" xr3:uid="{00000000-0010-0000-0100-00000A000000}" name="Column10" headerRowDxfId="4" dataDxfId="3"/>
    <tableColumn id="11" xr3:uid="{00000000-0010-0000-0100-00000B000000}" name="Column11" headerRowDxfId="2" dataDxfId="1"/>
  </tableColumns>
  <tableStyleInfo name="TableStyleLight1"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afalniveshak.com/"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amzn.to/2xRdlRK" TargetMode="External"/><Relationship Id="rId1" Type="http://schemas.openxmlformats.org/officeDocument/2006/relationships/hyperlink" Target="https://www.safalniveshak.com/dhandho-investor-guide-to-intrinsic-valu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http://www.safalniveshak.com/value-stocks-using-dcf/"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goo.gl/F4PjL7"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10.bin"/><Relationship Id="rId1" Type="http://schemas.openxmlformats.org/officeDocument/2006/relationships/hyperlink" Target="http://www.screener.in/"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screener.in/exce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www.screener.in/exce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afalniveshak.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DCE27-A826-449A-B4CA-7EBB069471AF}">
  <dimension ref="A1:A23"/>
  <sheetViews>
    <sheetView workbookViewId="0"/>
  </sheetViews>
  <sheetFormatPr baseColWidth="10" defaultColWidth="8.6640625" defaultRowHeight="13" x14ac:dyDescent="0.15"/>
  <cols>
    <col min="1" max="1" width="151.5" style="253" customWidth="1"/>
    <col min="2" max="16384" width="8.6640625" style="253"/>
  </cols>
  <sheetData>
    <row r="1" spans="1:1" ht="20" x14ac:dyDescent="0.2">
      <c r="A1" s="288" t="s">
        <v>316</v>
      </c>
    </row>
    <row r="2" spans="1:1" ht="18" thickBot="1" x14ac:dyDescent="0.25">
      <c r="A2" s="289" t="s">
        <v>212</v>
      </c>
    </row>
    <row r="3" spans="1:1" ht="17" thickBot="1" x14ac:dyDescent="0.25">
      <c r="A3" s="254"/>
    </row>
    <row r="4" spans="1:1" ht="17" x14ac:dyDescent="0.2">
      <c r="A4" s="255" t="s">
        <v>247</v>
      </c>
    </row>
    <row r="5" spans="1:1" ht="16" x14ac:dyDescent="0.2">
      <c r="A5" s="256" t="s">
        <v>272</v>
      </c>
    </row>
    <row r="6" spans="1:1" ht="16" x14ac:dyDescent="0.2">
      <c r="A6" s="259" t="s">
        <v>273</v>
      </c>
    </row>
    <row r="7" spans="1:1" ht="28" x14ac:dyDescent="0.15">
      <c r="A7" s="256" t="s">
        <v>274</v>
      </c>
    </row>
    <row r="8" spans="1:1" ht="28" x14ac:dyDescent="0.15">
      <c r="A8" s="290" t="s">
        <v>317</v>
      </c>
    </row>
    <row r="9" spans="1:1" ht="15" thickBot="1" x14ac:dyDescent="0.2">
      <c r="A9" s="257" t="s">
        <v>275</v>
      </c>
    </row>
    <row r="11" spans="1:1" ht="14" thickBot="1" x14ac:dyDescent="0.2"/>
    <row r="12" spans="1:1" ht="17" x14ac:dyDescent="0.2">
      <c r="A12" s="255" t="s">
        <v>248</v>
      </c>
    </row>
    <row r="13" spans="1:1" ht="28" x14ac:dyDescent="0.15">
      <c r="A13" s="256" t="s">
        <v>255</v>
      </c>
    </row>
    <row r="14" spans="1:1" ht="28" x14ac:dyDescent="0.15">
      <c r="A14" s="256" t="s">
        <v>249</v>
      </c>
    </row>
    <row r="15" spans="1:1" ht="28" x14ac:dyDescent="0.15">
      <c r="A15" s="256" t="s">
        <v>263</v>
      </c>
    </row>
    <row r="16" spans="1:1" ht="28" x14ac:dyDescent="0.15">
      <c r="A16" s="256" t="s">
        <v>262</v>
      </c>
    </row>
    <row r="17" spans="1:1" ht="14" x14ac:dyDescent="0.15">
      <c r="A17" s="256" t="s">
        <v>252</v>
      </c>
    </row>
    <row r="18" spans="1:1" ht="28" x14ac:dyDescent="0.15">
      <c r="A18" s="256" t="s">
        <v>256</v>
      </c>
    </row>
    <row r="19" spans="1:1" ht="14" x14ac:dyDescent="0.15">
      <c r="A19" s="256" t="s">
        <v>253</v>
      </c>
    </row>
    <row r="20" spans="1:1" ht="28" x14ac:dyDescent="0.15">
      <c r="A20" s="256" t="s">
        <v>254</v>
      </c>
    </row>
    <row r="21" spans="1:1" ht="15" thickBot="1" x14ac:dyDescent="0.2">
      <c r="A21" s="257" t="s">
        <v>271</v>
      </c>
    </row>
    <row r="23" spans="1:1" ht="14" x14ac:dyDescent="0.15">
      <c r="A23" s="258" t="s">
        <v>276</v>
      </c>
    </row>
  </sheetData>
  <hyperlinks>
    <hyperlink ref="A2" r:id="rId1" xr:uid="{6C75252E-EC86-4CE2-A753-DBF34F09E162}"/>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A0A00-A0D5-4FFF-90D7-C49DAC877E8D}">
  <dimension ref="A1:M27"/>
  <sheetViews>
    <sheetView workbookViewId="0">
      <selection activeCell="F7" sqref="F7"/>
    </sheetView>
  </sheetViews>
  <sheetFormatPr baseColWidth="10" defaultColWidth="8.6640625" defaultRowHeight="13" x14ac:dyDescent="0.15"/>
  <cols>
    <col min="1" max="1" width="4.6640625" style="7" bestFit="1" customWidth="1"/>
    <col min="2" max="2" width="9.33203125" style="7" customWidth="1"/>
    <col min="3" max="3" width="10.83203125" style="7" bestFit="1" customWidth="1"/>
    <col min="4" max="4" width="16.1640625" style="7" bestFit="1" customWidth="1"/>
    <col min="5" max="5" width="13" style="7" bestFit="1" customWidth="1"/>
    <col min="6" max="6" width="6.83203125" style="7" customWidth="1"/>
    <col min="7" max="7" width="8.6640625" style="7"/>
    <col min="8" max="8" width="4.6640625" style="7" bestFit="1" customWidth="1"/>
    <col min="9" max="9" width="8.5" style="7" customWidth="1"/>
    <col min="10" max="10" width="10.83203125" style="7" bestFit="1" customWidth="1"/>
    <col min="11" max="11" width="16.1640625" style="7" bestFit="1" customWidth="1"/>
    <col min="12" max="12" width="13" style="7" bestFit="1" customWidth="1"/>
    <col min="13" max="13" width="7" style="7" customWidth="1"/>
    <col min="14" max="16384" width="8.6640625" style="7"/>
  </cols>
  <sheetData>
    <row r="1" spans="1:13" ht="19" x14ac:dyDescent="0.2">
      <c r="A1" s="368" t="s">
        <v>241</v>
      </c>
      <c r="B1" s="369"/>
      <c r="C1" s="369"/>
      <c r="D1" s="369"/>
      <c r="E1" s="369"/>
      <c r="F1" s="369"/>
      <c r="G1" s="369"/>
      <c r="H1" s="369"/>
      <c r="I1" s="369"/>
      <c r="J1" s="369"/>
      <c r="K1" s="369"/>
      <c r="L1" s="369"/>
      <c r="M1" s="370"/>
    </row>
    <row r="2" spans="1:13" ht="14" thickBot="1" x14ac:dyDescent="0.2">
      <c r="A2" s="371" t="s">
        <v>242</v>
      </c>
      <c r="B2" s="372"/>
      <c r="C2" s="372"/>
      <c r="D2" s="372"/>
      <c r="E2" s="372"/>
      <c r="F2" s="372"/>
      <c r="G2" s="372"/>
      <c r="H2" s="372"/>
      <c r="I2" s="372"/>
      <c r="J2" s="372"/>
      <c r="K2" s="372"/>
      <c r="L2" s="372"/>
      <c r="M2" s="373"/>
    </row>
    <row r="4" spans="1:13" x14ac:dyDescent="0.15">
      <c r="A4" s="377" t="str">
        <f>'Data Sheet'!B1</f>
        <v>BAJAJ AUTO LTD</v>
      </c>
      <c r="B4" s="377"/>
      <c r="C4" s="377"/>
      <c r="D4" s="377"/>
      <c r="H4" s="377" t="str">
        <f>A4</f>
        <v>BAJAJ AUTO LTD</v>
      </c>
      <c r="I4" s="377"/>
      <c r="J4" s="377"/>
      <c r="K4" s="377"/>
    </row>
    <row r="5" spans="1:13" x14ac:dyDescent="0.15">
      <c r="A5" s="377" t="s">
        <v>243</v>
      </c>
      <c r="B5" s="377"/>
      <c r="C5" s="377"/>
      <c r="D5" s="377"/>
      <c r="E5" s="375"/>
      <c r="F5" s="376"/>
      <c r="H5" s="377" t="s">
        <v>244</v>
      </c>
      <c r="I5" s="377"/>
      <c r="J5" s="377"/>
      <c r="K5" s="377"/>
      <c r="L5" s="375"/>
      <c r="M5" s="376"/>
    </row>
    <row r="6" spans="1:13" x14ac:dyDescent="0.15">
      <c r="A6" s="33" t="s">
        <v>109</v>
      </c>
      <c r="B6" s="34"/>
      <c r="C6" s="35" t="s">
        <v>110</v>
      </c>
      <c r="D6" s="34" t="s">
        <v>111</v>
      </c>
      <c r="E6" s="374" t="s">
        <v>112</v>
      </c>
      <c r="F6" s="374"/>
      <c r="H6" s="33" t="s">
        <v>109</v>
      </c>
      <c r="I6" s="34"/>
      <c r="J6" s="35" t="s">
        <v>110</v>
      </c>
      <c r="K6" s="34" t="s">
        <v>111</v>
      </c>
      <c r="L6" s="374" t="s">
        <v>112</v>
      </c>
      <c r="M6" s="374"/>
    </row>
    <row r="7" spans="1:13" x14ac:dyDescent="0.15">
      <c r="A7" s="28">
        <v>0</v>
      </c>
      <c r="B7" s="12" t="s">
        <v>129</v>
      </c>
      <c r="C7" s="29"/>
      <c r="D7" s="31">
        <f>'Balance Sheet'!K19</f>
        <v>5828.69</v>
      </c>
      <c r="E7" s="27" t="s">
        <v>113</v>
      </c>
      <c r="F7" s="36">
        <v>0.15</v>
      </c>
      <c r="H7" s="28">
        <v>0</v>
      </c>
      <c r="I7" s="12" t="s">
        <v>129</v>
      </c>
      <c r="J7" s="29"/>
      <c r="K7" s="31">
        <f>D7</f>
        <v>5828.69</v>
      </c>
      <c r="L7" s="27" t="s">
        <v>113</v>
      </c>
      <c r="M7" s="36">
        <v>0.2</v>
      </c>
    </row>
    <row r="8" spans="1:13" x14ac:dyDescent="0.15">
      <c r="A8" s="28">
        <v>1</v>
      </c>
      <c r="B8" s="12" t="s">
        <v>114</v>
      </c>
      <c r="C8" s="30">
        <f>'Cash Flow'!B13*(1+$F$7)</f>
        <v>4727.5081666666665</v>
      </c>
      <c r="D8" s="31">
        <f>C8/((1+$F$10)^A8)</f>
        <v>4220.989434523809</v>
      </c>
      <c r="E8" s="27" t="s">
        <v>115</v>
      </c>
      <c r="F8" s="36">
        <v>0.1</v>
      </c>
      <c r="H8" s="28">
        <v>1</v>
      </c>
      <c r="I8" s="12" t="s">
        <v>114</v>
      </c>
      <c r="J8" s="30">
        <f>'Cash Flow'!B13*(1+$M$7)</f>
        <v>4933.0520000000006</v>
      </c>
      <c r="K8" s="31">
        <f>J8/((1+$M$10)^H8)</f>
        <v>4404.5107142857141</v>
      </c>
      <c r="L8" s="27" t="s">
        <v>115</v>
      </c>
      <c r="M8" s="36">
        <v>0.15</v>
      </c>
    </row>
    <row r="9" spans="1:13" x14ac:dyDescent="0.15">
      <c r="A9" s="28">
        <v>2</v>
      </c>
      <c r="B9" s="12" t="s">
        <v>116</v>
      </c>
      <c r="C9" s="30">
        <f>C8*(1+$F$7)</f>
        <v>5436.6343916666665</v>
      </c>
      <c r="D9" s="31">
        <f t="shared" ref="D9:D18" si="0">C9/((1+$F$10)^A9)</f>
        <v>4334.0516515199824</v>
      </c>
      <c r="E9" s="27" t="s">
        <v>117</v>
      </c>
      <c r="F9" s="36">
        <v>0.05</v>
      </c>
      <c r="H9" s="28">
        <v>2</v>
      </c>
      <c r="I9" s="12" t="s">
        <v>116</v>
      </c>
      <c r="J9" s="30">
        <f>J8*(1+$M$7)</f>
        <v>5919.6624000000002</v>
      </c>
      <c r="K9" s="31">
        <f t="shared" ref="K9:K18" si="1">J9/((1+$M$10)^H9)</f>
        <v>4719.1186224489793</v>
      </c>
      <c r="L9" s="27" t="s">
        <v>117</v>
      </c>
      <c r="M9" s="36">
        <v>0.1</v>
      </c>
    </row>
    <row r="10" spans="1:13" x14ac:dyDescent="0.15">
      <c r="A10" s="28">
        <v>3</v>
      </c>
      <c r="B10" s="12" t="s">
        <v>118</v>
      </c>
      <c r="C10" s="30">
        <f>C9*(1+$F$7)</f>
        <v>6252.1295504166656</v>
      </c>
      <c r="D10" s="31">
        <f t="shared" si="0"/>
        <v>4450.1423207571233</v>
      </c>
      <c r="E10" s="27" t="s">
        <v>120</v>
      </c>
      <c r="F10" s="36">
        <v>0.12</v>
      </c>
      <c r="H10" s="28">
        <v>3</v>
      </c>
      <c r="I10" s="12" t="s">
        <v>118</v>
      </c>
      <c r="J10" s="30">
        <f>J9*(1+$M$7)</f>
        <v>7103.5948799999996</v>
      </c>
      <c r="K10" s="31">
        <f t="shared" si="1"/>
        <v>5056.1985240524764</v>
      </c>
      <c r="L10" s="27" t="s">
        <v>120</v>
      </c>
      <c r="M10" s="36">
        <v>0.12</v>
      </c>
    </row>
    <row r="11" spans="1:13" x14ac:dyDescent="0.15">
      <c r="A11" s="28">
        <v>4</v>
      </c>
      <c r="B11" s="12" t="s">
        <v>119</v>
      </c>
      <c r="C11" s="30">
        <f>C10*(1+$F$8)</f>
        <v>6877.3425054583331</v>
      </c>
      <c r="D11" s="31">
        <f t="shared" si="0"/>
        <v>4370.6754936007474</v>
      </c>
      <c r="H11" s="28">
        <v>4</v>
      </c>
      <c r="I11" s="12" t="s">
        <v>119</v>
      </c>
      <c r="J11" s="30">
        <f>J10*(1+$M$8)</f>
        <v>8169.1341119999988</v>
      </c>
      <c r="K11" s="31">
        <f t="shared" si="1"/>
        <v>5191.6324130895964</v>
      </c>
    </row>
    <row r="12" spans="1:13" x14ac:dyDescent="0.15">
      <c r="A12" s="28">
        <v>5</v>
      </c>
      <c r="B12" s="12" t="s">
        <v>121</v>
      </c>
      <c r="C12" s="30">
        <f t="shared" ref="C12:C13" si="2">C11*(1+$F$8)</f>
        <v>7565.0767560041668</v>
      </c>
      <c r="D12" s="31">
        <f t="shared" si="0"/>
        <v>4292.6277169293053</v>
      </c>
      <c r="E12" s="364" t="s">
        <v>258</v>
      </c>
      <c r="F12" s="364"/>
      <c r="H12" s="28">
        <v>5</v>
      </c>
      <c r="I12" s="12" t="s">
        <v>121</v>
      </c>
      <c r="J12" s="30">
        <f t="shared" ref="J12:J13" si="3">J11*(1+$M$8)</f>
        <v>9394.5042287999986</v>
      </c>
      <c r="K12" s="31">
        <f t="shared" si="1"/>
        <v>5330.6939955830667</v>
      </c>
    </row>
    <row r="13" spans="1:13" x14ac:dyDescent="0.15">
      <c r="A13" s="28">
        <v>6</v>
      </c>
      <c r="B13" s="12" t="s">
        <v>122</v>
      </c>
      <c r="C13" s="30">
        <f t="shared" si="2"/>
        <v>8321.5844316045841</v>
      </c>
      <c r="D13" s="31">
        <f t="shared" si="0"/>
        <v>4215.9736505555675</v>
      </c>
      <c r="E13" s="101" t="s">
        <v>4</v>
      </c>
      <c r="F13" s="107">
        <f>('Profit &amp; Loss'!K4/'Profit &amp; Loss'!F4)^(1/5)-1</f>
        <v>8.128075564722903E-2</v>
      </c>
      <c r="H13" s="28">
        <v>6</v>
      </c>
      <c r="I13" s="12" t="s">
        <v>122</v>
      </c>
      <c r="J13" s="30">
        <f t="shared" si="3"/>
        <v>10803.679863119998</v>
      </c>
      <c r="K13" s="31">
        <f t="shared" si="1"/>
        <v>5473.4804418933272</v>
      </c>
    </row>
    <row r="14" spans="1:13" x14ac:dyDescent="0.15">
      <c r="A14" s="28">
        <v>7</v>
      </c>
      <c r="B14" s="12" t="s">
        <v>123</v>
      </c>
      <c r="C14" s="30">
        <f>C13*(1+$F$9)</f>
        <v>8737.6636531848144</v>
      </c>
      <c r="D14" s="31">
        <f t="shared" si="0"/>
        <v>3952.4752973958448</v>
      </c>
      <c r="E14" s="101" t="s">
        <v>132</v>
      </c>
      <c r="F14" s="107">
        <f>('Profit &amp; Loss'!K19/'Profit &amp; Loss'!F19)^(1/5)-1</f>
        <v>7.616885367574433E-2</v>
      </c>
      <c r="H14" s="28">
        <v>7</v>
      </c>
      <c r="I14" s="12" t="s">
        <v>123</v>
      </c>
      <c r="J14" s="30">
        <f>J13*(1+$M$9)</f>
        <v>11884.047849432</v>
      </c>
      <c r="K14" s="31">
        <f t="shared" si="1"/>
        <v>5375.7397197166611</v>
      </c>
    </row>
    <row r="15" spans="1:13" x14ac:dyDescent="0.15">
      <c r="A15" s="28">
        <v>8</v>
      </c>
      <c r="B15" s="12" t="s">
        <v>124</v>
      </c>
      <c r="C15" s="30">
        <f t="shared" ref="C15:C17" si="4">C14*(1+$F$9)</f>
        <v>9174.5468358440557</v>
      </c>
      <c r="D15" s="31">
        <f t="shared" si="0"/>
        <v>3705.4455913086044</v>
      </c>
      <c r="E15" s="101" t="s">
        <v>130</v>
      </c>
      <c r="F15" s="107">
        <f>('Cash Flow'!K12/'Cash Flow'!F12)^(1/5)-1</f>
        <v>0.24987458251880446</v>
      </c>
      <c r="H15" s="28">
        <v>8</v>
      </c>
      <c r="I15" s="12" t="s">
        <v>124</v>
      </c>
      <c r="J15" s="30">
        <f t="shared" ref="J15:J17" si="5">J14*(1+$M$9)</f>
        <v>13072.4526343752</v>
      </c>
      <c r="K15" s="31">
        <f t="shared" si="1"/>
        <v>5279.7443675788636</v>
      </c>
    </row>
    <row r="16" spans="1:13" x14ac:dyDescent="0.15">
      <c r="A16" s="28">
        <v>9</v>
      </c>
      <c r="B16" s="12" t="s">
        <v>125</v>
      </c>
      <c r="C16" s="30">
        <f t="shared" si="4"/>
        <v>9633.2741776362582</v>
      </c>
      <c r="D16" s="31">
        <f t="shared" si="0"/>
        <v>3473.8552418518166</v>
      </c>
      <c r="H16" s="28">
        <v>9</v>
      </c>
      <c r="I16" s="12" t="s">
        <v>125</v>
      </c>
      <c r="J16" s="30">
        <f t="shared" si="5"/>
        <v>14379.697897812721</v>
      </c>
      <c r="K16" s="31">
        <f t="shared" si="1"/>
        <v>5185.4632181578127</v>
      </c>
    </row>
    <row r="17" spans="1:11" x14ac:dyDescent="0.15">
      <c r="A17" s="28">
        <v>10</v>
      </c>
      <c r="B17" s="12" t="s">
        <v>126</v>
      </c>
      <c r="C17" s="30">
        <f t="shared" si="4"/>
        <v>10114.937886518072</v>
      </c>
      <c r="D17" s="31">
        <f t="shared" si="0"/>
        <v>3256.7392892360776</v>
      </c>
      <c r="H17" s="28">
        <v>10</v>
      </c>
      <c r="I17" s="12" t="s">
        <v>126</v>
      </c>
      <c r="J17" s="30">
        <f t="shared" si="5"/>
        <v>15817.667687593994</v>
      </c>
      <c r="K17" s="31">
        <f t="shared" si="1"/>
        <v>5092.865660690708</v>
      </c>
    </row>
    <row r="18" spans="1:11" x14ac:dyDescent="0.15">
      <c r="A18" s="28">
        <v>10</v>
      </c>
      <c r="B18" s="12"/>
      <c r="C18" s="38">
        <f>C17*10</f>
        <v>101149.37886518071</v>
      </c>
      <c r="D18" s="31">
        <f t="shared" si="0"/>
        <v>32567.392892360775</v>
      </c>
      <c r="H18" s="28">
        <v>10</v>
      </c>
      <c r="I18" s="12"/>
      <c r="J18" s="37">
        <f>J17*15</f>
        <v>237265.01531390991</v>
      </c>
      <c r="K18" s="31">
        <f t="shared" si="1"/>
        <v>76392.984910360625</v>
      </c>
    </row>
    <row r="19" spans="1:11" x14ac:dyDescent="0.15">
      <c r="A19" s="365" t="s">
        <v>133</v>
      </c>
      <c r="B19" s="366"/>
      <c r="C19" s="367"/>
      <c r="D19" s="39">
        <f>SUM(D7:D18)</f>
        <v>78669.058580039651</v>
      </c>
      <c r="H19" s="365" t="s">
        <v>133</v>
      </c>
      <c r="I19" s="366"/>
      <c r="J19" s="367"/>
      <c r="K19" s="39">
        <f>SUM(K7:K18)</f>
        <v>133331.12258785783</v>
      </c>
    </row>
    <row r="20" spans="1:11" x14ac:dyDescent="0.15">
      <c r="A20" s="365" t="s">
        <v>127</v>
      </c>
      <c r="B20" s="366"/>
      <c r="C20" s="367"/>
      <c r="D20" s="40">
        <f>'Data Sheet'!B9</f>
        <v>275184.56</v>
      </c>
      <c r="H20" s="365" t="s">
        <v>127</v>
      </c>
      <c r="I20" s="366"/>
      <c r="J20" s="367"/>
      <c r="K20" s="40">
        <f>D20</f>
        <v>275184.56</v>
      </c>
    </row>
    <row r="21" spans="1:11" x14ac:dyDescent="0.15">
      <c r="A21" s="365" t="s">
        <v>128</v>
      </c>
      <c r="B21" s="366"/>
      <c r="C21" s="367"/>
      <c r="D21" s="32">
        <f>D20/D19-1</f>
        <v>2.498002454421405</v>
      </c>
      <c r="H21" s="365" t="s">
        <v>128</v>
      </c>
      <c r="I21" s="366"/>
      <c r="J21" s="367"/>
      <c r="K21" s="32">
        <f>K20/K19-1</f>
        <v>1.0639184209873327</v>
      </c>
    </row>
    <row r="23" spans="1:11" x14ac:dyDescent="0.15">
      <c r="A23" s="139" t="s">
        <v>185</v>
      </c>
    </row>
    <row r="24" spans="1:11" ht="14" thickBot="1" x14ac:dyDescent="0.2"/>
    <row r="25" spans="1:11" ht="13" customHeight="1" x14ac:dyDescent="0.15">
      <c r="A25" s="344" t="s">
        <v>270</v>
      </c>
      <c r="B25" s="345"/>
      <c r="C25" s="345"/>
      <c r="D25" s="345"/>
      <c r="E25" s="345"/>
      <c r="F25" s="345"/>
      <c r="G25" s="345"/>
      <c r="H25" s="345"/>
      <c r="I25" s="345"/>
      <c r="J25" s="345"/>
      <c r="K25" s="346"/>
    </row>
    <row r="26" spans="1:11" x14ac:dyDescent="0.15">
      <c r="A26" s="347"/>
      <c r="B26" s="348"/>
      <c r="C26" s="348"/>
      <c r="D26" s="348"/>
      <c r="E26" s="348"/>
      <c r="F26" s="348"/>
      <c r="G26" s="348"/>
      <c r="H26" s="348"/>
      <c r="I26" s="348"/>
      <c r="J26" s="348"/>
      <c r="K26" s="349"/>
    </row>
    <row r="27" spans="1:11" ht="14" thickBot="1" x14ac:dyDescent="0.2">
      <c r="A27" s="350"/>
      <c r="B27" s="351"/>
      <c r="C27" s="351"/>
      <c r="D27" s="351"/>
      <c r="E27" s="351"/>
      <c r="F27" s="351"/>
      <c r="G27" s="351"/>
      <c r="H27" s="351"/>
      <c r="I27" s="351"/>
      <c r="J27" s="351"/>
      <c r="K27" s="352"/>
    </row>
  </sheetData>
  <mergeCells count="18">
    <mergeCell ref="A1:M1"/>
    <mergeCell ref="A2:M2"/>
    <mergeCell ref="L6:M6"/>
    <mergeCell ref="E5:F5"/>
    <mergeCell ref="L5:M5"/>
    <mergeCell ref="A4:D4"/>
    <mergeCell ref="H4:K4"/>
    <mergeCell ref="A5:D5"/>
    <mergeCell ref="H5:K5"/>
    <mergeCell ref="E6:F6"/>
    <mergeCell ref="E12:F12"/>
    <mergeCell ref="A19:C19"/>
    <mergeCell ref="A20:C20"/>
    <mergeCell ref="A25:K27"/>
    <mergeCell ref="A21:C21"/>
    <mergeCell ref="H19:J19"/>
    <mergeCell ref="H20:J20"/>
    <mergeCell ref="H21:J21"/>
  </mergeCells>
  <hyperlinks>
    <hyperlink ref="A23" r:id="rId1" display="Note: See the explanation of this model here" xr:uid="{3A1B8835-469E-42AF-AD6D-C9D8252FF3E9}"/>
    <hyperlink ref="A2:M2" r:id="rId2" display="Read the book - The Dhandho Investor by Mohnish Pabrai" xr:uid="{E154C3A4-29CB-44BF-B3CB-B131F029EEEA}"/>
  </hyperlinks>
  <pageMargins left="0.7" right="0.7" top="0.75" bottom="0.75" header="0.3" footer="0.3"/>
  <pageSetup orientation="portrait"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FDFBE-87D7-4EDE-A582-1B7206ED356B}">
  <dimension ref="A1:I20"/>
  <sheetViews>
    <sheetView workbookViewId="0">
      <selection sqref="A1:B1"/>
    </sheetView>
  </sheetViews>
  <sheetFormatPr baseColWidth="10" defaultColWidth="8.6640625" defaultRowHeight="13" x14ac:dyDescent="0.15"/>
  <cols>
    <col min="1" max="1" width="26.33203125" style="7" bestFit="1" customWidth="1"/>
    <col min="2" max="2" width="21.33203125" style="7" bestFit="1" customWidth="1"/>
    <col min="3" max="3" width="8.6640625" style="7"/>
    <col min="4" max="4" width="26.1640625" style="7" bestFit="1" customWidth="1"/>
    <col min="5" max="5" width="21.33203125" style="7" bestFit="1" customWidth="1"/>
    <col min="6" max="6" width="8.6640625" style="7"/>
    <col min="7" max="8" width="4.83203125" style="7" bestFit="1" customWidth="1"/>
    <col min="9" max="9" width="26.33203125" style="7" bestFit="1" customWidth="1"/>
    <col min="10" max="10" width="8.6640625" style="7"/>
    <col min="11" max="11" width="6.83203125" style="7" bestFit="1" customWidth="1"/>
    <col min="12" max="16384" width="8.6640625" style="7"/>
  </cols>
  <sheetData>
    <row r="1" spans="1:9" ht="20" thickBot="1" x14ac:dyDescent="0.25">
      <c r="A1" s="378" t="s">
        <v>260</v>
      </c>
      <c r="B1" s="379"/>
      <c r="D1" s="378" t="s">
        <v>261</v>
      </c>
      <c r="E1" s="379"/>
    </row>
    <row r="3" spans="1:9" x14ac:dyDescent="0.15">
      <c r="A3" s="12" t="s">
        <v>89</v>
      </c>
      <c r="B3" s="13" t="str">
        <f>'Profit &amp; Loss'!A2</f>
        <v>BAJAJ AUTO LTD</v>
      </c>
      <c r="D3" s="12" t="s">
        <v>89</v>
      </c>
      <c r="E3" s="13" t="str">
        <f>B3</f>
        <v>BAJAJ AUTO LTD</v>
      </c>
    </row>
    <row r="4" spans="1:9" x14ac:dyDescent="0.15">
      <c r="A4" s="12" t="s">
        <v>88</v>
      </c>
      <c r="B4" s="14">
        <f>'Profit &amp; Loss'!K3</f>
        <v>45382</v>
      </c>
      <c r="D4" s="12" t="s">
        <v>88</v>
      </c>
      <c r="E4" s="14">
        <f>B4</f>
        <v>45382</v>
      </c>
    </row>
    <row r="5" spans="1:9" x14ac:dyDescent="0.15">
      <c r="B5" s="15"/>
      <c r="E5" s="15"/>
    </row>
    <row r="6" spans="1:9" x14ac:dyDescent="0.15">
      <c r="A6" s="12" t="s">
        <v>108</v>
      </c>
      <c r="B6" s="16">
        <f>AVERAGE('Profit &amp; Loss'!G23:K23)</f>
        <v>6000.6499999999987</v>
      </c>
      <c r="D6" s="12" t="s">
        <v>108</v>
      </c>
      <c r="E6" s="16">
        <f>B6</f>
        <v>6000.6499999999987</v>
      </c>
    </row>
    <row r="7" spans="1:9" x14ac:dyDescent="0.15">
      <c r="A7" s="12" t="s">
        <v>87</v>
      </c>
      <c r="B7" s="16">
        <v>8.5</v>
      </c>
      <c r="D7" s="12" t="s">
        <v>87</v>
      </c>
      <c r="E7" s="16">
        <f>B7</f>
        <v>8.5</v>
      </c>
    </row>
    <row r="8" spans="1:9" x14ac:dyDescent="0.15">
      <c r="A8" s="12" t="s">
        <v>105</v>
      </c>
      <c r="B8" s="26">
        <f>(('Profit &amp; Loss'!K23/'Profit &amp; Loss'!F23)^(1/5)-1)*100*50%</f>
        <v>4.6806867884514824</v>
      </c>
      <c r="D8" s="12" t="s">
        <v>105</v>
      </c>
      <c r="E8" s="26">
        <f>(('Profit &amp; Loss'!K23/'Profit &amp; Loss'!F23)^(1/5)-1)*100</f>
        <v>9.3613735769029649</v>
      </c>
    </row>
    <row r="9" spans="1:9" x14ac:dyDescent="0.15">
      <c r="B9" s="18"/>
      <c r="E9" s="18"/>
      <c r="H9" s="19"/>
      <c r="I9" s="17"/>
    </row>
    <row r="10" spans="1:9" x14ac:dyDescent="0.15">
      <c r="A10" s="12" t="s">
        <v>107</v>
      </c>
      <c r="B10" s="25">
        <f>B6*(B7+2*B8)</f>
        <v>107179.85135424274</v>
      </c>
      <c r="D10" s="12" t="s">
        <v>107</v>
      </c>
      <c r="E10" s="25">
        <f>E6*(E7+2*E8)</f>
        <v>163354.17770848551</v>
      </c>
    </row>
    <row r="11" spans="1:9" x14ac:dyDescent="0.15">
      <c r="A11" s="12" t="s">
        <v>106</v>
      </c>
      <c r="B11" s="25">
        <f>'Data Sheet'!B9</f>
        <v>275184.56</v>
      </c>
      <c r="D11" s="12" t="s">
        <v>106</v>
      </c>
      <c r="E11" s="25">
        <f>B11</f>
        <v>275184.56</v>
      </c>
      <c r="F11" s="19"/>
    </row>
    <row r="12" spans="1:9" x14ac:dyDescent="0.15">
      <c r="B12" s="18"/>
    </row>
    <row r="13" spans="1:9" x14ac:dyDescent="0.15">
      <c r="A13" s="48" t="s">
        <v>259</v>
      </c>
      <c r="B13" s="18"/>
    </row>
    <row r="14" spans="1:9" x14ac:dyDescent="0.15">
      <c r="A14" s="6" t="s">
        <v>231</v>
      </c>
    </row>
    <row r="15" spans="1:9" x14ac:dyDescent="0.15">
      <c r="A15" s="10" t="s">
        <v>232</v>
      </c>
    </row>
    <row r="17" spans="1:1" x14ac:dyDescent="0.15">
      <c r="A17" s="6" t="s">
        <v>233</v>
      </c>
    </row>
    <row r="18" spans="1:1" x14ac:dyDescent="0.15">
      <c r="A18" s="10" t="s">
        <v>234</v>
      </c>
    </row>
    <row r="20" spans="1:1" x14ac:dyDescent="0.15">
      <c r="A20" s="6" t="s">
        <v>235</v>
      </c>
    </row>
  </sheetData>
  <mergeCells count="2">
    <mergeCell ref="A1:B1"/>
    <mergeCell ref="D1:E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21C8D-1BA5-4829-B6F3-908F22FF23F9}">
  <dimension ref="A1:F32"/>
  <sheetViews>
    <sheetView workbookViewId="0">
      <selection sqref="A1:F1"/>
    </sheetView>
  </sheetViews>
  <sheetFormatPr baseColWidth="10" defaultColWidth="12.83203125" defaultRowHeight="13" x14ac:dyDescent="0.15"/>
  <cols>
    <col min="1" max="1" width="32.5" style="7" bestFit="1" customWidth="1"/>
    <col min="2" max="2" width="7.6640625" style="7" bestFit="1" customWidth="1"/>
    <col min="3" max="3" width="7.1640625" style="7" bestFit="1" customWidth="1"/>
    <col min="4" max="4" width="12.6640625" style="7" bestFit="1" customWidth="1"/>
    <col min="5" max="5" width="7.6640625" style="7" bestFit="1" customWidth="1"/>
    <col min="6" max="6" width="33.5" style="7" bestFit="1" customWidth="1"/>
    <col min="7" max="9" width="12.83203125" style="7"/>
    <col min="10" max="10" width="12.83203125" style="7" customWidth="1"/>
    <col min="11" max="16384" width="12.83203125" style="7"/>
  </cols>
  <sheetData>
    <row r="1" spans="1:6" ht="19" x14ac:dyDescent="0.2">
      <c r="A1" s="382" t="s">
        <v>161</v>
      </c>
      <c r="B1" s="383"/>
      <c r="C1" s="383"/>
      <c r="D1" s="383"/>
      <c r="E1" s="383"/>
      <c r="F1" s="384"/>
    </row>
    <row r="2" spans="1:6" ht="14" thickBot="1" x14ac:dyDescent="0.2">
      <c r="A2" s="385" t="str">
        <f>'Data Sheet'!B1</f>
        <v>BAJAJ AUTO LTD</v>
      </c>
      <c r="B2" s="386"/>
      <c r="C2" s="386"/>
      <c r="D2" s="386"/>
      <c r="E2" s="386"/>
      <c r="F2" s="387"/>
    </row>
    <row r="3" spans="1:6" ht="14" thickBot="1" x14ac:dyDescent="0.2">
      <c r="A3" s="41"/>
      <c r="B3" s="41"/>
      <c r="C3" s="41"/>
    </row>
    <row r="4" spans="1:6" ht="14" thickBot="1" x14ac:dyDescent="0.2">
      <c r="A4" s="7" t="s">
        <v>162</v>
      </c>
      <c r="B4" s="42">
        <f>'Cash Flow'!B13</f>
        <v>4110.876666666667</v>
      </c>
      <c r="E4" s="111">
        <f>B29</f>
        <v>93580.643754533841</v>
      </c>
      <c r="F4" s="102" t="s">
        <v>165</v>
      </c>
    </row>
    <row r="5" spans="1:6" ht="14" thickBot="1" x14ac:dyDescent="0.2">
      <c r="E5" s="112">
        <f>'Data Sheet'!B9</f>
        <v>275184.56</v>
      </c>
      <c r="F5" s="102" t="s">
        <v>160</v>
      </c>
    </row>
    <row r="6" spans="1:6" ht="14" thickBot="1" x14ac:dyDescent="0.2">
      <c r="A6" s="43" t="s">
        <v>136</v>
      </c>
      <c r="B6" s="44" t="s">
        <v>137</v>
      </c>
      <c r="C6" s="45" t="s">
        <v>138</v>
      </c>
      <c r="D6" s="46"/>
      <c r="E6" s="104">
        <f>E4/E5</f>
        <v>0.34006502310498032</v>
      </c>
      <c r="F6" s="102" t="s">
        <v>266</v>
      </c>
    </row>
    <row r="7" spans="1:6" ht="14" thickBot="1" x14ac:dyDescent="0.2">
      <c r="A7" s="7" t="s">
        <v>139</v>
      </c>
      <c r="B7" s="97">
        <v>0.15</v>
      </c>
      <c r="C7" s="98">
        <v>0.12</v>
      </c>
      <c r="D7" s="47"/>
    </row>
    <row r="8" spans="1:6" ht="14" thickBot="1" x14ac:dyDescent="0.2">
      <c r="A8" s="7" t="s">
        <v>120</v>
      </c>
      <c r="B8" s="99">
        <v>0.12</v>
      </c>
      <c r="C8" s="48"/>
    </row>
    <row r="9" spans="1:6" ht="14" thickBot="1" x14ac:dyDescent="0.2">
      <c r="A9" s="7" t="s">
        <v>140</v>
      </c>
      <c r="B9" s="100">
        <v>0.02</v>
      </c>
      <c r="C9" s="48"/>
      <c r="F9" s="49"/>
    </row>
    <row r="10" spans="1:6" ht="14" thickBot="1" x14ac:dyDescent="0.2">
      <c r="B10" s="50"/>
      <c r="C10" s="48"/>
      <c r="F10" s="49"/>
    </row>
    <row r="11" spans="1:6" ht="14" thickBot="1" x14ac:dyDescent="0.2">
      <c r="A11" s="20" t="s">
        <v>163</v>
      </c>
      <c r="B11" s="42">
        <f>'Balance Sheet'!K6-'Balance Sheet'!K19</f>
        <v>-3916.95</v>
      </c>
      <c r="C11" s="48"/>
      <c r="D11" s="17"/>
    </row>
    <row r="12" spans="1:6" ht="14" thickBot="1" x14ac:dyDescent="0.2"/>
    <row r="13" spans="1:6" x14ac:dyDescent="0.15">
      <c r="A13" s="51" t="s">
        <v>109</v>
      </c>
      <c r="B13" s="52" t="s">
        <v>130</v>
      </c>
      <c r="C13" s="52" t="s">
        <v>141</v>
      </c>
      <c r="D13" s="53" t="s">
        <v>142</v>
      </c>
    </row>
    <row r="14" spans="1:6" x14ac:dyDescent="0.15">
      <c r="A14" s="54">
        <v>1</v>
      </c>
      <c r="B14" s="55">
        <f>(B4*C14)+B4</f>
        <v>4727.5081666666674</v>
      </c>
      <c r="C14" s="56">
        <f>$B$7</f>
        <v>0.15</v>
      </c>
      <c r="D14" s="57">
        <f t="shared" ref="D14:D23" si="0">B14/((1+$B$8)^A14)</f>
        <v>4220.9894345238099</v>
      </c>
    </row>
    <row r="15" spans="1:6" x14ac:dyDescent="0.15">
      <c r="A15" s="54">
        <v>2</v>
      </c>
      <c r="B15" s="55">
        <f t="shared" ref="B15:B23" si="1">(B14*C15)+B14</f>
        <v>5436.6343916666674</v>
      </c>
      <c r="C15" s="56">
        <f>$B$7</f>
        <v>0.15</v>
      </c>
      <c r="D15" s="57">
        <f t="shared" si="0"/>
        <v>4334.0516515199834</v>
      </c>
    </row>
    <row r="16" spans="1:6" x14ac:dyDescent="0.15">
      <c r="A16" s="54">
        <v>3</v>
      </c>
      <c r="B16" s="55">
        <f t="shared" si="1"/>
        <v>6252.1295504166674</v>
      </c>
      <c r="C16" s="56">
        <f>$B$7</f>
        <v>0.15</v>
      </c>
      <c r="D16" s="57">
        <f t="shared" si="0"/>
        <v>4450.1423207571243</v>
      </c>
      <c r="F16" s="58"/>
    </row>
    <row r="17" spans="1:6" x14ac:dyDescent="0.15">
      <c r="A17" s="54">
        <v>4</v>
      </c>
      <c r="B17" s="55">
        <f t="shared" si="1"/>
        <v>7189.9489829791673</v>
      </c>
      <c r="C17" s="56">
        <f>$B$7</f>
        <v>0.15</v>
      </c>
      <c r="D17" s="57">
        <f t="shared" si="0"/>
        <v>4569.3425614916905</v>
      </c>
      <c r="F17" s="49"/>
    </row>
    <row r="18" spans="1:6" x14ac:dyDescent="0.15">
      <c r="A18" s="54">
        <v>5</v>
      </c>
      <c r="B18" s="55">
        <f t="shared" si="1"/>
        <v>8268.4413304260415</v>
      </c>
      <c r="C18" s="56">
        <f>$B$7</f>
        <v>0.15</v>
      </c>
      <c r="D18" s="57">
        <f t="shared" si="0"/>
        <v>4691.7356658173603</v>
      </c>
      <c r="F18" s="49"/>
    </row>
    <row r="19" spans="1:6" x14ac:dyDescent="0.15">
      <c r="A19" s="54">
        <v>6</v>
      </c>
      <c r="B19" s="55">
        <f t="shared" si="1"/>
        <v>9260.6542900771674</v>
      </c>
      <c r="C19" s="56">
        <f>$C$7</f>
        <v>0.12</v>
      </c>
      <c r="D19" s="57">
        <f t="shared" si="0"/>
        <v>4691.7356658173603</v>
      </c>
      <c r="F19" s="49"/>
    </row>
    <row r="20" spans="1:6" x14ac:dyDescent="0.15">
      <c r="A20" s="54">
        <v>7</v>
      </c>
      <c r="B20" s="55">
        <f t="shared" si="1"/>
        <v>10371.932804886428</v>
      </c>
      <c r="C20" s="56">
        <f>$C$7</f>
        <v>0.12</v>
      </c>
      <c r="D20" s="57">
        <f t="shared" si="0"/>
        <v>4691.7356658173603</v>
      </c>
      <c r="F20" s="49"/>
    </row>
    <row r="21" spans="1:6" x14ac:dyDescent="0.15">
      <c r="A21" s="54">
        <v>8</v>
      </c>
      <c r="B21" s="55">
        <f t="shared" si="1"/>
        <v>11616.564741472799</v>
      </c>
      <c r="C21" s="56">
        <f>$C$7</f>
        <v>0.12</v>
      </c>
      <c r="D21" s="57">
        <f t="shared" si="0"/>
        <v>4691.7356658173594</v>
      </c>
    </row>
    <row r="22" spans="1:6" x14ac:dyDescent="0.15">
      <c r="A22" s="54">
        <v>9</v>
      </c>
      <c r="B22" s="55">
        <f t="shared" si="1"/>
        <v>13010.552510449535</v>
      </c>
      <c r="C22" s="56">
        <f>$C$7</f>
        <v>0.12</v>
      </c>
      <c r="D22" s="57">
        <f t="shared" si="0"/>
        <v>4691.7356658173594</v>
      </c>
    </row>
    <row r="23" spans="1:6" ht="14" thickBot="1" x14ac:dyDescent="0.2">
      <c r="A23" s="59">
        <v>10</v>
      </c>
      <c r="B23" s="60">
        <f t="shared" si="1"/>
        <v>14571.818811703481</v>
      </c>
      <c r="C23" s="61">
        <f>$C$7</f>
        <v>0.12</v>
      </c>
      <c r="D23" s="62">
        <f t="shared" si="0"/>
        <v>4691.7356658173594</v>
      </c>
    </row>
    <row r="24" spans="1:6" ht="14" thickBot="1" x14ac:dyDescent="0.2">
      <c r="A24" s="63"/>
      <c r="B24" s="64"/>
      <c r="C24" s="65"/>
      <c r="D24" s="66"/>
    </row>
    <row r="25" spans="1:6" x14ac:dyDescent="0.15">
      <c r="A25" s="380" t="s">
        <v>143</v>
      </c>
      <c r="B25" s="381"/>
      <c r="C25" s="65"/>
      <c r="D25" s="66"/>
    </row>
    <row r="26" spans="1:6" x14ac:dyDescent="0.15">
      <c r="A26" s="67" t="s">
        <v>144</v>
      </c>
      <c r="B26" s="57">
        <f>(B23*B9)+B23</f>
        <v>14863.25518793755</v>
      </c>
      <c r="C26" s="65"/>
      <c r="D26" s="64"/>
    </row>
    <row r="27" spans="1:6" x14ac:dyDescent="0.15">
      <c r="A27" s="68" t="s">
        <v>145</v>
      </c>
      <c r="B27" s="57">
        <f>SUM(D14:D23)</f>
        <v>45724.939963196768</v>
      </c>
      <c r="C27" s="20"/>
    </row>
    <row r="28" spans="1:6" x14ac:dyDescent="0.15">
      <c r="A28" s="67" t="s">
        <v>146</v>
      </c>
      <c r="B28" s="57">
        <f>((B26)/($B$8-$B$9))/(1+$B$8)^A23</f>
        <v>47855.703791337066</v>
      </c>
      <c r="C28" s="20"/>
    </row>
    <row r="29" spans="1:6" x14ac:dyDescent="0.15">
      <c r="A29" s="67" t="s">
        <v>147</v>
      </c>
      <c r="B29" s="57">
        <f>B27+B28</f>
        <v>93580.643754533841</v>
      </c>
      <c r="C29" s="20"/>
    </row>
    <row r="30" spans="1:6" x14ac:dyDescent="0.15">
      <c r="A30" s="67" t="s">
        <v>157</v>
      </c>
      <c r="B30" s="57">
        <f>'Data Sheet'!B9</f>
        <v>275184.56</v>
      </c>
      <c r="C30" s="20"/>
    </row>
    <row r="32" spans="1:6" x14ac:dyDescent="0.15">
      <c r="A32" s="140" t="s">
        <v>236</v>
      </c>
      <c r="D32" s="17"/>
    </row>
  </sheetData>
  <mergeCells count="3">
    <mergeCell ref="A25:B25"/>
    <mergeCell ref="A1:F1"/>
    <mergeCell ref="A2:F2"/>
  </mergeCells>
  <hyperlinks>
    <hyperlink ref="A32" r:id="rId1" display="Note: See the explanation of DCF here" xr:uid="{91503647-C77F-463A-9B2F-E18BF48EAA17}"/>
  </hyperlinks>
  <pageMargins left="0.7" right="0.7" top="0.75" bottom="0.75" header="0.3" footer="0.3"/>
  <pageSetup orientation="portrait"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4E50A-9683-4BE8-9E21-BF16FCEC8D13}">
  <dimension ref="A1:M18"/>
  <sheetViews>
    <sheetView workbookViewId="0">
      <selection sqref="A1:M1"/>
    </sheetView>
  </sheetViews>
  <sheetFormatPr baseColWidth="10" defaultColWidth="9.1640625" defaultRowHeight="14" x14ac:dyDescent="0.2"/>
  <cols>
    <col min="1" max="1" width="40.5" style="83" bestFit="1" customWidth="1"/>
    <col min="2" max="2" width="8.6640625" style="83" bestFit="1" customWidth="1"/>
    <col min="3" max="11" width="6.6640625" style="83" bestFit="1" customWidth="1"/>
    <col min="12" max="13" width="11.33203125" style="83" bestFit="1" customWidth="1"/>
    <col min="14" max="16384" width="9.1640625" style="83"/>
  </cols>
  <sheetData>
    <row r="1" spans="1:13" ht="19" x14ac:dyDescent="0.2">
      <c r="A1" s="388" t="s">
        <v>166</v>
      </c>
      <c r="B1" s="389"/>
      <c r="C1" s="389"/>
      <c r="D1" s="389"/>
      <c r="E1" s="389"/>
      <c r="F1" s="389"/>
      <c r="G1" s="389"/>
      <c r="H1" s="389"/>
      <c r="I1" s="389"/>
      <c r="J1" s="389"/>
      <c r="K1" s="389"/>
      <c r="L1" s="389"/>
      <c r="M1" s="390"/>
    </row>
    <row r="2" spans="1:13" x14ac:dyDescent="0.2">
      <c r="A2" s="391" t="str">
        <f>'Data Sheet'!B1</f>
        <v>BAJAJ AUTO LTD</v>
      </c>
      <c r="B2" s="392"/>
      <c r="C2" s="392"/>
      <c r="D2" s="392"/>
      <c r="E2" s="392"/>
      <c r="F2" s="392"/>
      <c r="G2" s="392"/>
      <c r="H2" s="392"/>
      <c r="I2" s="392"/>
      <c r="J2" s="392"/>
      <c r="K2" s="392"/>
      <c r="L2" s="392"/>
      <c r="M2" s="393"/>
    </row>
    <row r="3" spans="1:13" x14ac:dyDescent="0.2">
      <c r="A3" s="69" t="s">
        <v>148</v>
      </c>
      <c r="B3" s="70">
        <f>'Data Sheet'!B16</f>
        <v>42094</v>
      </c>
      <c r="C3" s="70">
        <f>'Data Sheet'!C16</f>
        <v>42460</v>
      </c>
      <c r="D3" s="70">
        <f>'Data Sheet'!D16</f>
        <v>42825</v>
      </c>
      <c r="E3" s="70">
        <f>'Data Sheet'!E16</f>
        <v>43190</v>
      </c>
      <c r="F3" s="70">
        <f>'Data Sheet'!F16</f>
        <v>43555</v>
      </c>
      <c r="G3" s="70">
        <f>'Data Sheet'!G16</f>
        <v>43921</v>
      </c>
      <c r="H3" s="70">
        <f>'Data Sheet'!H16</f>
        <v>44286</v>
      </c>
      <c r="I3" s="70">
        <f>'Data Sheet'!I16</f>
        <v>44651</v>
      </c>
      <c r="J3" s="70">
        <f>'Data Sheet'!J16</f>
        <v>45016</v>
      </c>
      <c r="K3" s="70">
        <f>'Data Sheet'!K16</f>
        <v>45382</v>
      </c>
      <c r="L3" s="84" t="s">
        <v>152</v>
      </c>
      <c r="M3" s="85" t="s">
        <v>149</v>
      </c>
    </row>
    <row r="4" spans="1:13" ht="15" x14ac:dyDescent="0.2">
      <c r="A4" s="71" t="s">
        <v>155</v>
      </c>
      <c r="B4" s="86">
        <f>'Data Sheet'!B30</f>
        <v>3025.63</v>
      </c>
      <c r="C4" s="86">
        <f>'Data Sheet'!C30</f>
        <v>4061.24</v>
      </c>
      <c r="D4" s="86">
        <f>'Data Sheet'!D30</f>
        <v>4079.49</v>
      </c>
      <c r="E4" s="86">
        <f>'Data Sheet'!E30</f>
        <v>4218.95</v>
      </c>
      <c r="F4" s="86">
        <f>'Data Sheet'!F30</f>
        <v>4927.6099999999997</v>
      </c>
      <c r="G4" s="86">
        <f>'Data Sheet'!G30</f>
        <v>5211.91</v>
      </c>
      <c r="H4" s="86">
        <f>'Data Sheet'!H30</f>
        <v>4857.0200000000004</v>
      </c>
      <c r="I4" s="86">
        <f>'Data Sheet'!I30</f>
        <v>6165.87</v>
      </c>
      <c r="J4" s="86">
        <f>'Data Sheet'!J30</f>
        <v>6060.21</v>
      </c>
      <c r="K4" s="86">
        <f>'Data Sheet'!K30</f>
        <v>7708.24</v>
      </c>
      <c r="L4" s="88">
        <f>(K4/B4)^(1/9)-1</f>
        <v>0.10949819789889692</v>
      </c>
      <c r="M4" s="89">
        <f>(K4/F4)^(1/5)-1</f>
        <v>9.3613291896798234E-2</v>
      </c>
    </row>
    <row r="5" spans="1:13" ht="15" x14ac:dyDescent="0.2">
      <c r="A5" s="72" t="s">
        <v>91</v>
      </c>
      <c r="B5" s="73">
        <f>B4/'Data Sheet'!B17</f>
        <v>0.14010504069377611</v>
      </c>
      <c r="C5" s="73">
        <f>C4/'Data Sheet'!C17</f>
        <v>0.17991032923726694</v>
      </c>
      <c r="D5" s="73">
        <f>D4/'Data Sheet'!D17</f>
        <v>0.18752206417733713</v>
      </c>
      <c r="E5" s="73">
        <f>E4/'Data Sheet'!E17</f>
        <v>0.16735270585836612</v>
      </c>
      <c r="F5" s="73">
        <f>F4/'Data Sheet'!F17</f>
        <v>0.1623186658510562</v>
      </c>
      <c r="G5" s="73">
        <f>G4/'Data Sheet'!G17</f>
        <v>0.174202713023482</v>
      </c>
      <c r="H5" s="73">
        <f>H4/'Data Sheet'!H17</f>
        <v>0.17508402700976314</v>
      </c>
      <c r="I5" s="73">
        <f>I4/'Data Sheet'!I17</f>
        <v>0.18602878106340348</v>
      </c>
      <c r="J5" s="73">
        <f>J4/'Data Sheet'!J17</f>
        <v>0.16623636895295016</v>
      </c>
      <c r="K5" s="73">
        <f>K4/'Data Sheet'!K17</f>
        <v>0.17178885961199836</v>
      </c>
      <c r="L5" s="90"/>
      <c r="M5" s="91"/>
    </row>
    <row r="6" spans="1:13" ht="16" thickBot="1" x14ac:dyDescent="0.25">
      <c r="A6" s="74" t="s">
        <v>55</v>
      </c>
      <c r="B6" s="75">
        <f>'Balance Sheet'!B26</f>
        <v>0.25343117638788187</v>
      </c>
      <c r="C6" s="75">
        <f>'Balance Sheet'!C26</f>
        <v>0.28966834542174863</v>
      </c>
      <c r="D6" s="75">
        <f>'Balance Sheet'!D26</f>
        <v>0.22845820893934285</v>
      </c>
      <c r="E6" s="75">
        <f>'Balance Sheet'!E26</f>
        <v>0.20655522285172673</v>
      </c>
      <c r="F6" s="75">
        <f>'Balance Sheet'!F26</f>
        <v>0.21208747080224907</v>
      </c>
      <c r="G6" s="75">
        <f>'Balance Sheet'!G26</f>
        <v>0.2406006256093596</v>
      </c>
      <c r="H6" s="75">
        <f>'Balance Sheet'!H26</f>
        <v>0.17808614464700626</v>
      </c>
      <c r="I6" s="75">
        <f>'Balance Sheet'!I26</f>
        <v>0.20649505268815943</v>
      </c>
      <c r="J6" s="75">
        <f>'Balance Sheet'!J26</f>
        <v>0.20639959620646597</v>
      </c>
      <c r="K6" s="75">
        <f>'Balance Sheet'!K26</f>
        <v>0.26614636005774378</v>
      </c>
      <c r="L6" s="92"/>
      <c r="M6" s="93"/>
    </row>
    <row r="7" spans="1:13" x14ac:dyDescent="0.2">
      <c r="A7" s="76"/>
      <c r="B7" s="77"/>
      <c r="C7" s="77"/>
      <c r="D7" s="77"/>
      <c r="E7" s="77"/>
      <c r="F7" s="77"/>
      <c r="G7" s="77"/>
      <c r="H7" s="77"/>
      <c r="I7" s="77"/>
      <c r="J7" s="77"/>
      <c r="K7" s="77"/>
      <c r="L7" s="77"/>
      <c r="M7" s="77"/>
    </row>
    <row r="8" spans="1:13" ht="15" thickBot="1" x14ac:dyDescent="0.25">
      <c r="A8" s="6" t="s">
        <v>159</v>
      </c>
      <c r="B8" s="78"/>
      <c r="C8" s="78"/>
      <c r="D8" s="78"/>
      <c r="E8" s="78"/>
      <c r="F8" s="78"/>
      <c r="G8" s="78"/>
      <c r="H8" s="78"/>
      <c r="I8" s="78"/>
      <c r="J8" s="78"/>
      <c r="K8" s="78"/>
      <c r="L8" s="19"/>
      <c r="M8" s="19"/>
    </row>
    <row r="9" spans="1:13" x14ac:dyDescent="0.2">
      <c r="A9" s="79" t="s">
        <v>153</v>
      </c>
      <c r="B9" s="95">
        <v>0.12</v>
      </c>
      <c r="C9" s="7"/>
      <c r="D9" s="7"/>
      <c r="E9" s="7"/>
      <c r="F9" s="7"/>
      <c r="G9" s="7"/>
      <c r="H9" s="7"/>
      <c r="I9" s="7"/>
      <c r="J9" s="7"/>
      <c r="K9" s="7"/>
      <c r="L9" s="7"/>
      <c r="M9" s="7"/>
    </row>
    <row r="10" spans="1:13" x14ac:dyDescent="0.2">
      <c r="A10" s="80" t="s">
        <v>154</v>
      </c>
      <c r="B10" s="81">
        <f>K4*(1+B9)^10</f>
        <v>23940.623393487182</v>
      </c>
      <c r="C10" s="82"/>
      <c r="D10" s="7"/>
      <c r="E10" s="7"/>
      <c r="F10" s="7"/>
      <c r="G10" s="7"/>
      <c r="H10" s="7"/>
      <c r="I10" s="7"/>
      <c r="J10" s="7"/>
      <c r="K10" s="7"/>
      <c r="L10" s="7"/>
      <c r="M10" s="7"/>
    </row>
    <row r="11" spans="1:13" x14ac:dyDescent="0.2">
      <c r="A11" s="80" t="s">
        <v>150</v>
      </c>
      <c r="B11" s="94">
        <f>'Data Sheet'!B9/'Data Sheet'!K30</f>
        <v>35.700050854669811</v>
      </c>
      <c r="C11" s="7"/>
      <c r="D11" s="7"/>
      <c r="E11" s="7"/>
      <c r="F11" s="7"/>
      <c r="G11" s="7"/>
      <c r="H11" s="7"/>
      <c r="I11" s="7"/>
      <c r="J11" s="7"/>
      <c r="K11" s="7"/>
      <c r="L11" s="7"/>
      <c r="M11" s="7"/>
    </row>
    <row r="12" spans="1:13" x14ac:dyDescent="0.2">
      <c r="A12" s="80" t="s">
        <v>151</v>
      </c>
      <c r="B12" s="96">
        <v>20</v>
      </c>
      <c r="C12" s="7"/>
      <c r="D12" s="7"/>
      <c r="E12" s="7"/>
      <c r="F12" s="7"/>
      <c r="G12" s="7"/>
      <c r="H12" s="7"/>
      <c r="I12" s="7"/>
      <c r="J12" s="7"/>
      <c r="K12" s="7"/>
      <c r="L12" s="7"/>
      <c r="M12" s="7"/>
    </row>
    <row r="13" spans="1:13" x14ac:dyDescent="0.2">
      <c r="A13" s="80" t="s">
        <v>156</v>
      </c>
      <c r="B13" s="81">
        <f>B10*B12</f>
        <v>478812.46786974365</v>
      </c>
      <c r="C13" s="7"/>
      <c r="D13" s="7"/>
      <c r="E13" s="7"/>
      <c r="F13" s="7"/>
      <c r="G13" s="7"/>
      <c r="H13" s="7"/>
      <c r="I13" s="7"/>
      <c r="J13" s="7"/>
      <c r="K13" s="7"/>
      <c r="L13" s="7"/>
      <c r="M13" s="7"/>
    </row>
    <row r="14" spans="1:13" x14ac:dyDescent="0.2">
      <c r="A14" s="80" t="s">
        <v>178</v>
      </c>
      <c r="B14" s="87">
        <f>DCF!B8</f>
        <v>0.12</v>
      </c>
      <c r="C14" s="7"/>
      <c r="D14" s="7"/>
      <c r="E14" s="7"/>
      <c r="F14" s="7"/>
      <c r="G14" s="7"/>
      <c r="H14" s="7"/>
      <c r="I14" s="7"/>
      <c r="J14" s="7"/>
      <c r="K14" s="7"/>
      <c r="L14" s="7"/>
      <c r="M14" s="7"/>
    </row>
    <row r="15" spans="1:13" x14ac:dyDescent="0.2">
      <c r="A15" s="80" t="s">
        <v>158</v>
      </c>
      <c r="B15" s="113">
        <f>B13/(1+B14)^10</f>
        <v>154164.79999999999</v>
      </c>
      <c r="C15" s="7"/>
      <c r="D15" s="7"/>
      <c r="E15" s="7"/>
      <c r="F15" s="7"/>
      <c r="G15" s="7"/>
      <c r="H15" s="7"/>
      <c r="I15" s="7"/>
      <c r="J15" s="7"/>
      <c r="K15" s="7"/>
      <c r="L15" s="7"/>
      <c r="M15" s="7"/>
    </row>
    <row r="16" spans="1:13" x14ac:dyDescent="0.2">
      <c r="A16" s="80" t="s">
        <v>157</v>
      </c>
      <c r="B16" s="113">
        <f>'Data Sheet'!B9</f>
        <v>275184.56</v>
      </c>
      <c r="C16" s="7"/>
      <c r="D16" s="7"/>
      <c r="E16" s="7"/>
      <c r="F16" s="7"/>
      <c r="G16" s="7"/>
      <c r="H16" s="7"/>
      <c r="I16" s="7"/>
      <c r="J16" s="7"/>
      <c r="K16" s="7"/>
      <c r="L16" s="7"/>
      <c r="M16" s="7"/>
    </row>
    <row r="17" spans="1:13" x14ac:dyDescent="0.2">
      <c r="A17" s="7"/>
      <c r="B17" s="7"/>
      <c r="C17" s="7"/>
      <c r="D17" s="7"/>
      <c r="E17" s="7"/>
      <c r="F17" s="7"/>
      <c r="G17" s="7"/>
      <c r="H17" s="7"/>
      <c r="I17" s="7"/>
      <c r="J17" s="7"/>
      <c r="K17" s="7"/>
      <c r="L17" s="7"/>
      <c r="M17" s="7"/>
    </row>
    <row r="18" spans="1:13" x14ac:dyDescent="0.2">
      <c r="A18" s="139" t="s">
        <v>237</v>
      </c>
    </row>
  </sheetData>
  <mergeCells count="2">
    <mergeCell ref="A1:M1"/>
    <mergeCell ref="A2:M2"/>
  </mergeCells>
  <hyperlinks>
    <hyperlink ref="A18" r:id="rId1" display="See the explanation of this model here" xr:uid="{0C82AB57-CC6D-432D-ACCA-FA9353EEAB84}"/>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FDF3-13FA-4D4B-9E56-32A4D599152A}">
  <dimension ref="A1:I21"/>
  <sheetViews>
    <sheetView workbookViewId="0">
      <selection activeCell="C6" sqref="C6"/>
    </sheetView>
  </sheetViews>
  <sheetFormatPr baseColWidth="10" defaultColWidth="8.6640625" defaultRowHeight="13" x14ac:dyDescent="0.15"/>
  <cols>
    <col min="1" max="1" width="18.5" style="179" bestFit="1" customWidth="1"/>
    <col min="2" max="2" width="8" style="179" bestFit="1" customWidth="1"/>
    <col min="3" max="3" width="7.5" style="179" bestFit="1" customWidth="1"/>
    <col min="4" max="8" width="8.6640625" style="179"/>
    <col min="9" max="9" width="31.5" style="179" customWidth="1"/>
    <col min="10" max="16384" width="8.6640625" style="179"/>
  </cols>
  <sheetData>
    <row r="1" spans="1:9" ht="19" x14ac:dyDescent="0.2">
      <c r="A1" s="394" t="s">
        <v>238</v>
      </c>
      <c r="B1" s="395"/>
      <c r="C1" s="396"/>
      <c r="F1" s="309" t="s">
        <v>306</v>
      </c>
      <c r="G1" s="402"/>
      <c r="H1" s="402"/>
      <c r="I1" s="403"/>
    </row>
    <row r="2" spans="1:9" x14ac:dyDescent="0.15">
      <c r="A2" s="397" t="str">
        <f>'Data Sheet'!B1</f>
        <v>BAJAJ AUTO LTD</v>
      </c>
      <c r="B2" s="398"/>
      <c r="C2" s="399"/>
      <c r="F2" s="404"/>
      <c r="G2" s="405"/>
      <c r="H2" s="405"/>
      <c r="I2" s="406"/>
    </row>
    <row r="3" spans="1:9" x14ac:dyDescent="0.15">
      <c r="A3" s="180"/>
      <c r="B3" s="181" t="s">
        <v>176</v>
      </c>
      <c r="C3" s="182" t="s">
        <v>177</v>
      </c>
      <c r="F3" s="404"/>
      <c r="G3" s="405"/>
      <c r="H3" s="405"/>
      <c r="I3" s="406"/>
    </row>
    <row r="4" spans="1:9" x14ac:dyDescent="0.15">
      <c r="A4" s="285" t="s">
        <v>134</v>
      </c>
      <c r="B4" s="183">
        <f>'Dhandho IV'!D19</f>
        <v>78669.058580039651</v>
      </c>
      <c r="C4" s="183">
        <f>'Dhandho IV'!K19</f>
        <v>133331.12258785783</v>
      </c>
      <c r="F4" s="404"/>
      <c r="G4" s="405"/>
      <c r="H4" s="405"/>
      <c r="I4" s="406"/>
    </row>
    <row r="5" spans="1:9" x14ac:dyDescent="0.15">
      <c r="A5" s="285" t="s">
        <v>135</v>
      </c>
      <c r="B5" s="183">
        <f>'Ben Graham Formula'!B10</f>
        <v>107179.85135424274</v>
      </c>
      <c r="C5" s="183">
        <f>'Ben Graham Formula'!E10</f>
        <v>163354.17770848551</v>
      </c>
      <c r="F5" s="404"/>
      <c r="G5" s="405"/>
      <c r="H5" s="405"/>
      <c r="I5" s="406"/>
    </row>
    <row r="6" spans="1:9" x14ac:dyDescent="0.15">
      <c r="A6" s="285" t="s">
        <v>164</v>
      </c>
      <c r="B6" s="183">
        <f>DCF!B29</f>
        <v>93580.643754533841</v>
      </c>
      <c r="C6" s="183"/>
      <c r="F6" s="404"/>
      <c r="G6" s="405"/>
      <c r="H6" s="405"/>
      <c r="I6" s="406"/>
    </row>
    <row r="7" spans="1:9" x14ac:dyDescent="0.15">
      <c r="A7" s="285" t="s">
        <v>167</v>
      </c>
      <c r="B7" s="183">
        <f>'Expected Returns'!B15</f>
        <v>154164.79999999999</v>
      </c>
      <c r="C7" s="183"/>
      <c r="F7" s="404"/>
      <c r="G7" s="405"/>
      <c r="H7" s="405"/>
      <c r="I7" s="406"/>
    </row>
    <row r="8" spans="1:9" x14ac:dyDescent="0.15">
      <c r="A8" s="286" t="s">
        <v>269</v>
      </c>
      <c r="B8" s="400">
        <f>'Data Sheet'!B9</f>
        <v>275184.56</v>
      </c>
      <c r="C8" s="401"/>
      <c r="F8" s="404"/>
      <c r="G8" s="405"/>
      <c r="H8" s="405"/>
      <c r="I8" s="406"/>
    </row>
    <row r="9" spans="1:9" ht="14" thickBot="1" x14ac:dyDescent="0.2">
      <c r="F9" s="404"/>
      <c r="G9" s="405"/>
      <c r="H9" s="405"/>
      <c r="I9" s="406"/>
    </row>
    <row r="10" spans="1:9" ht="12.5" customHeight="1" x14ac:dyDescent="0.15">
      <c r="A10" s="344" t="s">
        <v>305</v>
      </c>
      <c r="B10" s="345"/>
      <c r="C10" s="346"/>
      <c r="F10" s="404"/>
      <c r="G10" s="405"/>
      <c r="H10" s="405"/>
      <c r="I10" s="406"/>
    </row>
    <row r="11" spans="1:9" x14ac:dyDescent="0.15">
      <c r="A11" s="347"/>
      <c r="B11" s="348"/>
      <c r="C11" s="349"/>
      <c r="F11" s="404"/>
      <c r="G11" s="405"/>
      <c r="H11" s="405"/>
      <c r="I11" s="406"/>
    </row>
    <row r="12" spans="1:9" x14ac:dyDescent="0.15">
      <c r="A12" s="347"/>
      <c r="B12" s="348"/>
      <c r="C12" s="349"/>
      <c r="F12" s="404"/>
      <c r="G12" s="405"/>
      <c r="H12" s="405"/>
      <c r="I12" s="406"/>
    </row>
    <row r="13" spans="1:9" x14ac:dyDescent="0.15">
      <c r="A13" s="347"/>
      <c r="B13" s="348"/>
      <c r="C13" s="349"/>
      <c r="F13" s="404"/>
      <c r="G13" s="405"/>
      <c r="H13" s="405"/>
      <c r="I13" s="406"/>
    </row>
    <row r="14" spans="1:9" x14ac:dyDescent="0.15">
      <c r="A14" s="347"/>
      <c r="B14" s="348"/>
      <c r="C14" s="349"/>
      <c r="F14" s="404"/>
      <c r="G14" s="405"/>
      <c r="H14" s="405"/>
      <c r="I14" s="406"/>
    </row>
    <row r="15" spans="1:9" x14ac:dyDescent="0.15">
      <c r="A15" s="347"/>
      <c r="B15" s="348"/>
      <c r="C15" s="349"/>
      <c r="F15" s="404"/>
      <c r="G15" s="405"/>
      <c r="H15" s="405"/>
      <c r="I15" s="406"/>
    </row>
    <row r="16" spans="1:9" x14ac:dyDescent="0.15">
      <c r="A16" s="347"/>
      <c r="B16" s="348"/>
      <c r="C16" s="349"/>
      <c r="F16" s="404"/>
      <c r="G16" s="405"/>
      <c r="H16" s="405"/>
      <c r="I16" s="406"/>
    </row>
    <row r="17" spans="1:9" ht="14" thickBot="1" x14ac:dyDescent="0.2">
      <c r="A17" s="347"/>
      <c r="B17" s="348"/>
      <c r="C17" s="349"/>
      <c r="F17" s="407"/>
      <c r="G17" s="408"/>
      <c r="H17" s="408"/>
      <c r="I17" s="409"/>
    </row>
    <row r="18" spans="1:9" x14ac:dyDescent="0.15">
      <c r="A18" s="347"/>
      <c r="B18" s="348"/>
      <c r="C18" s="349"/>
    </row>
    <row r="19" spans="1:9" x14ac:dyDescent="0.15">
      <c r="A19" s="347"/>
      <c r="B19" s="348"/>
      <c r="C19" s="349"/>
    </row>
    <row r="20" spans="1:9" x14ac:dyDescent="0.15">
      <c r="A20" s="347"/>
      <c r="B20" s="348"/>
      <c r="C20" s="349"/>
    </row>
    <row r="21" spans="1:9" ht="14" thickBot="1" x14ac:dyDescent="0.2">
      <c r="A21" s="350"/>
      <c r="B21" s="351"/>
      <c r="C21" s="352"/>
    </row>
  </sheetData>
  <mergeCells count="5">
    <mergeCell ref="A1:C1"/>
    <mergeCell ref="A2:C2"/>
    <mergeCell ref="B8:C8"/>
    <mergeCell ref="F1:I17"/>
    <mergeCell ref="A10:C21"/>
  </mergeCells>
  <hyperlinks>
    <hyperlink ref="A4" location="'Dhandho IV'!A1" display="Dhandho" xr:uid="{E3728223-A55B-4E6F-A02B-7286FDC6C156}"/>
    <hyperlink ref="A5" location="'Ben Graham Formula'!A1" display="Ben Graham" xr:uid="{25E8EF9C-58BF-4054-B6D3-DB7334C079EB}"/>
    <hyperlink ref="A6" location="DCF!A1" display="DCF" xr:uid="{0CBB9F28-20F5-4466-9A4C-7D0677B9E2AC}"/>
    <hyperlink ref="A7" location="'Expected Returns'!A1" display="Expected Return" xr:uid="{86AD994D-6230-4DAA-B45F-F46D4C133A6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L25"/>
  <sheetViews>
    <sheetView workbookViewId="0">
      <pane xSplit="1" ySplit="3" topLeftCell="B4" activePane="bottomRight" state="frozen"/>
      <selection pane="topRight" activeCell="B1" sqref="B1"/>
      <selection pane="bottomLeft" activeCell="A4" sqref="A4"/>
      <selection pane="bottomRight" activeCell="M1" sqref="M1"/>
    </sheetView>
  </sheetViews>
  <sheetFormatPr baseColWidth="10" defaultColWidth="9.1640625" defaultRowHeight="13" x14ac:dyDescent="0.15"/>
  <cols>
    <col min="1" max="1" width="21.6640625" style="7" bestFit="1" customWidth="1"/>
    <col min="2" max="11" width="6.6640625" style="7" bestFit="1" customWidth="1"/>
    <col min="12" max="16384" width="9.1640625" style="7"/>
  </cols>
  <sheetData>
    <row r="1" spans="1:11" s="6" customFormat="1" x14ac:dyDescent="0.15">
      <c r="A1" s="6" t="str">
        <f>'Profit &amp; Loss'!A2</f>
        <v>BAJAJ AUTO LTD</v>
      </c>
      <c r="E1" s="7" t="str">
        <f>UPDATE</f>
        <v/>
      </c>
    </row>
    <row r="2" spans="1:11" x14ac:dyDescent="0.15">
      <c r="A2" s="6" t="s">
        <v>1</v>
      </c>
    </row>
    <row r="3" spans="1:11" s="6" customFormat="1" x14ac:dyDescent="0.15">
      <c r="A3" s="114" t="s">
        <v>2</v>
      </c>
      <c r="B3" s="115">
        <f>'Data Sheet'!B41</f>
        <v>44742</v>
      </c>
      <c r="C3" s="115">
        <f>'Data Sheet'!C41</f>
        <v>44834</v>
      </c>
      <c r="D3" s="115">
        <f>'Data Sheet'!D41</f>
        <v>44926</v>
      </c>
      <c r="E3" s="115">
        <f>'Data Sheet'!E41</f>
        <v>45016</v>
      </c>
      <c r="F3" s="115">
        <f>'Data Sheet'!F41</f>
        <v>45107</v>
      </c>
      <c r="G3" s="115">
        <f>'Data Sheet'!G41</f>
        <v>45199</v>
      </c>
      <c r="H3" s="115">
        <f>'Data Sheet'!H41</f>
        <v>45291</v>
      </c>
      <c r="I3" s="115">
        <f>'Data Sheet'!I41</f>
        <v>45382</v>
      </c>
      <c r="J3" s="115">
        <f>'Data Sheet'!J41</f>
        <v>45473</v>
      </c>
      <c r="K3" s="116">
        <f>'Data Sheet'!K41</f>
        <v>45565</v>
      </c>
    </row>
    <row r="4" spans="1:11" s="6" customFormat="1" x14ac:dyDescent="0.15">
      <c r="A4" s="117" t="s">
        <v>4</v>
      </c>
      <c r="B4" s="108">
        <f>'Data Sheet'!B42</f>
        <v>8004.9</v>
      </c>
      <c r="C4" s="108">
        <f>'Data Sheet'!C42</f>
        <v>10202.709999999999</v>
      </c>
      <c r="D4" s="108">
        <f>'Data Sheet'!D42</f>
        <v>9318.5400000000009</v>
      </c>
      <c r="E4" s="108">
        <f>'Data Sheet'!E42</f>
        <v>8929.23</v>
      </c>
      <c r="F4" s="108">
        <f>'Data Sheet'!F42</f>
        <v>10311.91</v>
      </c>
      <c r="G4" s="108">
        <f>'Data Sheet'!G42</f>
        <v>10838.24</v>
      </c>
      <c r="H4" s="108">
        <f>'Data Sheet'!H42</f>
        <v>12165.33</v>
      </c>
      <c r="I4" s="108">
        <f>'Data Sheet'!I42</f>
        <v>11554.95</v>
      </c>
      <c r="J4" s="108">
        <f>'Data Sheet'!J42</f>
        <v>11932.07</v>
      </c>
      <c r="K4" s="118">
        <f>'Data Sheet'!K42</f>
        <v>13247.28</v>
      </c>
    </row>
    <row r="5" spans="1:11" s="10" customFormat="1" x14ac:dyDescent="0.15">
      <c r="A5" s="119" t="s">
        <v>92</v>
      </c>
      <c r="B5" s="120"/>
      <c r="C5" s="120"/>
      <c r="D5" s="120"/>
      <c r="E5" s="120"/>
      <c r="F5" s="107">
        <f>F4/B4-1</f>
        <v>0.28819972766680402</v>
      </c>
      <c r="G5" s="107">
        <f t="shared" ref="G5:K5" si="0">G4/C4-1</f>
        <v>6.2290313063882108E-2</v>
      </c>
      <c r="H5" s="107">
        <f t="shared" si="0"/>
        <v>0.30549742770863242</v>
      </c>
      <c r="I5" s="107">
        <f t="shared" si="0"/>
        <v>0.29405895021183248</v>
      </c>
      <c r="J5" s="107">
        <f t="shared" si="0"/>
        <v>0.15711541314848554</v>
      </c>
      <c r="K5" s="121">
        <f t="shared" si="0"/>
        <v>0.22227225084515578</v>
      </c>
    </row>
    <row r="6" spans="1:11" x14ac:dyDescent="0.15">
      <c r="A6" s="122" t="s">
        <v>5</v>
      </c>
      <c r="B6" s="24">
        <f>'Data Sheet'!B43</f>
        <v>6718.51</v>
      </c>
      <c r="C6" s="24">
        <f>'Data Sheet'!C43</f>
        <v>8453.07</v>
      </c>
      <c r="D6" s="24">
        <f>'Data Sheet'!D43</f>
        <v>7561.25</v>
      </c>
      <c r="E6" s="24">
        <f>'Data Sheet'!E43</f>
        <v>7272.02</v>
      </c>
      <c r="F6" s="24">
        <f>'Data Sheet'!F43</f>
        <v>8379.64</v>
      </c>
      <c r="G6" s="24">
        <f>'Data Sheet'!G43</f>
        <v>8708.11</v>
      </c>
      <c r="H6" s="24">
        <f>'Data Sheet'!H43</f>
        <v>9750.43</v>
      </c>
      <c r="I6" s="24">
        <f>'Data Sheet'!I43</f>
        <v>9270.69</v>
      </c>
      <c r="J6" s="24">
        <f>'Data Sheet'!J43</f>
        <v>9561.6299999999992</v>
      </c>
      <c r="K6" s="123">
        <f>'Data Sheet'!K43</f>
        <v>11174.05</v>
      </c>
    </row>
    <row r="7" spans="1:11" s="6" customFormat="1" x14ac:dyDescent="0.15">
      <c r="A7" s="117" t="s">
        <v>6</v>
      </c>
      <c r="B7" s="108">
        <f>'Data Sheet'!B50</f>
        <v>1286.3900000000001</v>
      </c>
      <c r="C7" s="108">
        <f>'Data Sheet'!C50</f>
        <v>1749.64</v>
      </c>
      <c r="D7" s="108">
        <f>'Data Sheet'!D50</f>
        <v>1757.29</v>
      </c>
      <c r="E7" s="108">
        <f>'Data Sheet'!E50</f>
        <v>1657.21</v>
      </c>
      <c r="F7" s="108">
        <f>'Data Sheet'!F50</f>
        <v>1932.27</v>
      </c>
      <c r="G7" s="108">
        <f>'Data Sheet'!G50</f>
        <v>2130.13</v>
      </c>
      <c r="H7" s="108">
        <f>'Data Sheet'!H50</f>
        <v>2414.9</v>
      </c>
      <c r="I7" s="108">
        <f>'Data Sheet'!I50</f>
        <v>2284.2600000000002</v>
      </c>
      <c r="J7" s="108">
        <f>'Data Sheet'!J50</f>
        <v>2370.44</v>
      </c>
      <c r="K7" s="118">
        <f>'Data Sheet'!K50</f>
        <v>2073.23</v>
      </c>
    </row>
    <row r="8" spans="1:11" x14ac:dyDescent="0.15">
      <c r="A8" s="122" t="s">
        <v>7</v>
      </c>
      <c r="B8" s="24">
        <f>'Data Sheet'!B44</f>
        <v>319.64</v>
      </c>
      <c r="C8" s="24">
        <f>'Data Sheet'!C44</f>
        <v>531.98</v>
      </c>
      <c r="D8" s="24">
        <f>'Data Sheet'!D44</f>
        <v>270.52999999999997</v>
      </c>
      <c r="E8" s="24">
        <f>'Data Sheet'!E44</f>
        <v>594.66</v>
      </c>
      <c r="F8" s="24">
        <f>'Data Sheet'!F44</f>
        <v>351.1</v>
      </c>
      <c r="G8" s="24">
        <f>'Data Sheet'!G44</f>
        <v>552.25</v>
      </c>
      <c r="H8" s="24">
        <f>'Data Sheet'!H44</f>
        <v>356.33</v>
      </c>
      <c r="I8" s="24">
        <f>'Data Sheet'!I44</f>
        <v>443.93</v>
      </c>
      <c r="J8" s="24">
        <f>'Data Sheet'!J44</f>
        <v>335.32</v>
      </c>
      <c r="K8" s="123">
        <f>'Data Sheet'!K44</f>
        <v>399.33</v>
      </c>
    </row>
    <row r="9" spans="1:11" x14ac:dyDescent="0.15">
      <c r="A9" s="122" t="s">
        <v>8</v>
      </c>
      <c r="B9" s="24">
        <f>'Data Sheet'!B45</f>
        <v>67.56</v>
      </c>
      <c r="C9" s="24">
        <f>'Data Sheet'!C45</f>
        <v>67.48</v>
      </c>
      <c r="D9" s="24">
        <f>'Data Sheet'!D45</f>
        <v>74.819999999999993</v>
      </c>
      <c r="E9" s="24">
        <f>'Data Sheet'!E45</f>
        <v>75.989999999999995</v>
      </c>
      <c r="F9" s="24">
        <f>'Data Sheet'!F45</f>
        <v>87.23</v>
      </c>
      <c r="G9" s="24">
        <f>'Data Sheet'!G45</f>
        <v>91.82</v>
      </c>
      <c r="H9" s="24">
        <f>'Data Sheet'!H45</f>
        <v>92.91</v>
      </c>
      <c r="I9" s="24">
        <f>'Data Sheet'!I45</f>
        <v>92.81</v>
      </c>
      <c r="J9" s="24">
        <f>'Data Sheet'!J45</f>
        <v>95.01</v>
      </c>
      <c r="K9" s="123">
        <f>'Data Sheet'!K45</f>
        <v>98.27</v>
      </c>
    </row>
    <row r="10" spans="1:11" x14ac:dyDescent="0.15">
      <c r="A10" s="122" t="s">
        <v>9</v>
      </c>
      <c r="B10" s="24">
        <f>'Data Sheet'!B46</f>
        <v>4.34</v>
      </c>
      <c r="C10" s="24">
        <f>'Data Sheet'!C46</f>
        <v>10.92</v>
      </c>
      <c r="D10" s="24">
        <f>'Data Sheet'!D46</f>
        <v>8.48</v>
      </c>
      <c r="E10" s="24">
        <f>'Data Sheet'!E46</f>
        <v>15.77</v>
      </c>
      <c r="F10" s="24">
        <f>'Data Sheet'!F46</f>
        <v>12.09</v>
      </c>
      <c r="G10" s="24">
        <f>'Data Sheet'!G46</f>
        <v>6.54</v>
      </c>
      <c r="H10" s="24">
        <f>'Data Sheet'!H46</f>
        <v>12.1</v>
      </c>
      <c r="I10" s="24">
        <f>'Data Sheet'!I46</f>
        <v>29.63</v>
      </c>
      <c r="J10" s="24">
        <f>'Data Sheet'!J46</f>
        <v>46.97</v>
      </c>
      <c r="K10" s="123">
        <f>'Data Sheet'!K46</f>
        <v>75.2</v>
      </c>
    </row>
    <row r="11" spans="1:11" x14ac:dyDescent="0.15">
      <c r="A11" s="122" t="s">
        <v>10</v>
      </c>
      <c r="B11" s="24">
        <f>'Data Sheet'!B47</f>
        <v>1534.13</v>
      </c>
      <c r="C11" s="24">
        <f>'Data Sheet'!C47</f>
        <v>2203.2199999999998</v>
      </c>
      <c r="D11" s="24">
        <f>'Data Sheet'!D47</f>
        <v>1944.52</v>
      </c>
      <c r="E11" s="24">
        <f>'Data Sheet'!E47</f>
        <v>2160.11</v>
      </c>
      <c r="F11" s="24">
        <f>'Data Sheet'!F47</f>
        <v>2184.0500000000002</v>
      </c>
      <c r="G11" s="24">
        <f>'Data Sheet'!G47</f>
        <v>2584.02</v>
      </c>
      <c r="H11" s="24">
        <f>'Data Sheet'!H47</f>
        <v>2666.22</v>
      </c>
      <c r="I11" s="24">
        <f>'Data Sheet'!I47</f>
        <v>2605.75</v>
      </c>
      <c r="J11" s="24">
        <f>'Data Sheet'!J47</f>
        <v>2563.7800000000002</v>
      </c>
      <c r="K11" s="123">
        <f>'Data Sheet'!K47</f>
        <v>2299.09</v>
      </c>
    </row>
    <row r="12" spans="1:11" x14ac:dyDescent="0.15">
      <c r="A12" s="119" t="s">
        <v>100</v>
      </c>
      <c r="B12" s="107">
        <f>B11/B4</f>
        <v>0.19164886507014456</v>
      </c>
      <c r="C12" s="107">
        <f t="shared" ref="C12:K12" si="1">C11/C4</f>
        <v>0.21594458727142102</v>
      </c>
      <c r="D12" s="107">
        <f t="shared" si="1"/>
        <v>0.2086721739671665</v>
      </c>
      <c r="E12" s="107">
        <f t="shared" si="1"/>
        <v>0.24191447638822164</v>
      </c>
      <c r="F12" s="107">
        <f t="shared" si="1"/>
        <v>0.21179878412437658</v>
      </c>
      <c r="G12" s="107">
        <f t="shared" si="1"/>
        <v>0.23841693854352736</v>
      </c>
      <c r="H12" s="107">
        <f t="shared" si="1"/>
        <v>0.21916544803963392</v>
      </c>
      <c r="I12" s="107">
        <f t="shared" si="1"/>
        <v>0.22550941371446867</v>
      </c>
      <c r="J12" s="107">
        <f t="shared" si="1"/>
        <v>0.21486464628517937</v>
      </c>
      <c r="K12" s="121">
        <f t="shared" si="1"/>
        <v>0.17355185366354453</v>
      </c>
    </row>
    <row r="13" spans="1:11" s="10" customFormat="1" x14ac:dyDescent="0.15">
      <c r="A13" s="119" t="s">
        <v>92</v>
      </c>
      <c r="B13" s="120"/>
      <c r="C13" s="120"/>
      <c r="D13" s="120"/>
      <c r="E13" s="120"/>
      <c r="F13" s="107">
        <f>F11/B11-1</f>
        <v>0.42364076056136057</v>
      </c>
      <c r="G13" s="107">
        <f>G11/C11-1</f>
        <v>0.17283793720100582</v>
      </c>
      <c r="H13" s="107">
        <f>H11/D11-1</f>
        <v>0.37114557834324136</v>
      </c>
      <c r="I13" s="107">
        <f>I11/E11-1</f>
        <v>0.20630430857687787</v>
      </c>
      <c r="J13" s="107">
        <f>J11/F11-1</f>
        <v>0.17386506719168526</v>
      </c>
      <c r="K13" s="121">
        <f t="shared" ref="K13" si="2">K11/G11-1</f>
        <v>-0.11026617441041475</v>
      </c>
    </row>
    <row r="14" spans="1:11" x14ac:dyDescent="0.15">
      <c r="A14" s="122" t="s">
        <v>11</v>
      </c>
      <c r="B14" s="24">
        <f>'Data Sheet'!B48</f>
        <v>370.8</v>
      </c>
      <c r="C14" s="24">
        <f>'Data Sheet'!C48</f>
        <v>483.78</v>
      </c>
      <c r="D14" s="24">
        <f>'Data Sheet'!D48</f>
        <v>471.82</v>
      </c>
      <c r="E14" s="24">
        <f>'Data Sheet'!E48</f>
        <v>455.37</v>
      </c>
      <c r="F14" s="24">
        <f>'Data Sheet'!F48</f>
        <v>539.91</v>
      </c>
      <c r="G14" s="24">
        <f>'Data Sheet'!G48</f>
        <v>563.97</v>
      </c>
      <c r="H14" s="24">
        <f>'Data Sheet'!H48</f>
        <v>633.6</v>
      </c>
      <c r="I14" s="24">
        <f>'Data Sheet'!I48</f>
        <v>594.32000000000005</v>
      </c>
      <c r="J14" s="24">
        <f>'Data Sheet'!J48</f>
        <v>621.99</v>
      </c>
      <c r="K14" s="123">
        <f>'Data Sheet'!K48</f>
        <v>913.65</v>
      </c>
    </row>
    <row r="15" spans="1:11" s="6" customFormat="1" x14ac:dyDescent="0.15">
      <c r="A15" s="117" t="s">
        <v>12</v>
      </c>
      <c r="B15" s="108">
        <f>'Data Sheet'!B49</f>
        <v>1163.33</v>
      </c>
      <c r="C15" s="108">
        <f>'Data Sheet'!C49</f>
        <v>1719.44</v>
      </c>
      <c r="D15" s="108">
        <f>'Data Sheet'!D49</f>
        <v>1472.7</v>
      </c>
      <c r="E15" s="108">
        <f>'Data Sheet'!E49</f>
        <v>1704.74</v>
      </c>
      <c r="F15" s="108">
        <f>'Data Sheet'!F49</f>
        <v>1644.14</v>
      </c>
      <c r="G15" s="108">
        <f>'Data Sheet'!G49</f>
        <v>2020.05</v>
      </c>
      <c r="H15" s="108">
        <f>'Data Sheet'!H49</f>
        <v>2032.62</v>
      </c>
      <c r="I15" s="108">
        <f>'Data Sheet'!I49</f>
        <v>2011.43</v>
      </c>
      <c r="J15" s="108">
        <f>'Data Sheet'!J49</f>
        <v>1941.79</v>
      </c>
      <c r="K15" s="118">
        <f>'Data Sheet'!K49</f>
        <v>1385.44</v>
      </c>
    </row>
    <row r="16" spans="1:11" s="10" customFormat="1" x14ac:dyDescent="0.15">
      <c r="A16" s="119" t="s">
        <v>92</v>
      </c>
      <c r="B16" s="120"/>
      <c r="C16" s="120"/>
      <c r="D16" s="120"/>
      <c r="E16" s="120"/>
      <c r="F16" s="107">
        <f>F15/B15-1</f>
        <v>0.41330490918312113</v>
      </c>
      <c r="G16" s="107">
        <f t="shared" ref="G16" si="3">G15/C15-1</f>
        <v>0.17483017726701711</v>
      </c>
      <c r="H16" s="107">
        <f t="shared" ref="H16" si="4">H15/D15-1</f>
        <v>0.38019963332654294</v>
      </c>
      <c r="I16" s="107">
        <f t="shared" ref="I16" si="5">I15/E15-1</f>
        <v>0.17990426692633488</v>
      </c>
      <c r="J16" s="107">
        <f t="shared" ref="J16" si="6">J15/F15-1</f>
        <v>0.18103689466833717</v>
      </c>
      <c r="K16" s="121">
        <f t="shared" ref="K16" si="7">K15/G15-1</f>
        <v>-0.31415559020816308</v>
      </c>
    </row>
    <row r="17" spans="1:12" s="6" customFormat="1" x14ac:dyDescent="0.15">
      <c r="A17" s="124" t="s">
        <v>15</v>
      </c>
      <c r="B17" s="125">
        <f t="shared" ref="B17:K17" si="8">IF(B4&gt;0,B7/B4,"")</f>
        <v>0.16070032105335483</v>
      </c>
      <c r="C17" s="125">
        <f t="shared" si="8"/>
        <v>0.17148777138622975</v>
      </c>
      <c r="D17" s="125">
        <f t="shared" si="8"/>
        <v>0.18857997068210253</v>
      </c>
      <c r="E17" s="125">
        <f t="shared" si="8"/>
        <v>0.18559383059905502</v>
      </c>
      <c r="F17" s="125">
        <f t="shared" si="8"/>
        <v>0.18738235690575267</v>
      </c>
      <c r="G17" s="125">
        <f t="shared" si="8"/>
        <v>0.19653836785308318</v>
      </c>
      <c r="H17" s="125">
        <f t="shared" si="8"/>
        <v>0.19850674005555133</v>
      </c>
      <c r="I17" s="125">
        <f t="shared" si="8"/>
        <v>0.1976867056975582</v>
      </c>
      <c r="J17" s="125">
        <f t="shared" si="8"/>
        <v>0.19866125492056283</v>
      </c>
      <c r="K17" s="126">
        <f t="shared" si="8"/>
        <v>0.15650231594712272</v>
      </c>
      <c r="L17" s="10"/>
    </row>
    <row r="25" spans="1:12" s="20" customFormat="1" x14ac:dyDescent="0.15"/>
  </sheetData>
  <hyperlinks>
    <hyperlink ref="A2" r:id="rId1" xr:uid="{00000000-0004-0000-0100-000000000000}"/>
  </hyperlinks>
  <printOptions gridLines="1"/>
  <pageMargins left="0.7" right="0.7" top="0.75" bottom="0.75" header="0.3" footer="0.3"/>
  <pageSetup paperSize="9" scale="83" orientation="landscape" horizontalDpi="300" verticalDpi="300"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93"/>
  <sheetViews>
    <sheetView workbookViewId="0">
      <pane xSplit="1" ySplit="1" topLeftCell="B2" activePane="bottomRight" state="frozen"/>
      <selection activeCell="C4" sqref="C4"/>
      <selection pane="topRight" activeCell="C4" sqref="C4"/>
      <selection pane="bottomLeft" activeCell="C4" sqref="C4"/>
      <selection pane="bottomRight" activeCell="L1" sqref="L1"/>
    </sheetView>
  </sheetViews>
  <sheetFormatPr baseColWidth="10" defaultColWidth="9.1640625" defaultRowHeight="13" x14ac:dyDescent="0.15"/>
  <cols>
    <col min="1" max="1" width="25.1640625" style="11" bestFit="1" customWidth="1"/>
    <col min="2" max="2" width="13.83203125" style="11" bestFit="1" customWidth="1"/>
    <col min="3" max="8" width="9.83203125" style="11" bestFit="1" customWidth="1"/>
    <col min="9" max="11" width="10.83203125" style="11" bestFit="1" customWidth="1"/>
    <col min="12" max="16384" width="9.1640625" style="11"/>
  </cols>
  <sheetData>
    <row r="1" spans="1:11" s="9" customFormat="1" x14ac:dyDescent="0.15">
      <c r="A1" s="9" t="s">
        <v>0</v>
      </c>
      <c r="B1" s="9" t="s">
        <v>58</v>
      </c>
      <c r="E1" s="410" t="str">
        <f>IF(B2&lt;&gt;B3, "A NEW VERSION OF THE WORKSHEET IS AVAILABLE", "")</f>
        <v/>
      </c>
      <c r="F1" s="410"/>
      <c r="G1" s="410"/>
      <c r="H1" s="410"/>
      <c r="I1" s="410"/>
      <c r="J1" s="410"/>
      <c r="K1" s="410"/>
    </row>
    <row r="2" spans="1:11" x14ac:dyDescent="0.15">
      <c r="A2" s="9" t="s">
        <v>56</v>
      </c>
      <c r="B2" s="11">
        <v>2.1</v>
      </c>
      <c r="E2" s="411" t="s">
        <v>31</v>
      </c>
      <c r="F2" s="411"/>
      <c r="G2" s="411"/>
      <c r="H2" s="411"/>
      <c r="I2" s="411"/>
      <c r="J2" s="411"/>
      <c r="K2" s="411"/>
    </row>
    <row r="3" spans="1:11" x14ac:dyDescent="0.15">
      <c r="A3" s="9" t="s">
        <v>57</v>
      </c>
      <c r="B3" s="11">
        <v>2.1</v>
      </c>
    </row>
    <row r="4" spans="1:11" x14ac:dyDescent="0.15">
      <c r="A4" s="9"/>
    </row>
    <row r="5" spans="1:11" x14ac:dyDescent="0.15">
      <c r="A5" s="9" t="s">
        <v>59</v>
      </c>
    </row>
    <row r="6" spans="1:11" x14ac:dyDescent="0.15">
      <c r="A6" s="11" t="s">
        <v>37</v>
      </c>
      <c r="B6" s="11">
        <f>IF(B9&gt;0, B9/B8, 0)</f>
        <v>27.935108137876426</v>
      </c>
    </row>
    <row r="7" spans="1:11" x14ac:dyDescent="0.15">
      <c r="A7" s="11" t="s">
        <v>26</v>
      </c>
      <c r="B7" s="7">
        <v>10</v>
      </c>
    </row>
    <row r="8" spans="1:11" x14ac:dyDescent="0.15">
      <c r="A8" s="11" t="s">
        <v>38</v>
      </c>
      <c r="B8" s="7">
        <v>9850.85</v>
      </c>
    </row>
    <row r="9" spans="1:11" x14ac:dyDescent="0.15">
      <c r="A9" s="11" t="s">
        <v>73</v>
      </c>
      <c r="B9" s="7">
        <v>275184.56</v>
      </c>
    </row>
    <row r="15" spans="1:11" x14ac:dyDescent="0.15">
      <c r="A15" s="9" t="s">
        <v>32</v>
      </c>
    </row>
    <row r="16" spans="1:11" s="22" customFormat="1" x14ac:dyDescent="0.15">
      <c r="A16" s="21" t="s">
        <v>33</v>
      </c>
      <c r="B16" s="8">
        <v>42094</v>
      </c>
      <c r="C16" s="8">
        <v>42460</v>
      </c>
      <c r="D16" s="8">
        <v>42825</v>
      </c>
      <c r="E16" s="8">
        <v>43190</v>
      </c>
      <c r="F16" s="8">
        <v>43555</v>
      </c>
      <c r="G16" s="8">
        <v>43921</v>
      </c>
      <c r="H16" s="8">
        <v>44286</v>
      </c>
      <c r="I16" s="8">
        <v>44651</v>
      </c>
      <c r="J16" s="8">
        <v>45016</v>
      </c>
      <c r="K16" s="8">
        <v>45382</v>
      </c>
    </row>
    <row r="17" spans="1:11" x14ac:dyDescent="0.15">
      <c r="A17" s="11" t="s">
        <v>4</v>
      </c>
      <c r="B17" s="7">
        <v>21595.439999999999</v>
      </c>
      <c r="C17" s="7">
        <v>22573.69</v>
      </c>
      <c r="D17" s="7">
        <v>21754.720000000001</v>
      </c>
      <c r="E17" s="7">
        <v>25209.93</v>
      </c>
      <c r="F17" s="7">
        <v>30357.63</v>
      </c>
      <c r="G17" s="7">
        <v>29918.65</v>
      </c>
      <c r="H17" s="7">
        <v>27741.08</v>
      </c>
      <c r="I17" s="7">
        <v>33144.71</v>
      </c>
      <c r="J17" s="7">
        <v>36455.379999999997</v>
      </c>
      <c r="K17" s="7">
        <v>44870.43</v>
      </c>
    </row>
    <row r="18" spans="1:11" ht="15" x14ac:dyDescent="0.2">
      <c r="A18" s="11" t="s">
        <v>74</v>
      </c>
      <c r="B18">
        <v>14907.89</v>
      </c>
      <c r="C18">
        <v>14993.41</v>
      </c>
      <c r="D18">
        <v>14667.83</v>
      </c>
      <c r="E18">
        <v>17400.41</v>
      </c>
      <c r="F18">
        <v>21854.1</v>
      </c>
      <c r="G18">
        <v>21071.29</v>
      </c>
      <c r="H18">
        <v>19829.13</v>
      </c>
      <c r="I18">
        <v>24141.86</v>
      </c>
      <c r="J18">
        <v>26221.58</v>
      </c>
      <c r="K18">
        <v>31969.57</v>
      </c>
    </row>
    <row r="19" spans="1:11" ht="15" x14ac:dyDescent="0.2">
      <c r="A19" s="11" t="s">
        <v>75</v>
      </c>
      <c r="B19">
        <v>56.46</v>
      </c>
      <c r="C19">
        <v>-63.45</v>
      </c>
      <c r="D19">
        <v>43.68</v>
      </c>
      <c r="E19">
        <v>-9.68</v>
      </c>
      <c r="F19">
        <v>56.42</v>
      </c>
      <c r="G19">
        <v>63.01</v>
      </c>
      <c r="H19">
        <v>219.48</v>
      </c>
      <c r="I19">
        <v>-187.96</v>
      </c>
      <c r="J19">
        <v>100.33</v>
      </c>
      <c r="K19">
        <v>76.34</v>
      </c>
    </row>
    <row r="20" spans="1:11" x14ac:dyDescent="0.15">
      <c r="A20" s="11" t="s">
        <v>76</v>
      </c>
      <c r="B20" s="7">
        <v>114.8</v>
      </c>
      <c r="C20" s="7">
        <v>120.66</v>
      </c>
      <c r="D20" s="7">
        <v>96.46</v>
      </c>
      <c r="E20" s="7">
        <v>100.26</v>
      </c>
      <c r="F20" s="7">
        <v>115.01</v>
      </c>
      <c r="G20" s="7">
        <v>116.57</v>
      </c>
      <c r="H20" s="7">
        <v>91.34</v>
      </c>
      <c r="I20" s="7">
        <v>108.01</v>
      </c>
      <c r="J20" s="7">
        <v>122.6</v>
      </c>
      <c r="K20" s="7">
        <v>147.94</v>
      </c>
    </row>
    <row r="21" spans="1:11" x14ac:dyDescent="0.15">
      <c r="A21" s="11" t="s">
        <v>77</v>
      </c>
      <c r="B21" s="7">
        <v>655.78</v>
      </c>
      <c r="C21" s="7">
        <v>644.19000000000005</v>
      </c>
      <c r="D21" s="7">
        <v>547.54</v>
      </c>
      <c r="E21" s="7">
        <v>550.16</v>
      </c>
      <c r="F21" s="7">
        <v>633.99</v>
      </c>
      <c r="G21" s="7">
        <v>698.83</v>
      </c>
      <c r="H21" s="7">
        <v>597.11</v>
      </c>
      <c r="I21" s="7">
        <v>836.28</v>
      </c>
      <c r="J21" s="7">
        <v>743.55</v>
      </c>
      <c r="K21" s="7">
        <v>734.43</v>
      </c>
    </row>
    <row r="22" spans="1:11" x14ac:dyDescent="0.15">
      <c r="A22" s="11" t="s">
        <v>78</v>
      </c>
      <c r="B22" s="7">
        <v>901.3</v>
      </c>
      <c r="C22" s="7">
        <v>920.01</v>
      </c>
      <c r="D22" s="7">
        <v>999.83</v>
      </c>
      <c r="E22" s="7">
        <v>1072.5899999999999</v>
      </c>
      <c r="F22" s="7">
        <v>1260.32</v>
      </c>
      <c r="G22" s="7">
        <v>1395</v>
      </c>
      <c r="H22" s="7">
        <v>1296.07</v>
      </c>
      <c r="I22" s="7">
        <v>1366</v>
      </c>
      <c r="J22" s="7">
        <v>1488.1</v>
      </c>
      <c r="K22" s="7">
        <v>1631.06</v>
      </c>
    </row>
    <row r="23" spans="1:11" x14ac:dyDescent="0.15">
      <c r="A23" s="11" t="s">
        <v>79</v>
      </c>
      <c r="B23" s="7">
        <v>707.58</v>
      </c>
      <c r="C23" s="7">
        <v>795.66</v>
      </c>
      <c r="D23" s="7">
        <v>699.73</v>
      </c>
      <c r="E23" s="7">
        <v>852.82</v>
      </c>
      <c r="F23" s="7">
        <v>940.92</v>
      </c>
      <c r="G23" s="7">
        <v>1020.98</v>
      </c>
      <c r="H23" s="7">
        <v>654.86</v>
      </c>
      <c r="I23" s="7">
        <v>644.9</v>
      </c>
      <c r="J23" s="7">
        <v>852.61</v>
      </c>
      <c r="K23" s="7">
        <v>999.37</v>
      </c>
    </row>
    <row r="24" spans="1:11" x14ac:dyDescent="0.15">
      <c r="A24" s="11" t="s">
        <v>80</v>
      </c>
      <c r="B24" s="7">
        <v>236.15</v>
      </c>
      <c r="C24" s="7">
        <v>243.36</v>
      </c>
      <c r="D24" s="7">
        <v>358.38</v>
      </c>
      <c r="E24" s="7">
        <v>378.21</v>
      </c>
      <c r="F24" s="7">
        <v>411.79</v>
      </c>
      <c r="G24" s="7">
        <v>569.65</v>
      </c>
      <c r="H24" s="7">
        <v>554.27</v>
      </c>
      <c r="I24" s="7">
        <v>600.9</v>
      </c>
      <c r="J24" s="7">
        <v>662.63</v>
      </c>
      <c r="K24" s="7">
        <v>699.72</v>
      </c>
    </row>
    <row r="25" spans="1:11" x14ac:dyDescent="0.15">
      <c r="A25" s="11" t="s">
        <v>7</v>
      </c>
      <c r="B25" s="7">
        <v>228.5</v>
      </c>
      <c r="C25" s="7">
        <v>1194.1500000000001</v>
      </c>
      <c r="D25" s="7">
        <v>1467.61</v>
      </c>
      <c r="E25" s="7">
        <v>1403.72</v>
      </c>
      <c r="F25" s="7">
        <v>2027.83</v>
      </c>
      <c r="G25" s="7">
        <v>1832.38</v>
      </c>
      <c r="H25" s="7">
        <v>1569.68</v>
      </c>
      <c r="I25" s="7">
        <v>2671.3</v>
      </c>
      <c r="J25" s="7">
        <v>1702.7</v>
      </c>
      <c r="K25" s="7">
        <v>1700.49</v>
      </c>
    </row>
    <row r="26" spans="1:11" x14ac:dyDescent="0.15">
      <c r="A26" s="11" t="s">
        <v>8</v>
      </c>
      <c r="B26" s="7">
        <v>267.45999999999998</v>
      </c>
      <c r="C26" s="7">
        <v>307.16000000000003</v>
      </c>
      <c r="D26" s="7">
        <v>307.29000000000002</v>
      </c>
      <c r="E26" s="7">
        <v>314.8</v>
      </c>
      <c r="F26" s="7">
        <v>265.69</v>
      </c>
      <c r="G26" s="7">
        <v>246.43</v>
      </c>
      <c r="H26" s="7">
        <v>259.37</v>
      </c>
      <c r="I26" s="7">
        <v>269.76</v>
      </c>
      <c r="J26" s="7">
        <v>285.85000000000002</v>
      </c>
      <c r="K26" s="7">
        <v>364.77</v>
      </c>
    </row>
    <row r="27" spans="1:11" ht="15" x14ac:dyDescent="0.2">
      <c r="A27" s="11" t="s">
        <v>9</v>
      </c>
      <c r="B27" s="7">
        <v>6.49</v>
      </c>
      <c r="C27" s="7">
        <v>1.05</v>
      </c>
      <c r="D27" s="7">
        <v>1.4</v>
      </c>
      <c r="E27" s="7">
        <v>1.31</v>
      </c>
      <c r="F27" s="7">
        <v>4.4800000000000004</v>
      </c>
      <c r="G27" s="7">
        <v>3.16</v>
      </c>
      <c r="H27" s="7">
        <v>6.66</v>
      </c>
      <c r="I27" s="7">
        <v>8.66</v>
      </c>
      <c r="J27">
        <v>39.51</v>
      </c>
      <c r="K27">
        <v>60.36</v>
      </c>
    </row>
    <row r="28" spans="1:11" x14ac:dyDescent="0.15">
      <c r="A28" s="11" t="s">
        <v>10</v>
      </c>
      <c r="B28" s="7">
        <v>4082.95</v>
      </c>
      <c r="C28" s="7">
        <v>5678.89</v>
      </c>
      <c r="D28" s="7">
        <v>5587.55</v>
      </c>
      <c r="E28" s="7">
        <v>5933.41</v>
      </c>
      <c r="F28" s="7">
        <v>6955.58</v>
      </c>
      <c r="G28" s="7">
        <v>6692.13</v>
      </c>
      <c r="H28" s="7">
        <v>6241.43</v>
      </c>
      <c r="I28" s="7">
        <v>7651.68</v>
      </c>
      <c r="J28" s="7">
        <v>7841.98</v>
      </c>
      <c r="K28" s="7">
        <v>10040.040000000001</v>
      </c>
    </row>
    <row r="29" spans="1:11" x14ac:dyDescent="0.15">
      <c r="A29" s="11" t="s">
        <v>11</v>
      </c>
      <c r="B29" s="7">
        <v>1271.05</v>
      </c>
      <c r="C29" s="7">
        <v>1617.65</v>
      </c>
      <c r="D29" s="7">
        <v>1508.07</v>
      </c>
      <c r="E29" s="7">
        <v>1714.47</v>
      </c>
      <c r="F29" s="7">
        <v>2027.98</v>
      </c>
      <c r="G29" s="7">
        <v>1480.22</v>
      </c>
      <c r="H29" s="7">
        <v>1384.41</v>
      </c>
      <c r="I29" s="7">
        <v>1485.81</v>
      </c>
      <c r="J29" s="7">
        <v>1781.77</v>
      </c>
      <c r="K29" s="7">
        <v>2331.8000000000002</v>
      </c>
    </row>
    <row r="30" spans="1:11" x14ac:dyDescent="0.15">
      <c r="A30" s="11" t="s">
        <v>12</v>
      </c>
      <c r="B30" s="7">
        <v>3025.63</v>
      </c>
      <c r="C30" s="7">
        <v>4061.24</v>
      </c>
      <c r="D30" s="7">
        <v>4079.49</v>
      </c>
      <c r="E30" s="7">
        <v>4218.95</v>
      </c>
      <c r="F30" s="7">
        <v>4927.6099999999997</v>
      </c>
      <c r="G30" s="7">
        <v>5211.91</v>
      </c>
      <c r="H30" s="7">
        <v>4857.0200000000004</v>
      </c>
      <c r="I30" s="7">
        <v>6165.87</v>
      </c>
      <c r="J30" s="7">
        <v>6060.21</v>
      </c>
      <c r="K30" s="7">
        <v>7708.24</v>
      </c>
    </row>
    <row r="31" spans="1:11" x14ac:dyDescent="0.15">
      <c r="A31" s="11" t="s">
        <v>64</v>
      </c>
      <c r="B31" s="7">
        <v>1446.85</v>
      </c>
      <c r="C31" s="7">
        <v>1591.54</v>
      </c>
      <c r="D31" s="7">
        <v>1591.54</v>
      </c>
      <c r="E31" s="7">
        <v>1736.22</v>
      </c>
      <c r="F31" s="7">
        <v>1736.22</v>
      </c>
      <c r="G31" s="7">
        <v>3472.44</v>
      </c>
      <c r="H31" s="7">
        <v>4051.18</v>
      </c>
      <c r="I31" s="7">
        <v>4051.18</v>
      </c>
      <c r="J31" s="7">
        <v>3961.44</v>
      </c>
      <c r="K31" s="7">
        <v>2233.44</v>
      </c>
    </row>
    <row r="40" spans="1:11" x14ac:dyDescent="0.15">
      <c r="A40" s="9" t="s">
        <v>34</v>
      </c>
    </row>
    <row r="41" spans="1:11" s="22" customFormat="1" x14ac:dyDescent="0.15">
      <c r="A41" s="21" t="s">
        <v>33</v>
      </c>
      <c r="B41" s="8">
        <v>44742</v>
      </c>
      <c r="C41" s="8">
        <v>44834</v>
      </c>
      <c r="D41" s="8">
        <v>44926</v>
      </c>
      <c r="E41" s="8">
        <v>45016</v>
      </c>
      <c r="F41" s="8">
        <v>45107</v>
      </c>
      <c r="G41" s="8">
        <v>45199</v>
      </c>
      <c r="H41" s="8">
        <v>45291</v>
      </c>
      <c r="I41" s="8">
        <v>45382</v>
      </c>
      <c r="J41" s="8">
        <v>45473</v>
      </c>
      <c r="K41" s="8">
        <v>45565</v>
      </c>
    </row>
    <row r="42" spans="1:11" x14ac:dyDescent="0.15">
      <c r="A42" s="11" t="s">
        <v>4</v>
      </c>
      <c r="B42" s="7">
        <v>8004.9</v>
      </c>
      <c r="C42" s="7">
        <v>10202.709999999999</v>
      </c>
      <c r="D42" s="7">
        <v>9318.5400000000009</v>
      </c>
      <c r="E42" s="7">
        <v>8929.23</v>
      </c>
      <c r="F42" s="7">
        <v>10311.91</v>
      </c>
      <c r="G42" s="7">
        <v>10838.24</v>
      </c>
      <c r="H42" s="7">
        <v>12165.33</v>
      </c>
      <c r="I42" s="7">
        <v>11554.95</v>
      </c>
      <c r="J42" s="7">
        <v>11932.07</v>
      </c>
      <c r="K42" s="7">
        <v>13247.28</v>
      </c>
    </row>
    <row r="43" spans="1:11" x14ac:dyDescent="0.15">
      <c r="A43" s="11" t="s">
        <v>5</v>
      </c>
      <c r="B43" s="7">
        <v>6718.51</v>
      </c>
      <c r="C43" s="7">
        <v>8453.07</v>
      </c>
      <c r="D43" s="7">
        <v>7561.25</v>
      </c>
      <c r="E43" s="7">
        <v>7272.02</v>
      </c>
      <c r="F43" s="7">
        <v>8379.64</v>
      </c>
      <c r="G43" s="7">
        <v>8708.11</v>
      </c>
      <c r="H43" s="7">
        <v>9750.43</v>
      </c>
      <c r="I43" s="7">
        <v>9270.69</v>
      </c>
      <c r="J43" s="7">
        <v>9561.6299999999992</v>
      </c>
      <c r="K43" s="7">
        <v>11174.05</v>
      </c>
    </row>
    <row r="44" spans="1:11" x14ac:dyDescent="0.15">
      <c r="A44" s="11" t="s">
        <v>7</v>
      </c>
      <c r="B44" s="7">
        <v>319.64</v>
      </c>
      <c r="C44" s="7">
        <v>531.98</v>
      </c>
      <c r="D44" s="7">
        <v>270.52999999999997</v>
      </c>
      <c r="E44" s="7">
        <v>594.66</v>
      </c>
      <c r="F44" s="7">
        <v>351.1</v>
      </c>
      <c r="G44" s="7">
        <v>552.25</v>
      </c>
      <c r="H44" s="7">
        <v>356.33</v>
      </c>
      <c r="I44" s="7">
        <v>443.93</v>
      </c>
      <c r="J44" s="7">
        <v>335.32</v>
      </c>
      <c r="K44" s="7">
        <v>399.33</v>
      </c>
    </row>
    <row r="45" spans="1:11" x14ac:dyDescent="0.15">
      <c r="A45" s="11" t="s">
        <v>8</v>
      </c>
      <c r="B45" s="7">
        <v>67.56</v>
      </c>
      <c r="C45" s="7">
        <v>67.48</v>
      </c>
      <c r="D45" s="7">
        <v>74.819999999999993</v>
      </c>
      <c r="E45" s="7">
        <v>75.989999999999995</v>
      </c>
      <c r="F45" s="7">
        <v>87.23</v>
      </c>
      <c r="G45" s="7">
        <v>91.82</v>
      </c>
      <c r="H45" s="7">
        <v>92.91</v>
      </c>
      <c r="I45" s="7">
        <v>92.81</v>
      </c>
      <c r="J45" s="7">
        <v>95.01</v>
      </c>
      <c r="K45" s="7">
        <v>98.27</v>
      </c>
    </row>
    <row r="46" spans="1:11" ht="15" x14ac:dyDescent="0.2">
      <c r="A46" s="11" t="s">
        <v>9</v>
      </c>
      <c r="B46">
        <v>4.34</v>
      </c>
      <c r="C46">
        <v>10.92</v>
      </c>
      <c r="D46">
        <v>8.48</v>
      </c>
      <c r="E46">
        <v>15.77</v>
      </c>
      <c r="F46">
        <v>12.09</v>
      </c>
      <c r="G46">
        <v>6.54</v>
      </c>
      <c r="H46">
        <v>12.1</v>
      </c>
      <c r="I46">
        <v>29.63</v>
      </c>
      <c r="J46">
        <v>46.97</v>
      </c>
      <c r="K46">
        <v>75.2</v>
      </c>
    </row>
    <row r="47" spans="1:11" x14ac:dyDescent="0.15">
      <c r="A47" s="11" t="s">
        <v>10</v>
      </c>
      <c r="B47" s="7">
        <v>1534.13</v>
      </c>
      <c r="C47" s="7">
        <v>2203.2199999999998</v>
      </c>
      <c r="D47" s="7">
        <v>1944.52</v>
      </c>
      <c r="E47" s="7">
        <v>2160.11</v>
      </c>
      <c r="F47" s="7">
        <v>2184.0500000000002</v>
      </c>
      <c r="G47" s="7">
        <v>2584.02</v>
      </c>
      <c r="H47" s="7">
        <v>2666.22</v>
      </c>
      <c r="I47" s="7">
        <v>2605.75</v>
      </c>
      <c r="J47" s="7">
        <v>2563.7800000000002</v>
      </c>
      <c r="K47" s="7">
        <v>2299.09</v>
      </c>
    </row>
    <row r="48" spans="1:11" x14ac:dyDescent="0.15">
      <c r="A48" s="11" t="s">
        <v>11</v>
      </c>
      <c r="B48" s="7">
        <v>370.8</v>
      </c>
      <c r="C48" s="7">
        <v>483.78</v>
      </c>
      <c r="D48" s="7">
        <v>471.82</v>
      </c>
      <c r="E48" s="7">
        <v>455.37</v>
      </c>
      <c r="F48" s="7">
        <v>539.91</v>
      </c>
      <c r="G48" s="7">
        <v>563.97</v>
      </c>
      <c r="H48" s="7">
        <v>633.6</v>
      </c>
      <c r="I48" s="7">
        <v>594.32000000000005</v>
      </c>
      <c r="J48" s="7">
        <v>621.99</v>
      </c>
      <c r="K48" s="7">
        <v>913.65</v>
      </c>
    </row>
    <row r="49" spans="1:11" x14ac:dyDescent="0.15">
      <c r="A49" s="11" t="s">
        <v>12</v>
      </c>
      <c r="B49" s="7">
        <v>1163.33</v>
      </c>
      <c r="C49" s="7">
        <v>1719.44</v>
      </c>
      <c r="D49" s="7">
        <v>1472.7</v>
      </c>
      <c r="E49" s="7">
        <v>1704.74</v>
      </c>
      <c r="F49" s="7">
        <v>1644.14</v>
      </c>
      <c r="G49" s="7">
        <v>2020.05</v>
      </c>
      <c r="H49" s="7">
        <v>2032.62</v>
      </c>
      <c r="I49" s="7">
        <v>2011.43</v>
      </c>
      <c r="J49" s="7">
        <v>1941.79</v>
      </c>
      <c r="K49" s="7">
        <v>1385.44</v>
      </c>
    </row>
    <row r="50" spans="1:11" x14ac:dyDescent="0.15">
      <c r="A50" s="11" t="s">
        <v>6</v>
      </c>
      <c r="B50" s="7">
        <v>1286.3900000000001</v>
      </c>
      <c r="C50" s="7">
        <v>1749.64</v>
      </c>
      <c r="D50" s="7">
        <v>1757.29</v>
      </c>
      <c r="E50" s="7">
        <v>1657.21</v>
      </c>
      <c r="F50" s="7">
        <v>1932.27</v>
      </c>
      <c r="G50" s="7">
        <v>2130.13</v>
      </c>
      <c r="H50" s="7">
        <v>2414.9</v>
      </c>
      <c r="I50" s="7">
        <v>2284.2600000000002</v>
      </c>
      <c r="J50" s="7">
        <v>2370.44</v>
      </c>
      <c r="K50" s="7">
        <v>2073.23</v>
      </c>
    </row>
    <row r="55" spans="1:11" x14ac:dyDescent="0.15">
      <c r="A55" s="9" t="s">
        <v>35</v>
      </c>
    </row>
    <row r="56" spans="1:11" s="22" customFormat="1" x14ac:dyDescent="0.15">
      <c r="A56" s="21" t="s">
        <v>33</v>
      </c>
      <c r="B56" s="8">
        <v>42094</v>
      </c>
      <c r="C56" s="8">
        <v>42460</v>
      </c>
      <c r="D56" s="8">
        <v>42825</v>
      </c>
      <c r="E56" s="8">
        <v>43190</v>
      </c>
      <c r="F56" s="8">
        <v>43555</v>
      </c>
      <c r="G56" s="8">
        <v>43921</v>
      </c>
      <c r="H56" s="8">
        <v>44286</v>
      </c>
      <c r="I56" s="8">
        <v>44651</v>
      </c>
      <c r="J56" s="8">
        <v>45016</v>
      </c>
      <c r="K56" s="8">
        <v>45382</v>
      </c>
    </row>
    <row r="57" spans="1:11" x14ac:dyDescent="0.15">
      <c r="A57" s="11" t="s">
        <v>19</v>
      </c>
      <c r="B57" s="7">
        <v>289.37</v>
      </c>
      <c r="C57" s="7">
        <v>289.37</v>
      </c>
      <c r="D57" s="7">
        <v>289.37</v>
      </c>
      <c r="E57" s="7">
        <v>289.37</v>
      </c>
      <c r="F57" s="7">
        <v>289.37</v>
      </c>
      <c r="G57" s="7">
        <v>289.37</v>
      </c>
      <c r="H57" s="7">
        <v>289.37</v>
      </c>
      <c r="I57" s="7">
        <v>289.37</v>
      </c>
      <c r="J57" s="7">
        <v>282.95999999999998</v>
      </c>
      <c r="K57" s="7">
        <v>279.18</v>
      </c>
    </row>
    <row r="58" spans="1:11" x14ac:dyDescent="0.15">
      <c r="A58" s="11" t="s">
        <v>20</v>
      </c>
      <c r="B58" s="7">
        <v>10805.95</v>
      </c>
      <c r="C58" s="7">
        <v>13730.94</v>
      </c>
      <c r="D58" s="7">
        <v>17567.2</v>
      </c>
      <c r="E58" s="7">
        <v>20135.87</v>
      </c>
      <c r="F58" s="7">
        <v>22944.44</v>
      </c>
      <c r="G58" s="7">
        <v>21372.71</v>
      </c>
      <c r="H58" s="7">
        <v>26984.06</v>
      </c>
      <c r="I58" s="7">
        <v>29570.28</v>
      </c>
      <c r="J58" s="7">
        <v>29078.58</v>
      </c>
      <c r="K58" s="7">
        <v>28683.23</v>
      </c>
    </row>
    <row r="59" spans="1:11" ht="15" x14ac:dyDescent="0.2">
      <c r="A59" s="11" t="s">
        <v>65</v>
      </c>
      <c r="B59">
        <v>112.35</v>
      </c>
      <c r="C59">
        <v>117.86</v>
      </c>
      <c r="D59">
        <v>119.9</v>
      </c>
      <c r="E59">
        <v>120.77</v>
      </c>
      <c r="F59">
        <v>124.52</v>
      </c>
      <c r="G59">
        <v>125.59</v>
      </c>
      <c r="H59">
        <v>121.46</v>
      </c>
      <c r="I59">
        <v>122.77</v>
      </c>
      <c r="J59">
        <v>124.23</v>
      </c>
      <c r="K59">
        <v>1911.74</v>
      </c>
    </row>
    <row r="60" spans="1:11" x14ac:dyDescent="0.15">
      <c r="A60" s="11" t="s">
        <v>66</v>
      </c>
      <c r="B60" s="7">
        <v>4757.93</v>
      </c>
      <c r="C60" s="7">
        <v>3102.2</v>
      </c>
      <c r="D60" s="7">
        <v>3661.15</v>
      </c>
      <c r="E60" s="7">
        <v>4594.99</v>
      </c>
      <c r="F60" s="7">
        <v>5476.08</v>
      </c>
      <c r="G60" s="7">
        <v>4722.3500000000004</v>
      </c>
      <c r="H60" s="7">
        <v>6206.82</v>
      </c>
      <c r="I60" s="7">
        <v>5128.79</v>
      </c>
      <c r="J60" s="7">
        <v>5650.68</v>
      </c>
      <c r="K60" s="7">
        <v>8469.5400000000009</v>
      </c>
    </row>
    <row r="61" spans="1:11" s="9" customFormat="1" x14ac:dyDescent="0.15">
      <c r="A61" s="9" t="s">
        <v>21</v>
      </c>
      <c r="B61" s="7">
        <v>15965.6</v>
      </c>
      <c r="C61" s="7">
        <v>17240.37</v>
      </c>
      <c r="D61" s="7">
        <v>21637.62</v>
      </c>
      <c r="E61" s="7">
        <v>25141</v>
      </c>
      <c r="F61" s="7">
        <v>28834.41</v>
      </c>
      <c r="G61" s="7">
        <v>26510.02</v>
      </c>
      <c r="H61" s="7">
        <v>33601.71</v>
      </c>
      <c r="I61" s="7">
        <v>35111.21</v>
      </c>
      <c r="J61" s="7">
        <v>35136.449999999997</v>
      </c>
      <c r="K61" s="7">
        <v>39343.69</v>
      </c>
    </row>
    <row r="62" spans="1:11" x14ac:dyDescent="0.15">
      <c r="A62" s="11" t="s">
        <v>22</v>
      </c>
      <c r="B62" s="7">
        <v>2448.0300000000002</v>
      </c>
      <c r="C62" s="7">
        <v>2025.67</v>
      </c>
      <c r="D62" s="7">
        <v>2001.79</v>
      </c>
      <c r="E62" s="7">
        <v>1878.33</v>
      </c>
      <c r="F62" s="7">
        <v>1763.94</v>
      </c>
      <c r="G62" s="7">
        <v>1699.02</v>
      </c>
      <c r="H62" s="7">
        <v>1667.55</v>
      </c>
      <c r="I62" s="7">
        <v>1836.05</v>
      </c>
      <c r="J62" s="7">
        <v>2842.24</v>
      </c>
      <c r="K62" s="7">
        <v>3217.37</v>
      </c>
    </row>
    <row r="63" spans="1:11" x14ac:dyDescent="0.15">
      <c r="A63" s="11" t="s">
        <v>23</v>
      </c>
      <c r="B63" s="7">
        <v>254.94</v>
      </c>
      <c r="C63" s="7">
        <v>52.24</v>
      </c>
      <c r="D63" s="7">
        <v>42.17</v>
      </c>
      <c r="E63" s="7">
        <v>56.47</v>
      </c>
      <c r="F63" s="7">
        <v>48.02</v>
      </c>
      <c r="G63" s="7">
        <v>60.19</v>
      </c>
      <c r="H63" s="7">
        <v>15.98</v>
      </c>
      <c r="I63" s="7">
        <v>77.209999999999994</v>
      </c>
      <c r="J63" s="7">
        <v>85.27</v>
      </c>
      <c r="K63" s="7">
        <v>35.1</v>
      </c>
    </row>
    <row r="64" spans="1:11" ht="15" x14ac:dyDescent="0.2">
      <c r="A64" s="11" t="s">
        <v>24</v>
      </c>
      <c r="B64" s="7">
        <v>8985.25</v>
      </c>
      <c r="C64">
        <v>11067.23</v>
      </c>
      <c r="D64" s="7">
        <v>15477.04</v>
      </c>
      <c r="E64" s="7">
        <v>18894.57</v>
      </c>
      <c r="F64" s="7">
        <v>20602.849999999999</v>
      </c>
      <c r="G64" s="7">
        <v>19913.580000000002</v>
      </c>
      <c r="H64" s="7">
        <v>24686.65</v>
      </c>
      <c r="I64" s="7">
        <v>26634.12</v>
      </c>
      <c r="J64" s="7">
        <v>26182.91</v>
      </c>
      <c r="K64" s="7">
        <v>28086.68</v>
      </c>
    </row>
    <row r="65" spans="1:11" x14ac:dyDescent="0.15">
      <c r="A65" s="11" t="s">
        <v>67</v>
      </c>
      <c r="B65" s="7">
        <v>4277.38</v>
      </c>
      <c r="C65" s="7">
        <v>4095.23</v>
      </c>
      <c r="D65" s="7">
        <v>4116.62</v>
      </c>
      <c r="E65" s="7">
        <v>4311.63</v>
      </c>
      <c r="F65" s="7">
        <v>6419.6</v>
      </c>
      <c r="G65" s="7">
        <v>4837.2299999999996</v>
      </c>
      <c r="H65" s="7">
        <v>7231.53</v>
      </c>
      <c r="I65" s="7">
        <v>6563.83</v>
      </c>
      <c r="J65" s="7">
        <v>6026.03</v>
      </c>
      <c r="K65" s="7">
        <v>8004.54</v>
      </c>
    </row>
    <row r="66" spans="1:11" s="9" customFormat="1" x14ac:dyDescent="0.15">
      <c r="A66" s="9" t="s">
        <v>21</v>
      </c>
      <c r="B66" s="7">
        <v>15965.6</v>
      </c>
      <c r="C66" s="7">
        <v>17240.37</v>
      </c>
      <c r="D66" s="7">
        <v>21637.62</v>
      </c>
      <c r="E66" s="7">
        <v>25141</v>
      </c>
      <c r="F66" s="7">
        <v>28834.41</v>
      </c>
      <c r="G66" s="7">
        <v>26510.02</v>
      </c>
      <c r="H66" s="7">
        <v>33601.71</v>
      </c>
      <c r="I66" s="7">
        <v>35111.21</v>
      </c>
      <c r="J66" s="7">
        <v>35136.449999999997</v>
      </c>
      <c r="K66" s="7">
        <v>39343.69</v>
      </c>
    </row>
    <row r="67" spans="1:11" x14ac:dyDescent="0.15">
      <c r="A67" s="11" t="s">
        <v>72</v>
      </c>
      <c r="B67" s="7">
        <v>716.96</v>
      </c>
      <c r="C67" s="7">
        <v>717.93</v>
      </c>
      <c r="D67" s="7">
        <v>953.29</v>
      </c>
      <c r="E67" s="7">
        <v>1491.87</v>
      </c>
      <c r="F67" s="7">
        <v>2559.69</v>
      </c>
      <c r="G67" s="7">
        <v>1725.1</v>
      </c>
      <c r="H67" s="7">
        <v>2716.85</v>
      </c>
      <c r="I67" s="7">
        <v>1516.38</v>
      </c>
      <c r="J67" s="7">
        <v>1752.43</v>
      </c>
      <c r="K67" s="7">
        <v>2075.5300000000002</v>
      </c>
    </row>
    <row r="68" spans="1:11" ht="15" x14ac:dyDescent="0.2">
      <c r="A68" s="11" t="s">
        <v>40</v>
      </c>
      <c r="B68">
        <v>814.15</v>
      </c>
      <c r="C68">
        <v>719.07</v>
      </c>
      <c r="D68">
        <v>728.38</v>
      </c>
      <c r="E68">
        <v>742.58</v>
      </c>
      <c r="F68">
        <v>961.51</v>
      </c>
      <c r="G68">
        <v>1063.5</v>
      </c>
      <c r="H68">
        <v>1493.89</v>
      </c>
      <c r="I68">
        <v>1230.51</v>
      </c>
      <c r="J68">
        <v>1563.55</v>
      </c>
      <c r="K68">
        <v>1688.75</v>
      </c>
    </row>
    <row r="69" spans="1:11" x14ac:dyDescent="0.15">
      <c r="A69" s="11" t="s">
        <v>81</v>
      </c>
      <c r="B69" s="7">
        <v>592.74</v>
      </c>
      <c r="C69" s="7">
        <v>867.03</v>
      </c>
      <c r="D69" s="7">
        <v>301.36</v>
      </c>
      <c r="E69" s="7">
        <v>792.66</v>
      </c>
      <c r="F69" s="7">
        <v>933.07</v>
      </c>
      <c r="G69" s="7">
        <v>316.33999999999997</v>
      </c>
      <c r="H69" s="7">
        <v>538.84</v>
      </c>
      <c r="I69" s="7">
        <v>958.06</v>
      </c>
      <c r="J69" s="7">
        <v>690.48</v>
      </c>
      <c r="K69" s="7">
        <v>955.32</v>
      </c>
    </row>
    <row r="70" spans="1:11" x14ac:dyDescent="0.15">
      <c r="A70" s="11" t="s">
        <v>68</v>
      </c>
      <c r="B70" s="7">
        <v>289367020</v>
      </c>
      <c r="C70" s="7">
        <v>289367020</v>
      </c>
      <c r="D70" s="7">
        <v>289367020</v>
      </c>
      <c r="E70" s="7">
        <v>289367020</v>
      </c>
      <c r="F70" s="7">
        <v>289367020</v>
      </c>
      <c r="G70" s="7">
        <v>289367020</v>
      </c>
      <c r="H70" s="7">
        <v>289367020</v>
      </c>
      <c r="I70" s="7">
        <v>289367020</v>
      </c>
      <c r="J70" s="7">
        <v>282957358</v>
      </c>
      <c r="K70" s="7">
        <v>279179756</v>
      </c>
    </row>
    <row r="71" spans="1:11" x14ac:dyDescent="0.15">
      <c r="A71" s="11" t="s">
        <v>69</v>
      </c>
    </row>
    <row r="72" spans="1:11" x14ac:dyDescent="0.15">
      <c r="A72" s="11" t="s">
        <v>82</v>
      </c>
      <c r="B72" s="7">
        <v>10</v>
      </c>
      <c r="C72" s="7">
        <v>10</v>
      </c>
      <c r="D72" s="7">
        <v>10</v>
      </c>
      <c r="E72" s="7">
        <v>10</v>
      </c>
      <c r="F72" s="7">
        <v>10</v>
      </c>
      <c r="G72" s="7">
        <v>10</v>
      </c>
      <c r="H72" s="7">
        <v>10</v>
      </c>
      <c r="I72" s="7">
        <v>10</v>
      </c>
      <c r="J72" s="7">
        <v>10</v>
      </c>
      <c r="K72" s="7">
        <v>10</v>
      </c>
    </row>
    <row r="80" spans="1:11" x14ac:dyDescent="0.15">
      <c r="A80" s="9" t="s">
        <v>36</v>
      </c>
    </row>
    <row r="81" spans="1:12" s="22" customFormat="1" x14ac:dyDescent="0.15">
      <c r="A81" s="21" t="s">
        <v>33</v>
      </c>
      <c r="B81" s="8">
        <v>42094</v>
      </c>
      <c r="C81" s="8">
        <v>42460</v>
      </c>
      <c r="D81" s="8">
        <v>42825</v>
      </c>
      <c r="E81" s="8">
        <v>43190</v>
      </c>
      <c r="F81" s="8">
        <v>43555</v>
      </c>
      <c r="G81" s="8">
        <v>43921</v>
      </c>
      <c r="H81" s="8">
        <v>44286</v>
      </c>
      <c r="I81" s="8">
        <v>44651</v>
      </c>
      <c r="J81" s="8">
        <v>45016</v>
      </c>
      <c r="K81" s="8">
        <v>45382</v>
      </c>
      <c r="L81" s="8"/>
    </row>
    <row r="82" spans="1:12" s="9" customFormat="1" x14ac:dyDescent="0.15">
      <c r="A82" s="11" t="s">
        <v>27</v>
      </c>
      <c r="B82" s="7">
        <v>2113.8000000000002</v>
      </c>
      <c r="C82" s="7">
        <v>3689.85</v>
      </c>
      <c r="D82" s="7">
        <v>3267.36</v>
      </c>
      <c r="E82" s="7">
        <v>4327.84</v>
      </c>
      <c r="F82" s="7">
        <v>2486.86</v>
      </c>
      <c r="G82" s="7">
        <v>3850.44</v>
      </c>
      <c r="H82" s="7">
        <v>3119.88</v>
      </c>
      <c r="I82" s="7">
        <v>4197.21</v>
      </c>
      <c r="J82" s="7">
        <v>5277.42</v>
      </c>
      <c r="K82" s="7">
        <v>6558.16</v>
      </c>
    </row>
    <row r="83" spans="1:12" x14ac:dyDescent="0.15">
      <c r="A83" s="11" t="s">
        <v>28</v>
      </c>
      <c r="B83" s="7">
        <v>-379.66</v>
      </c>
      <c r="C83" s="7">
        <v>-67.52</v>
      </c>
      <c r="D83" s="7">
        <v>-3609.68</v>
      </c>
      <c r="E83" s="7">
        <v>-1954.48</v>
      </c>
      <c r="F83" s="7">
        <v>-272.77</v>
      </c>
      <c r="G83" s="7">
        <v>1765.83</v>
      </c>
      <c r="H83" s="7">
        <v>-2869.15</v>
      </c>
      <c r="I83" s="7">
        <v>276.2</v>
      </c>
      <c r="J83" s="7">
        <v>1211.21</v>
      </c>
      <c r="K83" s="7">
        <v>-71.97</v>
      </c>
    </row>
    <row r="84" spans="1:12" x14ac:dyDescent="0.15">
      <c r="A84" s="11" t="s">
        <v>29</v>
      </c>
      <c r="B84" s="7">
        <v>-1644.18</v>
      </c>
      <c r="C84" s="7">
        <v>-3384.08</v>
      </c>
      <c r="D84" s="7">
        <v>-190.09</v>
      </c>
      <c r="E84" s="7">
        <v>-1885.26</v>
      </c>
      <c r="F84" s="7">
        <v>-2074.0500000000002</v>
      </c>
      <c r="G84" s="7">
        <v>-6246.51</v>
      </c>
      <c r="H84" s="7">
        <v>-19.52</v>
      </c>
      <c r="I84" s="7">
        <v>-4056.33</v>
      </c>
      <c r="J84" s="7">
        <v>-7180.7</v>
      </c>
      <c r="K84" s="7">
        <v>-6167.36</v>
      </c>
    </row>
    <row r="85" spans="1:12" s="9" customFormat="1" x14ac:dyDescent="0.15">
      <c r="A85" s="11" t="s">
        <v>30</v>
      </c>
      <c r="B85" s="7">
        <v>89.96</v>
      </c>
      <c r="C85" s="7">
        <v>238.25</v>
      </c>
      <c r="D85" s="7">
        <v>-532.41</v>
      </c>
      <c r="E85" s="7">
        <v>488.1</v>
      </c>
      <c r="F85" s="7">
        <v>140.04</v>
      </c>
      <c r="G85" s="7">
        <v>-630.24</v>
      </c>
      <c r="H85" s="7">
        <v>231.21</v>
      </c>
      <c r="I85" s="7">
        <v>417.08</v>
      </c>
      <c r="J85" s="7">
        <v>-692.07</v>
      </c>
      <c r="K85" s="7">
        <v>318.83</v>
      </c>
    </row>
    <row r="90" spans="1:12" s="9" customFormat="1" x14ac:dyDescent="0.15">
      <c r="A90" s="9" t="s">
        <v>71</v>
      </c>
      <c r="B90" s="7">
        <v>2016.6</v>
      </c>
      <c r="C90" s="7">
        <v>2405.9499999999998</v>
      </c>
      <c r="D90" s="7">
        <v>2805.45</v>
      </c>
      <c r="E90" s="7">
        <v>2744.7</v>
      </c>
      <c r="F90" s="7">
        <v>2911.1</v>
      </c>
      <c r="G90" s="7">
        <v>2022.35</v>
      </c>
      <c r="H90" s="7">
        <v>3670.6</v>
      </c>
      <c r="I90" s="7">
        <v>3653</v>
      </c>
      <c r="J90" s="7">
        <v>3884.75</v>
      </c>
      <c r="K90" s="7">
        <v>9148.15</v>
      </c>
    </row>
    <row r="92" spans="1:12" s="9" customFormat="1" x14ac:dyDescent="0.15">
      <c r="A92" s="9" t="s">
        <v>70</v>
      </c>
    </row>
    <row r="93" spans="1:12" x14ac:dyDescent="0.15">
      <c r="A93" s="11" t="s">
        <v>83</v>
      </c>
      <c r="B93" s="23">
        <v>28.94</v>
      </c>
      <c r="C93" s="23">
        <v>28.94</v>
      </c>
      <c r="D93" s="23">
        <v>28.94</v>
      </c>
      <c r="E93" s="23">
        <v>28.94</v>
      </c>
      <c r="F93" s="23">
        <v>28.94</v>
      </c>
      <c r="G93" s="23">
        <v>28.94</v>
      </c>
      <c r="H93" s="23">
        <v>28.94</v>
      </c>
      <c r="I93" s="23">
        <v>28.94</v>
      </c>
      <c r="J93" s="23">
        <v>28.3</v>
      </c>
      <c r="K93" s="23">
        <v>27.92</v>
      </c>
    </row>
  </sheetData>
  <mergeCells count="2">
    <mergeCell ref="E1:K1"/>
    <mergeCell ref="E2:K2"/>
  </mergeCells>
  <conditionalFormatting sqref="E1:K1">
    <cfRule type="cellIs" dxfId="0" priority="1" operator="notEqual">
      <formula>""</formula>
    </cfRule>
  </conditionalFormatting>
  <hyperlinks>
    <hyperlink ref="E1:K1" r:id="rId1" display="https://www.screener.in/excel/" xr:uid="{00000000-0004-0000-0500-000000000000}"/>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16"/>
  <sheetViews>
    <sheetView workbookViewId="0">
      <selection activeCell="A4" sqref="A4"/>
    </sheetView>
  </sheetViews>
  <sheetFormatPr baseColWidth="10" defaultColWidth="9.1640625" defaultRowHeight="15" x14ac:dyDescent="0.2"/>
  <cols>
    <col min="1" max="1" width="9.1640625" style="1"/>
    <col min="2" max="2" width="10.5" customWidth="1"/>
    <col min="3" max="3" width="13.33203125" style="3" customWidth="1"/>
    <col min="6" max="6" width="6.83203125" customWidth="1"/>
  </cols>
  <sheetData>
    <row r="1" spans="1:7" ht="21" x14ac:dyDescent="0.25">
      <c r="A1" s="2" t="s">
        <v>52</v>
      </c>
    </row>
    <row r="3" spans="1:7" x14ac:dyDescent="0.2">
      <c r="A3" s="1" t="s">
        <v>43</v>
      </c>
    </row>
    <row r="4" spans="1:7" x14ac:dyDescent="0.2">
      <c r="B4" t="s">
        <v>84</v>
      </c>
    </row>
    <row r="5" spans="1:7" x14ac:dyDescent="0.2">
      <c r="B5" t="s">
        <v>44</v>
      </c>
    </row>
    <row r="7" spans="1:7" x14ac:dyDescent="0.2">
      <c r="A7" s="1" t="s">
        <v>45</v>
      </c>
    </row>
    <row r="8" spans="1:7" x14ac:dyDescent="0.2">
      <c r="B8" t="s">
        <v>46</v>
      </c>
      <c r="C8" s="4" t="s">
        <v>85</v>
      </c>
    </row>
    <row r="10" spans="1:7" x14ac:dyDescent="0.2">
      <c r="A10" s="1" t="s">
        <v>47</v>
      </c>
    </row>
    <row r="11" spans="1:7" x14ac:dyDescent="0.2">
      <c r="B11" t="s">
        <v>48</v>
      </c>
    </row>
    <row r="14" spans="1:7" x14ac:dyDescent="0.2">
      <c r="A14" s="1" t="s">
        <v>49</v>
      </c>
    </row>
    <row r="15" spans="1:7" x14ac:dyDescent="0.2">
      <c r="B15" t="s">
        <v>50</v>
      </c>
    </row>
    <row r="16" spans="1:7" x14ac:dyDescent="0.2">
      <c r="B16" t="s">
        <v>51</v>
      </c>
      <c r="G16" s="5" t="s">
        <v>86</v>
      </c>
    </row>
  </sheetData>
  <hyperlinks>
    <hyperlink ref="C8" r:id="rId1" display=" http://www.screener.in/excel" xr:uid="{00000000-0004-0000-04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A2B96-D0DA-4AA6-93E6-84124E1A00D8}">
  <dimension ref="A1:K24"/>
  <sheetViews>
    <sheetView workbookViewId="0">
      <selection sqref="A1:B5"/>
    </sheetView>
  </sheetViews>
  <sheetFormatPr baseColWidth="10" defaultColWidth="9.1640625" defaultRowHeight="14" x14ac:dyDescent="0.2"/>
  <cols>
    <col min="1" max="1" width="34.5" style="184" bestFit="1" customWidth="1"/>
    <col min="2" max="2" width="21.33203125" style="184" bestFit="1" customWidth="1"/>
    <col min="3" max="16384" width="9.1640625" style="184"/>
  </cols>
  <sheetData>
    <row r="1" spans="1:11" ht="15" thickBot="1" x14ac:dyDescent="0.25">
      <c r="A1" s="293" t="s">
        <v>316</v>
      </c>
      <c r="B1" s="294"/>
    </row>
    <row r="2" spans="1:11" ht="13" customHeight="1" x14ac:dyDescent="0.2">
      <c r="A2" s="295"/>
      <c r="B2" s="296"/>
      <c r="E2" s="300" t="s">
        <v>297</v>
      </c>
      <c r="F2" s="301"/>
      <c r="G2" s="301"/>
      <c r="H2" s="301"/>
      <c r="I2" s="301"/>
      <c r="J2" s="301"/>
      <c r="K2" s="302"/>
    </row>
    <row r="3" spans="1:11" ht="15" customHeight="1" x14ac:dyDescent="0.2">
      <c r="A3" s="295"/>
      <c r="B3" s="296"/>
      <c r="E3" s="303"/>
      <c r="F3" s="304"/>
      <c r="G3" s="304"/>
      <c r="H3" s="304"/>
      <c r="I3" s="304"/>
      <c r="J3" s="304"/>
      <c r="K3" s="305"/>
    </row>
    <row r="4" spans="1:11" ht="15" customHeight="1" x14ac:dyDescent="0.2">
      <c r="A4" s="295"/>
      <c r="B4" s="296"/>
      <c r="E4" s="303"/>
      <c r="F4" s="304"/>
      <c r="G4" s="304"/>
      <c r="H4" s="304"/>
      <c r="I4" s="304"/>
      <c r="J4" s="304"/>
      <c r="K4" s="305"/>
    </row>
    <row r="5" spans="1:11" ht="15" customHeight="1" thickBot="1" x14ac:dyDescent="0.25">
      <c r="A5" s="297"/>
      <c r="B5" s="298"/>
      <c r="E5" s="303"/>
      <c r="F5" s="304"/>
      <c r="G5" s="304"/>
      <c r="H5" s="304"/>
      <c r="I5" s="304"/>
      <c r="J5" s="304"/>
      <c r="K5" s="305"/>
    </row>
    <row r="6" spans="1:11" ht="17" thickBot="1" x14ac:dyDescent="0.25">
      <c r="A6" s="299" t="s">
        <v>212</v>
      </c>
      <c r="B6" s="299"/>
      <c r="E6" s="306"/>
      <c r="F6" s="307"/>
      <c r="G6" s="307"/>
      <c r="H6" s="307"/>
      <c r="I6" s="307"/>
      <c r="J6" s="307"/>
      <c r="K6" s="308"/>
    </row>
    <row r="7" spans="1:11" x14ac:dyDescent="0.2">
      <c r="A7" s="291" t="s">
        <v>213</v>
      </c>
      <c r="B7" s="292"/>
    </row>
    <row r="8" spans="1:11" ht="15" thickBot="1" x14ac:dyDescent="0.25">
      <c r="A8" s="185" t="s">
        <v>214</v>
      </c>
      <c r="B8" s="186" t="s">
        <v>215</v>
      </c>
    </row>
    <row r="9" spans="1:11" ht="13" customHeight="1" x14ac:dyDescent="0.2">
      <c r="A9" s="67" t="s">
        <v>216</v>
      </c>
      <c r="B9" s="187" t="str">
        <f>'Data Sheet'!B1</f>
        <v>BAJAJ AUTO LTD</v>
      </c>
      <c r="E9" s="309" t="s">
        <v>245</v>
      </c>
      <c r="F9" s="310"/>
      <c r="G9" s="310"/>
      <c r="H9" s="310"/>
      <c r="I9" s="310"/>
      <c r="J9" s="310"/>
      <c r="K9" s="311"/>
    </row>
    <row r="10" spans="1:11" ht="14.5" customHeight="1" x14ac:dyDescent="0.2">
      <c r="A10" s="67" t="s">
        <v>217</v>
      </c>
      <c r="B10" s="188">
        <f>'Data Sheet'!B8</f>
        <v>9850.85</v>
      </c>
      <c r="E10" s="312"/>
      <c r="F10" s="313"/>
      <c r="G10" s="313"/>
      <c r="H10" s="313"/>
      <c r="I10" s="313"/>
      <c r="J10" s="313"/>
      <c r="K10" s="314"/>
    </row>
    <row r="11" spans="1:11" ht="14.5" customHeight="1" x14ac:dyDescent="0.2">
      <c r="A11" s="67" t="s">
        <v>218</v>
      </c>
      <c r="B11" s="189">
        <f>'Data Sheet'!B7</f>
        <v>10</v>
      </c>
      <c r="E11" s="312"/>
      <c r="F11" s="313"/>
      <c r="G11" s="313"/>
      <c r="H11" s="313"/>
      <c r="I11" s="313"/>
      <c r="J11" s="313"/>
      <c r="K11" s="314"/>
    </row>
    <row r="12" spans="1:11" ht="14.5" customHeight="1" thickBot="1" x14ac:dyDescent="0.25">
      <c r="A12" s="67" t="s">
        <v>219</v>
      </c>
      <c r="B12" s="189">
        <f>'Data Sheet'!B6</f>
        <v>27.935108137876426</v>
      </c>
      <c r="E12" s="315"/>
      <c r="F12" s="316"/>
      <c r="G12" s="316"/>
      <c r="H12" s="316"/>
      <c r="I12" s="316"/>
      <c r="J12" s="316"/>
      <c r="K12" s="317"/>
    </row>
    <row r="13" spans="1:11" x14ac:dyDescent="0.2">
      <c r="A13" s="67" t="s">
        <v>220</v>
      </c>
      <c r="B13" s="188">
        <f>B10*B12</f>
        <v>275184.56</v>
      </c>
    </row>
    <row r="14" spans="1:11" ht="15" thickBot="1" x14ac:dyDescent="0.25"/>
    <row r="15" spans="1:11" ht="13" customHeight="1" x14ac:dyDescent="0.2">
      <c r="A15" s="291" t="s">
        <v>224</v>
      </c>
      <c r="B15" s="292"/>
      <c r="E15" s="309" t="s">
        <v>246</v>
      </c>
      <c r="F15" s="310"/>
      <c r="G15" s="310"/>
      <c r="H15" s="310"/>
      <c r="I15" s="310"/>
      <c r="J15" s="310"/>
      <c r="K15" s="311"/>
    </row>
    <row r="16" spans="1:11" ht="14.5" customHeight="1" x14ac:dyDescent="0.2">
      <c r="A16" s="185" t="s">
        <v>214</v>
      </c>
      <c r="B16" s="186" t="s">
        <v>215</v>
      </c>
      <c r="E16" s="312"/>
      <c r="F16" s="313"/>
      <c r="G16" s="313"/>
      <c r="H16" s="313"/>
      <c r="I16" s="313"/>
      <c r="J16" s="313"/>
      <c r="K16" s="314"/>
    </row>
    <row r="17" spans="1:11" ht="14.5" customHeight="1" x14ac:dyDescent="0.2">
      <c r="A17" s="67" t="s">
        <v>225</v>
      </c>
      <c r="B17" s="190">
        <f>'Profit &amp; Loss'!B37</f>
        <v>8.464766597166884E-2</v>
      </c>
      <c r="E17" s="312"/>
      <c r="F17" s="313"/>
      <c r="G17" s="313"/>
      <c r="H17" s="313"/>
      <c r="I17" s="313"/>
      <c r="J17" s="313"/>
      <c r="K17" s="314"/>
    </row>
    <row r="18" spans="1:11" ht="14.5" customHeight="1" x14ac:dyDescent="0.2">
      <c r="A18" s="67" t="s">
        <v>226</v>
      </c>
      <c r="B18" s="190">
        <f>'Profit &amp; Loss'!B38</f>
        <v>0.10514161079947826</v>
      </c>
      <c r="E18" s="312"/>
      <c r="F18" s="313"/>
      <c r="G18" s="313"/>
      <c r="H18" s="313"/>
      <c r="I18" s="313"/>
      <c r="J18" s="313"/>
      <c r="K18" s="314"/>
    </row>
    <row r="19" spans="1:11" ht="14.5" customHeight="1" x14ac:dyDescent="0.2">
      <c r="A19" s="67" t="s">
        <v>221</v>
      </c>
      <c r="B19" s="190">
        <f>('Data Sheet'!K30/'Data Sheet'!B30)^(1/9)-1</f>
        <v>0.10949819789889692</v>
      </c>
      <c r="E19" s="312"/>
      <c r="F19" s="313"/>
      <c r="G19" s="313"/>
      <c r="H19" s="313"/>
      <c r="I19" s="313"/>
      <c r="J19" s="313"/>
      <c r="K19" s="314"/>
    </row>
    <row r="20" spans="1:11" ht="14.5" customHeight="1" x14ac:dyDescent="0.2">
      <c r="A20" s="67" t="s">
        <v>222</v>
      </c>
      <c r="B20" s="191">
        <f>AVERAGE('Balance Sheet'!G25:K25)</f>
        <v>1.6920269936144032E-2</v>
      </c>
      <c r="E20" s="312"/>
      <c r="F20" s="313"/>
      <c r="G20" s="313"/>
      <c r="H20" s="313"/>
      <c r="I20" s="313"/>
      <c r="J20" s="313"/>
      <c r="K20" s="314"/>
    </row>
    <row r="21" spans="1:11" ht="14.5" customHeight="1" x14ac:dyDescent="0.2">
      <c r="A21" s="67" t="s">
        <v>223</v>
      </c>
      <c r="B21" s="192">
        <f>AVERAGE('Balance Sheet'!G26:K26)</f>
        <v>0.21954555584174701</v>
      </c>
      <c r="E21" s="312"/>
      <c r="F21" s="313"/>
      <c r="G21" s="313"/>
      <c r="H21" s="313"/>
      <c r="I21" s="313"/>
      <c r="J21" s="313"/>
      <c r="K21" s="314"/>
    </row>
    <row r="22" spans="1:11" ht="14.5" customHeight="1" x14ac:dyDescent="0.2">
      <c r="A22" s="67" t="s">
        <v>228</v>
      </c>
      <c r="B22" s="193">
        <f>AVERAGE('Profit &amp; Loss'!G28:K28)</f>
        <v>20.304490694071539</v>
      </c>
      <c r="E22" s="312"/>
      <c r="F22" s="313"/>
      <c r="G22" s="313"/>
      <c r="H22" s="313"/>
      <c r="I22" s="313"/>
      <c r="J22" s="313"/>
      <c r="K22" s="314"/>
    </row>
    <row r="23" spans="1:11" ht="15" customHeight="1" thickBot="1" x14ac:dyDescent="0.25">
      <c r="A23" s="194" t="s">
        <v>227</v>
      </c>
      <c r="B23" s="195">
        <f>B13/Annual[[#This Row],[Column12]]</f>
        <v>37.331991187419305</v>
      </c>
      <c r="E23" s="315"/>
      <c r="F23" s="316"/>
      <c r="G23" s="316"/>
      <c r="H23" s="316"/>
      <c r="I23" s="316"/>
      <c r="J23" s="316"/>
      <c r="K23" s="317"/>
    </row>
    <row r="24" spans="1:11" x14ac:dyDescent="0.2">
      <c r="A24" s="196"/>
    </row>
  </sheetData>
  <mergeCells count="7">
    <mergeCell ref="A15:B15"/>
    <mergeCell ref="A1:B5"/>
    <mergeCell ref="A6:B6"/>
    <mergeCell ref="A7:B7"/>
    <mergeCell ref="E2:K6"/>
    <mergeCell ref="E9:K12"/>
    <mergeCell ref="E15:K23"/>
  </mergeCells>
  <hyperlinks>
    <hyperlink ref="A6" r:id="rId1" xr:uid="{5B192A1A-282F-45FC-8CDA-AE3F3BAD64CD}"/>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3E002-3D03-4067-BC1A-37D3AC939960}">
  <dimension ref="A1:B26"/>
  <sheetViews>
    <sheetView workbookViewId="0">
      <selection sqref="A1:B1"/>
    </sheetView>
  </sheetViews>
  <sheetFormatPr baseColWidth="10" defaultColWidth="9.1640625" defaultRowHeight="13" x14ac:dyDescent="0.15"/>
  <cols>
    <col min="1" max="1" width="36.5" style="7" bestFit="1" customWidth="1"/>
    <col min="2" max="2" width="96.33203125" style="7" customWidth="1"/>
    <col min="3" max="3" width="92.5" style="7" bestFit="1" customWidth="1"/>
    <col min="4" max="16384" width="9.1640625" style="7"/>
  </cols>
  <sheetData>
    <row r="1" spans="1:2" ht="20" thickBot="1" x14ac:dyDescent="0.25">
      <c r="A1" s="318" t="s">
        <v>186</v>
      </c>
      <c r="B1" s="319"/>
    </row>
    <row r="2" spans="1:2" ht="14" thickBot="1" x14ac:dyDescent="0.2">
      <c r="A2" s="320" t="s">
        <v>187</v>
      </c>
      <c r="B2" s="320"/>
    </row>
    <row r="3" spans="1:2" ht="14" x14ac:dyDescent="0.15">
      <c r="A3" s="127" t="s">
        <v>188</v>
      </c>
      <c r="B3" s="128" t="s">
        <v>189</v>
      </c>
    </row>
    <row r="4" spans="1:2" ht="71" thickBot="1" x14ac:dyDescent="0.2">
      <c r="A4" s="129" t="s">
        <v>190</v>
      </c>
      <c r="B4" s="130" t="s">
        <v>191</v>
      </c>
    </row>
    <row r="5" spans="1:2" ht="14" thickBot="1" x14ac:dyDescent="0.2">
      <c r="A5" s="131"/>
      <c r="B5" s="132"/>
    </row>
    <row r="6" spans="1:2" ht="85" thickBot="1" x14ac:dyDescent="0.2">
      <c r="A6" s="133" t="s">
        <v>192</v>
      </c>
      <c r="B6" s="134" t="s">
        <v>193</v>
      </c>
    </row>
    <row r="7" spans="1:2" ht="14" thickBot="1" x14ac:dyDescent="0.2">
      <c r="A7" s="135"/>
      <c r="B7" s="131"/>
    </row>
    <row r="8" spans="1:2" ht="43" thickBot="1" x14ac:dyDescent="0.2">
      <c r="A8" s="133" t="s">
        <v>194</v>
      </c>
      <c r="B8" s="134" t="s">
        <v>195</v>
      </c>
    </row>
    <row r="9" spans="1:2" ht="14" thickBot="1" x14ac:dyDescent="0.2">
      <c r="A9" s="135"/>
      <c r="B9" s="131"/>
    </row>
    <row r="10" spans="1:2" ht="71" thickBot="1" x14ac:dyDescent="0.2">
      <c r="A10" s="133" t="s">
        <v>196</v>
      </c>
      <c r="B10" s="134" t="s">
        <v>267</v>
      </c>
    </row>
    <row r="11" spans="1:2" x14ac:dyDescent="0.15">
      <c r="A11" s="135"/>
      <c r="B11" s="131"/>
    </row>
    <row r="12" spans="1:2" ht="56" x14ac:dyDescent="0.15">
      <c r="A12" s="136" t="s">
        <v>197</v>
      </c>
      <c r="B12" s="137" t="s">
        <v>198</v>
      </c>
    </row>
    <row r="13" spans="1:2" ht="14" thickBot="1" x14ac:dyDescent="0.2">
      <c r="A13" s="135"/>
      <c r="B13" s="131"/>
    </row>
    <row r="14" spans="1:2" ht="57" thickBot="1" x14ac:dyDescent="0.2">
      <c r="A14" s="133" t="s">
        <v>199</v>
      </c>
      <c r="B14" s="134" t="s">
        <v>200</v>
      </c>
    </row>
    <row r="15" spans="1:2" ht="14" thickBot="1" x14ac:dyDescent="0.2">
      <c r="A15" s="135"/>
      <c r="B15" s="131"/>
    </row>
    <row r="16" spans="1:2" ht="43" thickBot="1" x14ac:dyDescent="0.2">
      <c r="A16" s="133" t="s">
        <v>201</v>
      </c>
      <c r="B16" s="134" t="s">
        <v>202</v>
      </c>
    </row>
    <row r="17" spans="1:2" ht="14" thickBot="1" x14ac:dyDescent="0.2">
      <c r="A17" s="135"/>
      <c r="B17" s="131"/>
    </row>
    <row r="18" spans="1:2" ht="43" thickBot="1" x14ac:dyDescent="0.2">
      <c r="A18" s="133" t="s">
        <v>203</v>
      </c>
      <c r="B18" s="134" t="s">
        <v>268</v>
      </c>
    </row>
    <row r="19" spans="1:2" ht="14" thickBot="1" x14ac:dyDescent="0.2">
      <c r="A19" s="135"/>
      <c r="B19" s="131"/>
    </row>
    <row r="20" spans="1:2" ht="43" thickBot="1" x14ac:dyDescent="0.2">
      <c r="A20" s="133" t="s">
        <v>204</v>
      </c>
      <c r="B20" s="134" t="s">
        <v>205</v>
      </c>
    </row>
    <row r="21" spans="1:2" ht="14" thickBot="1" x14ac:dyDescent="0.2">
      <c r="A21" s="135"/>
      <c r="B21" s="131"/>
    </row>
    <row r="22" spans="1:2" ht="71" thickBot="1" x14ac:dyDescent="0.2">
      <c r="A22" s="133" t="s">
        <v>206</v>
      </c>
      <c r="B22" s="134" t="s">
        <v>207</v>
      </c>
    </row>
    <row r="23" spans="1:2" ht="14" thickBot="1" x14ac:dyDescent="0.2">
      <c r="A23" s="138"/>
      <c r="B23" s="138"/>
    </row>
    <row r="24" spans="1:2" ht="57" thickBot="1" x14ac:dyDescent="0.2">
      <c r="A24" s="133" t="s">
        <v>208</v>
      </c>
      <c r="B24" s="134" t="s">
        <v>209</v>
      </c>
    </row>
    <row r="25" spans="1:2" ht="14" thickBot="1" x14ac:dyDescent="0.2">
      <c r="A25" s="132"/>
      <c r="B25" s="132"/>
    </row>
    <row r="26" spans="1:2" ht="15" thickBot="1" x14ac:dyDescent="0.2">
      <c r="A26" s="133" t="s">
        <v>210</v>
      </c>
      <c r="B26" s="134" t="s">
        <v>211</v>
      </c>
    </row>
  </sheetData>
  <mergeCells count="2">
    <mergeCell ref="A1:B1"/>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L27"/>
  <sheetViews>
    <sheetView workbookViewId="0">
      <selection activeCell="L29" sqref="A1:L29"/>
    </sheetView>
  </sheetViews>
  <sheetFormatPr baseColWidth="10" defaultColWidth="9.1640625" defaultRowHeight="13" x14ac:dyDescent="0.15"/>
  <cols>
    <col min="1" max="1" width="24.33203125" style="213" bestFit="1" customWidth="1"/>
    <col min="2" max="3" width="7.1640625" style="213" bestFit="1" customWidth="1"/>
    <col min="4" max="5" width="7.5" style="213" bestFit="1" customWidth="1"/>
    <col min="6" max="6" width="7.1640625" style="213" bestFit="1" customWidth="1"/>
    <col min="7" max="11" width="7.5" style="213" bestFit="1" customWidth="1"/>
    <col min="12" max="16384" width="9.1640625" style="213"/>
  </cols>
  <sheetData>
    <row r="1" spans="1:11" ht="19" x14ac:dyDescent="0.2">
      <c r="A1" s="321" t="s">
        <v>264</v>
      </c>
      <c r="B1" s="322"/>
      <c r="C1" s="322"/>
      <c r="D1" s="322"/>
      <c r="E1" s="322"/>
      <c r="F1" s="322"/>
      <c r="G1" s="322"/>
      <c r="H1" s="322"/>
      <c r="I1" s="322"/>
      <c r="J1" s="322"/>
      <c r="K1" s="323"/>
    </row>
    <row r="2" spans="1:11" s="212" customFormat="1" ht="14" thickBot="1" x14ac:dyDescent="0.2">
      <c r="A2" s="324" t="str">
        <f>'Profit &amp; Loss'!A2</f>
        <v>BAJAJ AUTO LTD</v>
      </c>
      <c r="B2" s="325"/>
      <c r="C2" s="325"/>
      <c r="D2" s="325"/>
      <c r="E2" s="325"/>
      <c r="F2" s="325"/>
      <c r="G2" s="325"/>
      <c r="H2" s="325"/>
      <c r="I2" s="325"/>
      <c r="J2" s="325"/>
      <c r="K2" s="326"/>
    </row>
    <row r="3" spans="1:11" x14ac:dyDescent="0.15">
      <c r="A3" s="224" t="s">
        <v>179</v>
      </c>
      <c r="B3" s="223">
        <f>'Data Sheet'!B56</f>
        <v>42094</v>
      </c>
      <c r="C3" s="223">
        <f>'Data Sheet'!C56</f>
        <v>42460</v>
      </c>
      <c r="D3" s="223">
        <f>'Data Sheet'!D56</f>
        <v>42825</v>
      </c>
      <c r="E3" s="223">
        <f>'Data Sheet'!E56</f>
        <v>43190</v>
      </c>
      <c r="F3" s="223">
        <f>'Data Sheet'!F56</f>
        <v>43555</v>
      </c>
      <c r="G3" s="223">
        <f>'Data Sheet'!G56</f>
        <v>43921</v>
      </c>
      <c r="H3" s="223">
        <f>'Data Sheet'!H56</f>
        <v>44286</v>
      </c>
      <c r="I3" s="223">
        <f>'Data Sheet'!I56</f>
        <v>44651</v>
      </c>
      <c r="J3" s="223">
        <f>'Data Sheet'!J56</f>
        <v>45016</v>
      </c>
      <c r="K3" s="225">
        <f>'Data Sheet'!K56</f>
        <v>45382</v>
      </c>
    </row>
    <row r="4" spans="1:11" x14ac:dyDescent="0.15">
      <c r="A4" s="226" t="s">
        <v>19</v>
      </c>
      <c r="B4" s="214">
        <f>'Data Sheet'!B57</f>
        <v>289.37</v>
      </c>
      <c r="C4" s="214">
        <f>'Data Sheet'!C57</f>
        <v>289.37</v>
      </c>
      <c r="D4" s="214">
        <f>'Data Sheet'!D57</f>
        <v>289.37</v>
      </c>
      <c r="E4" s="214">
        <f>'Data Sheet'!E57</f>
        <v>289.37</v>
      </c>
      <c r="F4" s="214">
        <f>'Data Sheet'!F57</f>
        <v>289.37</v>
      </c>
      <c r="G4" s="214">
        <f>'Data Sheet'!G57</f>
        <v>289.37</v>
      </c>
      <c r="H4" s="214">
        <f>'Data Sheet'!H57</f>
        <v>289.37</v>
      </c>
      <c r="I4" s="214">
        <f>'Data Sheet'!I57</f>
        <v>289.37</v>
      </c>
      <c r="J4" s="214">
        <f>'Data Sheet'!J57</f>
        <v>282.95999999999998</v>
      </c>
      <c r="K4" s="227">
        <f>'Data Sheet'!K57</f>
        <v>279.18</v>
      </c>
    </row>
    <row r="5" spans="1:11" x14ac:dyDescent="0.15">
      <c r="A5" s="226" t="s">
        <v>20</v>
      </c>
      <c r="B5" s="214">
        <f>'Data Sheet'!B58</f>
        <v>10805.95</v>
      </c>
      <c r="C5" s="214">
        <f>'Data Sheet'!C58</f>
        <v>13730.94</v>
      </c>
      <c r="D5" s="214">
        <f>'Data Sheet'!D58</f>
        <v>17567.2</v>
      </c>
      <c r="E5" s="214">
        <f>'Data Sheet'!E58</f>
        <v>20135.87</v>
      </c>
      <c r="F5" s="214">
        <f>'Data Sheet'!F58</f>
        <v>22944.44</v>
      </c>
      <c r="G5" s="214">
        <f>'Data Sheet'!G58</f>
        <v>21372.71</v>
      </c>
      <c r="H5" s="214">
        <f>'Data Sheet'!H58</f>
        <v>26984.06</v>
      </c>
      <c r="I5" s="214">
        <f>'Data Sheet'!I58</f>
        <v>29570.28</v>
      </c>
      <c r="J5" s="214">
        <f>'Data Sheet'!J58</f>
        <v>29078.58</v>
      </c>
      <c r="K5" s="227">
        <f>'Data Sheet'!K58</f>
        <v>28683.23</v>
      </c>
    </row>
    <row r="6" spans="1:11" x14ac:dyDescent="0.15">
      <c r="A6" s="226" t="s">
        <v>65</v>
      </c>
      <c r="B6" s="214">
        <f>'Data Sheet'!B59</f>
        <v>112.35</v>
      </c>
      <c r="C6" s="214">
        <f>'Data Sheet'!C59</f>
        <v>117.86</v>
      </c>
      <c r="D6" s="214">
        <f>'Data Sheet'!D59</f>
        <v>119.9</v>
      </c>
      <c r="E6" s="214">
        <f>'Data Sheet'!E59</f>
        <v>120.77</v>
      </c>
      <c r="F6" s="214">
        <f>'Data Sheet'!F59</f>
        <v>124.52</v>
      </c>
      <c r="G6" s="214">
        <f>'Data Sheet'!G59</f>
        <v>125.59</v>
      </c>
      <c r="H6" s="214">
        <f>'Data Sheet'!H59</f>
        <v>121.46</v>
      </c>
      <c r="I6" s="214">
        <f>'Data Sheet'!I59</f>
        <v>122.77</v>
      </c>
      <c r="J6" s="214">
        <f>'Data Sheet'!J59</f>
        <v>124.23</v>
      </c>
      <c r="K6" s="227">
        <f>'Data Sheet'!K59</f>
        <v>1911.74</v>
      </c>
    </row>
    <row r="7" spans="1:11" x14ac:dyDescent="0.15">
      <c r="A7" s="226" t="s">
        <v>66</v>
      </c>
      <c r="B7" s="214">
        <f>'Data Sheet'!B60</f>
        <v>4757.93</v>
      </c>
      <c r="C7" s="214">
        <f>'Data Sheet'!C60</f>
        <v>3102.2</v>
      </c>
      <c r="D7" s="214">
        <f>'Data Sheet'!D60</f>
        <v>3661.15</v>
      </c>
      <c r="E7" s="214">
        <f>'Data Sheet'!E60</f>
        <v>4594.99</v>
      </c>
      <c r="F7" s="214">
        <f>'Data Sheet'!F60</f>
        <v>5476.08</v>
      </c>
      <c r="G7" s="214">
        <f>'Data Sheet'!G60</f>
        <v>4722.3500000000004</v>
      </c>
      <c r="H7" s="214">
        <f>'Data Sheet'!H60</f>
        <v>6206.82</v>
      </c>
      <c r="I7" s="214">
        <f>'Data Sheet'!I60</f>
        <v>5128.79</v>
      </c>
      <c r="J7" s="214">
        <f>'Data Sheet'!J60</f>
        <v>5650.68</v>
      </c>
      <c r="K7" s="227">
        <f>'Data Sheet'!K60</f>
        <v>8469.5400000000009</v>
      </c>
    </row>
    <row r="8" spans="1:11" s="212" customFormat="1" x14ac:dyDescent="0.15">
      <c r="A8" s="228" t="s">
        <v>21</v>
      </c>
      <c r="B8" s="215">
        <f>'Data Sheet'!B61</f>
        <v>15965.6</v>
      </c>
      <c r="C8" s="215">
        <f>'Data Sheet'!C61</f>
        <v>17240.37</v>
      </c>
      <c r="D8" s="215">
        <f>'Data Sheet'!D61</f>
        <v>21637.62</v>
      </c>
      <c r="E8" s="215">
        <f>'Data Sheet'!E61</f>
        <v>25141</v>
      </c>
      <c r="F8" s="215">
        <f>'Data Sheet'!F61</f>
        <v>28834.41</v>
      </c>
      <c r="G8" s="215">
        <f>'Data Sheet'!G61</f>
        <v>26510.02</v>
      </c>
      <c r="H8" s="215">
        <f>'Data Sheet'!H61</f>
        <v>33601.71</v>
      </c>
      <c r="I8" s="215">
        <f>'Data Sheet'!I61</f>
        <v>35111.21</v>
      </c>
      <c r="J8" s="215">
        <f>'Data Sheet'!J61</f>
        <v>35136.449999999997</v>
      </c>
      <c r="K8" s="229">
        <f>'Data Sheet'!K61</f>
        <v>39343.69</v>
      </c>
    </row>
    <row r="9" spans="1:11" s="212" customFormat="1" x14ac:dyDescent="0.15">
      <c r="A9" s="228"/>
      <c r="B9" s="215"/>
      <c r="C9" s="215"/>
      <c r="D9" s="215"/>
      <c r="E9" s="215"/>
      <c r="F9" s="215"/>
      <c r="G9" s="215"/>
      <c r="H9" s="215"/>
      <c r="I9" s="215"/>
      <c r="J9" s="215"/>
      <c r="K9" s="229"/>
    </row>
    <row r="10" spans="1:11" x14ac:dyDescent="0.15">
      <c r="A10" s="226" t="s">
        <v>22</v>
      </c>
      <c r="B10" s="214">
        <f>'Data Sheet'!B62</f>
        <v>2448.0300000000002</v>
      </c>
      <c r="C10" s="214">
        <f>'Data Sheet'!C62</f>
        <v>2025.67</v>
      </c>
      <c r="D10" s="214">
        <f>'Data Sheet'!D62</f>
        <v>2001.79</v>
      </c>
      <c r="E10" s="214">
        <f>'Data Sheet'!E62</f>
        <v>1878.33</v>
      </c>
      <c r="F10" s="214">
        <f>'Data Sheet'!F62</f>
        <v>1763.94</v>
      </c>
      <c r="G10" s="214">
        <f>'Data Sheet'!G62</f>
        <v>1699.02</v>
      </c>
      <c r="H10" s="214">
        <f>'Data Sheet'!H62</f>
        <v>1667.55</v>
      </c>
      <c r="I10" s="214">
        <f>'Data Sheet'!I62</f>
        <v>1836.05</v>
      </c>
      <c r="J10" s="214">
        <f>'Data Sheet'!J62</f>
        <v>2842.24</v>
      </c>
      <c r="K10" s="227">
        <f>'Data Sheet'!K62</f>
        <v>3217.37</v>
      </c>
    </row>
    <row r="11" spans="1:11" x14ac:dyDescent="0.15">
      <c r="A11" s="226" t="s">
        <v>23</v>
      </c>
      <c r="B11" s="214">
        <f>'Data Sheet'!B63</f>
        <v>254.94</v>
      </c>
      <c r="C11" s="214">
        <f>'Data Sheet'!C63</f>
        <v>52.24</v>
      </c>
      <c r="D11" s="214">
        <f>'Data Sheet'!D63</f>
        <v>42.17</v>
      </c>
      <c r="E11" s="214">
        <f>'Data Sheet'!E63</f>
        <v>56.47</v>
      </c>
      <c r="F11" s="214">
        <f>'Data Sheet'!F63</f>
        <v>48.02</v>
      </c>
      <c r="G11" s="214">
        <f>'Data Sheet'!G63</f>
        <v>60.19</v>
      </c>
      <c r="H11" s="214">
        <f>'Data Sheet'!H63</f>
        <v>15.98</v>
      </c>
      <c r="I11" s="214">
        <f>'Data Sheet'!I63</f>
        <v>77.209999999999994</v>
      </c>
      <c r="J11" s="214">
        <f>'Data Sheet'!J63</f>
        <v>85.27</v>
      </c>
      <c r="K11" s="227">
        <f>'Data Sheet'!K63</f>
        <v>35.1</v>
      </c>
    </row>
    <row r="12" spans="1:11" x14ac:dyDescent="0.15">
      <c r="A12" s="226" t="s">
        <v>24</v>
      </c>
      <c r="B12" s="214">
        <f>'Data Sheet'!B64</f>
        <v>8985.25</v>
      </c>
      <c r="C12" s="214">
        <f>'Data Sheet'!C64</f>
        <v>11067.23</v>
      </c>
      <c r="D12" s="214">
        <f>'Data Sheet'!D64</f>
        <v>15477.04</v>
      </c>
      <c r="E12" s="214">
        <f>'Data Sheet'!E64</f>
        <v>18894.57</v>
      </c>
      <c r="F12" s="214">
        <f>'Data Sheet'!F64</f>
        <v>20602.849999999999</v>
      </c>
      <c r="G12" s="214">
        <f>'Data Sheet'!G64</f>
        <v>19913.580000000002</v>
      </c>
      <c r="H12" s="214">
        <f>'Data Sheet'!H64</f>
        <v>24686.65</v>
      </c>
      <c r="I12" s="214">
        <f>'Data Sheet'!I64</f>
        <v>26634.12</v>
      </c>
      <c r="J12" s="214">
        <f>'Data Sheet'!J64</f>
        <v>26182.91</v>
      </c>
      <c r="K12" s="227">
        <f>'Data Sheet'!K64</f>
        <v>28086.68</v>
      </c>
    </row>
    <row r="13" spans="1:11" x14ac:dyDescent="0.15">
      <c r="A13" s="226" t="s">
        <v>67</v>
      </c>
      <c r="B13" s="214">
        <f>'Data Sheet'!B65</f>
        <v>4277.38</v>
      </c>
      <c r="C13" s="214">
        <f>'Data Sheet'!C65</f>
        <v>4095.23</v>
      </c>
      <c r="D13" s="214">
        <f>'Data Sheet'!D65</f>
        <v>4116.62</v>
      </c>
      <c r="E13" s="214">
        <f>'Data Sheet'!E65</f>
        <v>4311.63</v>
      </c>
      <c r="F13" s="214">
        <f>'Data Sheet'!F65</f>
        <v>6419.6</v>
      </c>
      <c r="G13" s="214">
        <f>'Data Sheet'!G65</f>
        <v>4837.2299999999996</v>
      </c>
      <c r="H13" s="214">
        <f>'Data Sheet'!H65</f>
        <v>7231.53</v>
      </c>
      <c r="I13" s="214">
        <f>'Data Sheet'!I65</f>
        <v>6563.83</v>
      </c>
      <c r="J13" s="214">
        <f>'Data Sheet'!J65</f>
        <v>6026.03</v>
      </c>
      <c r="K13" s="227">
        <f>'Data Sheet'!K65</f>
        <v>8004.54</v>
      </c>
    </row>
    <row r="14" spans="1:11" s="212" customFormat="1" x14ac:dyDescent="0.15">
      <c r="A14" s="228" t="s">
        <v>21</v>
      </c>
      <c r="B14" s="215">
        <f>'Data Sheet'!B66</f>
        <v>15965.6</v>
      </c>
      <c r="C14" s="215">
        <f>'Data Sheet'!C66</f>
        <v>17240.37</v>
      </c>
      <c r="D14" s="215">
        <f>'Data Sheet'!D66</f>
        <v>21637.62</v>
      </c>
      <c r="E14" s="215">
        <f>'Data Sheet'!E66</f>
        <v>25141</v>
      </c>
      <c r="F14" s="215">
        <f>'Data Sheet'!F66</f>
        <v>28834.41</v>
      </c>
      <c r="G14" s="215">
        <f>'Data Sheet'!G66</f>
        <v>26510.02</v>
      </c>
      <c r="H14" s="215">
        <f>'Data Sheet'!H66</f>
        <v>33601.71</v>
      </c>
      <c r="I14" s="215">
        <f>'Data Sheet'!I66</f>
        <v>35111.21</v>
      </c>
      <c r="J14" s="215">
        <f>'Data Sheet'!J66</f>
        <v>35136.449999999997</v>
      </c>
      <c r="K14" s="229">
        <f>'Data Sheet'!K66</f>
        <v>39343.69</v>
      </c>
    </row>
    <row r="15" spans="1:11" x14ac:dyDescent="0.15">
      <c r="A15" s="226"/>
      <c r="B15" s="216"/>
      <c r="C15" s="216"/>
      <c r="D15" s="216"/>
      <c r="E15" s="216"/>
      <c r="F15" s="216"/>
      <c r="G15" s="216"/>
      <c r="H15" s="216"/>
      <c r="I15" s="216"/>
      <c r="J15" s="216"/>
      <c r="K15" s="230"/>
    </row>
    <row r="16" spans="1:11" x14ac:dyDescent="0.15">
      <c r="A16" s="226" t="s">
        <v>25</v>
      </c>
      <c r="B16" s="216">
        <f>B13-B7</f>
        <v>-480.55000000000018</v>
      </c>
      <c r="C16" s="216">
        <f t="shared" ref="C16:K16" si="0">C13-C7</f>
        <v>993.0300000000002</v>
      </c>
      <c r="D16" s="216">
        <f t="shared" si="0"/>
        <v>455.4699999999998</v>
      </c>
      <c r="E16" s="216">
        <f t="shared" si="0"/>
        <v>-283.35999999999967</v>
      </c>
      <c r="F16" s="216">
        <f t="shared" si="0"/>
        <v>943.52000000000044</v>
      </c>
      <c r="G16" s="216">
        <f t="shared" si="0"/>
        <v>114.8799999999992</v>
      </c>
      <c r="H16" s="216">
        <f t="shared" si="0"/>
        <v>1024.71</v>
      </c>
      <c r="I16" s="216">
        <f t="shared" si="0"/>
        <v>1435.04</v>
      </c>
      <c r="J16" s="216">
        <f t="shared" si="0"/>
        <v>375.34999999999945</v>
      </c>
      <c r="K16" s="230">
        <f t="shared" si="0"/>
        <v>-465.00000000000091</v>
      </c>
    </row>
    <row r="17" spans="1:12" x14ac:dyDescent="0.15">
      <c r="A17" s="226" t="s">
        <v>39</v>
      </c>
      <c r="B17" s="216">
        <f>'Data Sheet'!B67</f>
        <v>716.96</v>
      </c>
      <c r="C17" s="216">
        <f>'Data Sheet'!C67</f>
        <v>717.93</v>
      </c>
      <c r="D17" s="216">
        <f>'Data Sheet'!D67</f>
        <v>953.29</v>
      </c>
      <c r="E17" s="216">
        <f>'Data Sheet'!E67</f>
        <v>1491.87</v>
      </c>
      <c r="F17" s="216">
        <f>'Data Sheet'!F67</f>
        <v>2559.69</v>
      </c>
      <c r="G17" s="216">
        <f>'Data Sheet'!G67</f>
        <v>1725.1</v>
      </c>
      <c r="H17" s="216">
        <f>'Data Sheet'!H67</f>
        <v>2716.85</v>
      </c>
      <c r="I17" s="216">
        <f>'Data Sheet'!I67</f>
        <v>1516.38</v>
      </c>
      <c r="J17" s="216">
        <f>'Data Sheet'!J67</f>
        <v>1752.43</v>
      </c>
      <c r="K17" s="230">
        <f>'Data Sheet'!K67</f>
        <v>2075.5300000000002</v>
      </c>
    </row>
    <row r="18" spans="1:12" x14ac:dyDescent="0.15">
      <c r="A18" s="226" t="s">
        <v>40</v>
      </c>
      <c r="B18" s="216">
        <f>'Data Sheet'!B68</f>
        <v>814.15</v>
      </c>
      <c r="C18" s="216">
        <f>'Data Sheet'!C68</f>
        <v>719.07</v>
      </c>
      <c r="D18" s="216">
        <f>'Data Sheet'!D68</f>
        <v>728.38</v>
      </c>
      <c r="E18" s="216">
        <f>'Data Sheet'!E68</f>
        <v>742.58</v>
      </c>
      <c r="F18" s="216">
        <f>'Data Sheet'!F68</f>
        <v>961.51</v>
      </c>
      <c r="G18" s="216">
        <f>'Data Sheet'!G68</f>
        <v>1063.5</v>
      </c>
      <c r="H18" s="216">
        <f>'Data Sheet'!H68</f>
        <v>1493.89</v>
      </c>
      <c r="I18" s="216">
        <f>'Data Sheet'!I68</f>
        <v>1230.51</v>
      </c>
      <c r="J18" s="216">
        <f>'Data Sheet'!J68</f>
        <v>1563.55</v>
      </c>
      <c r="K18" s="230">
        <f>'Data Sheet'!K68</f>
        <v>1688.75</v>
      </c>
    </row>
    <row r="19" spans="1:12" ht="14" thickBot="1" x14ac:dyDescent="0.2">
      <c r="A19" s="231" t="s">
        <v>229</v>
      </c>
      <c r="B19" s="232"/>
      <c r="C19" s="232"/>
      <c r="D19" s="232">
        <f>71.52+4663.29</f>
        <v>4734.8100000000004</v>
      </c>
      <c r="E19" s="232">
        <f>76.82+3290.3</f>
        <v>3367.1200000000003</v>
      </c>
      <c r="F19" s="232">
        <f>181.04+3009.36</f>
        <v>3190.4</v>
      </c>
      <c r="G19" s="232">
        <f>117.5+3275.89</f>
        <v>3393.39</v>
      </c>
      <c r="H19" s="232">
        <f>127.22+2477.63</f>
        <v>2604.85</v>
      </c>
      <c r="I19" s="232">
        <f>74.68+3471.57</f>
        <v>3546.25</v>
      </c>
      <c r="J19" s="233">
        <f>74.06+4544.06+121.33</f>
        <v>4739.4500000000007</v>
      </c>
      <c r="K19" s="233">
        <f>106.96+130.61+5591.12</f>
        <v>5828.69</v>
      </c>
    </row>
    <row r="20" spans="1:12" x14ac:dyDescent="0.15">
      <c r="A20" s="221" t="s">
        <v>250</v>
      </c>
      <c r="B20" s="217"/>
      <c r="C20" s="217"/>
      <c r="D20" s="217"/>
      <c r="E20" s="217"/>
      <c r="F20" s="217"/>
      <c r="G20" s="217"/>
      <c r="H20" s="217"/>
      <c r="I20" s="217"/>
      <c r="J20" s="217"/>
      <c r="K20" s="217"/>
    </row>
    <row r="21" spans="1:12" ht="14" thickBot="1" x14ac:dyDescent="0.2">
      <c r="B21" s="217"/>
      <c r="C21" s="217"/>
      <c r="D21" s="217"/>
      <c r="E21" s="217"/>
      <c r="F21" s="217"/>
      <c r="G21" s="217"/>
      <c r="H21" s="217"/>
      <c r="I21" s="217"/>
      <c r="J21" s="217"/>
      <c r="K21" s="217"/>
    </row>
    <row r="22" spans="1:12" x14ac:dyDescent="0.15">
      <c r="A22" s="234" t="s">
        <v>41</v>
      </c>
      <c r="B22" s="235">
        <f>IF('Profit &amp; Loss'!B4&gt;0,'Balance Sheet'!B17/('Profit &amp; Loss'!B4/365),0)</f>
        <v>12.117854510026193</v>
      </c>
      <c r="C22" s="235">
        <f>IF('Profit &amp; Loss'!C4&gt;0,'Balance Sheet'!C17/('Profit &amp; Loss'!C4/365),0)</f>
        <v>11.608401196259894</v>
      </c>
      <c r="D22" s="235">
        <f>IF('Profit &amp; Loss'!D4&gt;0,'Balance Sheet'!D17/('Profit &amp; Loss'!D4/365),0)</f>
        <v>15.994269289607036</v>
      </c>
      <c r="E22" s="235">
        <f>IF('Profit &amp; Loss'!E4&gt;0,'Balance Sheet'!E17/('Profit &amp; Loss'!E4/365),0)</f>
        <v>21.599923125530296</v>
      </c>
      <c r="F22" s="235">
        <f>IF('Profit &amp; Loss'!F4&gt;0,'Balance Sheet'!F17/('Profit &amp; Loss'!F4/365),0)</f>
        <v>30.776014135490811</v>
      </c>
      <c r="G22" s="235">
        <f>IF('Profit &amp; Loss'!G4&gt;0,'Balance Sheet'!G17/('Profit &amp; Loss'!G4/365),0)</f>
        <v>21.045785822555494</v>
      </c>
      <c r="H22" s="235">
        <f>IF('Profit &amp; Loss'!H4&gt;0,'Balance Sheet'!H17/('Profit &amp; Loss'!H4/365),0)</f>
        <v>35.746634593894683</v>
      </c>
      <c r="I22" s="235">
        <f>IF('Profit &amp; Loss'!I4&gt;0,'Balance Sheet'!I17/('Profit &amp; Loss'!I4/365),0)</f>
        <v>16.698854809711719</v>
      </c>
      <c r="J22" s="235">
        <f>IF('Profit &amp; Loss'!J4&gt;0,'Balance Sheet'!J17/('Profit &amp; Loss'!J4/365),0)</f>
        <v>17.545749077365262</v>
      </c>
      <c r="K22" s="236">
        <f>IF('Profit &amp; Loss'!K4&gt;0,'Balance Sheet'!K17/('Profit &amp; Loss'!K4/365),0)</f>
        <v>16.883467575416596</v>
      </c>
    </row>
    <row r="23" spans="1:12" x14ac:dyDescent="0.15">
      <c r="A23" s="237" t="s">
        <v>42</v>
      </c>
      <c r="B23" s="218">
        <f>IF('Balance Sheet'!B18&gt;0,'Profit &amp; Loss'!B4/'Balance Sheet'!B18,0)</f>
        <v>26.525136645581281</v>
      </c>
      <c r="C23" s="218">
        <f>IF('Balance Sheet'!C18&gt;0,'Profit &amp; Loss'!C4/'Balance Sheet'!C18,0)</f>
        <v>31.392896380046444</v>
      </c>
      <c r="D23" s="218">
        <f>IF('Balance Sheet'!D18&gt;0,'Profit &amp; Loss'!D4/'Balance Sheet'!D18,0)</f>
        <v>29.867267085861776</v>
      </c>
      <c r="E23" s="218">
        <f>IF('Balance Sheet'!E18&gt;0,'Profit &amp; Loss'!E4/'Balance Sheet'!E18,0)</f>
        <v>33.949109860217078</v>
      </c>
      <c r="F23" s="218">
        <f>IF('Balance Sheet'!F18&gt;0,'Profit &amp; Loss'!F4/'Balance Sheet'!F18,0)</f>
        <v>31.572869756944808</v>
      </c>
      <c r="G23" s="218">
        <f>IF('Balance Sheet'!G18&gt;0,'Profit &amp; Loss'!G4/'Balance Sheet'!G18,0)</f>
        <v>28.132251998119418</v>
      </c>
      <c r="H23" s="218">
        <f>IF('Balance Sheet'!H18&gt;0,'Profit &amp; Loss'!H4/'Balance Sheet'!H18,0)</f>
        <v>18.569693886430727</v>
      </c>
      <c r="I23" s="218">
        <f>IF('Balance Sheet'!I18&gt;0,'Profit &amp; Loss'!I4/'Balance Sheet'!I18,0)</f>
        <v>26.935750217389536</v>
      </c>
      <c r="J23" s="218">
        <f>IF('Balance Sheet'!J18&gt;0,'Profit &amp; Loss'!J4/'Balance Sheet'!J18,0)</f>
        <v>23.315774999200535</v>
      </c>
      <c r="K23" s="238">
        <f>IF('Balance Sheet'!K18&gt;0,'Profit &amp; Loss'!K4/'Balance Sheet'!K18,0)</f>
        <v>26.57020281273131</v>
      </c>
    </row>
    <row r="24" spans="1:12" x14ac:dyDescent="0.15">
      <c r="A24" s="237" t="s">
        <v>97</v>
      </c>
      <c r="B24" s="219">
        <f>'Profit &amp; Loss'!B4/'Balance Sheet'!B10</f>
        <v>8.821558559331379</v>
      </c>
      <c r="C24" s="219">
        <f>'Profit &amp; Loss'!C4/'Balance Sheet'!C10</f>
        <v>11.143814145443235</v>
      </c>
      <c r="D24" s="219">
        <f>'Profit &amp; Loss'!D4/'Balance Sheet'!D10</f>
        <v>10.867633468046099</v>
      </c>
      <c r="E24" s="219">
        <f>'Profit &amp; Loss'!E4/'Balance Sheet'!E10</f>
        <v>13.421459487949402</v>
      </c>
      <c r="F24" s="219">
        <f>'Profit &amp; Loss'!F4/'Balance Sheet'!F10</f>
        <v>17.210126194768531</v>
      </c>
      <c r="G24" s="219">
        <f>'Profit &amp; Loss'!G4/'Balance Sheet'!G10</f>
        <v>17.60935715883274</v>
      </c>
      <c r="H24" s="219">
        <f>'Profit &amp; Loss'!H4/'Balance Sheet'!H10</f>
        <v>16.635831009564932</v>
      </c>
      <c r="I24" s="219">
        <f>'Profit &amp; Loss'!I4/'Balance Sheet'!I10</f>
        <v>18.05218267476376</v>
      </c>
      <c r="J24" s="219">
        <f>'Profit &amp; Loss'!J4/'Balance Sheet'!J10</f>
        <v>12.826284902049087</v>
      </c>
      <c r="K24" s="239">
        <f>'Profit &amp; Loss'!K4/'Balance Sheet'!K10</f>
        <v>13.946307076898213</v>
      </c>
    </row>
    <row r="25" spans="1:12" x14ac:dyDescent="0.15">
      <c r="A25" s="237" t="s">
        <v>98</v>
      </c>
      <c r="B25" s="219">
        <f>B6/(B4+B5)</f>
        <v>1.0125890916170058E-2</v>
      </c>
      <c r="C25" s="219">
        <f t="shared" ref="C25:K25" si="1">C6/(C4+C5)</f>
        <v>8.4063761785581059E-3</v>
      </c>
      <c r="D25" s="219">
        <f t="shared" si="1"/>
        <v>6.7146154048621882E-3</v>
      </c>
      <c r="E25" s="219">
        <f t="shared" si="1"/>
        <v>5.9127824201820889E-3</v>
      </c>
      <c r="F25" s="219">
        <f t="shared" si="1"/>
        <v>5.3594309327656556E-3</v>
      </c>
      <c r="G25" s="219">
        <f t="shared" si="1"/>
        <v>5.7976888645965676E-3</v>
      </c>
      <c r="H25" s="219">
        <f t="shared" si="1"/>
        <v>4.4534185835811632E-3</v>
      </c>
      <c r="I25" s="219">
        <f t="shared" si="1"/>
        <v>4.1115686218693125E-3</v>
      </c>
      <c r="J25" s="219">
        <f t="shared" si="1"/>
        <v>4.2310451018577368E-3</v>
      </c>
      <c r="K25" s="239">
        <f t="shared" si="1"/>
        <v>6.6007628508815391E-2</v>
      </c>
    </row>
    <row r="26" spans="1:12" s="212" customFormat="1" x14ac:dyDescent="0.15">
      <c r="A26" s="237" t="s">
        <v>55</v>
      </c>
      <c r="B26" s="220">
        <f>IF(SUM('Balance Sheet'!B4:B5)&gt;0,'Profit &amp; Loss'!B23/SUM('Balance Sheet'!B4:B5),"")</f>
        <v>0.25343117638788187</v>
      </c>
      <c r="C26" s="220">
        <f>IF(SUM('Balance Sheet'!C4:C5)&gt;0,'Profit &amp; Loss'!C23/SUM('Balance Sheet'!C4:C5),"")</f>
        <v>0.28966834542174863</v>
      </c>
      <c r="D26" s="220">
        <f>IF(SUM('Balance Sheet'!D4:D5)&gt;0,'Profit &amp; Loss'!D23/SUM('Balance Sheet'!D4:D5),"")</f>
        <v>0.22845820893934285</v>
      </c>
      <c r="E26" s="220">
        <f>IF(SUM('Balance Sheet'!E4:E5)&gt;0,'Profit &amp; Loss'!E23/SUM('Balance Sheet'!E4:E5),"")</f>
        <v>0.20655522285172673</v>
      </c>
      <c r="F26" s="220">
        <f>IF(SUM('Balance Sheet'!F4:F5)&gt;0,'Profit &amp; Loss'!F23/SUM('Balance Sheet'!F4:F5),"")</f>
        <v>0.21208747080224907</v>
      </c>
      <c r="G26" s="220">
        <f>IF(SUM('Balance Sheet'!G4:G5)&gt;0,'Profit &amp; Loss'!G23/SUM('Balance Sheet'!G4:G5),"")</f>
        <v>0.2406006256093596</v>
      </c>
      <c r="H26" s="220">
        <f>IF(SUM('Balance Sheet'!H4:H5)&gt;0,'Profit &amp; Loss'!H23/SUM('Balance Sheet'!H4:H5),"")</f>
        <v>0.17808614464700626</v>
      </c>
      <c r="I26" s="220">
        <f>IF(SUM('Balance Sheet'!I4:I5)&gt;0,'Profit &amp; Loss'!I23/SUM('Balance Sheet'!I4:I5),"")</f>
        <v>0.20649505268815943</v>
      </c>
      <c r="J26" s="220">
        <f>IF(SUM('Balance Sheet'!J4:J5)&gt;0,'Profit &amp; Loss'!J23/SUM('Balance Sheet'!J4:J5),"")</f>
        <v>0.20639959620646597</v>
      </c>
      <c r="K26" s="240">
        <f>IF(SUM('Balance Sheet'!K4:K5)&gt;0,'Profit &amp; Loss'!K23/SUM('Balance Sheet'!K4:K5),"")</f>
        <v>0.26614636005774378</v>
      </c>
      <c r="L26" s="213"/>
    </row>
    <row r="27" spans="1:12" s="212" customFormat="1" ht="14" thickBot="1" x14ac:dyDescent="0.2">
      <c r="A27" s="241" t="s">
        <v>96</v>
      </c>
      <c r="B27" s="264">
        <f>('Profit &amp; Loss'!B19+'Profit &amp; Loss'!B17)/(B4+B5+B6)</f>
        <v>0.36487869467962508</v>
      </c>
      <c r="C27" s="264">
        <f>('Profit &amp; Loss'!C19+'Profit &amp; Loss'!C17)/(C4+C5+C6)</f>
        <v>0.40174506318710246</v>
      </c>
      <c r="D27" s="264">
        <f>('Profit &amp; Loss'!D19+'Profit &amp; Loss'!D17)/(D4+D5+D6)</f>
        <v>0.3109036423725014</v>
      </c>
      <c r="E27" s="264">
        <f>('Profit &amp; Loss'!E19+'Profit &amp; Loss'!E17)/(E4+E5+E6)</f>
        <v>0.28885024391597219</v>
      </c>
      <c r="F27" s="264">
        <f>('Profit &amp; Loss'!F19+'Profit &amp; Loss'!F17)/(F4+F5+F6)</f>
        <v>0.29796907570018932</v>
      </c>
      <c r="G27" s="264">
        <f>('Profit &amp; Loss'!G19+'Profit &amp; Loss'!G17)/(G4+G5+G6)</f>
        <v>0.30729720066441235</v>
      </c>
      <c r="H27" s="264">
        <f>('Profit &amp; Loss'!H19+'Profit &amp; Loss'!H17)/(H4+H5+H6)</f>
        <v>0.22807501691008794</v>
      </c>
      <c r="I27" s="264">
        <f>('Profit &amp; Loss'!I19+'Profit &amp; Loss'!I17)/(I4+I5+I6)</f>
        <v>0.2554943863770836</v>
      </c>
      <c r="J27" s="264">
        <f>('Profit &amp; Loss'!J19+'Profit &amp; Loss'!J17)/(J4+J5+J6)</f>
        <v>0.26729808989217507</v>
      </c>
      <c r="K27" s="265">
        <f>('Profit &amp; Loss'!K19+'Profit &amp; Loss'!K17)/(K4+K5+K6)</f>
        <v>0.32714746802745986</v>
      </c>
      <c r="L27" s="213"/>
    </row>
  </sheetData>
  <mergeCells count="2">
    <mergeCell ref="A1:K1"/>
    <mergeCell ref="A2:K2"/>
  </mergeCells>
  <printOptions gridLines="1"/>
  <pageMargins left="0.7" right="0.7" top="0.75" bottom="0.75" header="0.3" footer="0.3"/>
  <pageSetup paperSize="9" orientation="landscape" horizontalDpi="0" verticalDpi="0" r:id="rId1"/>
  <legacyDrawing r:id="rId2"/>
  <extLst>
    <ext xmlns:x14="http://schemas.microsoft.com/office/spreadsheetml/2009/9/main" uri="{05C60535-1F16-4fd2-B633-F4F36F0B64E0}">
      <x14:sparklineGroups xmlns:xm="http://schemas.microsoft.com/office/excel/2006/main">
        <x14:sparklineGroup type="column" displayEmptyCellsAs="gap" xr2:uid="{C6317AC8-0CE7-4ED0-83C1-F68B6A61E005}">
          <x14:colorSeries rgb="FFC00000"/>
          <x14:colorNegative rgb="FFD00000"/>
          <x14:colorAxis rgb="FF000000"/>
          <x14:colorMarkers rgb="FFD00000"/>
          <x14:colorFirst rgb="FFD00000"/>
          <x14:colorLast rgb="FFD00000"/>
          <x14:colorHigh rgb="FFD00000"/>
          <x14:colorLow rgb="FFD00000"/>
          <x14:sparklines>
            <x14:sparkline>
              <xm:f>'Balance Sheet'!G27:K27</xm:f>
              <xm:sqref>L27</xm:sqref>
            </x14:sparkline>
          </x14:sparklines>
        </x14:sparklineGroup>
        <x14:sparklineGroup type="column" displayEmptyCellsAs="gap" xr2:uid="{0A035670-A727-405C-899E-AD0948A76599}">
          <x14:colorSeries rgb="FFC00000"/>
          <x14:colorNegative rgb="FFD00000"/>
          <x14:colorAxis rgb="FF000000"/>
          <x14:colorMarkers rgb="FFD00000"/>
          <x14:colorFirst rgb="FFD00000"/>
          <x14:colorLast rgb="FFD00000"/>
          <x14:colorHigh rgb="FFD00000"/>
          <x14:colorLow rgb="FFD00000"/>
          <x14:sparklines>
            <x14:sparkline>
              <xm:f>'Balance Sheet'!G26:K26</xm:f>
              <xm:sqref>L26</xm:sqref>
            </x14:sparkline>
          </x14:sparklines>
        </x14:sparklineGroup>
        <x14:sparklineGroup type="column" displayEmptyCellsAs="gap" xr2:uid="{B062919B-1B9E-4F85-9F98-EEBE56C8C994}">
          <x14:colorSeries rgb="FFC00000"/>
          <x14:colorNegative rgb="FFD00000"/>
          <x14:colorAxis rgb="FF000000"/>
          <x14:colorMarkers rgb="FFD00000"/>
          <x14:colorFirst rgb="FFD00000"/>
          <x14:colorLast rgb="FFD00000"/>
          <x14:colorHigh rgb="FFD00000"/>
          <x14:colorLow rgb="FFD00000"/>
          <x14:sparklines>
            <x14:sparkline>
              <xm:f>'Balance Sheet'!G22:K22</xm:f>
              <xm:sqref>L22</xm:sqref>
            </x14:sparkline>
            <x14:sparkline>
              <xm:f>'Balance Sheet'!G23:K23</xm:f>
              <xm:sqref>L23</xm:sqref>
            </x14:sparkline>
            <x14:sparkline>
              <xm:f>'Balance Sheet'!G24:K24</xm:f>
              <xm:sqref>L24</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44"/>
  <sheetViews>
    <sheetView zoomScaleSheetLayoutView="100" workbookViewId="0">
      <selection sqref="A1:O44"/>
    </sheetView>
  </sheetViews>
  <sheetFormatPr baseColWidth="10" defaultColWidth="9.5" defaultRowHeight="13" x14ac:dyDescent="0.15"/>
  <cols>
    <col min="1" max="1" width="25.5" style="141" bestFit="1" customWidth="1"/>
    <col min="2" max="2" width="9.33203125" style="141" bestFit="1" customWidth="1"/>
    <col min="3" max="5" width="8.33203125" style="141" bestFit="1" customWidth="1"/>
    <col min="6" max="12" width="7.5" style="141" bestFit="1" customWidth="1"/>
    <col min="13" max="13" width="13" style="141" bestFit="1" customWidth="1"/>
    <col min="14" max="14" width="9.5" style="141"/>
    <col min="15" max="15" width="10.5" style="141" customWidth="1"/>
    <col min="16" max="16384" width="9.5" style="141"/>
  </cols>
  <sheetData>
    <row r="1" spans="1:15" ht="19" x14ac:dyDescent="0.2">
      <c r="A1" s="321" t="s">
        <v>239</v>
      </c>
      <c r="B1" s="322"/>
      <c r="C1" s="322"/>
      <c r="D1" s="322"/>
      <c r="E1" s="322"/>
      <c r="F1" s="322"/>
      <c r="G1" s="322"/>
      <c r="H1" s="322"/>
      <c r="I1" s="322"/>
      <c r="J1" s="322"/>
      <c r="K1" s="322"/>
      <c r="L1" s="323"/>
    </row>
    <row r="2" spans="1:15" s="142" customFormat="1" ht="14" thickBot="1" x14ac:dyDescent="0.2">
      <c r="A2" s="329" t="str">
        <f>'Data Sheet'!B1</f>
        <v>BAJAJ AUTO LTD</v>
      </c>
      <c r="B2" s="330"/>
      <c r="C2" s="330"/>
      <c r="D2" s="330"/>
      <c r="E2" s="330"/>
      <c r="F2" s="330"/>
      <c r="G2" s="330"/>
      <c r="H2" s="330"/>
      <c r="I2" s="330"/>
      <c r="J2" s="330"/>
      <c r="K2" s="330"/>
      <c r="L2" s="331"/>
    </row>
    <row r="3" spans="1:15" s="142" customFormat="1" x14ac:dyDescent="0.15">
      <c r="A3" s="143" t="s">
        <v>179</v>
      </c>
      <c r="B3" s="144">
        <f>'Data Sheet'!B16</f>
        <v>42094</v>
      </c>
      <c r="C3" s="144">
        <f>'Data Sheet'!C16</f>
        <v>42460</v>
      </c>
      <c r="D3" s="144">
        <f>'Data Sheet'!D16</f>
        <v>42825</v>
      </c>
      <c r="E3" s="144">
        <f>'Data Sheet'!E16</f>
        <v>43190</v>
      </c>
      <c r="F3" s="144">
        <f>'Data Sheet'!F16</f>
        <v>43555</v>
      </c>
      <c r="G3" s="144">
        <f>'Data Sheet'!G16</f>
        <v>43921</v>
      </c>
      <c r="H3" s="144">
        <f>'Data Sheet'!H16</f>
        <v>44286</v>
      </c>
      <c r="I3" s="144">
        <f>'Data Sheet'!I16</f>
        <v>44651</v>
      </c>
      <c r="J3" s="144">
        <f>'Data Sheet'!J16</f>
        <v>45016</v>
      </c>
      <c r="K3" s="144">
        <f>'Data Sheet'!K16</f>
        <v>45382</v>
      </c>
      <c r="L3" s="145" t="s">
        <v>3</v>
      </c>
    </row>
    <row r="4" spans="1:15" s="142" customFormat="1" x14ac:dyDescent="0.15">
      <c r="A4" s="146" t="s">
        <v>4</v>
      </c>
      <c r="B4" s="147">
        <f>'Data Sheet'!B17</f>
        <v>21595.439999999999</v>
      </c>
      <c r="C4" s="147">
        <f>'Data Sheet'!C17</f>
        <v>22573.69</v>
      </c>
      <c r="D4" s="147">
        <f>'Data Sheet'!D17</f>
        <v>21754.720000000001</v>
      </c>
      <c r="E4" s="147">
        <f>'Data Sheet'!E17</f>
        <v>25209.93</v>
      </c>
      <c r="F4" s="147">
        <f>'Data Sheet'!F17</f>
        <v>30357.63</v>
      </c>
      <c r="G4" s="147">
        <f>'Data Sheet'!G17</f>
        <v>29918.65</v>
      </c>
      <c r="H4" s="147">
        <f>'Data Sheet'!H17</f>
        <v>27741.08</v>
      </c>
      <c r="I4" s="147">
        <f>'Data Sheet'!I17</f>
        <v>33144.71</v>
      </c>
      <c r="J4" s="147">
        <f>'Data Sheet'!J17</f>
        <v>36455.379999999997</v>
      </c>
      <c r="K4" s="147">
        <f>'Data Sheet'!K17</f>
        <v>44870.43</v>
      </c>
      <c r="L4" s="148">
        <f>SUM(Quarters!H4:K4)</f>
        <v>48899.63</v>
      </c>
    </row>
    <row r="5" spans="1:15" s="142" customFormat="1" x14ac:dyDescent="0.15">
      <c r="A5" s="149" t="s">
        <v>92</v>
      </c>
      <c r="B5" s="150"/>
      <c r="C5" s="151">
        <f>C4/B4-1</f>
        <v>4.5298914956120262E-2</v>
      </c>
      <c r="D5" s="151">
        <f t="shared" ref="D5:K5" si="0">D4/C4-1</f>
        <v>-3.6279846139465777E-2</v>
      </c>
      <c r="E5" s="151">
        <f t="shared" si="0"/>
        <v>0.15882576286893135</v>
      </c>
      <c r="F5" s="151">
        <f t="shared" si="0"/>
        <v>0.20419334762135399</v>
      </c>
      <c r="G5" s="151">
        <f t="shared" si="0"/>
        <v>-1.4460285602005185E-2</v>
      </c>
      <c r="H5" s="151">
        <f t="shared" si="0"/>
        <v>-7.2783029982970482E-2</v>
      </c>
      <c r="I5" s="151">
        <f t="shared" si="0"/>
        <v>0.19478801834679826</v>
      </c>
      <c r="J5" s="151">
        <f t="shared" si="0"/>
        <v>9.9885321066317978E-2</v>
      </c>
      <c r="K5" s="151">
        <f t="shared" si="0"/>
        <v>0.23083149867042962</v>
      </c>
      <c r="L5" s="152"/>
    </row>
    <row r="6" spans="1:15" x14ac:dyDescent="0.15">
      <c r="A6" s="153" t="s">
        <v>5</v>
      </c>
      <c r="B6" s="154">
        <f>SUM('Data Sheet'!B18,'Data Sheet'!B20:B24, -1*'Data Sheet'!B19)</f>
        <v>17467.040000000005</v>
      </c>
      <c r="C6" s="154">
        <f>SUM('Data Sheet'!C18,'Data Sheet'!C20:C24, -1*'Data Sheet'!C19)</f>
        <v>17780.740000000002</v>
      </c>
      <c r="D6" s="154">
        <f>SUM('Data Sheet'!D18,'Data Sheet'!D20:D24, -1*'Data Sheet'!D19)</f>
        <v>17326.09</v>
      </c>
      <c r="E6" s="154">
        <f>SUM('Data Sheet'!E18,'Data Sheet'!E20:E24, -1*'Data Sheet'!E19)</f>
        <v>20364.129999999997</v>
      </c>
      <c r="F6" s="154">
        <f>SUM('Data Sheet'!F18,'Data Sheet'!F20:F24, -1*'Data Sheet'!F19)</f>
        <v>25159.71</v>
      </c>
      <c r="G6" s="154">
        <f>SUM('Data Sheet'!G18,'Data Sheet'!G20:G24, -1*'Data Sheet'!G19)</f>
        <v>24809.310000000005</v>
      </c>
      <c r="H6" s="154">
        <f>SUM('Data Sheet'!H18,'Data Sheet'!H20:H24, -1*'Data Sheet'!H19)</f>
        <v>22803.300000000003</v>
      </c>
      <c r="I6" s="154">
        <f>SUM('Data Sheet'!I18,'Data Sheet'!I20:I24, -1*'Data Sheet'!I19)</f>
        <v>27885.91</v>
      </c>
      <c r="J6" s="154">
        <f>SUM('Data Sheet'!J18,'Data Sheet'!J20:J24, -1*'Data Sheet'!J19)</f>
        <v>29990.739999999998</v>
      </c>
      <c r="K6" s="154">
        <f>SUM('Data Sheet'!K18,'Data Sheet'!K20:K24, -1*'Data Sheet'!K19)</f>
        <v>36105.75</v>
      </c>
      <c r="L6" s="155">
        <f>SUM(Quarters!H6:K6)</f>
        <v>39756.800000000003</v>
      </c>
      <c r="M6" s="327" t="s">
        <v>104</v>
      </c>
      <c r="N6" s="327"/>
      <c r="O6" s="327"/>
    </row>
    <row r="7" spans="1:15" x14ac:dyDescent="0.15">
      <c r="A7" s="156" t="s">
        <v>102</v>
      </c>
      <c r="B7" s="157">
        <f>'Data Sheet'!B18/'Data Sheet'!B17</f>
        <v>0.69032582804517995</v>
      </c>
      <c r="C7" s="157">
        <f>'Data Sheet'!C18/'Data Sheet'!C17</f>
        <v>0.66419845404096545</v>
      </c>
      <c r="D7" s="157">
        <f>'Data Sheet'!D18/'Data Sheet'!D17</f>
        <v>0.67423667139820687</v>
      </c>
      <c r="E7" s="157">
        <f>'Data Sheet'!E18/'Data Sheet'!E17</f>
        <v>0.6902204805804697</v>
      </c>
      <c r="F7" s="157">
        <f>'Data Sheet'!F18/'Data Sheet'!F17</f>
        <v>0.719888212617388</v>
      </c>
      <c r="G7" s="157">
        <f>'Data Sheet'!G18/'Data Sheet'!G17</f>
        <v>0.70428612253560907</v>
      </c>
      <c r="H7" s="157">
        <f>'Data Sheet'!H18/'Data Sheet'!H17</f>
        <v>0.71479300733785422</v>
      </c>
      <c r="I7" s="157">
        <f>'Data Sheet'!I18/'Data Sheet'!I17</f>
        <v>0.72837746958715288</v>
      </c>
      <c r="J7" s="157">
        <f>'Data Sheet'!J18/'Data Sheet'!J17</f>
        <v>0.71927874568856509</v>
      </c>
      <c r="K7" s="157">
        <f>'Data Sheet'!K18/'Data Sheet'!K17</f>
        <v>0.7124863746569845</v>
      </c>
      <c r="L7" s="158"/>
      <c r="M7" s="327"/>
      <c r="N7" s="327"/>
      <c r="O7" s="327"/>
    </row>
    <row r="8" spans="1:15" x14ac:dyDescent="0.15">
      <c r="A8" s="156" t="s">
        <v>76</v>
      </c>
      <c r="B8" s="157">
        <f>'Data Sheet'!B20/'Data Sheet'!B17</f>
        <v>5.3159370681958784E-3</v>
      </c>
      <c r="C8" s="157">
        <f>'Data Sheet'!C20/'Data Sheet'!C17</f>
        <v>5.3451606715605648E-3</v>
      </c>
      <c r="D8" s="157">
        <f>'Data Sheet'!D20/'Data Sheet'!D17</f>
        <v>4.4339803040443632E-3</v>
      </c>
      <c r="E8" s="157">
        <f>'Data Sheet'!E20/'Data Sheet'!E17</f>
        <v>3.9770042994962699E-3</v>
      </c>
      <c r="F8" s="157">
        <f>'Data Sheet'!F20/'Data Sheet'!F17</f>
        <v>3.7885039115372315E-3</v>
      </c>
      <c r="G8" s="157">
        <f>'Data Sheet'!G20/'Data Sheet'!G17</f>
        <v>3.8962319489682855E-3</v>
      </c>
      <c r="H8" s="157">
        <f>'Data Sheet'!H20/'Data Sheet'!H17</f>
        <v>3.292589906377113E-3</v>
      </c>
      <c r="I8" s="157">
        <f>'Data Sheet'!I20/'Data Sheet'!I17</f>
        <v>3.2587402333585061E-3</v>
      </c>
      <c r="J8" s="157">
        <f>'Data Sheet'!J20/'Data Sheet'!J17</f>
        <v>3.3630152805978158E-3</v>
      </c>
      <c r="K8" s="157">
        <f>'Data Sheet'!K20/'Data Sheet'!K17</f>
        <v>3.2970488582346994E-3</v>
      </c>
      <c r="L8" s="158"/>
      <c r="M8" s="327"/>
      <c r="N8" s="327"/>
      <c r="O8" s="327"/>
    </row>
    <row r="9" spans="1:15" x14ac:dyDescent="0.15">
      <c r="A9" s="156" t="s">
        <v>77</v>
      </c>
      <c r="B9" s="157">
        <f>'Data Sheet'!B21/'Data Sheet'!B17</f>
        <v>3.0366595910988618E-2</v>
      </c>
      <c r="C9" s="157">
        <f>'Data Sheet'!C21/'Data Sheet'!C17</f>
        <v>2.8537204152267532E-2</v>
      </c>
      <c r="D9" s="157">
        <f>'Data Sheet'!D21/'Data Sheet'!D17</f>
        <v>2.5168790956629179E-2</v>
      </c>
      <c r="E9" s="157">
        <f>'Data Sheet'!E21/'Data Sheet'!E17</f>
        <v>2.1823146672759502E-2</v>
      </c>
      <c r="F9" s="157">
        <f>'Data Sheet'!F21/'Data Sheet'!F17</f>
        <v>2.0884041343148328E-2</v>
      </c>
      <c r="G9" s="157">
        <f>'Data Sheet'!G21/'Data Sheet'!G17</f>
        <v>2.3357671552693721E-2</v>
      </c>
      <c r="H9" s="157">
        <f>'Data Sheet'!H21/'Data Sheet'!H17</f>
        <v>2.1524396310453664E-2</v>
      </c>
      <c r="I9" s="157">
        <f>'Data Sheet'!I21/'Data Sheet'!I17</f>
        <v>2.5231175653671431E-2</v>
      </c>
      <c r="J9" s="157">
        <f>'Data Sheet'!J21/'Data Sheet'!J17</f>
        <v>2.0396166491749641E-2</v>
      </c>
      <c r="K9" s="157">
        <f>'Data Sheet'!K21/'Data Sheet'!K17</f>
        <v>1.6367795004416048E-2</v>
      </c>
      <c r="L9" s="158"/>
      <c r="M9" s="327"/>
      <c r="N9" s="327"/>
      <c r="O9" s="327"/>
    </row>
    <row r="10" spans="1:15" x14ac:dyDescent="0.15">
      <c r="A10" s="156" t="s">
        <v>78</v>
      </c>
      <c r="B10" s="157">
        <f>'Data Sheet'!B22/'Data Sheet'!B17</f>
        <v>4.1735662713980361E-2</v>
      </c>
      <c r="C10" s="157">
        <f>'Data Sheet'!C22/'Data Sheet'!C17</f>
        <v>4.0755853385069082E-2</v>
      </c>
      <c r="D10" s="157">
        <f>'Data Sheet'!D22/'Data Sheet'!D17</f>
        <v>4.595922172291806E-2</v>
      </c>
      <c r="E10" s="157">
        <f>'Data Sheet'!E22/'Data Sheet'!E17</f>
        <v>4.2546329958076043E-2</v>
      </c>
      <c r="F10" s="157">
        <f>'Data Sheet'!F22/'Data Sheet'!F17</f>
        <v>4.1515757323611888E-2</v>
      </c>
      <c r="G10" s="157">
        <f>'Data Sheet'!G22/'Data Sheet'!G17</f>
        <v>4.6626435350525505E-2</v>
      </c>
      <c r="H10" s="157">
        <f>'Data Sheet'!H22/'Data Sheet'!H17</f>
        <v>4.6720243047494898E-2</v>
      </c>
      <c r="I10" s="157">
        <f>'Data Sheet'!I22/'Data Sheet'!I17</f>
        <v>4.1213213209589102E-2</v>
      </c>
      <c r="J10" s="157">
        <f>'Data Sheet'!J22/'Data Sheet'!J17</f>
        <v>4.0819763776978872E-2</v>
      </c>
      <c r="K10" s="157">
        <f>'Data Sheet'!K22/'Data Sheet'!K17</f>
        <v>3.6350442819469302E-2</v>
      </c>
      <c r="L10" s="158"/>
      <c r="M10" s="327"/>
      <c r="N10" s="327"/>
      <c r="O10" s="327"/>
    </row>
    <row r="11" spans="1:15" x14ac:dyDescent="0.15">
      <c r="A11" s="156" t="s">
        <v>101</v>
      </c>
      <c r="B11" s="157">
        <f>'Data Sheet'!B23/'Data Sheet'!B17</f>
        <v>3.276525044175993E-2</v>
      </c>
      <c r="C11" s="157">
        <f>'Data Sheet'!C23/'Data Sheet'!C17</f>
        <v>3.5247228078351393E-2</v>
      </c>
      <c r="D11" s="157">
        <f>'Data Sheet'!D23/'Data Sheet'!D17</f>
        <v>3.2164514183588663E-2</v>
      </c>
      <c r="E11" s="157">
        <f>'Data Sheet'!E23/'Data Sheet'!E17</f>
        <v>3.38287333602275E-2</v>
      </c>
      <c r="F11" s="157">
        <f>'Data Sheet'!F23/'Data Sheet'!F17</f>
        <v>3.0994514393910193E-2</v>
      </c>
      <c r="G11" s="157">
        <f>'Data Sheet'!G23/'Data Sheet'!G17</f>
        <v>3.4125202841705761E-2</v>
      </c>
      <c r="H11" s="157">
        <f>'Data Sheet'!H23/'Data Sheet'!H17</f>
        <v>2.3606146552333219E-2</v>
      </c>
      <c r="I11" s="157">
        <f>'Data Sheet'!I23/'Data Sheet'!I17</f>
        <v>1.945710190253588E-2</v>
      </c>
      <c r="J11" s="157">
        <f>'Data Sheet'!J23/'Data Sheet'!J17</f>
        <v>2.33877688286338E-2</v>
      </c>
      <c r="K11" s="157">
        <f>'Data Sheet'!K23/'Data Sheet'!K17</f>
        <v>2.227235174701914E-2</v>
      </c>
      <c r="L11" s="158"/>
      <c r="M11" s="327"/>
      <c r="N11" s="327"/>
      <c r="O11" s="327"/>
    </row>
    <row r="12" spans="1:15" s="142" customFormat="1" x14ac:dyDescent="0.15">
      <c r="A12" s="146" t="s">
        <v>6</v>
      </c>
      <c r="B12" s="147">
        <f>B4-B6</f>
        <v>4128.3999999999942</v>
      </c>
      <c r="C12" s="147">
        <f t="shared" ref="C12:L12" si="1">C4-C6</f>
        <v>4792.9499999999971</v>
      </c>
      <c r="D12" s="147">
        <f t="shared" si="1"/>
        <v>4428.630000000001</v>
      </c>
      <c r="E12" s="147">
        <f t="shared" si="1"/>
        <v>4845.8000000000029</v>
      </c>
      <c r="F12" s="147">
        <f t="shared" si="1"/>
        <v>5197.9200000000019</v>
      </c>
      <c r="G12" s="147">
        <f t="shared" si="1"/>
        <v>5109.3399999999965</v>
      </c>
      <c r="H12" s="147">
        <f t="shared" si="1"/>
        <v>4937.7799999999988</v>
      </c>
      <c r="I12" s="147">
        <f t="shared" si="1"/>
        <v>5258.7999999999993</v>
      </c>
      <c r="J12" s="147">
        <f t="shared" si="1"/>
        <v>6464.6399999999994</v>
      </c>
      <c r="K12" s="147">
        <f t="shared" si="1"/>
        <v>8764.68</v>
      </c>
      <c r="L12" s="148">
        <f t="shared" si="1"/>
        <v>9142.8299999999945</v>
      </c>
    </row>
    <row r="13" spans="1:15" s="142" customFormat="1" x14ac:dyDescent="0.15">
      <c r="A13" s="149" t="s">
        <v>90</v>
      </c>
      <c r="B13" s="151">
        <f t="shared" ref="B13:L13" si="2">B12/B4</f>
        <v>0.19116998773815186</v>
      </c>
      <c r="C13" s="151">
        <f t="shared" si="2"/>
        <v>0.21232461329981928</v>
      </c>
      <c r="D13" s="151">
        <f t="shared" si="2"/>
        <v>0.20357099516794519</v>
      </c>
      <c r="E13" s="151">
        <f t="shared" si="2"/>
        <v>0.19221790778475001</v>
      </c>
      <c r="F13" s="151">
        <f t="shared" si="2"/>
        <v>0.17122285237681603</v>
      </c>
      <c r="G13" s="151">
        <f t="shared" si="2"/>
        <v>0.17077441662641851</v>
      </c>
      <c r="H13" s="151">
        <f t="shared" si="2"/>
        <v>0.17799523306230322</v>
      </c>
      <c r="I13" s="151">
        <f t="shared" si="2"/>
        <v>0.15866181963879</v>
      </c>
      <c r="J13" s="151">
        <f t="shared" si="2"/>
        <v>0.17733020475990099</v>
      </c>
      <c r="K13" s="151">
        <f t="shared" si="2"/>
        <v>0.19533309576039276</v>
      </c>
      <c r="L13" s="152">
        <f t="shared" si="2"/>
        <v>0.18697135336197829</v>
      </c>
    </row>
    <row r="14" spans="1:15" x14ac:dyDescent="0.15">
      <c r="A14" s="153" t="s">
        <v>7</v>
      </c>
      <c r="B14" s="154">
        <f>'Data Sheet'!B25</f>
        <v>228.5</v>
      </c>
      <c r="C14" s="154">
        <f>'Data Sheet'!C25</f>
        <v>1194.1500000000001</v>
      </c>
      <c r="D14" s="154">
        <f>'Data Sheet'!D25</f>
        <v>1467.61</v>
      </c>
      <c r="E14" s="154">
        <f>'Data Sheet'!E25</f>
        <v>1403.72</v>
      </c>
      <c r="F14" s="154">
        <f>'Data Sheet'!F25</f>
        <v>2027.83</v>
      </c>
      <c r="G14" s="154">
        <f>'Data Sheet'!G25</f>
        <v>1832.38</v>
      </c>
      <c r="H14" s="154">
        <f>'Data Sheet'!H25</f>
        <v>1569.68</v>
      </c>
      <c r="I14" s="154">
        <f>'Data Sheet'!I25</f>
        <v>2671.3</v>
      </c>
      <c r="J14" s="154">
        <f>'Data Sheet'!J25</f>
        <v>1702.7</v>
      </c>
      <c r="K14" s="154">
        <f>'Data Sheet'!K25</f>
        <v>1700.49</v>
      </c>
      <c r="L14" s="155">
        <f>SUM(Quarters!H8:K8)</f>
        <v>1534.9099999999999</v>
      </c>
    </row>
    <row r="15" spans="1:15" x14ac:dyDescent="0.15">
      <c r="A15" s="149" t="s">
        <v>184</v>
      </c>
      <c r="B15" s="159">
        <f>B14/B4</f>
        <v>1.0580937457166885E-2</v>
      </c>
      <c r="C15" s="159">
        <f t="shared" ref="C15:L15" si="3">C14/C4</f>
        <v>5.2900079694547068E-2</v>
      </c>
      <c r="D15" s="159">
        <f t="shared" si="3"/>
        <v>6.7461681878691143E-2</v>
      </c>
      <c r="E15" s="159">
        <f t="shared" si="3"/>
        <v>5.5681233545670297E-2</v>
      </c>
      <c r="F15" s="159">
        <f t="shared" si="3"/>
        <v>6.6798033970372511E-2</v>
      </c>
      <c r="G15" s="159">
        <f t="shared" si="3"/>
        <v>6.124541047139493E-2</v>
      </c>
      <c r="H15" s="159">
        <f t="shared" si="3"/>
        <v>5.6583233241099477E-2</v>
      </c>
      <c r="I15" s="159">
        <f t="shared" si="3"/>
        <v>8.0595063284608623E-2</v>
      </c>
      <c r="J15" s="159">
        <f t="shared" si="3"/>
        <v>4.6706412057699036E-2</v>
      </c>
      <c r="K15" s="159">
        <f t="shared" si="3"/>
        <v>3.7897787028116289E-2</v>
      </c>
      <c r="L15" s="160">
        <f t="shared" si="3"/>
        <v>3.138899005984299E-2</v>
      </c>
    </row>
    <row r="16" spans="1:15" x14ac:dyDescent="0.15">
      <c r="A16" s="153" t="s">
        <v>8</v>
      </c>
      <c r="B16" s="154">
        <f>'Data Sheet'!B26</f>
        <v>267.45999999999998</v>
      </c>
      <c r="C16" s="154">
        <f>'Data Sheet'!C26</f>
        <v>307.16000000000003</v>
      </c>
      <c r="D16" s="154">
        <f>'Data Sheet'!D26</f>
        <v>307.29000000000002</v>
      </c>
      <c r="E16" s="154">
        <f>'Data Sheet'!E26</f>
        <v>314.8</v>
      </c>
      <c r="F16" s="154">
        <f>'Data Sheet'!F26</f>
        <v>265.69</v>
      </c>
      <c r="G16" s="154">
        <f>'Data Sheet'!G26</f>
        <v>246.43</v>
      </c>
      <c r="H16" s="154">
        <f>'Data Sheet'!H26</f>
        <v>259.37</v>
      </c>
      <c r="I16" s="154">
        <f>'Data Sheet'!I26</f>
        <v>269.76</v>
      </c>
      <c r="J16" s="154">
        <f>'Data Sheet'!J26</f>
        <v>285.85000000000002</v>
      </c>
      <c r="K16" s="154">
        <f>'Data Sheet'!K26</f>
        <v>364.77</v>
      </c>
      <c r="L16" s="155">
        <f>SUM(Quarters!H9:K9)</f>
        <v>379</v>
      </c>
    </row>
    <row r="17" spans="1:13" x14ac:dyDescent="0.15">
      <c r="A17" s="153" t="s">
        <v>9</v>
      </c>
      <c r="B17" s="154">
        <f>'Data Sheet'!B27</f>
        <v>6.49</v>
      </c>
      <c r="C17" s="154">
        <f>'Data Sheet'!C27</f>
        <v>1.05</v>
      </c>
      <c r="D17" s="154">
        <f>'Data Sheet'!D27</f>
        <v>1.4</v>
      </c>
      <c r="E17" s="154">
        <f>'Data Sheet'!E27</f>
        <v>1.31</v>
      </c>
      <c r="F17" s="154">
        <f>'Data Sheet'!F27</f>
        <v>4.4800000000000004</v>
      </c>
      <c r="G17" s="154">
        <f>'Data Sheet'!G27</f>
        <v>3.16</v>
      </c>
      <c r="H17" s="154">
        <f>'Data Sheet'!H27</f>
        <v>6.66</v>
      </c>
      <c r="I17" s="154">
        <f>'Data Sheet'!I27</f>
        <v>8.66</v>
      </c>
      <c r="J17" s="154">
        <f>'Data Sheet'!J27</f>
        <v>39.51</v>
      </c>
      <c r="K17" s="154">
        <f>'Data Sheet'!K27</f>
        <v>60.36</v>
      </c>
      <c r="L17" s="155">
        <f>SUM(Quarters!H10:K10)</f>
        <v>163.89999999999998</v>
      </c>
    </row>
    <row r="18" spans="1:13" x14ac:dyDescent="0.15">
      <c r="A18" s="149" t="s">
        <v>99</v>
      </c>
      <c r="B18" s="161">
        <f>(B19+B17)/B17</f>
        <v>630.11402157164775</v>
      </c>
      <c r="C18" s="161">
        <f t="shared" ref="C18:L18" si="4">(C19+C17)/C17</f>
        <v>5409.4666666666635</v>
      </c>
      <c r="D18" s="161">
        <f t="shared" si="4"/>
        <v>3992.1071428571436</v>
      </c>
      <c r="E18" s="161">
        <f t="shared" si="4"/>
        <v>4530.3206106870248</v>
      </c>
      <c r="F18" s="161">
        <f t="shared" si="4"/>
        <v>1553.5848214285718</v>
      </c>
      <c r="G18" s="161">
        <f t="shared" si="4"/>
        <v>2118.7626582278467</v>
      </c>
      <c r="H18" s="161">
        <f t="shared" si="4"/>
        <v>938.15165165165149</v>
      </c>
      <c r="I18" s="161">
        <f t="shared" si="4"/>
        <v>884.56581986143181</v>
      </c>
      <c r="J18" s="161">
        <f t="shared" si="4"/>
        <v>199.48089091369272</v>
      </c>
      <c r="K18" s="161">
        <f t="shared" si="4"/>
        <v>167.33598409542742</v>
      </c>
      <c r="L18" s="162">
        <f t="shared" si="4"/>
        <v>62.835509456985939</v>
      </c>
    </row>
    <row r="19" spans="1:13" x14ac:dyDescent="0.15">
      <c r="A19" s="153" t="s">
        <v>103</v>
      </c>
      <c r="B19" s="154">
        <f>B12+B14-B16-B17</f>
        <v>4082.9499999999944</v>
      </c>
      <c r="C19" s="154">
        <f t="shared" ref="C19:L19" si="5">C12+C14-C16-C17</f>
        <v>5678.8899999999967</v>
      </c>
      <c r="D19" s="154">
        <f t="shared" si="5"/>
        <v>5587.5500000000011</v>
      </c>
      <c r="E19" s="154">
        <f t="shared" si="5"/>
        <v>5933.4100000000026</v>
      </c>
      <c r="F19" s="154">
        <f t="shared" si="5"/>
        <v>6955.5800000000027</v>
      </c>
      <c r="G19" s="154">
        <f t="shared" si="5"/>
        <v>6692.1299999999965</v>
      </c>
      <c r="H19" s="154">
        <f t="shared" si="5"/>
        <v>6241.4299999999994</v>
      </c>
      <c r="I19" s="154">
        <f t="shared" si="5"/>
        <v>7651.6799999999994</v>
      </c>
      <c r="J19" s="154">
        <f t="shared" si="5"/>
        <v>7841.9799999999987</v>
      </c>
      <c r="K19" s="154">
        <f t="shared" si="5"/>
        <v>10040.039999999999</v>
      </c>
      <c r="L19" s="155">
        <f t="shared" si="5"/>
        <v>10134.839999999995</v>
      </c>
      <c r="M19" s="142"/>
    </row>
    <row r="20" spans="1:13" s="142" customFormat="1" x14ac:dyDescent="0.15">
      <c r="A20" s="149" t="s">
        <v>92</v>
      </c>
      <c r="B20" s="150"/>
      <c r="C20" s="151">
        <f>C19/B19-1</f>
        <v>0.39087914375635369</v>
      </c>
      <c r="D20" s="151">
        <f t="shared" ref="D20" si="6">D19/C19-1</f>
        <v>-1.608412911678081E-2</v>
      </c>
      <c r="E20" s="151">
        <f t="shared" ref="E20" si="7">E19/D19-1</f>
        <v>6.1898327531744846E-2</v>
      </c>
      <c r="F20" s="151">
        <f t="shared" ref="F20" si="8">F19/E19-1</f>
        <v>0.17227361668922248</v>
      </c>
      <c r="G20" s="151">
        <f t="shared" ref="G20" si="9">G19/F19-1</f>
        <v>-3.7876064972296453E-2</v>
      </c>
      <c r="H20" s="151">
        <f t="shared" ref="H20" si="10">H19/G19-1</f>
        <v>-6.7347765210777011E-2</v>
      </c>
      <c r="I20" s="151">
        <f t="shared" ref="I20" si="11">I19/H19-1</f>
        <v>0.22594982239646999</v>
      </c>
      <c r="J20" s="151">
        <f t="shared" ref="J20" si="12">J19/I19-1</f>
        <v>2.4870355268385325E-2</v>
      </c>
      <c r="K20" s="151">
        <f t="shared" ref="K20" si="13">K19/J19-1</f>
        <v>0.28029400738078913</v>
      </c>
      <c r="L20" s="152"/>
    </row>
    <row r="21" spans="1:13" x14ac:dyDescent="0.15">
      <c r="A21" s="149" t="s">
        <v>100</v>
      </c>
      <c r="B21" s="151">
        <f t="shared" ref="B21:L21" si="14">B19/B4</f>
        <v>0.18906537676472415</v>
      </c>
      <c r="C21" s="151">
        <f t="shared" si="14"/>
        <v>0.25157118751963004</v>
      </c>
      <c r="D21" s="151">
        <f t="shared" si="14"/>
        <v>0.25684311266704424</v>
      </c>
      <c r="E21" s="151">
        <f t="shared" si="14"/>
        <v>0.23536003471647887</v>
      </c>
      <c r="F21" s="151">
        <f t="shared" si="14"/>
        <v>0.22912131151213064</v>
      </c>
      <c r="G21" s="151">
        <f t="shared" si="14"/>
        <v>0.22367753892638859</v>
      </c>
      <c r="H21" s="151">
        <f t="shared" si="14"/>
        <v>0.22498871709392709</v>
      </c>
      <c r="I21" s="151">
        <f t="shared" si="14"/>
        <v>0.23085674908605325</v>
      </c>
      <c r="J21" s="151">
        <f t="shared" si="14"/>
        <v>0.2151117338510804</v>
      </c>
      <c r="K21" s="151">
        <f t="shared" si="14"/>
        <v>0.22375626888353864</v>
      </c>
      <c r="L21" s="152">
        <f t="shared" si="14"/>
        <v>0.20725800992768237</v>
      </c>
    </row>
    <row r="22" spans="1:13" x14ac:dyDescent="0.15">
      <c r="A22" s="153" t="s">
        <v>11</v>
      </c>
      <c r="B22" s="154">
        <f>'Data Sheet'!B29</f>
        <v>1271.05</v>
      </c>
      <c r="C22" s="154">
        <f>'Data Sheet'!C29</f>
        <v>1617.65</v>
      </c>
      <c r="D22" s="154">
        <f>'Data Sheet'!D29</f>
        <v>1508.07</v>
      </c>
      <c r="E22" s="154">
        <f>'Data Sheet'!E29</f>
        <v>1714.47</v>
      </c>
      <c r="F22" s="154">
        <f>'Data Sheet'!F29</f>
        <v>2027.98</v>
      </c>
      <c r="G22" s="154">
        <f>'Data Sheet'!G29</f>
        <v>1480.22</v>
      </c>
      <c r="H22" s="154">
        <f>'Data Sheet'!H29</f>
        <v>1384.41</v>
      </c>
      <c r="I22" s="154">
        <f>'Data Sheet'!I29</f>
        <v>1485.81</v>
      </c>
      <c r="J22" s="154">
        <f>'Data Sheet'!J29</f>
        <v>1781.77</v>
      </c>
      <c r="K22" s="154">
        <f>'Data Sheet'!K29</f>
        <v>2331.8000000000002</v>
      </c>
      <c r="L22" s="155">
        <f>SUM(Quarters!H14:K14)</f>
        <v>2763.56</v>
      </c>
    </row>
    <row r="23" spans="1:13" s="142" customFormat="1" x14ac:dyDescent="0.15">
      <c r="A23" s="146" t="s">
        <v>12</v>
      </c>
      <c r="B23" s="147">
        <f>B19-B22</f>
        <v>2811.8999999999942</v>
      </c>
      <c r="C23" s="147">
        <f t="shared" ref="C23:L23" si="15">C19-C22</f>
        <v>4061.2399999999966</v>
      </c>
      <c r="D23" s="147">
        <f t="shared" si="15"/>
        <v>4079.4800000000014</v>
      </c>
      <c r="E23" s="147">
        <f t="shared" si="15"/>
        <v>4218.9400000000023</v>
      </c>
      <c r="F23" s="147">
        <f t="shared" si="15"/>
        <v>4927.6000000000022</v>
      </c>
      <c r="G23" s="147">
        <f t="shared" si="15"/>
        <v>5211.9099999999962</v>
      </c>
      <c r="H23" s="147">
        <f t="shared" si="15"/>
        <v>4857.0199999999995</v>
      </c>
      <c r="I23" s="147">
        <f t="shared" si="15"/>
        <v>6165.869999999999</v>
      </c>
      <c r="J23" s="147">
        <f t="shared" si="15"/>
        <v>6060.2099999999991</v>
      </c>
      <c r="K23" s="147">
        <f t="shared" si="15"/>
        <v>7708.2399999999989</v>
      </c>
      <c r="L23" s="148">
        <f t="shared" si="15"/>
        <v>7371.2799999999952</v>
      </c>
    </row>
    <row r="24" spans="1:13" s="142" customFormat="1" x14ac:dyDescent="0.15">
      <c r="A24" s="149" t="s">
        <v>92</v>
      </c>
      <c r="B24" s="150"/>
      <c r="C24" s="151">
        <f>C23/B23-1</f>
        <v>0.44430456275116637</v>
      </c>
      <c r="D24" s="151">
        <f t="shared" ref="D24" si="16">D23/C23-1</f>
        <v>4.491239128937119E-3</v>
      </c>
      <c r="E24" s="151">
        <f t="shared" ref="E24" si="17">E23/D23-1</f>
        <v>3.4185729553766864E-2</v>
      </c>
      <c r="F24" s="151">
        <f t="shared" ref="F24" si="18">F23/E23-1</f>
        <v>0.16797110174593599</v>
      </c>
      <c r="G24" s="151">
        <f t="shared" ref="G24" si="19">G23/F23-1</f>
        <v>5.769745920935021E-2</v>
      </c>
      <c r="H24" s="151">
        <f t="shared" ref="H24" si="20">H23/G23-1</f>
        <v>-6.8092119779504467E-2</v>
      </c>
      <c r="I24" s="151">
        <f t="shared" ref="I24" si="21">I23/H23-1</f>
        <v>0.26947593380303148</v>
      </c>
      <c r="J24" s="151">
        <f t="shared" ref="J24" si="22">J23/I23-1</f>
        <v>-1.7136267874606537E-2</v>
      </c>
      <c r="K24" s="151">
        <f t="shared" ref="K24" si="23">K23/J23-1</f>
        <v>0.27194272145684728</v>
      </c>
      <c r="L24" s="152"/>
    </row>
    <row r="25" spans="1:13" x14ac:dyDescent="0.15">
      <c r="A25" s="149" t="s">
        <v>91</v>
      </c>
      <c r="B25" s="151">
        <f t="shared" ref="B25:L25" si="24">B23/B4</f>
        <v>0.13020804392038293</v>
      </c>
      <c r="C25" s="151">
        <f t="shared" si="24"/>
        <v>0.1799103292372668</v>
      </c>
      <c r="D25" s="151">
        <f t="shared" si="24"/>
        <v>0.187521604506976</v>
      </c>
      <c r="E25" s="151">
        <f t="shared" si="24"/>
        <v>0.16735230918927591</v>
      </c>
      <c r="F25" s="151">
        <f t="shared" si="24"/>
        <v>0.1623183364445776</v>
      </c>
      <c r="G25" s="151">
        <f t="shared" si="24"/>
        <v>0.17420271302348186</v>
      </c>
      <c r="H25" s="151">
        <f t="shared" si="24"/>
        <v>0.17508402700976311</v>
      </c>
      <c r="I25" s="151">
        <f t="shared" si="24"/>
        <v>0.18602878106340345</v>
      </c>
      <c r="J25" s="151">
        <f t="shared" si="24"/>
        <v>0.16623636895295013</v>
      </c>
      <c r="K25" s="151">
        <f t="shared" si="24"/>
        <v>0.17178885961199836</v>
      </c>
      <c r="L25" s="152">
        <f t="shared" si="24"/>
        <v>0.15074306288207079</v>
      </c>
      <c r="M25" s="142"/>
    </row>
    <row r="26" spans="1:13" x14ac:dyDescent="0.15">
      <c r="A26" s="153" t="s">
        <v>53</v>
      </c>
      <c r="B26" s="163">
        <f>IF('Data Sheet'!B93&gt;0,B23/'Data Sheet'!B93,0)</f>
        <v>97.163096060815278</v>
      </c>
      <c r="C26" s="163">
        <f>IF('Data Sheet'!C93&gt;0,C23/'Data Sheet'!C93,0)</f>
        <v>140.3331029716654</v>
      </c>
      <c r="D26" s="163">
        <f>IF('Data Sheet'!D93&gt;0,D23/'Data Sheet'!D93,0)</f>
        <v>140.96337249481689</v>
      </c>
      <c r="E26" s="163">
        <f>IF('Data Sheet'!E93&gt;0,E23/'Data Sheet'!E93,0)</f>
        <v>145.78230822391163</v>
      </c>
      <c r="F26" s="163">
        <f>IF('Data Sheet'!F93&gt;0,F23/'Data Sheet'!F93,0)</f>
        <v>170.26952315134767</v>
      </c>
      <c r="G26" s="163">
        <f>IF('Data Sheet'!G93&gt;0,G23/'Data Sheet'!G93,0)</f>
        <v>180.09364201796808</v>
      </c>
      <c r="H26" s="163">
        <f>IF('Data Sheet'!H93&gt;0,H23/'Data Sheet'!H93,0)</f>
        <v>167.83068417415339</v>
      </c>
      <c r="I26" s="163">
        <f>IF('Data Sheet'!I93&gt;0,I23/'Data Sheet'!I93,0)</f>
        <v>213.05701451278503</v>
      </c>
      <c r="J26" s="163">
        <f>IF('Data Sheet'!J93&gt;0,J23/'Data Sheet'!J93,0)</f>
        <v>214.14169611307418</v>
      </c>
      <c r="K26" s="163">
        <f>IF('Data Sheet'!K93&gt;0,K23/'Data Sheet'!K93,0)</f>
        <v>276.08309455587386</v>
      </c>
      <c r="L26" s="164">
        <f>IF('Data Sheet'!$B6&gt;0,'Profit &amp; Loss'!L23/'Data Sheet'!$B6,0)</f>
        <v>263.87153984220612</v>
      </c>
    </row>
    <row r="27" spans="1:13" s="142" customFormat="1" x14ac:dyDescent="0.15">
      <c r="A27" s="149" t="s">
        <v>92</v>
      </c>
      <c r="B27" s="150"/>
      <c r="C27" s="151">
        <f>C26/B26-1</f>
        <v>0.44430456275116659</v>
      </c>
      <c r="D27" s="151">
        <f t="shared" ref="D27" si="25">D26/C26-1</f>
        <v>4.491239128937119E-3</v>
      </c>
      <c r="E27" s="151">
        <f t="shared" ref="E27" si="26">E26/D26-1</f>
        <v>3.4185729553767086E-2</v>
      </c>
      <c r="F27" s="151">
        <f t="shared" ref="F27" si="27">F26/E26-1</f>
        <v>0.16797110174593577</v>
      </c>
      <c r="G27" s="151">
        <f t="shared" ref="G27" si="28">G26/F26-1</f>
        <v>5.769745920935021E-2</v>
      </c>
      <c r="H27" s="151">
        <f t="shared" ref="H27" si="29">H26/G26-1</f>
        <v>-6.8092119779504467E-2</v>
      </c>
      <c r="I27" s="151">
        <f t="shared" ref="I27" si="30">I26/H26-1</f>
        <v>0.26947593380303148</v>
      </c>
      <c r="J27" s="151">
        <f t="shared" ref="J27" si="31">J26/I26-1</f>
        <v>5.0910391416567613E-3</v>
      </c>
      <c r="K27" s="151">
        <f t="shared" ref="K27" si="32">K26/J26-1</f>
        <v>0.28925426279472677</v>
      </c>
      <c r="L27" s="152"/>
    </row>
    <row r="28" spans="1:13" x14ac:dyDescent="0.15">
      <c r="A28" s="165" t="s">
        <v>13</v>
      </c>
      <c r="B28" s="166">
        <f t="shared" ref="B28:K28" si="33">IF(B29&gt;0,B29/B26,"")</f>
        <v>20.754793555958646</v>
      </c>
      <c r="C28" s="166">
        <f t="shared" si="33"/>
        <v>17.14456496045544</v>
      </c>
      <c r="D28" s="166">
        <f t="shared" si="33"/>
        <v>19.901978438428422</v>
      </c>
      <c r="E28" s="166">
        <f t="shared" si="33"/>
        <v>18.827387448031956</v>
      </c>
      <c r="F28" s="166">
        <f t="shared" si="33"/>
        <v>17.097011526909647</v>
      </c>
      <c r="G28" s="166">
        <f t="shared" si="33"/>
        <v>11.229435849813225</v>
      </c>
      <c r="H28" s="166">
        <f t="shared" si="33"/>
        <v>21.870851674483536</v>
      </c>
      <c r="I28" s="166">
        <f t="shared" si="33"/>
        <v>17.145645302285001</v>
      </c>
      <c r="J28" s="166">
        <f t="shared" si="33"/>
        <v>18.141025641025642</v>
      </c>
      <c r="K28" s="166">
        <f t="shared" si="33"/>
        <v>33.135495002750311</v>
      </c>
      <c r="L28" s="167">
        <f t="shared" ref="L28" si="34">IF(L26&gt;0,L29/L26,0)</f>
        <v>37.331991187419305</v>
      </c>
      <c r="M28" s="142"/>
    </row>
    <row r="29" spans="1:13" s="142" customFormat="1" x14ac:dyDescent="0.15">
      <c r="A29" s="146" t="s">
        <v>54</v>
      </c>
      <c r="B29" s="147">
        <f>'Data Sheet'!B90</f>
        <v>2016.6</v>
      </c>
      <c r="C29" s="147">
        <f>'Data Sheet'!C90</f>
        <v>2405.9499999999998</v>
      </c>
      <c r="D29" s="147">
        <f>'Data Sheet'!D90</f>
        <v>2805.45</v>
      </c>
      <c r="E29" s="147">
        <f>'Data Sheet'!E90</f>
        <v>2744.7</v>
      </c>
      <c r="F29" s="147">
        <f>'Data Sheet'!F90</f>
        <v>2911.1</v>
      </c>
      <c r="G29" s="147">
        <f>'Data Sheet'!G90</f>
        <v>2022.35</v>
      </c>
      <c r="H29" s="147">
        <f>'Data Sheet'!H90</f>
        <v>3670.6</v>
      </c>
      <c r="I29" s="147">
        <f>'Data Sheet'!I90</f>
        <v>3653</v>
      </c>
      <c r="J29" s="147">
        <f>'Data Sheet'!J90</f>
        <v>3884.75</v>
      </c>
      <c r="K29" s="147">
        <f>'Data Sheet'!K90</f>
        <v>9148.15</v>
      </c>
      <c r="L29" s="148">
        <f>'Data Sheet'!B8</f>
        <v>9850.85</v>
      </c>
    </row>
    <row r="30" spans="1:13" x14ac:dyDescent="0.15">
      <c r="A30" s="153" t="s">
        <v>14</v>
      </c>
      <c r="B30" s="168">
        <f>IF('Data Sheet'!B30&gt;0, 'Data Sheet'!B31/'Data Sheet'!B30, 0)</f>
        <v>0.4781979290263515</v>
      </c>
      <c r="C30" s="168">
        <f>IF('Data Sheet'!C30&gt;0, 'Data Sheet'!C31/'Data Sheet'!C30, 0)</f>
        <v>0.39188523702120537</v>
      </c>
      <c r="D30" s="168">
        <f>IF('Data Sheet'!D30&gt;0, 'Data Sheet'!D31/'Data Sheet'!D30, 0)</f>
        <v>0.3901320998458141</v>
      </c>
      <c r="E30" s="168">
        <f>IF('Data Sheet'!E30&gt;0, 'Data Sheet'!E31/'Data Sheet'!E30, 0)</f>
        <v>0.41152893492456655</v>
      </c>
      <c r="F30" s="168">
        <f>IF('Data Sheet'!F30&gt;0, 'Data Sheet'!F31/'Data Sheet'!F30, 0)</f>
        <v>0.35234525459604149</v>
      </c>
      <c r="G30" s="168">
        <f>IF('Data Sheet'!G30&gt;0, 'Data Sheet'!G31/'Data Sheet'!G30, 0)</f>
        <v>0.66625095214614227</v>
      </c>
      <c r="H30" s="168">
        <f>IF('Data Sheet'!H30&gt;0, 'Data Sheet'!H31/'Data Sheet'!H30, 0)</f>
        <v>0.83408756809731055</v>
      </c>
      <c r="I30" s="168">
        <f>IF('Data Sheet'!I30&gt;0, 'Data Sheet'!I31/'Data Sheet'!I30, 0)</f>
        <v>0.65703298966731372</v>
      </c>
      <c r="J30" s="168">
        <f>IF('Data Sheet'!J30&gt;0, 'Data Sheet'!J31/'Data Sheet'!J30, 0)</f>
        <v>0.6536803180087819</v>
      </c>
      <c r="K30" s="168">
        <f>IF('Data Sheet'!K30&gt;0, 'Data Sheet'!K31/'Data Sheet'!K30, 0)</f>
        <v>0.28974707585648607</v>
      </c>
      <c r="L30" s="169"/>
    </row>
    <row r="31" spans="1:13" x14ac:dyDescent="0.15">
      <c r="A31" s="153" t="s">
        <v>181</v>
      </c>
      <c r="B31" s="154">
        <f>B29*'Data Sheet'!B93</f>
        <v>58360.404000000002</v>
      </c>
      <c r="C31" s="154">
        <f>C29*'Data Sheet'!C93</f>
        <v>69628.192999999999</v>
      </c>
      <c r="D31" s="154">
        <f>D29*'Data Sheet'!D93</f>
        <v>81189.722999999998</v>
      </c>
      <c r="E31" s="154">
        <f>E29*'Data Sheet'!E93</f>
        <v>79431.618000000002</v>
      </c>
      <c r="F31" s="154">
        <f>F29*'Data Sheet'!F93</f>
        <v>84247.233999999997</v>
      </c>
      <c r="G31" s="154">
        <f>G29*'Data Sheet'!G93</f>
        <v>58526.809000000001</v>
      </c>
      <c r="H31" s="154">
        <f>H29*'Data Sheet'!H93</f>
        <v>106227.164</v>
      </c>
      <c r="I31" s="154">
        <f>I29*'Data Sheet'!I93</f>
        <v>105717.82</v>
      </c>
      <c r="J31" s="154">
        <f>J29*'Data Sheet'!J93</f>
        <v>109938.425</v>
      </c>
      <c r="K31" s="154">
        <f>K29*'Data Sheet'!K93</f>
        <v>255416.348</v>
      </c>
      <c r="L31" s="155"/>
    </row>
    <row r="32" spans="1:13" x14ac:dyDescent="0.15">
      <c r="A32" s="153" t="s">
        <v>182</v>
      </c>
      <c r="B32" s="154">
        <f>B23*(1-B30)</f>
        <v>1467.2552433707992</v>
      </c>
      <c r="C32" s="154">
        <f t="shared" ref="C32:K32" si="35">C23*(1-C30)</f>
        <v>2469.699999999998</v>
      </c>
      <c r="D32" s="154">
        <f t="shared" si="35"/>
        <v>2487.943901320999</v>
      </c>
      <c r="E32" s="154">
        <f t="shared" si="35"/>
        <v>2482.7241152893507</v>
      </c>
      <c r="F32" s="154">
        <f t="shared" si="35"/>
        <v>3191.3835234525473</v>
      </c>
      <c r="G32" s="154">
        <f t="shared" si="35"/>
        <v>1739.4699999999984</v>
      </c>
      <c r="H32" s="154">
        <f t="shared" si="35"/>
        <v>805.8400000000006</v>
      </c>
      <c r="I32" s="154">
        <f t="shared" si="35"/>
        <v>2114.69</v>
      </c>
      <c r="J32" s="154">
        <f t="shared" si="35"/>
        <v>2098.7699999999995</v>
      </c>
      <c r="K32" s="154">
        <f t="shared" si="35"/>
        <v>5474.7999999999993</v>
      </c>
      <c r="L32" s="169"/>
    </row>
    <row r="33" spans="1:12" ht="14" thickBot="1" x14ac:dyDescent="0.2">
      <c r="A33" s="170" t="s">
        <v>183</v>
      </c>
      <c r="B33" s="171">
        <f>(K31-B31)/SUM(B32:K32)</f>
        <v>8.0984412688327065</v>
      </c>
      <c r="C33" s="172"/>
      <c r="D33" s="172"/>
      <c r="E33" s="172"/>
      <c r="F33" s="172"/>
      <c r="G33" s="172"/>
      <c r="H33" s="172"/>
      <c r="I33" s="172"/>
      <c r="J33" s="172"/>
      <c r="K33" s="172"/>
      <c r="L33" s="173"/>
    </row>
    <row r="34" spans="1:12" x14ac:dyDescent="0.15">
      <c r="B34" s="174"/>
      <c r="C34" s="174"/>
      <c r="D34" s="174"/>
      <c r="E34" s="174"/>
      <c r="F34" s="174"/>
      <c r="G34" s="174"/>
      <c r="H34" s="174"/>
      <c r="I34" s="174"/>
      <c r="J34" s="174"/>
      <c r="K34" s="174"/>
      <c r="L34" s="174"/>
    </row>
    <row r="35" spans="1:12" x14ac:dyDescent="0.15">
      <c r="B35" s="175"/>
      <c r="C35" s="175"/>
      <c r="D35" s="175"/>
      <c r="E35" s="175"/>
      <c r="F35" s="175"/>
      <c r="G35" s="175"/>
      <c r="H35" s="175"/>
      <c r="I35" s="175"/>
      <c r="J35" s="175"/>
      <c r="K35" s="175"/>
      <c r="L35" s="175"/>
    </row>
    <row r="36" spans="1:12" s="142" customFormat="1" x14ac:dyDescent="0.15">
      <c r="A36" s="176" t="s">
        <v>16</v>
      </c>
      <c r="B36" s="176" t="s">
        <v>60</v>
      </c>
      <c r="C36" s="176" t="s">
        <v>61</v>
      </c>
      <c r="D36" s="176" t="s">
        <v>62</v>
      </c>
      <c r="E36" s="176" t="s">
        <v>63</v>
      </c>
    </row>
    <row r="37" spans="1:12" s="142" customFormat="1" x14ac:dyDescent="0.15">
      <c r="A37" s="177" t="s">
        <v>17</v>
      </c>
      <c r="B37" s="178">
        <f>(K4/B4)^(1/9)-1</f>
        <v>8.464766597166884E-2</v>
      </c>
      <c r="C37" s="178">
        <f>(K4/D4)^(1/7)-1</f>
        <v>0.10895838145573555</v>
      </c>
      <c r="D37" s="178">
        <f>(K4/F4)^(1/5)-1</f>
        <v>8.128075564722903E-2</v>
      </c>
      <c r="E37" s="178">
        <f>(K4/H4)^(1/3)-1</f>
        <v>0.17384914751783653</v>
      </c>
    </row>
    <row r="38" spans="1:12" s="142" customFormat="1" x14ac:dyDescent="0.15">
      <c r="A38" s="177" t="s">
        <v>180</v>
      </c>
      <c r="B38" s="178">
        <f>(K19/B19)^(1/9)-1</f>
        <v>0.10514161079947826</v>
      </c>
      <c r="C38" s="178">
        <f>(K19/D19)^(1/7)-1</f>
        <v>8.7324429843134155E-2</v>
      </c>
      <c r="D38" s="178">
        <f>(K19/F19)^(1/5)-1</f>
        <v>7.616885367574433E-2</v>
      </c>
      <c r="E38" s="178">
        <f>(K19/H19)^(1/3)-1</f>
        <v>0.17170184287079215</v>
      </c>
    </row>
    <row r="39" spans="1:12" x14ac:dyDescent="0.15">
      <c r="A39" s="177" t="s">
        <v>100</v>
      </c>
      <c r="B39" s="178">
        <f>AVERAGE(B21:K21)</f>
        <v>0.22803520310209957</v>
      </c>
      <c r="C39" s="178">
        <f>AVERAGE(E21:K21)</f>
        <v>0.22612462200994246</v>
      </c>
      <c r="D39" s="178">
        <f>AVERAGE(G21:K21)</f>
        <v>0.22367820156819759</v>
      </c>
      <c r="E39" s="178">
        <f>AVERAGE(I21:K21)</f>
        <v>0.22324158394022409</v>
      </c>
      <c r="F39" s="142"/>
    </row>
    <row r="40" spans="1:12" x14ac:dyDescent="0.15">
      <c r="A40" s="177" t="s">
        <v>18</v>
      </c>
      <c r="B40" s="166">
        <f>AVERAGE(B28:K28)</f>
        <v>19.524818940014182</v>
      </c>
      <c r="C40" s="166">
        <f>AVERAGE(E28:K28)</f>
        <v>19.635264635042756</v>
      </c>
      <c r="D40" s="166">
        <f>AVERAGE(G28:K28)</f>
        <v>20.304490694071539</v>
      </c>
      <c r="E40" s="166">
        <f>AVERAGE(I28:K28)</f>
        <v>22.807388648686981</v>
      </c>
      <c r="F40" s="142"/>
    </row>
    <row r="41" spans="1:12" x14ac:dyDescent="0.15">
      <c r="A41" s="328" t="s">
        <v>240</v>
      </c>
      <c r="B41" s="328"/>
      <c r="C41" s="328"/>
      <c r="D41" s="328"/>
      <c r="E41" s="328"/>
    </row>
    <row r="42" spans="1:12" x14ac:dyDescent="0.15">
      <c r="A42" s="328"/>
      <c r="B42" s="328"/>
      <c r="C42" s="328"/>
      <c r="D42" s="328"/>
      <c r="E42" s="328"/>
    </row>
    <row r="43" spans="1:12" x14ac:dyDescent="0.15">
      <c r="A43" s="328"/>
      <c r="B43" s="328"/>
      <c r="C43" s="328"/>
      <c r="D43" s="328"/>
      <c r="E43" s="328"/>
    </row>
    <row r="44" spans="1:12" x14ac:dyDescent="0.15">
      <c r="A44" s="328"/>
      <c r="B44" s="328"/>
      <c r="C44" s="328"/>
      <c r="D44" s="328"/>
      <c r="E44" s="328"/>
    </row>
  </sheetData>
  <mergeCells count="4">
    <mergeCell ref="M6:O11"/>
    <mergeCell ref="A41:E44"/>
    <mergeCell ref="A1:L1"/>
    <mergeCell ref="A2:L2"/>
  </mergeCells>
  <printOptions gridLines="1"/>
  <pageMargins left="0.7" right="0.7" top="0.75" bottom="0.75" header="0.3" footer="0.3"/>
  <pageSetup paperSize="9" orientation="landscape" horizontalDpi="300" verticalDpi="300" r:id="rId1"/>
  <legacyDrawing r:id="rId2"/>
  <tableParts count="1">
    <tablePart r:id="rId3"/>
  </tableParts>
  <extLst>
    <ext xmlns:x14="http://schemas.microsoft.com/office/spreadsheetml/2009/9/main" uri="{05C60535-1F16-4fd2-B633-F4F36F0B64E0}">
      <x14:sparklineGroups xmlns:xm="http://schemas.microsoft.com/office/excel/2006/main">
        <x14:sparklineGroup type="column" displayEmptyCellsAs="gap" xr2:uid="{94601536-7D7C-4154-B09C-6C817ED3C9E0}">
          <x14:colorSeries rgb="FFC00000"/>
          <x14:colorNegative rgb="FFD00000"/>
          <x14:colorAxis rgb="FF000000"/>
          <x14:colorMarkers rgb="FFD00000"/>
          <x14:colorFirst rgb="FFD00000"/>
          <x14:colorLast rgb="FFD00000"/>
          <x14:colorHigh rgb="FFD00000"/>
          <x14:colorLow rgb="FFD00000"/>
          <x14:sparklines>
            <x14:sparkline>
              <xm:f>'Profit &amp; Loss'!G4:L4</xm:f>
              <xm:sqref>M4</xm:sqref>
            </x14:sparkline>
          </x14:sparklines>
        </x14:sparklineGroup>
        <x14:sparklineGroup type="column" displayEmptyCellsAs="gap" xr2:uid="{4E4C0FBF-DECA-4A6B-A41B-B74A2693260A}">
          <x14:colorSeries rgb="FFC00000"/>
          <x14:colorNegative rgb="FFD00000"/>
          <x14:colorAxis rgb="FF000000"/>
          <x14:colorMarkers rgb="FFD00000"/>
          <x14:colorFirst rgb="FFD00000"/>
          <x14:colorLast rgb="FFD00000"/>
          <x14:colorHigh rgb="FFD00000"/>
          <x14:colorLow rgb="FFD00000"/>
          <x14:sparklines>
            <x14:sparkline>
              <xm:f>'Profit &amp; Loss'!G12:L12</xm:f>
              <xm:sqref>M12</xm:sqref>
            </x14:sparkline>
          </x14:sparklines>
        </x14:sparklineGroup>
        <x14:sparklineGroup type="column" displayEmptyCellsAs="gap" xr2:uid="{B7A36FED-F0D9-4A2F-ABC9-662E6834AD5F}">
          <x14:colorSeries rgb="FFC00000"/>
          <x14:colorNegative rgb="FFD00000"/>
          <x14:colorAxis rgb="FF000000"/>
          <x14:colorMarkers rgb="FFD00000"/>
          <x14:colorFirst rgb="FFD00000"/>
          <x14:colorLast rgb="FFD00000"/>
          <x14:colorHigh rgb="FFD00000"/>
          <x14:colorLow rgb="FFD00000"/>
          <x14:sparklines>
            <x14:sparkline>
              <xm:f>'Profit &amp; Loss'!G19:L19</xm:f>
              <xm:sqref>M19</xm:sqref>
            </x14:sparkline>
          </x14:sparklines>
        </x14:sparklineGroup>
        <x14:sparklineGroup type="column" displayEmptyCellsAs="gap" xr2:uid="{5B52F889-DFE6-4521-AAE9-453782F932D5}">
          <x14:colorSeries rgb="FFC00000"/>
          <x14:colorNegative rgb="FFD00000"/>
          <x14:colorAxis rgb="FF000000"/>
          <x14:colorMarkers rgb="FFD00000"/>
          <x14:colorFirst rgb="FFD00000"/>
          <x14:colorLast rgb="FFD00000"/>
          <x14:colorHigh rgb="FFD00000"/>
          <x14:colorLow rgb="FFD00000"/>
          <x14:sparklines>
            <x14:sparkline>
              <xm:f>'Profit &amp; Loss'!G23:L23</xm:f>
              <xm:sqref>M23</xm:sqref>
            </x14:sparkline>
          </x14:sparklines>
        </x14:sparklineGroup>
        <x14:sparklineGroup type="column" displayEmptyCellsAs="gap" xr2:uid="{64E9220B-C344-496E-BFB5-655119B3D7B3}">
          <x14:colorSeries rgb="FFC00000"/>
          <x14:colorNegative rgb="FFD00000"/>
          <x14:colorAxis rgb="FF000000"/>
          <x14:colorMarkers rgb="FFD00000"/>
          <x14:colorFirst rgb="FFD00000"/>
          <x14:colorLast rgb="FFD00000"/>
          <x14:colorHigh rgb="FFD00000"/>
          <x14:colorLow rgb="FFD00000"/>
          <x14:sparklines>
            <x14:sparkline>
              <xm:f>'Profit &amp; Loss'!B37:E37</xm:f>
              <xm:sqref>F37</xm:sqref>
            </x14:sparkline>
          </x14:sparklines>
        </x14:sparklineGroup>
        <x14:sparklineGroup type="column" displayEmptyCellsAs="gap" xr2:uid="{22DC0198-1B36-4056-95B7-1D2DD1F16073}">
          <x14:colorSeries rgb="FFC00000"/>
          <x14:colorNegative rgb="FFD00000"/>
          <x14:colorAxis rgb="FF000000"/>
          <x14:colorMarkers rgb="FFD00000"/>
          <x14:colorFirst rgb="FFD00000"/>
          <x14:colorLast rgb="FFD00000"/>
          <x14:colorHigh rgb="FFD00000"/>
          <x14:colorLow rgb="FFD00000"/>
          <x14:sparklines>
            <x14:sparkline>
              <xm:f>'Profit &amp; Loss'!B38:E38</xm:f>
              <xm:sqref>F38</xm:sqref>
            </x14:sparkline>
            <x14:sparkline>
              <xm:f>'Profit &amp; Loss'!B39:E39</xm:f>
              <xm:sqref>F39</xm:sqref>
            </x14:sparkline>
            <x14:sparkline>
              <xm:f>'Profit &amp; Loss'!B40:E40</xm:f>
              <xm:sqref>F40</xm:sqref>
            </x14:sparkline>
          </x14:sparklines>
        </x14:sparklineGroup>
        <x14:sparklineGroup type="column" displayEmptyCellsAs="gap" xr2:uid="{68CFE33C-4EFA-44F6-908D-C598ED18BC72}">
          <x14:colorSeries rgb="FFC00000"/>
          <x14:colorNegative rgb="FFD00000"/>
          <x14:colorAxis rgb="FF000000"/>
          <x14:colorMarkers rgb="FFD00000"/>
          <x14:colorFirst rgb="FFD00000"/>
          <x14:colorLast rgb="FFD00000"/>
          <x14:colorHigh rgb="FFD00000"/>
          <x14:colorLow rgb="FFD00000"/>
          <x14:sparklines>
            <x14:sparkline>
              <xm:f>'Profit &amp; Loss'!G25:L25</xm:f>
              <xm:sqref>M25</xm:sqref>
            </x14:sparkline>
          </x14:sparklines>
        </x14:sparklineGroup>
        <x14:sparklineGroup type="column" displayEmptyCellsAs="gap" xr2:uid="{6E7D59D1-1D98-4F28-9EF0-5E0AA5D86DF4}">
          <x14:colorSeries rgb="FFC00000"/>
          <x14:colorNegative rgb="FFD00000"/>
          <x14:colorAxis rgb="FF000000"/>
          <x14:colorMarkers rgb="FFD00000"/>
          <x14:colorFirst rgb="FFD00000"/>
          <x14:colorLast rgb="FFD00000"/>
          <x14:colorHigh rgb="FFD00000"/>
          <x14:colorLow rgb="FFD00000"/>
          <x14:sparklines>
            <x14:sparkline>
              <xm:f>'Profit &amp; Loss'!G28:L28</xm:f>
              <xm:sqref>M28</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M18"/>
  <sheetViews>
    <sheetView workbookViewId="0">
      <pane xSplit="1" ySplit="3" topLeftCell="B4" activePane="bottomRight" state="frozen"/>
      <selection pane="topRight" activeCell="B1" sqref="B1"/>
      <selection pane="bottomLeft" activeCell="A4" sqref="A4"/>
      <selection pane="bottomRight" sqref="A1:L18"/>
    </sheetView>
  </sheetViews>
  <sheetFormatPr baseColWidth="10" defaultColWidth="13.1640625" defaultRowHeight="13" x14ac:dyDescent="0.15"/>
  <cols>
    <col min="1" max="1" width="32" style="7" bestFit="1" customWidth="1"/>
    <col min="2" max="2" width="7" style="7" bestFit="1" customWidth="1"/>
    <col min="3" max="11" width="7.1640625" style="7" bestFit="1" customWidth="1"/>
    <col min="12" max="12" width="8.1640625" style="7" bestFit="1" customWidth="1"/>
    <col min="13" max="16384" width="13.1640625" style="7"/>
  </cols>
  <sheetData>
    <row r="1" spans="1:13" ht="19" x14ac:dyDescent="0.2">
      <c r="A1" s="321" t="s">
        <v>265</v>
      </c>
      <c r="B1" s="322"/>
      <c r="C1" s="322"/>
      <c r="D1" s="322"/>
      <c r="E1" s="322"/>
      <c r="F1" s="322"/>
      <c r="G1" s="322"/>
      <c r="H1" s="322"/>
      <c r="I1" s="322"/>
      <c r="J1" s="322"/>
      <c r="K1" s="322"/>
      <c r="L1" s="323"/>
    </row>
    <row r="2" spans="1:13" s="6" customFormat="1" x14ac:dyDescent="0.15">
      <c r="A2" s="335" t="str">
        <f>'Balance Sheet'!A2</f>
        <v>BAJAJ AUTO LTD</v>
      </c>
      <c r="B2" s="336"/>
      <c r="C2" s="336"/>
      <c r="D2" s="336"/>
      <c r="E2" s="336"/>
      <c r="F2" s="336"/>
      <c r="G2" s="336"/>
      <c r="H2" s="336"/>
      <c r="I2" s="336"/>
      <c r="J2" s="336"/>
      <c r="K2" s="336"/>
      <c r="L2" s="337"/>
    </row>
    <row r="3" spans="1:13" s="6" customFormat="1" x14ac:dyDescent="0.15">
      <c r="A3" s="242" t="s">
        <v>179</v>
      </c>
      <c r="B3" s="103">
        <f>'Data Sheet'!B81</f>
        <v>42094</v>
      </c>
      <c r="C3" s="103">
        <f>'Data Sheet'!C81</f>
        <v>42460</v>
      </c>
      <c r="D3" s="103">
        <f>'Data Sheet'!D81</f>
        <v>42825</v>
      </c>
      <c r="E3" s="103">
        <f>'Data Sheet'!E81</f>
        <v>43190</v>
      </c>
      <c r="F3" s="103">
        <f>'Data Sheet'!F81</f>
        <v>43555</v>
      </c>
      <c r="G3" s="103">
        <f>'Data Sheet'!G81</f>
        <v>43921</v>
      </c>
      <c r="H3" s="103">
        <f>'Data Sheet'!H81</f>
        <v>44286</v>
      </c>
      <c r="I3" s="103">
        <f>'Data Sheet'!I81</f>
        <v>44651</v>
      </c>
      <c r="J3" s="103">
        <f>'Data Sheet'!J81</f>
        <v>45016</v>
      </c>
      <c r="K3" s="103">
        <f>'Data Sheet'!K81</f>
        <v>45382</v>
      </c>
      <c r="L3" s="198" t="s">
        <v>21</v>
      </c>
    </row>
    <row r="4" spans="1:13" s="6" customFormat="1" x14ac:dyDescent="0.15">
      <c r="A4" s="243" t="s">
        <v>93</v>
      </c>
      <c r="B4" s="108">
        <f>'Data Sheet'!B82</f>
        <v>2113.8000000000002</v>
      </c>
      <c r="C4" s="108">
        <f>'Data Sheet'!C82</f>
        <v>3689.85</v>
      </c>
      <c r="D4" s="108">
        <f>'Data Sheet'!D82</f>
        <v>3267.36</v>
      </c>
      <c r="E4" s="108">
        <f>'Data Sheet'!E82</f>
        <v>4327.84</v>
      </c>
      <c r="F4" s="108">
        <f>'Data Sheet'!F82</f>
        <v>2486.86</v>
      </c>
      <c r="G4" s="108">
        <f>'Data Sheet'!G82</f>
        <v>3850.44</v>
      </c>
      <c r="H4" s="108">
        <f>'Data Sheet'!H82</f>
        <v>3119.88</v>
      </c>
      <c r="I4" s="108">
        <f>'Data Sheet'!I82</f>
        <v>4197.21</v>
      </c>
      <c r="J4" s="108">
        <f>'Data Sheet'!J82</f>
        <v>5277.42</v>
      </c>
      <c r="K4" s="108">
        <f>'Data Sheet'!K82</f>
        <v>6558.16</v>
      </c>
      <c r="L4" s="244">
        <f>SUM(B4:K4)</f>
        <v>38888.820000000007</v>
      </c>
      <c r="M4" s="7"/>
    </row>
    <row r="5" spans="1:13" s="262" customFormat="1" x14ac:dyDescent="0.15">
      <c r="A5" s="245" t="s">
        <v>283</v>
      </c>
      <c r="B5" s="261"/>
      <c r="C5" s="107">
        <f>C4/B4-1</f>
        <v>0.74560034061879055</v>
      </c>
      <c r="D5" s="107">
        <f t="shared" ref="D5:K5" si="0">D4/C4-1</f>
        <v>-0.11450058945485586</v>
      </c>
      <c r="E5" s="107">
        <f t="shared" si="0"/>
        <v>0.32456784682434758</v>
      </c>
      <c r="F5" s="107">
        <f t="shared" si="0"/>
        <v>-0.42538079041739063</v>
      </c>
      <c r="G5" s="107">
        <f t="shared" si="0"/>
        <v>0.54831393805843498</v>
      </c>
      <c r="H5" s="107">
        <f t="shared" si="0"/>
        <v>-0.18973416025181533</v>
      </c>
      <c r="I5" s="107">
        <f t="shared" si="0"/>
        <v>0.3453113581291587</v>
      </c>
      <c r="J5" s="107">
        <f t="shared" si="0"/>
        <v>0.25736382025202453</v>
      </c>
      <c r="K5" s="107">
        <f t="shared" si="0"/>
        <v>0.24268297766711755</v>
      </c>
      <c r="L5" s="248"/>
      <c r="M5" s="10"/>
    </row>
    <row r="6" spans="1:13" x14ac:dyDescent="0.15">
      <c r="A6" s="80" t="s">
        <v>28</v>
      </c>
      <c r="B6" s="24">
        <f>'Data Sheet'!B83</f>
        <v>-379.66</v>
      </c>
      <c r="C6" s="24">
        <f>'Data Sheet'!C83</f>
        <v>-67.52</v>
      </c>
      <c r="D6" s="24">
        <f>'Data Sheet'!D83</f>
        <v>-3609.68</v>
      </c>
      <c r="E6" s="24">
        <f>'Data Sheet'!E83</f>
        <v>-1954.48</v>
      </c>
      <c r="F6" s="24">
        <f>'Data Sheet'!F83</f>
        <v>-272.77</v>
      </c>
      <c r="G6" s="24">
        <f>'Data Sheet'!G83</f>
        <v>1765.83</v>
      </c>
      <c r="H6" s="24">
        <f>'Data Sheet'!H83</f>
        <v>-2869.15</v>
      </c>
      <c r="I6" s="24">
        <f>'Data Sheet'!I83</f>
        <v>276.2</v>
      </c>
      <c r="J6" s="24">
        <f>'Data Sheet'!J83</f>
        <v>1211.21</v>
      </c>
      <c r="K6" s="24">
        <f>'Data Sheet'!K83</f>
        <v>-71.97</v>
      </c>
      <c r="L6" s="244">
        <f t="shared" ref="L6:L8" si="1">SUM(B6:K6)</f>
        <v>-5971.9900000000007</v>
      </c>
    </row>
    <row r="7" spans="1:13" x14ac:dyDescent="0.15">
      <c r="A7" s="80" t="s">
        <v>29</v>
      </c>
      <c r="B7" s="24">
        <f>'Data Sheet'!B84</f>
        <v>-1644.18</v>
      </c>
      <c r="C7" s="24">
        <f>'Data Sheet'!C84</f>
        <v>-3384.08</v>
      </c>
      <c r="D7" s="24">
        <f>'Data Sheet'!D84</f>
        <v>-190.09</v>
      </c>
      <c r="E7" s="24">
        <f>'Data Sheet'!E84</f>
        <v>-1885.26</v>
      </c>
      <c r="F7" s="24">
        <f>'Data Sheet'!F84</f>
        <v>-2074.0500000000002</v>
      </c>
      <c r="G7" s="24">
        <f>'Data Sheet'!G84</f>
        <v>-6246.51</v>
      </c>
      <c r="H7" s="24">
        <f>'Data Sheet'!H84</f>
        <v>-19.52</v>
      </c>
      <c r="I7" s="24">
        <f>'Data Sheet'!I84</f>
        <v>-4056.33</v>
      </c>
      <c r="J7" s="24">
        <f>'Data Sheet'!J84</f>
        <v>-7180.7</v>
      </c>
      <c r="K7" s="24">
        <f>'Data Sheet'!K84</f>
        <v>-6167.36</v>
      </c>
      <c r="L7" s="244">
        <f t="shared" si="1"/>
        <v>-32848.080000000002</v>
      </c>
    </row>
    <row r="8" spans="1:13" s="6" customFormat="1" x14ac:dyDescent="0.15">
      <c r="A8" s="243" t="s">
        <v>30</v>
      </c>
      <c r="B8" s="108">
        <f>'Data Sheet'!B85</f>
        <v>89.96</v>
      </c>
      <c r="C8" s="108">
        <f>'Data Sheet'!C85</f>
        <v>238.25</v>
      </c>
      <c r="D8" s="108">
        <f>'Data Sheet'!D85</f>
        <v>-532.41</v>
      </c>
      <c r="E8" s="108">
        <f>'Data Sheet'!E85</f>
        <v>488.1</v>
      </c>
      <c r="F8" s="108">
        <f>'Data Sheet'!F85</f>
        <v>140.04</v>
      </c>
      <c r="G8" s="108">
        <f>'Data Sheet'!G85</f>
        <v>-630.24</v>
      </c>
      <c r="H8" s="108">
        <f>'Data Sheet'!H85</f>
        <v>231.21</v>
      </c>
      <c r="I8" s="108">
        <f>'Data Sheet'!I85</f>
        <v>417.08</v>
      </c>
      <c r="J8" s="108">
        <f>'Data Sheet'!J85</f>
        <v>-692.07</v>
      </c>
      <c r="K8" s="108">
        <f>'Data Sheet'!K85</f>
        <v>318.83</v>
      </c>
      <c r="L8" s="244">
        <f t="shared" si="1"/>
        <v>68.749999999999943</v>
      </c>
    </row>
    <row r="9" spans="1:13" s="10" customFormat="1" x14ac:dyDescent="0.15">
      <c r="A9" s="245" t="s">
        <v>94</v>
      </c>
      <c r="B9" s="107">
        <f>B4/'Profit &amp; Loss'!B4</f>
        <v>9.788177504139764E-2</v>
      </c>
      <c r="C9" s="107">
        <f>C4/'Profit &amp; Loss'!C4</f>
        <v>0.163457990253255</v>
      </c>
      <c r="D9" s="107">
        <f>D4/'Profit &amp; Loss'!D4</f>
        <v>0.15019085513396632</v>
      </c>
      <c r="E9" s="107">
        <f>E4/'Profit &amp; Loss'!E4</f>
        <v>0.17167203558280408</v>
      </c>
      <c r="F9" s="107">
        <f>F4/'Profit &amp; Loss'!F4</f>
        <v>8.1918779562172681E-2</v>
      </c>
      <c r="G9" s="107">
        <f>G4/'Profit &amp; Loss'!G4</f>
        <v>0.12869698331976878</v>
      </c>
      <c r="H9" s="107">
        <f>H4/'Profit &amp; Loss'!H4</f>
        <v>0.11246425878156149</v>
      </c>
      <c r="I9" s="107">
        <f>I4/'Profit &amp; Loss'!I4</f>
        <v>0.12663287746370386</v>
      </c>
      <c r="J9" s="107">
        <f>J4/'Profit &amp; Loss'!J4</f>
        <v>0.14476381812506139</v>
      </c>
      <c r="K9" s="107">
        <f>K4/'Profit &amp; Loss'!K4</f>
        <v>0.14615772570042229</v>
      </c>
      <c r="L9" s="246"/>
    </row>
    <row r="10" spans="1:13" s="10" customFormat="1" x14ac:dyDescent="0.15">
      <c r="A10" s="245" t="s">
        <v>95</v>
      </c>
      <c r="B10" s="107">
        <f>B4/'Profit &amp; Loss'!B23</f>
        <v>0.75173370319001553</v>
      </c>
      <c r="C10" s="107">
        <f>C4/'Profit &amp; Loss'!C23</f>
        <v>0.90855256030178044</v>
      </c>
      <c r="D10" s="107">
        <f>D4/'Profit &amp; Loss'!D23</f>
        <v>0.80092560816574643</v>
      </c>
      <c r="E10" s="107">
        <f>E4/'Profit &amp; Loss'!E23</f>
        <v>1.025812170829639</v>
      </c>
      <c r="F10" s="107">
        <f>F4/'Profit &amp; Loss'!F23</f>
        <v>0.50467976296777317</v>
      </c>
      <c r="G10" s="107">
        <f>G4/'Profit &amp; Loss'!G23</f>
        <v>0.73877714695764185</v>
      </c>
      <c r="H10" s="107">
        <f>H4/'Profit &amp; Loss'!H23</f>
        <v>0.6423444828310364</v>
      </c>
      <c r="I10" s="107">
        <f>I4/'Profit &amp; Loss'!I23</f>
        <v>0.68071658987296213</v>
      </c>
      <c r="J10" s="107">
        <f>J4/'Profit &amp; Loss'!J23</f>
        <v>0.87083120881949649</v>
      </c>
      <c r="K10" s="107">
        <f>K4/'Profit &amp; Loss'!K23</f>
        <v>0.85079862588606492</v>
      </c>
      <c r="L10" s="246"/>
    </row>
    <row r="11" spans="1:13" x14ac:dyDescent="0.15">
      <c r="A11" s="247" t="s">
        <v>230</v>
      </c>
      <c r="B11" s="109">
        <v>315.08</v>
      </c>
      <c r="C11" s="109">
        <v>211.57</v>
      </c>
      <c r="D11" s="109">
        <v>364.12</v>
      </c>
      <c r="E11" s="109">
        <v>565</v>
      </c>
      <c r="F11" s="109">
        <v>607</v>
      </c>
      <c r="G11" s="109">
        <v>937</v>
      </c>
      <c r="H11" s="109">
        <v>1156</v>
      </c>
      <c r="I11" s="109">
        <v>1638</v>
      </c>
      <c r="J11" s="109">
        <v>1238</v>
      </c>
      <c r="K11" s="109">
        <v>824.16</v>
      </c>
      <c r="L11" s="248"/>
    </row>
    <row r="12" spans="1:13" x14ac:dyDescent="0.15">
      <c r="A12" s="80" t="s">
        <v>130</v>
      </c>
      <c r="B12" s="110">
        <f t="shared" ref="B12:K12" si="2">B4-B11</f>
        <v>1798.7200000000003</v>
      </c>
      <c r="C12" s="110">
        <f t="shared" si="2"/>
        <v>3478.2799999999997</v>
      </c>
      <c r="D12" s="110">
        <f t="shared" si="2"/>
        <v>2903.2400000000002</v>
      </c>
      <c r="E12" s="110">
        <f t="shared" si="2"/>
        <v>3762.84</v>
      </c>
      <c r="F12" s="110">
        <f t="shared" si="2"/>
        <v>1879.8600000000001</v>
      </c>
      <c r="G12" s="110">
        <f t="shared" si="2"/>
        <v>2913.44</v>
      </c>
      <c r="H12" s="110">
        <f t="shared" si="2"/>
        <v>1963.88</v>
      </c>
      <c r="I12" s="110">
        <f t="shared" si="2"/>
        <v>2559.21</v>
      </c>
      <c r="J12" s="110">
        <f t="shared" si="2"/>
        <v>4039.42</v>
      </c>
      <c r="K12" s="110">
        <f t="shared" si="2"/>
        <v>5734</v>
      </c>
      <c r="L12" s="248">
        <f t="shared" ref="L12" si="3">SUM(B12:K12)</f>
        <v>31032.89</v>
      </c>
      <c r="M12" s="6"/>
    </row>
    <row r="13" spans="1:13" ht="14.5" customHeight="1" x14ac:dyDescent="0.15">
      <c r="A13" s="245" t="s">
        <v>131</v>
      </c>
      <c r="B13" s="332">
        <f>AVERAGE(I12:K12)</f>
        <v>4110.876666666667</v>
      </c>
      <c r="C13" s="333"/>
      <c r="D13" s="333"/>
      <c r="E13" s="333"/>
      <c r="F13" s="333"/>
      <c r="G13" s="333"/>
      <c r="H13" s="333"/>
      <c r="I13" s="333"/>
      <c r="J13" s="333"/>
      <c r="K13" s="334"/>
      <c r="L13" s="249"/>
    </row>
    <row r="14" spans="1:13" ht="14.5" customHeight="1" x14ac:dyDescent="0.15">
      <c r="A14" s="245" t="s">
        <v>286</v>
      </c>
      <c r="B14" s="260"/>
      <c r="C14" s="263">
        <f>C12/B12-1</f>
        <v>0.93375289094467129</v>
      </c>
      <c r="D14" s="263">
        <f t="shared" ref="D14:K14" si="4">D12/C12-1</f>
        <v>-0.16532309072300089</v>
      </c>
      <c r="E14" s="263">
        <f t="shared" si="4"/>
        <v>0.29608299692757045</v>
      </c>
      <c r="F14" s="263">
        <f t="shared" si="4"/>
        <v>-0.5004145804764486</v>
      </c>
      <c r="G14" s="263">
        <f t="shared" si="4"/>
        <v>0.54981753960401303</v>
      </c>
      <c r="H14" s="263">
        <f t="shared" si="4"/>
        <v>-0.32592399362952384</v>
      </c>
      <c r="I14" s="263">
        <f t="shared" si="4"/>
        <v>0.30313970303684545</v>
      </c>
      <c r="J14" s="263">
        <f t="shared" si="4"/>
        <v>0.57838551740576194</v>
      </c>
      <c r="K14" s="263">
        <f t="shared" si="4"/>
        <v>0.41951072183630322</v>
      </c>
      <c r="L14" s="249"/>
    </row>
    <row r="15" spans="1:13" x14ac:dyDescent="0.15">
      <c r="A15" s="245" t="s">
        <v>174</v>
      </c>
      <c r="B15" s="107">
        <f>B12/'Data Sheet'!B17</f>
        <v>8.3291657868513003E-2</v>
      </c>
      <c r="C15" s="107">
        <f>C12/'Data Sheet'!C17</f>
        <v>0.15408557484398874</v>
      </c>
      <c r="D15" s="107">
        <f>D12/'Data Sheet'!D17</f>
        <v>0.13345333794229483</v>
      </c>
      <c r="E15" s="107">
        <f>E12/'Data Sheet'!E17</f>
        <v>0.14926023198001739</v>
      </c>
      <c r="F15" s="107">
        <f>F12/'Data Sheet'!F17</f>
        <v>6.1923806305037646E-2</v>
      </c>
      <c r="G15" s="107">
        <f>G12/'Data Sheet'!G17</f>
        <v>9.7378725310132641E-2</v>
      </c>
      <c r="H15" s="107">
        <f>H12/'Data Sheet'!H17</f>
        <v>7.079320632073445E-2</v>
      </c>
      <c r="I15" s="107">
        <f>I12/'Data Sheet'!I17</f>
        <v>7.7213226484709033E-2</v>
      </c>
      <c r="J15" s="107">
        <f>J12/'Data Sheet'!J17</f>
        <v>0.11080449579732814</v>
      </c>
      <c r="K15" s="107">
        <f>K12/'Data Sheet'!K17</f>
        <v>0.12779017272622525</v>
      </c>
      <c r="L15" s="249"/>
    </row>
    <row r="16" spans="1:13" ht="14" thickBot="1" x14ac:dyDescent="0.2">
      <c r="A16" s="250" t="s">
        <v>175</v>
      </c>
      <c r="B16" s="251">
        <f>B12/'Data Sheet'!B30</f>
        <v>0.59449436976761871</v>
      </c>
      <c r="C16" s="251">
        <f>C12/'Data Sheet'!C30</f>
        <v>0.85645763362913785</v>
      </c>
      <c r="D16" s="251">
        <f>D12/'Data Sheet'!D30</f>
        <v>0.71166738979627364</v>
      </c>
      <c r="E16" s="251">
        <f>E12/'Data Sheet'!E30</f>
        <v>0.8918901622441604</v>
      </c>
      <c r="F16" s="251">
        <f>F12/'Data Sheet'!F30</f>
        <v>0.38149528879111788</v>
      </c>
      <c r="G16" s="251">
        <f>G12/'Data Sheet'!G30</f>
        <v>0.55899660585083011</v>
      </c>
      <c r="H16" s="251">
        <f>H12/'Data Sheet'!H30</f>
        <v>0.40433846267876183</v>
      </c>
      <c r="I16" s="251">
        <f>I12/'Data Sheet'!I30</f>
        <v>0.41506064837565504</v>
      </c>
      <c r="J16" s="251">
        <f>J12/'Data Sheet'!J30</f>
        <v>0.66654785890257928</v>
      </c>
      <c r="K16" s="251">
        <f>K12/'Data Sheet'!K30</f>
        <v>0.74387927724097846</v>
      </c>
      <c r="L16" s="252"/>
    </row>
    <row r="18" spans="1:1" ht="112" x14ac:dyDescent="0.15">
      <c r="A18" s="222" t="s">
        <v>251</v>
      </c>
    </row>
  </sheetData>
  <mergeCells count="3">
    <mergeCell ref="B13:K13"/>
    <mergeCell ref="A1:L1"/>
    <mergeCell ref="A2:L2"/>
  </mergeCells>
  <printOptions gridLines="1"/>
  <pageMargins left="0.7" right="0.7" top="0.75" bottom="0.75" header="0.3" footer="0.3"/>
  <pageSetup paperSize="9" orientation="landscape" r:id="rId1"/>
  <extLst>
    <ext xmlns:x14="http://schemas.microsoft.com/office/spreadsheetml/2009/9/main" uri="{05C60535-1F16-4fd2-B633-F4F36F0B64E0}">
      <x14:sparklineGroups xmlns:xm="http://schemas.microsoft.com/office/excel/2006/main">
        <x14:sparklineGroup type="column" displayEmptyCellsAs="gap" xr2:uid="{31B158BE-32FD-443C-9A7A-34A49A256DB6}">
          <x14:colorSeries rgb="FFC00000"/>
          <x14:colorNegative rgb="FFD00000"/>
          <x14:colorAxis rgb="FF000000"/>
          <x14:colorMarkers rgb="FFD00000"/>
          <x14:colorFirst rgb="FFD00000"/>
          <x14:colorLast rgb="FFD00000"/>
          <x14:colorHigh rgb="FFD00000"/>
          <x14:colorLow rgb="FFD00000"/>
          <x14:sparklines>
            <x14:sparkline>
              <xm:f>'Cash Flow'!G12:K12</xm:f>
              <xm:sqref>M12</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F1102-9D3C-4691-94AD-A7621851C2C1}">
  <dimension ref="A1:L23"/>
  <sheetViews>
    <sheetView tabSelected="1" workbookViewId="0">
      <selection activeCell="L41" sqref="L41"/>
    </sheetView>
  </sheetViews>
  <sheetFormatPr baseColWidth="10" defaultColWidth="8.6640625" defaultRowHeight="13" x14ac:dyDescent="0.15"/>
  <cols>
    <col min="1" max="1" width="24.5" style="7" bestFit="1" customWidth="1"/>
    <col min="2" max="2" width="7" style="7" bestFit="1" customWidth="1"/>
    <col min="3" max="3" width="8" style="7" bestFit="1" customWidth="1"/>
    <col min="4" max="4" width="6.6640625" style="7" bestFit="1" customWidth="1"/>
    <col min="5" max="5" width="7" style="7" bestFit="1" customWidth="1"/>
    <col min="6" max="6" width="6.6640625" style="7" bestFit="1" customWidth="1"/>
    <col min="7" max="7" width="7" style="7" bestFit="1" customWidth="1"/>
    <col min="8" max="8" width="6.6640625" style="7" bestFit="1" customWidth="1"/>
    <col min="9" max="9" width="7" style="7" bestFit="1" customWidth="1"/>
    <col min="10" max="11" width="6.6640625" style="7" bestFit="1" customWidth="1"/>
    <col min="12" max="12" width="110.6640625" style="7" bestFit="1" customWidth="1"/>
    <col min="13" max="16384" width="8.6640625" style="7"/>
  </cols>
  <sheetData>
    <row r="1" spans="1:12" ht="19" x14ac:dyDescent="0.2">
      <c r="A1" s="338" t="s">
        <v>280</v>
      </c>
      <c r="B1" s="339"/>
      <c r="C1" s="339"/>
      <c r="D1" s="339"/>
      <c r="E1" s="339"/>
      <c r="F1" s="339"/>
      <c r="G1" s="339"/>
      <c r="H1" s="339"/>
      <c r="I1" s="339"/>
      <c r="J1" s="339"/>
      <c r="K1" s="340"/>
    </row>
    <row r="2" spans="1:12" x14ac:dyDescent="0.15">
      <c r="A2" s="341" t="str">
        <f>'Profit &amp; Loss'!A2:L2</f>
        <v>BAJAJ AUTO LTD</v>
      </c>
      <c r="B2" s="342"/>
      <c r="C2" s="342"/>
      <c r="D2" s="342"/>
      <c r="E2" s="342"/>
      <c r="F2" s="342"/>
      <c r="G2" s="342"/>
      <c r="H2" s="342"/>
      <c r="I2" s="342"/>
      <c r="J2" s="342"/>
      <c r="K2" s="343"/>
    </row>
    <row r="3" spans="1:12" x14ac:dyDescent="0.15">
      <c r="A3" s="270"/>
      <c r="B3" s="266">
        <f>'Profit &amp; Loss'!B3</f>
        <v>42094</v>
      </c>
      <c r="C3" s="266">
        <f>'Profit &amp; Loss'!C3</f>
        <v>42460</v>
      </c>
      <c r="D3" s="266">
        <f>'Profit &amp; Loss'!D3</f>
        <v>42825</v>
      </c>
      <c r="E3" s="266">
        <f>'Profit &amp; Loss'!E3</f>
        <v>43190</v>
      </c>
      <c r="F3" s="266">
        <f>'Profit &amp; Loss'!F3</f>
        <v>43555</v>
      </c>
      <c r="G3" s="266">
        <f>'Profit &amp; Loss'!G3</f>
        <v>43921</v>
      </c>
      <c r="H3" s="266">
        <f>'Profit &amp; Loss'!H3</f>
        <v>44286</v>
      </c>
      <c r="I3" s="266">
        <f>'Profit &amp; Loss'!I3</f>
        <v>44651</v>
      </c>
      <c r="J3" s="266">
        <f>'Profit &amp; Loss'!J3</f>
        <v>45016</v>
      </c>
      <c r="K3" s="271">
        <f>'Profit &amp; Loss'!K3</f>
        <v>45382</v>
      </c>
      <c r="L3" s="287" t="s">
        <v>315</v>
      </c>
    </row>
    <row r="4" spans="1:12" x14ac:dyDescent="0.15">
      <c r="A4" s="80" t="s">
        <v>17</v>
      </c>
      <c r="B4" s="267"/>
      <c r="C4" s="267">
        <f>'Profit &amp; Loss'!C5</f>
        <v>4.5298914956120262E-2</v>
      </c>
      <c r="D4" s="267">
        <f>'Profit &amp; Loss'!D5</f>
        <v>-3.6279846139465777E-2</v>
      </c>
      <c r="E4" s="267">
        <f>'Profit &amp; Loss'!E5</f>
        <v>0.15882576286893135</v>
      </c>
      <c r="F4" s="267">
        <f>'Profit &amp; Loss'!F5</f>
        <v>0.20419334762135399</v>
      </c>
      <c r="G4" s="267">
        <f>'Profit &amp; Loss'!G5</f>
        <v>-1.4460285602005185E-2</v>
      </c>
      <c r="H4" s="267">
        <f>'Profit &amp; Loss'!H5</f>
        <v>-7.2783029982970482E-2</v>
      </c>
      <c r="I4" s="267">
        <f>'Profit &amp; Loss'!I5</f>
        <v>0.19478801834679826</v>
      </c>
      <c r="J4" s="267">
        <f>'Profit &amp; Loss'!J5</f>
        <v>9.9885321066317978E-2</v>
      </c>
      <c r="K4" s="272">
        <f>'Profit &amp; Loss'!K5</f>
        <v>0.23083149867042962</v>
      </c>
      <c r="L4" s="7" t="s">
        <v>298</v>
      </c>
    </row>
    <row r="5" spans="1:12" x14ac:dyDescent="0.15">
      <c r="A5" s="80" t="s">
        <v>180</v>
      </c>
      <c r="B5" s="267"/>
      <c r="C5" s="267">
        <f>'Profit &amp; Loss'!C20</f>
        <v>0.39087914375635369</v>
      </c>
      <c r="D5" s="267">
        <f>'Profit &amp; Loss'!D20</f>
        <v>-1.608412911678081E-2</v>
      </c>
      <c r="E5" s="267">
        <f>'Profit &amp; Loss'!E20</f>
        <v>6.1898327531744846E-2</v>
      </c>
      <c r="F5" s="267">
        <f>'Profit &amp; Loss'!F20</f>
        <v>0.17227361668922248</v>
      </c>
      <c r="G5" s="267">
        <f>'Profit &amp; Loss'!G20</f>
        <v>-3.7876064972296453E-2</v>
      </c>
      <c r="H5" s="267">
        <f>'Profit &amp; Loss'!H20</f>
        <v>-6.7347765210777011E-2</v>
      </c>
      <c r="I5" s="267">
        <f>'Profit &amp; Loss'!I20</f>
        <v>0.22594982239646999</v>
      </c>
      <c r="J5" s="267">
        <f>'Profit &amp; Loss'!J20</f>
        <v>2.4870355268385325E-2</v>
      </c>
      <c r="K5" s="272">
        <f>'Profit &amp; Loss'!K20</f>
        <v>0.28029400738078913</v>
      </c>
      <c r="L5" s="7" t="s">
        <v>298</v>
      </c>
    </row>
    <row r="6" spans="1:12" x14ac:dyDescent="0.15">
      <c r="A6" s="80" t="s">
        <v>278</v>
      </c>
      <c r="B6" s="267"/>
      <c r="C6" s="267">
        <f>'Profit &amp; Loss'!C24</f>
        <v>0.44430456275116637</v>
      </c>
      <c r="D6" s="267">
        <f>'Profit &amp; Loss'!D24</f>
        <v>4.491239128937119E-3</v>
      </c>
      <c r="E6" s="267">
        <f>'Profit &amp; Loss'!E24</f>
        <v>3.4185729553766864E-2</v>
      </c>
      <c r="F6" s="267">
        <f>'Profit &amp; Loss'!F24</f>
        <v>0.16797110174593599</v>
      </c>
      <c r="G6" s="267">
        <f>'Profit &amp; Loss'!G24</f>
        <v>5.769745920935021E-2</v>
      </c>
      <c r="H6" s="267">
        <f>'Profit &amp; Loss'!H24</f>
        <v>-6.8092119779504467E-2</v>
      </c>
      <c r="I6" s="267">
        <f>'Profit &amp; Loss'!I24</f>
        <v>0.26947593380303148</v>
      </c>
      <c r="J6" s="267">
        <f>'Profit &amp; Loss'!J24</f>
        <v>-1.7136267874606537E-2</v>
      </c>
      <c r="K6" s="272">
        <f>'Profit &amp; Loss'!K24</f>
        <v>0.27194272145684728</v>
      </c>
      <c r="L6" s="7" t="s">
        <v>298</v>
      </c>
    </row>
    <row r="7" spans="1:12" x14ac:dyDescent="0.15">
      <c r="A7" s="80" t="s">
        <v>292</v>
      </c>
      <c r="B7" s="267"/>
      <c r="C7" s="267">
        <f>'Data Sheet'!C31/'Data Sheet'!B31-1</f>
        <v>0.10000345578325343</v>
      </c>
      <c r="D7" s="267">
        <f>'Data Sheet'!D31/'Data Sheet'!C31-1</f>
        <v>0</v>
      </c>
      <c r="E7" s="267">
        <f>'Data Sheet'!E31/'Data Sheet'!D31-1</f>
        <v>9.0905663696796868E-2</v>
      </c>
      <c r="F7" s="267">
        <f>'Data Sheet'!F31/'Data Sheet'!E31-1</f>
        <v>0</v>
      </c>
      <c r="G7" s="267">
        <f>'Data Sheet'!G31/'Data Sheet'!F31-1</f>
        <v>1</v>
      </c>
      <c r="H7" s="267">
        <f>'Data Sheet'!H31/'Data Sheet'!G31-1</f>
        <v>0.16666666666666652</v>
      </c>
      <c r="I7" s="267">
        <f>'Data Sheet'!I31/'Data Sheet'!H31-1</f>
        <v>0</v>
      </c>
      <c r="J7" s="267">
        <f>'Data Sheet'!J31/'Data Sheet'!I31-1</f>
        <v>-2.2151570653488606E-2</v>
      </c>
      <c r="K7" s="272">
        <f>'Data Sheet'!K31/'Data Sheet'!J31-1</f>
        <v>-0.43620501635768816</v>
      </c>
      <c r="L7" s="7" t="s">
        <v>299</v>
      </c>
    </row>
    <row r="8" spans="1:12" x14ac:dyDescent="0.15">
      <c r="A8" s="80" t="s">
        <v>284</v>
      </c>
      <c r="B8" s="267"/>
      <c r="C8" s="267">
        <f>'Cash Flow'!C5</f>
        <v>0.74560034061879055</v>
      </c>
      <c r="D8" s="267">
        <f>'Cash Flow'!D5</f>
        <v>-0.11450058945485586</v>
      </c>
      <c r="E8" s="267">
        <f>'Cash Flow'!E5</f>
        <v>0.32456784682434758</v>
      </c>
      <c r="F8" s="267">
        <f>'Cash Flow'!F5</f>
        <v>-0.42538079041739063</v>
      </c>
      <c r="G8" s="267">
        <f>'Cash Flow'!G5</f>
        <v>0.54831393805843498</v>
      </c>
      <c r="H8" s="267">
        <f>'Cash Flow'!H5</f>
        <v>-0.18973416025181533</v>
      </c>
      <c r="I8" s="267">
        <f>'Cash Flow'!I5</f>
        <v>0.3453113581291587</v>
      </c>
      <c r="J8" s="267">
        <f>'Cash Flow'!J5</f>
        <v>0.25736382025202453</v>
      </c>
      <c r="K8" s="272">
        <f>'Cash Flow'!K5</f>
        <v>0.24268297766711755</v>
      </c>
      <c r="L8" s="7" t="s">
        <v>298</v>
      </c>
    </row>
    <row r="9" spans="1:12" x14ac:dyDescent="0.15">
      <c r="A9" s="80" t="s">
        <v>285</v>
      </c>
      <c r="B9" s="267"/>
      <c r="C9" s="267">
        <f>'Cash Flow'!C14</f>
        <v>0.93375289094467129</v>
      </c>
      <c r="D9" s="267">
        <f>'Cash Flow'!D14</f>
        <v>-0.16532309072300089</v>
      </c>
      <c r="E9" s="267">
        <f>'Cash Flow'!E14</f>
        <v>0.29608299692757045</v>
      </c>
      <c r="F9" s="267">
        <f>'Cash Flow'!F14</f>
        <v>-0.5004145804764486</v>
      </c>
      <c r="G9" s="267">
        <f>'Cash Flow'!G14</f>
        <v>0.54981753960401303</v>
      </c>
      <c r="H9" s="267">
        <f>'Cash Flow'!H14</f>
        <v>-0.32592399362952384</v>
      </c>
      <c r="I9" s="267">
        <f>'Cash Flow'!I14</f>
        <v>0.30313970303684545</v>
      </c>
      <c r="J9" s="267">
        <f>'Cash Flow'!J14</f>
        <v>0.57838551740576194</v>
      </c>
      <c r="K9" s="272">
        <f>'Cash Flow'!K14</f>
        <v>0.41951072183630322</v>
      </c>
      <c r="L9" s="7" t="s">
        <v>298</v>
      </c>
    </row>
    <row r="10" spans="1:12" x14ac:dyDescent="0.15">
      <c r="A10" s="80"/>
      <c r="B10" s="12"/>
      <c r="C10" s="12"/>
      <c r="D10" s="12"/>
      <c r="E10" s="12"/>
      <c r="F10" s="12"/>
      <c r="G10" s="12"/>
      <c r="H10" s="12"/>
      <c r="I10" s="12"/>
      <c r="J10" s="12"/>
      <c r="K10" s="273"/>
    </row>
    <row r="11" spans="1:12" x14ac:dyDescent="0.15">
      <c r="A11" s="80" t="s">
        <v>277</v>
      </c>
      <c r="B11" s="268">
        <f>'Profit &amp; Loss'!B13</f>
        <v>0.19116998773815186</v>
      </c>
      <c r="C11" s="268">
        <f>'Profit &amp; Loss'!C13</f>
        <v>0.21232461329981928</v>
      </c>
      <c r="D11" s="268">
        <f>'Profit &amp; Loss'!D13</f>
        <v>0.20357099516794519</v>
      </c>
      <c r="E11" s="268">
        <f>'Profit &amp; Loss'!E13</f>
        <v>0.19221790778475001</v>
      </c>
      <c r="F11" s="268">
        <f>'Profit &amp; Loss'!F13</f>
        <v>0.17122285237681603</v>
      </c>
      <c r="G11" s="268">
        <f>'Profit &amp; Loss'!G13</f>
        <v>0.17077441662641851</v>
      </c>
      <c r="H11" s="268">
        <f>'Profit &amp; Loss'!H13</f>
        <v>0.17799523306230322</v>
      </c>
      <c r="I11" s="268">
        <f>'Profit &amp; Loss'!I13</f>
        <v>0.15866181963879</v>
      </c>
      <c r="J11" s="268">
        <f>'Profit &amp; Loss'!J13</f>
        <v>0.17733020475990099</v>
      </c>
      <c r="K11" s="274">
        <f>'Profit &amp; Loss'!K13</f>
        <v>0.19533309576039276</v>
      </c>
      <c r="L11" s="7" t="s">
        <v>307</v>
      </c>
    </row>
    <row r="12" spans="1:12" x14ac:dyDescent="0.15">
      <c r="A12" s="80" t="s">
        <v>100</v>
      </c>
      <c r="B12" s="268">
        <f>'Profit &amp; Loss'!B21</f>
        <v>0.18906537676472415</v>
      </c>
      <c r="C12" s="268">
        <f>'Profit &amp; Loss'!C21</f>
        <v>0.25157118751963004</v>
      </c>
      <c r="D12" s="268">
        <f>'Profit &amp; Loss'!D21</f>
        <v>0.25684311266704424</v>
      </c>
      <c r="E12" s="268">
        <f>'Profit &amp; Loss'!E21</f>
        <v>0.23536003471647887</v>
      </c>
      <c r="F12" s="268">
        <f>'Profit &amp; Loss'!F21</f>
        <v>0.22912131151213064</v>
      </c>
      <c r="G12" s="268">
        <f>'Profit &amp; Loss'!G21</f>
        <v>0.22367753892638859</v>
      </c>
      <c r="H12" s="268">
        <f>'Profit &amp; Loss'!H21</f>
        <v>0.22498871709392709</v>
      </c>
      <c r="I12" s="268">
        <f>'Profit &amp; Loss'!I21</f>
        <v>0.23085674908605325</v>
      </c>
      <c r="J12" s="268">
        <f>'Profit &amp; Loss'!J21</f>
        <v>0.2151117338510804</v>
      </c>
      <c r="K12" s="274">
        <f>'Profit &amp; Loss'!K21</f>
        <v>0.22375626888353864</v>
      </c>
      <c r="L12" s="7" t="s">
        <v>307</v>
      </c>
    </row>
    <row r="13" spans="1:12" x14ac:dyDescent="0.15">
      <c r="A13" s="80" t="s">
        <v>279</v>
      </c>
      <c r="B13" s="268">
        <f>'Profit &amp; Loss'!B25</f>
        <v>0.13020804392038293</v>
      </c>
      <c r="C13" s="268">
        <f>'Profit &amp; Loss'!C25</f>
        <v>0.1799103292372668</v>
      </c>
      <c r="D13" s="268">
        <f>'Profit &amp; Loss'!D25</f>
        <v>0.187521604506976</v>
      </c>
      <c r="E13" s="268">
        <f>'Profit &amp; Loss'!E25</f>
        <v>0.16735230918927591</v>
      </c>
      <c r="F13" s="268">
        <f>'Profit &amp; Loss'!F25</f>
        <v>0.1623183364445776</v>
      </c>
      <c r="G13" s="268">
        <f>'Profit &amp; Loss'!G25</f>
        <v>0.17420271302348186</v>
      </c>
      <c r="H13" s="268">
        <f>'Profit &amp; Loss'!H25</f>
        <v>0.17508402700976311</v>
      </c>
      <c r="I13" s="268">
        <f>'Profit &amp; Loss'!I25</f>
        <v>0.18602878106340345</v>
      </c>
      <c r="J13" s="268">
        <f>'Profit &amp; Loss'!J25</f>
        <v>0.16623636895295013</v>
      </c>
      <c r="K13" s="274">
        <f>'Profit &amp; Loss'!K25</f>
        <v>0.17178885961199836</v>
      </c>
      <c r="L13" s="7" t="s">
        <v>307</v>
      </c>
    </row>
    <row r="14" spans="1:12" x14ac:dyDescent="0.15">
      <c r="A14" s="80"/>
      <c r="B14" s="12"/>
      <c r="C14" s="12"/>
      <c r="D14" s="12"/>
      <c r="E14" s="12"/>
      <c r="F14" s="12"/>
      <c r="G14" s="12"/>
      <c r="H14" s="12"/>
      <c r="I14" s="12"/>
      <c r="J14" s="12"/>
      <c r="K14" s="273"/>
    </row>
    <row r="15" spans="1:12" x14ac:dyDescent="0.15">
      <c r="A15" s="80" t="str">
        <f>'Balance Sheet'!A22</f>
        <v>Debtor Days</v>
      </c>
      <c r="B15" s="269">
        <f>'Balance Sheet'!B22</f>
        <v>12.117854510026193</v>
      </c>
      <c r="C15" s="269">
        <f>'Balance Sheet'!C22</f>
        <v>11.608401196259894</v>
      </c>
      <c r="D15" s="269">
        <f>'Balance Sheet'!D22</f>
        <v>15.994269289607036</v>
      </c>
      <c r="E15" s="269">
        <f>'Balance Sheet'!E22</f>
        <v>21.599923125530296</v>
      </c>
      <c r="F15" s="269">
        <f>'Balance Sheet'!F22</f>
        <v>30.776014135490811</v>
      </c>
      <c r="G15" s="269">
        <f>'Balance Sheet'!G22</f>
        <v>21.045785822555494</v>
      </c>
      <c r="H15" s="269">
        <f>'Balance Sheet'!H22</f>
        <v>35.746634593894683</v>
      </c>
      <c r="I15" s="269">
        <f>'Balance Sheet'!I22</f>
        <v>16.698854809711719</v>
      </c>
      <c r="J15" s="269">
        <f>'Balance Sheet'!J22</f>
        <v>17.545749077365262</v>
      </c>
      <c r="K15" s="275">
        <f>'Balance Sheet'!K22</f>
        <v>16.883467575416596</v>
      </c>
      <c r="L15" s="7" t="s">
        <v>309</v>
      </c>
    </row>
    <row r="16" spans="1:12" x14ac:dyDescent="0.15">
      <c r="A16" s="80" t="str">
        <f>'Balance Sheet'!A23</f>
        <v>Inventory Turnover</v>
      </c>
      <c r="B16" s="269">
        <f>'Balance Sheet'!B23</f>
        <v>26.525136645581281</v>
      </c>
      <c r="C16" s="269">
        <f>'Balance Sheet'!C23</f>
        <v>31.392896380046444</v>
      </c>
      <c r="D16" s="269">
        <f>'Balance Sheet'!D23</f>
        <v>29.867267085861776</v>
      </c>
      <c r="E16" s="269">
        <f>'Balance Sheet'!E23</f>
        <v>33.949109860217078</v>
      </c>
      <c r="F16" s="269">
        <f>'Balance Sheet'!F23</f>
        <v>31.572869756944808</v>
      </c>
      <c r="G16" s="269">
        <f>'Balance Sheet'!G23</f>
        <v>28.132251998119418</v>
      </c>
      <c r="H16" s="269">
        <f>'Balance Sheet'!H23</f>
        <v>18.569693886430727</v>
      </c>
      <c r="I16" s="269">
        <f>'Balance Sheet'!I23</f>
        <v>26.935750217389536</v>
      </c>
      <c r="J16" s="269">
        <f>'Balance Sheet'!J23</f>
        <v>23.315774999200535</v>
      </c>
      <c r="K16" s="275">
        <f>'Balance Sheet'!K23</f>
        <v>26.57020281273131</v>
      </c>
      <c r="L16" s="7" t="s">
        <v>308</v>
      </c>
    </row>
    <row r="17" spans="1:12" x14ac:dyDescent="0.15">
      <c r="A17" s="80" t="str">
        <f>'Balance Sheet'!A24</f>
        <v>Fixed Asset Turnover</v>
      </c>
      <c r="B17" s="269">
        <f>'Balance Sheet'!B24</f>
        <v>8.821558559331379</v>
      </c>
      <c r="C17" s="269">
        <f>'Balance Sheet'!C24</f>
        <v>11.143814145443235</v>
      </c>
      <c r="D17" s="269">
        <f>'Balance Sheet'!D24</f>
        <v>10.867633468046099</v>
      </c>
      <c r="E17" s="269">
        <f>'Balance Sheet'!E24</f>
        <v>13.421459487949402</v>
      </c>
      <c r="F17" s="269">
        <f>'Balance Sheet'!F24</f>
        <v>17.210126194768531</v>
      </c>
      <c r="G17" s="269">
        <f>'Balance Sheet'!G24</f>
        <v>17.60935715883274</v>
      </c>
      <c r="H17" s="269">
        <f>'Balance Sheet'!H24</f>
        <v>16.635831009564932</v>
      </c>
      <c r="I17" s="269">
        <f>'Balance Sheet'!I24</f>
        <v>18.05218267476376</v>
      </c>
      <c r="J17" s="269">
        <f>'Balance Sheet'!J24</f>
        <v>12.826284902049087</v>
      </c>
      <c r="K17" s="275">
        <f>'Balance Sheet'!K24</f>
        <v>13.946307076898213</v>
      </c>
      <c r="L17" s="7" t="s">
        <v>308</v>
      </c>
    </row>
    <row r="18" spans="1:12" x14ac:dyDescent="0.15">
      <c r="A18" s="80" t="s">
        <v>98</v>
      </c>
      <c r="B18" s="269">
        <f>'Balance Sheet'!B25</f>
        <v>1.0125890916170058E-2</v>
      </c>
      <c r="C18" s="269">
        <f>'Balance Sheet'!C25</f>
        <v>8.4063761785581059E-3</v>
      </c>
      <c r="D18" s="269">
        <f>'Balance Sheet'!D25</f>
        <v>6.7146154048621882E-3</v>
      </c>
      <c r="E18" s="269">
        <f>'Balance Sheet'!E25</f>
        <v>5.9127824201820889E-3</v>
      </c>
      <c r="F18" s="269">
        <f>'Balance Sheet'!F25</f>
        <v>5.3594309327656556E-3</v>
      </c>
      <c r="G18" s="269">
        <f>'Balance Sheet'!G25</f>
        <v>5.7976888645965676E-3</v>
      </c>
      <c r="H18" s="269">
        <f>'Balance Sheet'!H25</f>
        <v>4.4534185835811632E-3</v>
      </c>
      <c r="I18" s="269">
        <f>'Balance Sheet'!I25</f>
        <v>4.1115686218693125E-3</v>
      </c>
      <c r="J18" s="269">
        <f>'Balance Sheet'!J25</f>
        <v>4.2310451018577368E-3</v>
      </c>
      <c r="K18" s="275">
        <f>'Balance Sheet'!K25</f>
        <v>6.6007628508815391E-2</v>
      </c>
      <c r="L18" s="7" t="s">
        <v>310</v>
      </c>
    </row>
    <row r="19" spans="1:12" x14ac:dyDescent="0.15">
      <c r="A19" s="80" t="s">
        <v>287</v>
      </c>
      <c r="B19" s="267">
        <f>'Balance Sheet'!B6/'Balance Sheet'!B14</f>
        <v>7.0370045598035771E-3</v>
      </c>
      <c r="C19" s="267">
        <f>'Balance Sheet'!C6/'Balance Sheet'!C14</f>
        <v>6.8362801958426651E-3</v>
      </c>
      <c r="D19" s="267">
        <f>'Balance Sheet'!D6/'Balance Sheet'!D14</f>
        <v>5.5412748721901956E-3</v>
      </c>
      <c r="E19" s="267">
        <f>'Balance Sheet'!E6/'Balance Sheet'!E14</f>
        <v>4.8037070920011133E-3</v>
      </c>
      <c r="F19" s="267">
        <f>'Balance Sheet'!F6/'Balance Sheet'!F14</f>
        <v>4.3184514612922545E-3</v>
      </c>
      <c r="G19" s="267">
        <f>'Balance Sheet'!G6/'Balance Sheet'!G14</f>
        <v>4.7374539890954435E-3</v>
      </c>
      <c r="H19" s="267">
        <f>'Balance Sheet'!H6/'Balance Sheet'!H14</f>
        <v>3.6146969901234192E-3</v>
      </c>
      <c r="I19" s="267">
        <f>'Balance Sheet'!I6/'Balance Sheet'!I14</f>
        <v>3.4966040760201658E-3</v>
      </c>
      <c r="J19" s="267">
        <f>'Balance Sheet'!J6/'Balance Sheet'!J14</f>
        <v>3.5356446083767714E-3</v>
      </c>
      <c r="K19" s="272">
        <f>'Balance Sheet'!K6/'Balance Sheet'!K14</f>
        <v>4.8590765126504398E-2</v>
      </c>
      <c r="L19" s="7" t="s">
        <v>311</v>
      </c>
    </row>
    <row r="20" spans="1:12" x14ac:dyDescent="0.15">
      <c r="A20" s="80" t="s">
        <v>282</v>
      </c>
      <c r="B20" s="269">
        <f>'Profit &amp; Loss'!B18</f>
        <v>630.11402157164775</v>
      </c>
      <c r="C20" s="269">
        <f>'Profit &amp; Loss'!C18</f>
        <v>5409.4666666666635</v>
      </c>
      <c r="D20" s="269">
        <f>'Profit &amp; Loss'!D18</f>
        <v>3992.1071428571436</v>
      </c>
      <c r="E20" s="269">
        <f>'Profit &amp; Loss'!E18</f>
        <v>4530.3206106870248</v>
      </c>
      <c r="F20" s="269">
        <f>'Profit &amp; Loss'!F18</f>
        <v>1553.5848214285718</v>
      </c>
      <c r="G20" s="269">
        <f>'Profit &amp; Loss'!G18</f>
        <v>2118.7626582278467</v>
      </c>
      <c r="H20" s="269">
        <f>'Profit &amp; Loss'!H18</f>
        <v>938.15165165165149</v>
      </c>
      <c r="I20" s="269">
        <f>'Profit &amp; Loss'!I18</f>
        <v>884.56581986143181</v>
      </c>
      <c r="J20" s="269">
        <f>'Profit &amp; Loss'!J18</f>
        <v>199.48089091369272</v>
      </c>
      <c r="K20" s="275">
        <f>'Profit &amp; Loss'!K18</f>
        <v>167.33598409542742</v>
      </c>
      <c r="L20" s="7" t="s">
        <v>312</v>
      </c>
    </row>
    <row r="21" spans="1:12" x14ac:dyDescent="0.15">
      <c r="A21" s="80" t="str">
        <f>'Balance Sheet'!A26</f>
        <v>Return on Equity</v>
      </c>
      <c r="B21" s="267">
        <f>'Balance Sheet'!B26</f>
        <v>0.25343117638788187</v>
      </c>
      <c r="C21" s="267">
        <f>'Balance Sheet'!C26</f>
        <v>0.28966834542174863</v>
      </c>
      <c r="D21" s="267">
        <f>'Balance Sheet'!D26</f>
        <v>0.22845820893934285</v>
      </c>
      <c r="E21" s="267">
        <f>'Balance Sheet'!E26</f>
        <v>0.20655522285172673</v>
      </c>
      <c r="F21" s="267">
        <f>'Balance Sheet'!F26</f>
        <v>0.21208747080224907</v>
      </c>
      <c r="G21" s="267">
        <f>'Balance Sheet'!G26</f>
        <v>0.2406006256093596</v>
      </c>
      <c r="H21" s="267">
        <f>'Balance Sheet'!H26</f>
        <v>0.17808614464700626</v>
      </c>
      <c r="I21" s="267">
        <f>'Balance Sheet'!I26</f>
        <v>0.20649505268815943</v>
      </c>
      <c r="J21" s="267">
        <f>'Balance Sheet'!J26</f>
        <v>0.20639959620646597</v>
      </c>
      <c r="K21" s="272">
        <f>'Balance Sheet'!K26</f>
        <v>0.26614636005774378</v>
      </c>
      <c r="L21" s="7" t="s">
        <v>313</v>
      </c>
    </row>
    <row r="22" spans="1:12" x14ac:dyDescent="0.15">
      <c r="A22" s="80" t="str">
        <f>'Balance Sheet'!A27</f>
        <v>Return on Capital Employed</v>
      </c>
      <c r="B22" s="267">
        <f>'Balance Sheet'!B27</f>
        <v>0.36487869467962508</v>
      </c>
      <c r="C22" s="267">
        <f>'Balance Sheet'!C27</f>
        <v>0.40174506318710246</v>
      </c>
      <c r="D22" s="267">
        <f>'Balance Sheet'!D27</f>
        <v>0.3109036423725014</v>
      </c>
      <c r="E22" s="267">
        <f>'Balance Sheet'!E27</f>
        <v>0.28885024391597219</v>
      </c>
      <c r="F22" s="267">
        <f>'Balance Sheet'!F27</f>
        <v>0.29796907570018932</v>
      </c>
      <c r="G22" s="267">
        <f>'Balance Sheet'!G27</f>
        <v>0.30729720066441235</v>
      </c>
      <c r="H22" s="267">
        <f>'Balance Sheet'!H27</f>
        <v>0.22807501691008794</v>
      </c>
      <c r="I22" s="267">
        <f>'Balance Sheet'!I27</f>
        <v>0.2554943863770836</v>
      </c>
      <c r="J22" s="267">
        <f>'Balance Sheet'!J27</f>
        <v>0.26729808989217507</v>
      </c>
      <c r="K22" s="272">
        <f>'Balance Sheet'!K27</f>
        <v>0.32714746802745986</v>
      </c>
      <c r="L22" s="7" t="s">
        <v>313</v>
      </c>
    </row>
    <row r="23" spans="1:12" ht="14" thickBot="1" x14ac:dyDescent="0.2">
      <c r="A23" s="276" t="s">
        <v>281</v>
      </c>
      <c r="B23" s="277">
        <f>'Cash Flow'!B12</f>
        <v>1798.7200000000003</v>
      </c>
      <c r="C23" s="277">
        <f>'Cash Flow'!C12</f>
        <v>3478.2799999999997</v>
      </c>
      <c r="D23" s="277">
        <f>'Cash Flow'!D12</f>
        <v>2903.2400000000002</v>
      </c>
      <c r="E23" s="277">
        <f>'Cash Flow'!E12</f>
        <v>3762.84</v>
      </c>
      <c r="F23" s="277">
        <f>'Cash Flow'!F12</f>
        <v>1879.8600000000001</v>
      </c>
      <c r="G23" s="277">
        <f>'Cash Flow'!G12</f>
        <v>2913.44</v>
      </c>
      <c r="H23" s="277">
        <f>'Cash Flow'!H12</f>
        <v>1963.88</v>
      </c>
      <c r="I23" s="277">
        <f>'Cash Flow'!I12</f>
        <v>2559.21</v>
      </c>
      <c r="J23" s="277">
        <f>'Cash Flow'!J12</f>
        <v>4039.42</v>
      </c>
      <c r="K23" s="278">
        <f>'Cash Flow'!K12</f>
        <v>5734</v>
      </c>
      <c r="L23" s="7" t="s">
        <v>314</v>
      </c>
    </row>
  </sheetData>
  <mergeCells count="2">
    <mergeCell ref="A1:K1"/>
    <mergeCell ref="A2:K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92CD1-85F9-460E-836A-2AEA757F9EF8}">
  <dimension ref="A2:T79"/>
  <sheetViews>
    <sheetView topLeftCell="B1" workbookViewId="0">
      <selection activeCell="R1" sqref="R1"/>
    </sheetView>
  </sheetViews>
  <sheetFormatPr baseColWidth="10" defaultColWidth="8.83203125" defaultRowHeight="15" x14ac:dyDescent="0.2"/>
  <cols>
    <col min="1" max="1" width="16" customWidth="1"/>
    <col min="2" max="11" width="7.83203125" bestFit="1" customWidth="1"/>
  </cols>
  <sheetData>
    <row r="2" spans="18:20" ht="16" thickBot="1" x14ac:dyDescent="0.25"/>
    <row r="3" spans="18:20" x14ac:dyDescent="0.2">
      <c r="R3" s="344" t="s">
        <v>300</v>
      </c>
      <c r="S3" s="345"/>
      <c r="T3" s="346"/>
    </row>
    <row r="4" spans="18:20" x14ac:dyDescent="0.2">
      <c r="R4" s="347"/>
      <c r="S4" s="348"/>
      <c r="T4" s="349"/>
    </row>
    <row r="5" spans="18:20" x14ac:dyDescent="0.2">
      <c r="R5" s="347"/>
      <c r="S5" s="348"/>
      <c r="T5" s="349"/>
    </row>
    <row r="6" spans="18:20" x14ac:dyDescent="0.2">
      <c r="R6" s="347"/>
      <c r="S6" s="348"/>
      <c r="T6" s="349"/>
    </row>
    <row r="7" spans="18:20" x14ac:dyDescent="0.2">
      <c r="R7" s="347"/>
      <c r="S7" s="348"/>
      <c r="T7" s="349"/>
    </row>
    <row r="8" spans="18:20" x14ac:dyDescent="0.2">
      <c r="R8" s="347"/>
      <c r="S8" s="348"/>
      <c r="T8" s="349"/>
    </row>
    <row r="9" spans="18:20" x14ac:dyDescent="0.2">
      <c r="R9" s="347"/>
      <c r="S9" s="348"/>
      <c r="T9" s="349"/>
    </row>
    <row r="10" spans="18:20" ht="16" thickBot="1" x14ac:dyDescent="0.25">
      <c r="R10" s="350"/>
      <c r="S10" s="351"/>
      <c r="T10" s="352"/>
    </row>
    <row r="47" spans="1:13" x14ac:dyDescent="0.2">
      <c r="A47" s="279"/>
      <c r="B47" s="279"/>
      <c r="C47" s="279"/>
      <c r="D47" s="279"/>
      <c r="E47" s="279"/>
      <c r="F47" s="279"/>
      <c r="G47" s="279"/>
      <c r="H47" s="279"/>
      <c r="I47" s="279"/>
      <c r="J47" s="279"/>
      <c r="K47" s="279"/>
      <c r="L47" s="279"/>
      <c r="M47" s="279"/>
    </row>
    <row r="48" spans="1:13" x14ac:dyDescent="0.2">
      <c r="A48" s="280" t="s">
        <v>304</v>
      </c>
      <c r="B48" s="279"/>
      <c r="C48" s="279"/>
      <c r="D48" s="279"/>
      <c r="E48" s="279"/>
      <c r="F48" s="279"/>
      <c r="G48" s="279"/>
      <c r="H48" s="279"/>
      <c r="I48" s="279"/>
      <c r="J48" s="279"/>
      <c r="K48" s="279"/>
      <c r="L48" s="279"/>
      <c r="M48" s="279"/>
    </row>
    <row r="49" spans="1:13" x14ac:dyDescent="0.2">
      <c r="A49" s="280" t="s">
        <v>288</v>
      </c>
      <c r="B49" s="281"/>
      <c r="C49" s="281"/>
      <c r="D49" s="281"/>
      <c r="E49" s="281"/>
      <c r="F49" s="281"/>
      <c r="G49" s="281"/>
      <c r="H49" s="281"/>
      <c r="I49" s="281"/>
      <c r="J49" s="281"/>
      <c r="K49" s="281"/>
      <c r="L49" s="279"/>
      <c r="M49" s="279"/>
    </row>
    <row r="50" spans="1:13" x14ac:dyDescent="0.2">
      <c r="A50" s="279"/>
      <c r="B50" s="282">
        <f>'Key Ratios'!B3</f>
        <v>42094</v>
      </c>
      <c r="C50" s="282">
        <f>'Key Ratios'!C3</f>
        <v>42460</v>
      </c>
      <c r="D50" s="282">
        <f>'Key Ratios'!D3</f>
        <v>42825</v>
      </c>
      <c r="E50" s="282">
        <f>'Key Ratios'!E3</f>
        <v>43190</v>
      </c>
      <c r="F50" s="282">
        <f>'Key Ratios'!F3</f>
        <v>43555</v>
      </c>
      <c r="G50" s="282">
        <f>'Key Ratios'!G3</f>
        <v>43921</v>
      </c>
      <c r="H50" s="282">
        <f>'Key Ratios'!H3</f>
        <v>44286</v>
      </c>
      <c r="I50" s="282">
        <f>'Key Ratios'!I3</f>
        <v>44651</v>
      </c>
      <c r="J50" s="282">
        <f>'Key Ratios'!J3</f>
        <v>45016</v>
      </c>
      <c r="K50" s="282">
        <f>'Key Ratios'!K3</f>
        <v>45382</v>
      </c>
      <c r="L50" s="279"/>
      <c r="M50" s="279"/>
    </row>
    <row r="51" spans="1:13" x14ac:dyDescent="0.2">
      <c r="A51" s="279" t="str">
        <f>'Key Ratios'!A11</f>
        <v>Operating Margin</v>
      </c>
      <c r="B51" s="283">
        <f>'Key Ratios'!B11</f>
        <v>0.19116998773815186</v>
      </c>
      <c r="C51" s="283">
        <f>'Key Ratios'!C11</f>
        <v>0.21232461329981928</v>
      </c>
      <c r="D51" s="283">
        <f>'Key Ratios'!D11</f>
        <v>0.20357099516794519</v>
      </c>
      <c r="E51" s="283">
        <f>'Key Ratios'!E11</f>
        <v>0.19221790778475001</v>
      </c>
      <c r="F51" s="283">
        <f>'Key Ratios'!F11</f>
        <v>0.17122285237681603</v>
      </c>
      <c r="G51" s="283">
        <f>'Key Ratios'!G11</f>
        <v>0.17077441662641851</v>
      </c>
      <c r="H51" s="283">
        <f>'Key Ratios'!H11</f>
        <v>0.17799523306230322</v>
      </c>
      <c r="I51" s="283">
        <f>'Key Ratios'!I11</f>
        <v>0.15866181963879</v>
      </c>
      <c r="J51" s="283">
        <f>'Key Ratios'!J11</f>
        <v>0.17733020475990099</v>
      </c>
      <c r="K51" s="283">
        <f>'Key Ratios'!K11</f>
        <v>0.19533309576039276</v>
      </c>
      <c r="L51" s="279"/>
      <c r="M51" s="279"/>
    </row>
    <row r="52" spans="1:13" x14ac:dyDescent="0.2">
      <c r="A52" s="279" t="str">
        <f>'Key Ratios'!A12</f>
        <v>PBT Margin</v>
      </c>
      <c r="B52" s="283">
        <f>'Key Ratios'!B12</f>
        <v>0.18906537676472415</v>
      </c>
      <c r="C52" s="283">
        <f>'Key Ratios'!C12</f>
        <v>0.25157118751963004</v>
      </c>
      <c r="D52" s="283">
        <f>'Key Ratios'!D12</f>
        <v>0.25684311266704424</v>
      </c>
      <c r="E52" s="283">
        <f>'Key Ratios'!E12</f>
        <v>0.23536003471647887</v>
      </c>
      <c r="F52" s="283">
        <f>'Key Ratios'!F12</f>
        <v>0.22912131151213064</v>
      </c>
      <c r="G52" s="283">
        <f>'Key Ratios'!G12</f>
        <v>0.22367753892638859</v>
      </c>
      <c r="H52" s="283">
        <f>'Key Ratios'!H12</f>
        <v>0.22498871709392709</v>
      </c>
      <c r="I52" s="283">
        <f>'Key Ratios'!I12</f>
        <v>0.23085674908605325</v>
      </c>
      <c r="J52" s="283">
        <f>'Key Ratios'!J12</f>
        <v>0.2151117338510804</v>
      </c>
      <c r="K52" s="283">
        <f>'Key Ratios'!K12</f>
        <v>0.22375626888353864</v>
      </c>
      <c r="L52" s="279"/>
      <c r="M52" s="279"/>
    </row>
    <row r="53" spans="1:13" x14ac:dyDescent="0.2">
      <c r="A53" s="279" t="str">
        <f>'Key Ratios'!A13</f>
        <v>Net Margin</v>
      </c>
      <c r="B53" s="283">
        <f>'Key Ratios'!B13</f>
        <v>0.13020804392038293</v>
      </c>
      <c r="C53" s="283">
        <f>'Key Ratios'!C13</f>
        <v>0.1799103292372668</v>
      </c>
      <c r="D53" s="283">
        <f>'Key Ratios'!D13</f>
        <v>0.187521604506976</v>
      </c>
      <c r="E53" s="283">
        <f>'Key Ratios'!E13</f>
        <v>0.16735230918927591</v>
      </c>
      <c r="F53" s="283">
        <f>'Key Ratios'!F13</f>
        <v>0.1623183364445776</v>
      </c>
      <c r="G53" s="283">
        <f>'Key Ratios'!G13</f>
        <v>0.17420271302348186</v>
      </c>
      <c r="H53" s="283">
        <f>'Key Ratios'!H13</f>
        <v>0.17508402700976311</v>
      </c>
      <c r="I53" s="283">
        <f>'Key Ratios'!I13</f>
        <v>0.18602878106340345</v>
      </c>
      <c r="J53" s="283">
        <f>'Key Ratios'!J13</f>
        <v>0.16623636895295013</v>
      </c>
      <c r="K53" s="283">
        <f>'Key Ratios'!K13</f>
        <v>0.17178885961199836</v>
      </c>
      <c r="L53" s="279"/>
      <c r="M53" s="279"/>
    </row>
    <row r="54" spans="1:13" x14ac:dyDescent="0.2">
      <c r="A54" s="279"/>
      <c r="B54" s="279"/>
      <c r="C54" s="279"/>
      <c r="D54" s="279"/>
      <c r="E54" s="279"/>
      <c r="F54" s="279"/>
      <c r="G54" s="279"/>
      <c r="H54" s="279"/>
      <c r="I54" s="279"/>
      <c r="J54" s="279"/>
      <c r="K54" s="279"/>
      <c r="L54" s="279"/>
      <c r="M54" s="279"/>
    </row>
    <row r="55" spans="1:13" x14ac:dyDescent="0.2">
      <c r="A55" s="280" t="s">
        <v>289</v>
      </c>
      <c r="B55" s="279"/>
      <c r="C55" s="279"/>
      <c r="D55" s="279"/>
      <c r="E55" s="279"/>
      <c r="F55" s="279"/>
      <c r="G55" s="279"/>
      <c r="H55" s="279"/>
      <c r="I55" s="279"/>
      <c r="J55" s="279"/>
      <c r="K55" s="279"/>
      <c r="L55" s="279"/>
      <c r="M55" s="279"/>
    </row>
    <row r="56" spans="1:13" x14ac:dyDescent="0.2">
      <c r="A56" s="279"/>
      <c r="B56" s="282">
        <f>B50</f>
        <v>42094</v>
      </c>
      <c r="C56" s="282">
        <f t="shared" ref="C56:K56" si="0">C50</f>
        <v>42460</v>
      </c>
      <c r="D56" s="282">
        <f t="shared" si="0"/>
        <v>42825</v>
      </c>
      <c r="E56" s="282">
        <f t="shared" si="0"/>
        <v>43190</v>
      </c>
      <c r="F56" s="282">
        <f t="shared" si="0"/>
        <v>43555</v>
      </c>
      <c r="G56" s="282">
        <f t="shared" si="0"/>
        <v>43921</v>
      </c>
      <c r="H56" s="282">
        <f t="shared" si="0"/>
        <v>44286</v>
      </c>
      <c r="I56" s="282">
        <f t="shared" si="0"/>
        <v>44651</v>
      </c>
      <c r="J56" s="282">
        <f t="shared" si="0"/>
        <v>45016</v>
      </c>
      <c r="K56" s="282">
        <f t="shared" si="0"/>
        <v>45382</v>
      </c>
      <c r="L56" s="279"/>
      <c r="M56" s="279"/>
    </row>
    <row r="57" spans="1:13" x14ac:dyDescent="0.2">
      <c r="A57" s="279" t="s">
        <v>290</v>
      </c>
      <c r="B57" s="283">
        <f>'Key Ratios'!B21</f>
        <v>0.25343117638788187</v>
      </c>
      <c r="C57" s="283">
        <f>'Key Ratios'!C21</f>
        <v>0.28966834542174863</v>
      </c>
      <c r="D57" s="283">
        <f>'Key Ratios'!D21</f>
        <v>0.22845820893934285</v>
      </c>
      <c r="E57" s="283">
        <f>'Key Ratios'!E21</f>
        <v>0.20655522285172673</v>
      </c>
      <c r="F57" s="283">
        <f>'Key Ratios'!F21</f>
        <v>0.21208747080224907</v>
      </c>
      <c r="G57" s="283">
        <f>'Key Ratios'!G21</f>
        <v>0.2406006256093596</v>
      </c>
      <c r="H57" s="283">
        <f>'Key Ratios'!H21</f>
        <v>0.17808614464700626</v>
      </c>
      <c r="I57" s="283">
        <f>'Key Ratios'!I21</f>
        <v>0.20649505268815943</v>
      </c>
      <c r="J57" s="283">
        <f>'Key Ratios'!J21</f>
        <v>0.20639959620646597</v>
      </c>
      <c r="K57" s="283">
        <f>'Key Ratios'!K21</f>
        <v>0.26614636005774378</v>
      </c>
      <c r="L57" s="279"/>
      <c r="M57" s="279"/>
    </row>
    <row r="58" spans="1:13" x14ac:dyDescent="0.2">
      <c r="A58" s="279" t="s">
        <v>291</v>
      </c>
      <c r="B58" s="283">
        <f>'Key Ratios'!B22</f>
        <v>0.36487869467962508</v>
      </c>
      <c r="C58" s="283">
        <f>'Key Ratios'!C22</f>
        <v>0.40174506318710246</v>
      </c>
      <c r="D58" s="283">
        <f>'Key Ratios'!D22</f>
        <v>0.3109036423725014</v>
      </c>
      <c r="E58" s="283">
        <f>'Key Ratios'!E22</f>
        <v>0.28885024391597219</v>
      </c>
      <c r="F58" s="283">
        <f>'Key Ratios'!F22</f>
        <v>0.29796907570018932</v>
      </c>
      <c r="G58" s="283">
        <f>'Key Ratios'!G22</f>
        <v>0.30729720066441235</v>
      </c>
      <c r="H58" s="283">
        <f>'Key Ratios'!H22</f>
        <v>0.22807501691008794</v>
      </c>
      <c r="I58" s="283">
        <f>'Key Ratios'!I22</f>
        <v>0.2554943863770836</v>
      </c>
      <c r="J58" s="283">
        <f>'Key Ratios'!J22</f>
        <v>0.26729808989217507</v>
      </c>
      <c r="K58" s="283">
        <f>'Key Ratios'!K22</f>
        <v>0.32714746802745986</v>
      </c>
      <c r="L58" s="279"/>
      <c r="M58" s="279"/>
    </row>
    <row r="59" spans="1:13" x14ac:dyDescent="0.2">
      <c r="A59" s="279"/>
      <c r="B59" s="279"/>
      <c r="C59" s="279"/>
      <c r="D59" s="279"/>
      <c r="E59" s="279"/>
      <c r="F59" s="279"/>
      <c r="G59" s="279"/>
      <c r="H59" s="279"/>
      <c r="I59" s="279"/>
      <c r="J59" s="279"/>
      <c r="K59" s="279"/>
      <c r="L59" s="279"/>
      <c r="M59" s="279"/>
    </row>
    <row r="60" spans="1:13" x14ac:dyDescent="0.2">
      <c r="A60" s="280" t="s">
        <v>293</v>
      </c>
      <c r="B60" s="279"/>
      <c r="C60" s="279"/>
      <c r="D60" s="279"/>
      <c r="E60" s="279"/>
      <c r="F60" s="279"/>
      <c r="G60" s="279"/>
      <c r="H60" s="279"/>
      <c r="I60" s="279"/>
      <c r="J60" s="279"/>
      <c r="K60" s="279"/>
      <c r="L60" s="279"/>
      <c r="M60" s="279"/>
    </row>
    <row r="61" spans="1:13" x14ac:dyDescent="0.2">
      <c r="A61" s="279"/>
      <c r="B61" s="282">
        <f t="shared" ref="B61:J61" si="1">C56</f>
        <v>42460</v>
      </c>
      <c r="C61" s="282">
        <f t="shared" si="1"/>
        <v>42825</v>
      </c>
      <c r="D61" s="282">
        <f t="shared" si="1"/>
        <v>43190</v>
      </c>
      <c r="E61" s="282">
        <f t="shared" si="1"/>
        <v>43555</v>
      </c>
      <c r="F61" s="282">
        <f t="shared" si="1"/>
        <v>43921</v>
      </c>
      <c r="G61" s="282">
        <f t="shared" si="1"/>
        <v>44286</v>
      </c>
      <c r="H61" s="282">
        <f t="shared" si="1"/>
        <v>44651</v>
      </c>
      <c r="I61" s="282">
        <f t="shared" si="1"/>
        <v>45016</v>
      </c>
      <c r="J61" s="282">
        <f t="shared" si="1"/>
        <v>45382</v>
      </c>
      <c r="K61" s="279"/>
      <c r="L61" s="279"/>
      <c r="M61" s="279"/>
    </row>
    <row r="62" spans="1:13" x14ac:dyDescent="0.2">
      <c r="A62" s="279" t="s">
        <v>294</v>
      </c>
      <c r="B62" s="283">
        <f>'Key Ratios'!C4</f>
        <v>4.5298914956120262E-2</v>
      </c>
      <c r="C62" s="283">
        <f>'Key Ratios'!D4</f>
        <v>-3.6279846139465777E-2</v>
      </c>
      <c r="D62" s="283">
        <f>'Key Ratios'!E4</f>
        <v>0.15882576286893135</v>
      </c>
      <c r="E62" s="283">
        <f>'Key Ratios'!F4</f>
        <v>0.20419334762135399</v>
      </c>
      <c r="F62" s="283">
        <f>'Key Ratios'!G4</f>
        <v>-1.4460285602005185E-2</v>
      </c>
      <c r="G62" s="283">
        <f>'Key Ratios'!H4</f>
        <v>-7.2783029982970482E-2</v>
      </c>
      <c r="H62" s="283">
        <f>'Key Ratios'!I4</f>
        <v>0.19478801834679826</v>
      </c>
      <c r="I62" s="283">
        <f>'Key Ratios'!J4</f>
        <v>9.9885321066317978E-2</v>
      </c>
      <c r="J62" s="283">
        <f>'Key Ratios'!K4</f>
        <v>0.23083149867042962</v>
      </c>
      <c r="K62" s="279"/>
      <c r="L62" s="279"/>
      <c r="M62" s="279"/>
    </row>
    <row r="63" spans="1:13" x14ac:dyDescent="0.2">
      <c r="A63" s="279" t="s">
        <v>180</v>
      </c>
      <c r="B63" s="283">
        <f>'Key Ratios'!C5</f>
        <v>0.39087914375635369</v>
      </c>
      <c r="C63" s="283">
        <f>'Key Ratios'!D5</f>
        <v>-1.608412911678081E-2</v>
      </c>
      <c r="D63" s="283">
        <f>'Key Ratios'!E5</f>
        <v>6.1898327531744846E-2</v>
      </c>
      <c r="E63" s="283">
        <f>'Key Ratios'!F5</f>
        <v>0.17227361668922248</v>
      </c>
      <c r="F63" s="283">
        <f>'Key Ratios'!G5</f>
        <v>-3.7876064972296453E-2</v>
      </c>
      <c r="G63" s="283">
        <f>'Key Ratios'!H5</f>
        <v>-6.7347765210777011E-2</v>
      </c>
      <c r="H63" s="283">
        <f>'Key Ratios'!I5</f>
        <v>0.22594982239646999</v>
      </c>
      <c r="I63" s="283">
        <f>'Key Ratios'!J5</f>
        <v>2.4870355268385325E-2</v>
      </c>
      <c r="J63" s="283">
        <f>'Key Ratios'!K5</f>
        <v>0.28029400738078913</v>
      </c>
      <c r="K63" s="279"/>
      <c r="L63" s="279"/>
      <c r="M63" s="279"/>
    </row>
    <row r="64" spans="1:13" x14ac:dyDescent="0.2">
      <c r="A64" s="279" t="s">
        <v>278</v>
      </c>
      <c r="B64" s="283">
        <f>'Key Ratios'!C6</f>
        <v>0.44430456275116637</v>
      </c>
      <c r="C64" s="283">
        <f>'Key Ratios'!D6</f>
        <v>4.491239128937119E-3</v>
      </c>
      <c r="D64" s="283">
        <f>'Key Ratios'!E6</f>
        <v>3.4185729553766864E-2</v>
      </c>
      <c r="E64" s="283">
        <f>'Key Ratios'!F6</f>
        <v>0.16797110174593599</v>
      </c>
      <c r="F64" s="283">
        <f>'Key Ratios'!G6</f>
        <v>5.769745920935021E-2</v>
      </c>
      <c r="G64" s="283">
        <f>'Key Ratios'!H6</f>
        <v>-6.8092119779504467E-2</v>
      </c>
      <c r="H64" s="283">
        <f>'Key Ratios'!I6</f>
        <v>0.26947593380303148</v>
      </c>
      <c r="I64" s="283">
        <f>'Key Ratios'!J6</f>
        <v>-1.7136267874606537E-2</v>
      </c>
      <c r="J64" s="283">
        <f>'Key Ratios'!K6</f>
        <v>0.27194272145684728</v>
      </c>
      <c r="K64" s="279"/>
      <c r="L64" s="279"/>
      <c r="M64" s="279"/>
    </row>
    <row r="65" spans="1:13" x14ac:dyDescent="0.2">
      <c r="A65" s="279"/>
      <c r="B65" s="279"/>
      <c r="C65" s="279"/>
      <c r="D65" s="279"/>
      <c r="E65" s="279"/>
      <c r="F65" s="279"/>
      <c r="G65" s="279"/>
      <c r="H65" s="279"/>
      <c r="I65" s="279"/>
      <c r="J65" s="279"/>
      <c r="K65" s="279"/>
      <c r="L65" s="279"/>
      <c r="M65" s="279"/>
    </row>
    <row r="66" spans="1:13" x14ac:dyDescent="0.2">
      <c r="A66" s="280" t="s">
        <v>295</v>
      </c>
      <c r="B66" s="281"/>
      <c r="C66" s="281"/>
      <c r="D66" s="281"/>
      <c r="E66" s="281"/>
      <c r="F66" s="281"/>
      <c r="G66" s="281"/>
      <c r="H66" s="281"/>
      <c r="I66" s="281"/>
      <c r="J66" s="281"/>
      <c r="K66" s="281"/>
      <c r="L66" s="279"/>
      <c r="M66" s="279"/>
    </row>
    <row r="67" spans="1:13" x14ac:dyDescent="0.2">
      <c r="A67" s="279"/>
      <c r="B67" s="282">
        <f>B56</f>
        <v>42094</v>
      </c>
      <c r="C67" s="282">
        <f t="shared" ref="C67:K67" si="2">C56</f>
        <v>42460</v>
      </c>
      <c r="D67" s="282">
        <f t="shared" si="2"/>
        <v>42825</v>
      </c>
      <c r="E67" s="282">
        <f t="shared" si="2"/>
        <v>43190</v>
      </c>
      <c r="F67" s="282">
        <f t="shared" si="2"/>
        <v>43555</v>
      </c>
      <c r="G67" s="282">
        <f t="shared" si="2"/>
        <v>43921</v>
      </c>
      <c r="H67" s="282">
        <f t="shared" si="2"/>
        <v>44286</v>
      </c>
      <c r="I67" s="282">
        <f t="shared" si="2"/>
        <v>44651</v>
      </c>
      <c r="J67" s="282">
        <f t="shared" si="2"/>
        <v>45016</v>
      </c>
      <c r="K67" s="282">
        <f t="shared" si="2"/>
        <v>45382</v>
      </c>
      <c r="L67" s="279"/>
      <c r="M67" s="279"/>
    </row>
    <row r="68" spans="1:13" x14ac:dyDescent="0.2">
      <c r="A68" s="279" t="s">
        <v>296</v>
      </c>
      <c r="B68" s="284">
        <f>'Profit &amp; Loss'!B4</f>
        <v>21595.439999999999</v>
      </c>
      <c r="C68" s="284">
        <f>'Profit &amp; Loss'!C4</f>
        <v>22573.69</v>
      </c>
      <c r="D68" s="284">
        <f>'Profit &amp; Loss'!D4</f>
        <v>21754.720000000001</v>
      </c>
      <c r="E68" s="284">
        <f>'Profit &amp; Loss'!E4</f>
        <v>25209.93</v>
      </c>
      <c r="F68" s="284">
        <f>'Profit &amp; Loss'!F4</f>
        <v>30357.63</v>
      </c>
      <c r="G68" s="284">
        <f>'Profit &amp; Loss'!G4</f>
        <v>29918.65</v>
      </c>
      <c r="H68" s="284">
        <f>'Profit &amp; Loss'!H4</f>
        <v>27741.08</v>
      </c>
      <c r="I68" s="284">
        <f>'Profit &amp; Loss'!I4</f>
        <v>33144.71</v>
      </c>
      <c r="J68" s="284">
        <f>'Profit &amp; Loss'!J4</f>
        <v>36455.379999999997</v>
      </c>
      <c r="K68" s="284">
        <f>'Profit &amp; Loss'!K4</f>
        <v>44870.43</v>
      </c>
      <c r="L68" s="279"/>
      <c r="M68" s="279"/>
    </row>
    <row r="69" spans="1:13" x14ac:dyDescent="0.2">
      <c r="A69" s="279" t="s">
        <v>132</v>
      </c>
      <c r="B69" s="284">
        <f>'Profit &amp; Loss'!B19</f>
        <v>4082.9499999999944</v>
      </c>
      <c r="C69" s="284">
        <f>'Profit &amp; Loss'!C19</f>
        <v>5678.8899999999967</v>
      </c>
      <c r="D69" s="284">
        <f>'Profit &amp; Loss'!D19</f>
        <v>5587.5500000000011</v>
      </c>
      <c r="E69" s="284">
        <f>'Profit &amp; Loss'!E19</f>
        <v>5933.4100000000026</v>
      </c>
      <c r="F69" s="284">
        <f>'Profit &amp; Loss'!F19</f>
        <v>6955.5800000000027</v>
      </c>
      <c r="G69" s="284">
        <f>'Profit &amp; Loss'!G19</f>
        <v>6692.1299999999965</v>
      </c>
      <c r="H69" s="284">
        <f>'Profit &amp; Loss'!H19</f>
        <v>6241.4299999999994</v>
      </c>
      <c r="I69" s="284">
        <f>'Profit &amp; Loss'!I19</f>
        <v>7651.6799999999994</v>
      </c>
      <c r="J69" s="284">
        <f>'Profit &amp; Loss'!J19</f>
        <v>7841.9799999999987</v>
      </c>
      <c r="K69" s="284">
        <f>'Profit &amp; Loss'!K19</f>
        <v>10040.039999999999</v>
      </c>
      <c r="L69" s="279"/>
      <c r="M69" s="279"/>
    </row>
    <row r="70" spans="1:13" x14ac:dyDescent="0.2">
      <c r="A70" s="279" t="s">
        <v>173</v>
      </c>
      <c r="B70" s="284">
        <f>'Profit &amp; Loss'!B23</f>
        <v>2811.8999999999942</v>
      </c>
      <c r="C70" s="284">
        <f>'Profit &amp; Loss'!C23</f>
        <v>4061.2399999999966</v>
      </c>
      <c r="D70" s="284">
        <f>'Profit &amp; Loss'!D23</f>
        <v>4079.4800000000014</v>
      </c>
      <c r="E70" s="284">
        <f>'Profit &amp; Loss'!E23</f>
        <v>4218.9400000000023</v>
      </c>
      <c r="F70" s="284">
        <f>'Profit &amp; Loss'!F23</f>
        <v>4927.6000000000022</v>
      </c>
      <c r="G70" s="284">
        <f>'Profit &amp; Loss'!G23</f>
        <v>5211.9099999999962</v>
      </c>
      <c r="H70" s="284">
        <f>'Profit &amp; Loss'!H23</f>
        <v>4857.0199999999995</v>
      </c>
      <c r="I70" s="284">
        <f>'Profit &amp; Loss'!I23</f>
        <v>6165.869999999999</v>
      </c>
      <c r="J70" s="284">
        <f>'Profit &amp; Loss'!J23</f>
        <v>6060.2099999999991</v>
      </c>
      <c r="K70" s="284">
        <f>'Profit &amp; Loss'!K23</f>
        <v>7708.2399999999989</v>
      </c>
      <c r="L70" s="279"/>
      <c r="M70" s="279"/>
    </row>
    <row r="71" spans="1:13" x14ac:dyDescent="0.2">
      <c r="A71" s="279"/>
      <c r="B71" s="279"/>
      <c r="C71" s="279"/>
      <c r="D71" s="279"/>
      <c r="E71" s="279"/>
      <c r="F71" s="279"/>
      <c r="G71" s="279"/>
      <c r="H71" s="279"/>
      <c r="I71" s="279"/>
      <c r="J71" s="279"/>
      <c r="K71" s="279"/>
      <c r="L71" s="279"/>
      <c r="M71" s="279"/>
    </row>
    <row r="72" spans="1:13" x14ac:dyDescent="0.2">
      <c r="A72" s="280" t="s">
        <v>301</v>
      </c>
      <c r="B72" s="281"/>
      <c r="C72" s="281"/>
      <c r="D72" s="281"/>
      <c r="E72" s="281"/>
      <c r="F72" s="281"/>
      <c r="G72" s="281"/>
      <c r="H72" s="281"/>
      <c r="I72" s="281"/>
      <c r="J72" s="281"/>
      <c r="K72" s="281"/>
      <c r="L72" s="279"/>
      <c r="M72" s="279"/>
    </row>
    <row r="73" spans="1:13" x14ac:dyDescent="0.2">
      <c r="A73" s="279"/>
      <c r="B73" s="282">
        <f>B67</f>
        <v>42094</v>
      </c>
      <c r="C73" s="282">
        <f t="shared" ref="C73:K73" si="3">C67</f>
        <v>42460</v>
      </c>
      <c r="D73" s="282">
        <f t="shared" si="3"/>
        <v>42825</v>
      </c>
      <c r="E73" s="282">
        <f t="shared" si="3"/>
        <v>43190</v>
      </c>
      <c r="F73" s="282">
        <f t="shared" si="3"/>
        <v>43555</v>
      </c>
      <c r="G73" s="282">
        <f t="shared" si="3"/>
        <v>43921</v>
      </c>
      <c r="H73" s="282">
        <f t="shared" si="3"/>
        <v>44286</v>
      </c>
      <c r="I73" s="282">
        <f t="shared" si="3"/>
        <v>44651</v>
      </c>
      <c r="J73" s="282">
        <f t="shared" si="3"/>
        <v>45016</v>
      </c>
      <c r="K73" s="282">
        <f t="shared" si="3"/>
        <v>45382</v>
      </c>
      <c r="L73" s="279"/>
      <c r="M73" s="279"/>
    </row>
    <row r="74" spans="1:13" x14ac:dyDescent="0.2">
      <c r="A74" s="279" t="s">
        <v>302</v>
      </c>
      <c r="B74" s="284">
        <f>'Cash Flow'!B4</f>
        <v>2113.8000000000002</v>
      </c>
      <c r="C74" s="284">
        <f>'Cash Flow'!C4</f>
        <v>3689.85</v>
      </c>
      <c r="D74" s="284">
        <f>'Cash Flow'!D4</f>
        <v>3267.36</v>
      </c>
      <c r="E74" s="284">
        <f>'Cash Flow'!E4</f>
        <v>4327.84</v>
      </c>
      <c r="F74" s="284">
        <f>'Cash Flow'!F4</f>
        <v>2486.86</v>
      </c>
      <c r="G74" s="284">
        <f>'Cash Flow'!G4</f>
        <v>3850.44</v>
      </c>
      <c r="H74" s="284">
        <f>'Cash Flow'!H4</f>
        <v>3119.88</v>
      </c>
      <c r="I74" s="284">
        <f>'Cash Flow'!I4</f>
        <v>4197.21</v>
      </c>
      <c r="J74" s="284">
        <f>'Cash Flow'!J4</f>
        <v>5277.42</v>
      </c>
      <c r="K74" s="284">
        <f>'Cash Flow'!K4</f>
        <v>6558.16</v>
      </c>
      <c r="L74" s="279"/>
      <c r="M74" s="279"/>
    </row>
    <row r="75" spans="1:13" x14ac:dyDescent="0.2">
      <c r="A75" s="279" t="s">
        <v>303</v>
      </c>
      <c r="B75" s="284">
        <f>'Cash Flow'!B12</f>
        <v>1798.7200000000003</v>
      </c>
      <c r="C75" s="284">
        <f>'Cash Flow'!C12</f>
        <v>3478.2799999999997</v>
      </c>
      <c r="D75" s="284">
        <f>'Cash Flow'!D12</f>
        <v>2903.2400000000002</v>
      </c>
      <c r="E75" s="284">
        <f>'Cash Flow'!E12</f>
        <v>3762.84</v>
      </c>
      <c r="F75" s="284">
        <f>'Cash Flow'!F12</f>
        <v>1879.8600000000001</v>
      </c>
      <c r="G75" s="284">
        <f>'Cash Flow'!G12</f>
        <v>2913.44</v>
      </c>
      <c r="H75" s="284">
        <f>'Cash Flow'!H12</f>
        <v>1963.88</v>
      </c>
      <c r="I75" s="284">
        <f>'Cash Flow'!I12</f>
        <v>2559.21</v>
      </c>
      <c r="J75" s="284">
        <f>'Cash Flow'!J12</f>
        <v>4039.42</v>
      </c>
      <c r="K75" s="284">
        <f>'Cash Flow'!K12</f>
        <v>5734</v>
      </c>
      <c r="L75" s="279"/>
      <c r="M75" s="279"/>
    </row>
    <row r="76" spans="1:13" x14ac:dyDescent="0.2">
      <c r="A76" s="279"/>
      <c r="B76" s="284"/>
      <c r="C76" s="284"/>
      <c r="D76" s="284"/>
      <c r="E76" s="284"/>
      <c r="F76" s="284"/>
      <c r="G76" s="284"/>
      <c r="H76" s="284"/>
      <c r="I76" s="284"/>
      <c r="J76" s="284"/>
      <c r="K76" s="284"/>
      <c r="L76" s="279"/>
      <c r="M76" s="279"/>
    </row>
    <row r="77" spans="1:13" x14ac:dyDescent="0.2">
      <c r="A77" s="279"/>
      <c r="B77" s="279"/>
      <c r="C77" s="279"/>
      <c r="D77" s="279"/>
      <c r="E77" s="279"/>
      <c r="F77" s="279"/>
      <c r="G77" s="279"/>
      <c r="H77" s="279"/>
      <c r="I77" s="279"/>
      <c r="J77" s="279"/>
      <c r="K77" s="279"/>
      <c r="L77" s="279"/>
      <c r="M77" s="279"/>
    </row>
    <row r="78" spans="1:13" x14ac:dyDescent="0.2">
      <c r="A78" s="279"/>
      <c r="B78" s="279"/>
      <c r="C78" s="279"/>
      <c r="D78" s="279"/>
      <c r="E78" s="279"/>
      <c r="F78" s="279"/>
      <c r="G78" s="279"/>
      <c r="H78" s="279"/>
      <c r="I78" s="279"/>
      <c r="J78" s="279"/>
      <c r="K78" s="279"/>
      <c r="L78" s="279"/>
      <c r="M78" s="279"/>
    </row>
    <row r="79" spans="1:13" x14ac:dyDescent="0.2">
      <c r="A79" s="279"/>
      <c r="B79" s="279"/>
      <c r="C79" s="279"/>
      <c r="D79" s="279"/>
      <c r="E79" s="279"/>
      <c r="F79" s="279"/>
      <c r="G79" s="279"/>
      <c r="H79" s="279"/>
      <c r="I79" s="279"/>
      <c r="J79" s="279"/>
      <c r="K79" s="279"/>
      <c r="L79" s="279"/>
      <c r="M79" s="279"/>
    </row>
  </sheetData>
  <mergeCells count="1">
    <mergeCell ref="R3:T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4DCD7-B3DF-4568-A908-CAEE3C206890}">
  <dimension ref="A1:Q35"/>
  <sheetViews>
    <sheetView workbookViewId="0">
      <selection sqref="A1:K1"/>
    </sheetView>
  </sheetViews>
  <sheetFormatPr baseColWidth="10" defaultColWidth="8.6640625" defaultRowHeight="13" x14ac:dyDescent="0.15"/>
  <cols>
    <col min="1" max="1" width="21.1640625" style="7" bestFit="1" customWidth="1"/>
    <col min="2" max="11" width="6.6640625" style="7" bestFit="1" customWidth="1"/>
    <col min="12" max="16384" width="8.6640625" style="7"/>
  </cols>
  <sheetData>
    <row r="1" spans="1:17" ht="17" thickBot="1" x14ac:dyDescent="0.25">
      <c r="A1" s="353" t="s">
        <v>168</v>
      </c>
      <c r="B1" s="354"/>
      <c r="C1" s="354"/>
      <c r="D1" s="354"/>
      <c r="E1" s="354"/>
      <c r="F1" s="354"/>
      <c r="G1" s="354"/>
      <c r="H1" s="354"/>
      <c r="I1" s="354"/>
      <c r="J1" s="354"/>
      <c r="K1" s="355"/>
    </row>
    <row r="2" spans="1:17" x14ac:dyDescent="0.15">
      <c r="A2" s="197" t="s">
        <v>179</v>
      </c>
      <c r="B2" s="103">
        <v>39538</v>
      </c>
      <c r="C2" s="103">
        <v>39903</v>
      </c>
      <c r="D2" s="103">
        <v>40268</v>
      </c>
      <c r="E2" s="103">
        <v>40633</v>
      </c>
      <c r="F2" s="103">
        <v>40999</v>
      </c>
      <c r="G2" s="103">
        <v>41364</v>
      </c>
      <c r="H2" s="103">
        <v>41729</v>
      </c>
      <c r="I2" s="103">
        <v>42094</v>
      </c>
      <c r="J2" s="103">
        <v>42460</v>
      </c>
      <c r="K2" s="198">
        <v>42825</v>
      </c>
      <c r="M2" s="344" t="s">
        <v>257</v>
      </c>
      <c r="N2" s="356"/>
      <c r="O2" s="356"/>
      <c r="P2" s="356"/>
      <c r="Q2" s="357"/>
    </row>
    <row r="3" spans="1:17" x14ac:dyDescent="0.15">
      <c r="A3" s="199" t="s">
        <v>4</v>
      </c>
      <c r="B3" s="105">
        <v>1</v>
      </c>
      <c r="C3" s="105">
        <v>1</v>
      </c>
      <c r="D3" s="105">
        <v>1</v>
      </c>
      <c r="E3" s="105">
        <v>1</v>
      </c>
      <c r="F3" s="105">
        <v>1</v>
      </c>
      <c r="G3" s="105">
        <v>1</v>
      </c>
      <c r="H3" s="105">
        <v>1</v>
      </c>
      <c r="I3" s="105">
        <v>1</v>
      </c>
      <c r="J3" s="105">
        <v>1</v>
      </c>
      <c r="K3" s="206">
        <v>1</v>
      </c>
      <c r="M3" s="358"/>
      <c r="N3" s="359"/>
      <c r="O3" s="359"/>
      <c r="P3" s="359"/>
      <c r="Q3" s="360"/>
    </row>
    <row r="4" spans="1:17" x14ac:dyDescent="0.15">
      <c r="A4" s="199" t="s">
        <v>74</v>
      </c>
      <c r="B4" s="32">
        <f>'Data Sheet'!B18/'Data Sheet'!B$17</f>
        <v>0.69032582804517995</v>
      </c>
      <c r="C4" s="32">
        <f>'Data Sheet'!C18/'Data Sheet'!C$17</f>
        <v>0.66419845404096545</v>
      </c>
      <c r="D4" s="32">
        <f>'Data Sheet'!D18/'Data Sheet'!D$17</f>
        <v>0.67423667139820687</v>
      </c>
      <c r="E4" s="32">
        <f>'Data Sheet'!E18/'Data Sheet'!E$17</f>
        <v>0.6902204805804697</v>
      </c>
      <c r="F4" s="32">
        <f>'Data Sheet'!F18/'Data Sheet'!F$17</f>
        <v>0.719888212617388</v>
      </c>
      <c r="G4" s="32">
        <f>'Data Sheet'!G18/'Data Sheet'!G$17</f>
        <v>0.70428612253560907</v>
      </c>
      <c r="H4" s="32">
        <f>'Data Sheet'!H18/'Data Sheet'!H$17</f>
        <v>0.71479300733785422</v>
      </c>
      <c r="I4" s="32">
        <f>'Data Sheet'!I18/'Data Sheet'!I$17</f>
        <v>0.72837746958715288</v>
      </c>
      <c r="J4" s="32">
        <f>'Data Sheet'!J18/'Data Sheet'!J$17</f>
        <v>0.71927874568856509</v>
      </c>
      <c r="K4" s="200">
        <f>'Data Sheet'!K18/'Data Sheet'!K$17</f>
        <v>0.7124863746569845</v>
      </c>
      <c r="M4" s="358"/>
      <c r="N4" s="359"/>
      <c r="O4" s="359"/>
      <c r="P4" s="359"/>
      <c r="Q4" s="360"/>
    </row>
    <row r="5" spans="1:17" x14ac:dyDescent="0.15">
      <c r="A5" s="199" t="s">
        <v>75</v>
      </c>
      <c r="B5" s="32">
        <f>'Data Sheet'!B19/'Data Sheet'!B$17</f>
        <v>2.6144408263966841E-3</v>
      </c>
      <c r="C5" s="32">
        <f>'Data Sheet'!C19/'Data Sheet'!C$17</f>
        <v>-2.8107943362383381E-3</v>
      </c>
      <c r="D5" s="32">
        <f>'Data Sheet'!D19/'Data Sheet'!D$17</f>
        <v>2.0078401376804663E-3</v>
      </c>
      <c r="E5" s="32">
        <f>'Data Sheet'!E19/'Data Sheet'!E$17</f>
        <v>-3.8397567942473462E-4</v>
      </c>
      <c r="F5" s="32">
        <f>'Data Sheet'!F19/'Data Sheet'!F$17</f>
        <v>1.8585113528295852E-3</v>
      </c>
      <c r="G5" s="32">
        <f>'Data Sheet'!G19/'Data Sheet'!G$17</f>
        <v>2.1060442232520515E-3</v>
      </c>
      <c r="H5" s="32">
        <f>'Data Sheet'!H19/'Data Sheet'!H$17</f>
        <v>7.9117323478393765E-3</v>
      </c>
      <c r="I5" s="32">
        <f>'Data Sheet'!I19/'Data Sheet'!I$17</f>
        <v>-5.6708898644761115E-3</v>
      </c>
      <c r="J5" s="32">
        <f>'Data Sheet'!J19/'Data Sheet'!J$17</f>
        <v>2.7521315098073319E-3</v>
      </c>
      <c r="K5" s="200">
        <f>'Data Sheet'!K19/'Data Sheet'!K$17</f>
        <v>1.7013431785699402E-3</v>
      </c>
      <c r="M5" s="358"/>
      <c r="N5" s="359"/>
      <c r="O5" s="359"/>
      <c r="P5" s="359"/>
      <c r="Q5" s="360"/>
    </row>
    <row r="6" spans="1:17" x14ac:dyDescent="0.15">
      <c r="A6" s="199" t="s">
        <v>76</v>
      </c>
      <c r="B6" s="32">
        <f>'Data Sheet'!B20/'Data Sheet'!B$17</f>
        <v>5.3159370681958784E-3</v>
      </c>
      <c r="C6" s="32">
        <f>'Data Sheet'!C20/'Data Sheet'!C$17</f>
        <v>5.3451606715605648E-3</v>
      </c>
      <c r="D6" s="32">
        <f>'Data Sheet'!D20/'Data Sheet'!D$17</f>
        <v>4.4339803040443632E-3</v>
      </c>
      <c r="E6" s="32">
        <f>'Data Sheet'!E20/'Data Sheet'!E$17</f>
        <v>3.9770042994962699E-3</v>
      </c>
      <c r="F6" s="32">
        <f>'Data Sheet'!F20/'Data Sheet'!F$17</f>
        <v>3.7885039115372315E-3</v>
      </c>
      <c r="G6" s="32">
        <f>'Data Sheet'!G20/'Data Sheet'!G$17</f>
        <v>3.8962319489682855E-3</v>
      </c>
      <c r="H6" s="32">
        <f>'Data Sheet'!H20/'Data Sheet'!H$17</f>
        <v>3.292589906377113E-3</v>
      </c>
      <c r="I6" s="32">
        <f>'Data Sheet'!I20/'Data Sheet'!I$17</f>
        <v>3.2587402333585061E-3</v>
      </c>
      <c r="J6" s="32">
        <f>'Data Sheet'!J20/'Data Sheet'!J$17</f>
        <v>3.3630152805978158E-3</v>
      </c>
      <c r="K6" s="200">
        <f>'Data Sheet'!K20/'Data Sheet'!K$17</f>
        <v>3.2970488582346994E-3</v>
      </c>
      <c r="M6" s="358"/>
      <c r="N6" s="359"/>
      <c r="O6" s="359"/>
      <c r="P6" s="359"/>
      <c r="Q6" s="360"/>
    </row>
    <row r="7" spans="1:17" x14ac:dyDescent="0.15">
      <c r="A7" s="199" t="s">
        <v>77</v>
      </c>
      <c r="B7" s="32">
        <f>'Data Sheet'!B21/'Data Sheet'!B$17</f>
        <v>3.0366595910988618E-2</v>
      </c>
      <c r="C7" s="32">
        <f>'Data Sheet'!C21/'Data Sheet'!C$17</f>
        <v>2.8537204152267532E-2</v>
      </c>
      <c r="D7" s="32">
        <f>'Data Sheet'!D21/'Data Sheet'!D$17</f>
        <v>2.5168790956629179E-2</v>
      </c>
      <c r="E7" s="32">
        <f>'Data Sheet'!E21/'Data Sheet'!E$17</f>
        <v>2.1823146672759502E-2</v>
      </c>
      <c r="F7" s="32">
        <f>'Data Sheet'!F21/'Data Sheet'!F$17</f>
        <v>2.0884041343148328E-2</v>
      </c>
      <c r="G7" s="32">
        <f>'Data Sheet'!G21/'Data Sheet'!G$17</f>
        <v>2.3357671552693721E-2</v>
      </c>
      <c r="H7" s="32">
        <f>'Data Sheet'!H21/'Data Sheet'!H$17</f>
        <v>2.1524396310453664E-2</v>
      </c>
      <c r="I7" s="32">
        <f>'Data Sheet'!I21/'Data Sheet'!I$17</f>
        <v>2.5231175653671431E-2</v>
      </c>
      <c r="J7" s="32">
        <f>'Data Sheet'!J21/'Data Sheet'!J$17</f>
        <v>2.0396166491749641E-2</v>
      </c>
      <c r="K7" s="200">
        <f>'Data Sheet'!K21/'Data Sheet'!K$17</f>
        <v>1.6367795004416048E-2</v>
      </c>
      <c r="M7" s="358"/>
      <c r="N7" s="359"/>
      <c r="O7" s="359"/>
      <c r="P7" s="359"/>
      <c r="Q7" s="360"/>
    </row>
    <row r="8" spans="1:17" x14ac:dyDescent="0.15">
      <c r="A8" s="199" t="s">
        <v>78</v>
      </c>
      <c r="B8" s="32">
        <f>'Data Sheet'!B22/'Data Sheet'!B$17</f>
        <v>4.1735662713980361E-2</v>
      </c>
      <c r="C8" s="32">
        <f>'Data Sheet'!C22/'Data Sheet'!C$17</f>
        <v>4.0755853385069082E-2</v>
      </c>
      <c r="D8" s="32">
        <f>'Data Sheet'!D22/'Data Sheet'!D$17</f>
        <v>4.595922172291806E-2</v>
      </c>
      <c r="E8" s="32">
        <f>'Data Sheet'!E22/'Data Sheet'!E$17</f>
        <v>4.2546329958076043E-2</v>
      </c>
      <c r="F8" s="32">
        <f>'Data Sheet'!F22/'Data Sheet'!F$17</f>
        <v>4.1515757323611888E-2</v>
      </c>
      <c r="G8" s="32">
        <f>'Data Sheet'!G22/'Data Sheet'!G$17</f>
        <v>4.6626435350525505E-2</v>
      </c>
      <c r="H8" s="32">
        <f>'Data Sheet'!H22/'Data Sheet'!H$17</f>
        <v>4.6720243047494898E-2</v>
      </c>
      <c r="I8" s="32">
        <f>'Data Sheet'!I22/'Data Sheet'!I$17</f>
        <v>4.1213213209589102E-2</v>
      </c>
      <c r="J8" s="32">
        <f>'Data Sheet'!J22/'Data Sheet'!J$17</f>
        <v>4.0819763776978872E-2</v>
      </c>
      <c r="K8" s="200">
        <f>'Data Sheet'!K22/'Data Sheet'!K$17</f>
        <v>3.6350442819469302E-2</v>
      </c>
      <c r="M8" s="358"/>
      <c r="N8" s="359"/>
      <c r="O8" s="359"/>
      <c r="P8" s="359"/>
      <c r="Q8" s="360"/>
    </row>
    <row r="9" spans="1:17" x14ac:dyDescent="0.15">
      <c r="A9" s="199" t="s">
        <v>101</v>
      </c>
      <c r="B9" s="32">
        <f>'Data Sheet'!B23/'Data Sheet'!B$17</f>
        <v>3.276525044175993E-2</v>
      </c>
      <c r="C9" s="32">
        <f>'Data Sheet'!C23/'Data Sheet'!C$17</f>
        <v>3.5247228078351393E-2</v>
      </c>
      <c r="D9" s="32">
        <f>'Data Sheet'!D23/'Data Sheet'!D$17</f>
        <v>3.2164514183588663E-2</v>
      </c>
      <c r="E9" s="32">
        <f>'Data Sheet'!E23/'Data Sheet'!E$17</f>
        <v>3.38287333602275E-2</v>
      </c>
      <c r="F9" s="32">
        <f>'Data Sheet'!F23/'Data Sheet'!F$17</f>
        <v>3.0994514393910193E-2</v>
      </c>
      <c r="G9" s="32">
        <f>'Data Sheet'!G23/'Data Sheet'!G$17</f>
        <v>3.4125202841705761E-2</v>
      </c>
      <c r="H9" s="32">
        <f>'Data Sheet'!H23/'Data Sheet'!H$17</f>
        <v>2.3606146552333219E-2</v>
      </c>
      <c r="I9" s="32">
        <f>'Data Sheet'!I23/'Data Sheet'!I$17</f>
        <v>1.945710190253588E-2</v>
      </c>
      <c r="J9" s="32">
        <f>'Data Sheet'!J23/'Data Sheet'!J$17</f>
        <v>2.33877688286338E-2</v>
      </c>
      <c r="K9" s="200">
        <f>'Data Sheet'!K23/'Data Sheet'!K$17</f>
        <v>2.227235174701914E-2</v>
      </c>
      <c r="M9" s="358"/>
      <c r="N9" s="359"/>
      <c r="O9" s="359"/>
      <c r="P9" s="359"/>
      <c r="Q9" s="360"/>
    </row>
    <row r="10" spans="1:17" ht="14" thickBot="1" x14ac:dyDescent="0.2">
      <c r="A10" s="199" t="s">
        <v>80</v>
      </c>
      <c r="B10" s="32">
        <f>'Data Sheet'!B24/'Data Sheet'!B$17</f>
        <v>1.0935178908139867E-2</v>
      </c>
      <c r="C10" s="32">
        <f>'Data Sheet'!C24/'Data Sheet'!C$17</f>
        <v>1.0780692035728321E-2</v>
      </c>
      <c r="D10" s="32">
        <f>'Data Sheet'!D24/'Data Sheet'!D$17</f>
        <v>1.6473666404348112E-2</v>
      </c>
      <c r="E10" s="32">
        <f>'Data Sheet'!E24/'Data Sheet'!E$17</f>
        <v>1.5002421664796371E-2</v>
      </c>
      <c r="F10" s="32">
        <f>'Data Sheet'!F24/'Data Sheet'!F$17</f>
        <v>1.3564629386417846E-2</v>
      </c>
      <c r="G10" s="32">
        <f>'Data Sheet'!G24/'Data Sheet'!G$17</f>
        <v>1.9039963367331079E-2</v>
      </c>
      <c r="H10" s="32">
        <f>'Data Sheet'!H24/'Data Sheet'!H$17</f>
        <v>1.9980116131023015E-2</v>
      </c>
      <c r="I10" s="32">
        <f>'Data Sheet'!I24/'Data Sheet'!I$17</f>
        <v>1.8129589910426128E-2</v>
      </c>
      <c r="J10" s="32">
        <f>'Data Sheet'!J24/'Data Sheet'!J$17</f>
        <v>1.8176466683381166E-2</v>
      </c>
      <c r="K10" s="200">
        <f>'Data Sheet'!K24/'Data Sheet'!K$17</f>
        <v>1.5594234332053427E-2</v>
      </c>
      <c r="M10" s="361"/>
      <c r="N10" s="362"/>
      <c r="O10" s="362"/>
      <c r="P10" s="362"/>
      <c r="Q10" s="363"/>
    </row>
    <row r="11" spans="1:17" x14ac:dyDescent="0.15">
      <c r="A11" s="207" t="s">
        <v>6</v>
      </c>
      <c r="B11" s="106">
        <f>('Data Sheet'!B17-'Data Sheet'!B18-'Data Sheet'!B19-'Data Sheet'!B20-'Data Sheet'!B21-'Data Sheet'!B22-'Data Sheet'!B23-'Data Sheet'!B24)/'Data Sheet'!B$17</f>
        <v>0.18594110608535874</v>
      </c>
      <c r="C11" s="106">
        <f>('Data Sheet'!C17-'Data Sheet'!C18-'Data Sheet'!C19-'Data Sheet'!C20-'Data Sheet'!C21-'Data Sheet'!C22-'Data Sheet'!C23-'Data Sheet'!C24)/'Data Sheet'!C$17</f>
        <v>0.21794620197229606</v>
      </c>
      <c r="D11" s="106">
        <f>('Data Sheet'!D17-'Data Sheet'!D18-'Data Sheet'!D19-'Data Sheet'!D20-'Data Sheet'!D21-'Data Sheet'!D22-'Data Sheet'!D23-'Data Sheet'!D24)/'Data Sheet'!D$17</f>
        <v>0.19955531489258427</v>
      </c>
      <c r="E11" s="106">
        <f>('Data Sheet'!E17-'Data Sheet'!E18-'Data Sheet'!E19-'Data Sheet'!E20-'Data Sheet'!E21-'Data Sheet'!E22-'Data Sheet'!E23-'Data Sheet'!E24)/'Data Sheet'!E$17</f>
        <v>0.19298585914359939</v>
      </c>
      <c r="F11" s="106">
        <f>('Data Sheet'!F17-'Data Sheet'!F18-'Data Sheet'!F19-'Data Sheet'!F20-'Data Sheet'!F21-'Data Sheet'!F22-'Data Sheet'!F23-'Data Sheet'!F24)/'Data Sheet'!F$17</f>
        <v>0.16750582967115688</v>
      </c>
      <c r="G11" s="106">
        <f>('Data Sheet'!G17-'Data Sheet'!G18-'Data Sheet'!G19-'Data Sheet'!G20-'Data Sheet'!G21-'Data Sheet'!G22-'Data Sheet'!G23-'Data Sheet'!G24)/'Data Sheet'!G$17</f>
        <v>0.16656232817991456</v>
      </c>
      <c r="H11" s="106">
        <f>('Data Sheet'!H17-'Data Sheet'!H18-'Data Sheet'!H19-'Data Sheet'!H20-'Data Sheet'!H21-'Data Sheet'!H22-'Data Sheet'!H23-'Data Sheet'!H24)/'Data Sheet'!H$17</f>
        <v>0.16217176836662456</v>
      </c>
      <c r="I11" s="106">
        <f>('Data Sheet'!I17-'Data Sheet'!I18-'Data Sheet'!I19-'Data Sheet'!I20-'Data Sheet'!I21-'Data Sheet'!I22-'Data Sheet'!I23-'Data Sheet'!I24)/'Data Sheet'!I$17</f>
        <v>0.17000359936774218</v>
      </c>
      <c r="J11" s="106">
        <f>('Data Sheet'!J17-'Data Sheet'!J18-'Data Sheet'!J19-'Data Sheet'!J20-'Data Sheet'!J21-'Data Sheet'!J22-'Data Sheet'!J23-'Data Sheet'!J24)/'Data Sheet'!J$17</f>
        <v>0.17182594174028626</v>
      </c>
      <c r="K11" s="208">
        <f>('Data Sheet'!K17-'Data Sheet'!K18-'Data Sheet'!K19-'Data Sheet'!K20-'Data Sheet'!K21-'Data Sheet'!K22-'Data Sheet'!K23-'Data Sheet'!K24)/'Data Sheet'!K$17</f>
        <v>0.19193040940325287</v>
      </c>
    </row>
    <row r="12" spans="1:17" x14ac:dyDescent="0.15">
      <c r="A12" s="199" t="s">
        <v>7</v>
      </c>
      <c r="B12" s="32">
        <f>'Data Sheet'!B25/'Data Sheet'!B$17</f>
        <v>1.0580937457166885E-2</v>
      </c>
      <c r="C12" s="32">
        <f>'Data Sheet'!C25/'Data Sheet'!C$17</f>
        <v>5.2900079694547068E-2</v>
      </c>
      <c r="D12" s="32">
        <f>'Data Sheet'!D25/'Data Sheet'!D$17</f>
        <v>6.7461681878691143E-2</v>
      </c>
      <c r="E12" s="32">
        <f>'Data Sheet'!E25/'Data Sheet'!E$17</f>
        <v>5.5681233545670297E-2</v>
      </c>
      <c r="F12" s="32">
        <f>'Data Sheet'!F25/'Data Sheet'!F$17</f>
        <v>6.6798033970372511E-2</v>
      </c>
      <c r="G12" s="32">
        <f>'Data Sheet'!G25/'Data Sheet'!G$17</f>
        <v>6.124541047139493E-2</v>
      </c>
      <c r="H12" s="32">
        <f>'Data Sheet'!H25/'Data Sheet'!H$17</f>
        <v>5.6583233241099477E-2</v>
      </c>
      <c r="I12" s="32">
        <f>'Data Sheet'!I25/'Data Sheet'!I$17</f>
        <v>8.0595063284608623E-2</v>
      </c>
      <c r="J12" s="32">
        <f>'Data Sheet'!J25/'Data Sheet'!J$17</f>
        <v>4.6706412057699036E-2</v>
      </c>
      <c r="K12" s="200">
        <f>'Data Sheet'!K25/'Data Sheet'!K$17</f>
        <v>3.7897787028116289E-2</v>
      </c>
    </row>
    <row r="13" spans="1:17" x14ac:dyDescent="0.15">
      <c r="A13" s="199" t="s">
        <v>8</v>
      </c>
      <c r="B13" s="32">
        <f>'Data Sheet'!B26/'Data Sheet'!B$17</f>
        <v>1.2385022023167854E-2</v>
      </c>
      <c r="C13" s="32">
        <f>'Data Sheet'!C26/'Data Sheet'!C$17</f>
        <v>1.360699114765907E-2</v>
      </c>
      <c r="D13" s="32">
        <f>'Data Sheet'!D26/'Data Sheet'!D$17</f>
        <v>1.4125210529025425E-2</v>
      </c>
      <c r="E13" s="32">
        <f>'Data Sheet'!E26/'Data Sheet'!E$17</f>
        <v>1.2487142963110171E-2</v>
      </c>
      <c r="F13" s="32">
        <f>'Data Sheet'!F26/'Data Sheet'!F$17</f>
        <v>8.7520007326000078E-3</v>
      </c>
      <c r="G13" s="32">
        <f>'Data Sheet'!G26/'Data Sheet'!G$17</f>
        <v>8.2366684325663082E-3</v>
      </c>
      <c r="H13" s="32">
        <f>'Data Sheet'!H26/'Data Sheet'!H$17</f>
        <v>9.3496720387237983E-3</v>
      </c>
      <c r="I13" s="32">
        <f>'Data Sheet'!I26/'Data Sheet'!I$17</f>
        <v>8.1388553407165127E-3</v>
      </c>
      <c r="J13" s="32">
        <f>'Data Sheet'!J26/'Data Sheet'!J$17</f>
        <v>7.8410923161409928E-3</v>
      </c>
      <c r="K13" s="200">
        <f>'Data Sheet'!K26/'Data Sheet'!K$17</f>
        <v>8.1294072733423765E-3</v>
      </c>
    </row>
    <row r="14" spans="1:17" x14ac:dyDescent="0.15">
      <c r="A14" s="199" t="s">
        <v>9</v>
      </c>
      <c r="B14" s="32">
        <f>'Data Sheet'!B27/'Data Sheet'!B$17</f>
        <v>3.005264074267531E-4</v>
      </c>
      <c r="C14" s="32">
        <f>'Data Sheet'!C27/'Data Sheet'!C$17</f>
        <v>4.6514327077230177E-5</v>
      </c>
      <c r="D14" s="32">
        <f>'Data Sheet'!D27/'Data Sheet'!D$17</f>
        <v>6.435385056668162E-5</v>
      </c>
      <c r="E14" s="32">
        <f>'Data Sheet'!E27/'Data Sheet'!E$17</f>
        <v>5.1963650831239911E-5</v>
      </c>
      <c r="F14" s="32">
        <f>'Data Sheet'!F27/'Data Sheet'!F$17</f>
        <v>1.4757410245793234E-4</v>
      </c>
      <c r="G14" s="32">
        <f>'Data Sheet'!G27/'Data Sheet'!G$17</f>
        <v>1.0561973885853807E-4</v>
      </c>
      <c r="H14" s="32">
        <f>'Data Sheet'!H27/'Data Sheet'!H$17</f>
        <v>2.4007717075182365E-4</v>
      </c>
      <c r="I14" s="32">
        <f>'Data Sheet'!I27/'Data Sheet'!I$17</f>
        <v>2.6127849662887381E-4</v>
      </c>
      <c r="J14" s="32">
        <f>'Data Sheet'!J27/'Data Sheet'!J$17</f>
        <v>1.0837906503786273E-3</v>
      </c>
      <c r="K14" s="200">
        <f>'Data Sheet'!K27/'Data Sheet'!K$17</f>
        <v>1.3452066316280008E-3</v>
      </c>
    </row>
    <row r="15" spans="1:17" x14ac:dyDescent="0.15">
      <c r="A15" s="207" t="s">
        <v>172</v>
      </c>
      <c r="B15" s="106">
        <f>'Data Sheet'!B28/'Data Sheet'!B$17</f>
        <v>0.1890653767647244</v>
      </c>
      <c r="C15" s="106">
        <f>'Data Sheet'!C28/'Data Sheet'!C$17</f>
        <v>0.2515711875196302</v>
      </c>
      <c r="D15" s="106">
        <f>'Data Sheet'!D28/'Data Sheet'!D$17</f>
        <v>0.25684311266704418</v>
      </c>
      <c r="E15" s="106">
        <f>'Data Sheet'!E28/'Data Sheet'!E$17</f>
        <v>0.23536003471647879</v>
      </c>
      <c r="F15" s="106">
        <f>'Data Sheet'!F28/'Data Sheet'!F$17</f>
        <v>0.22912131151213055</v>
      </c>
      <c r="G15" s="106">
        <f>'Data Sheet'!G28/'Data Sheet'!G$17</f>
        <v>0.22367753892638872</v>
      </c>
      <c r="H15" s="106">
        <f>'Data Sheet'!H28/'Data Sheet'!H$17</f>
        <v>0.22498871709392712</v>
      </c>
      <c r="I15" s="106">
        <f>'Data Sheet'!I28/'Data Sheet'!I$17</f>
        <v>0.23085674908605328</v>
      </c>
      <c r="J15" s="106">
        <f>'Data Sheet'!J28/'Data Sheet'!J$17</f>
        <v>0.21511173385108043</v>
      </c>
      <c r="K15" s="208">
        <f>'Data Sheet'!K28/'Data Sheet'!K$17</f>
        <v>0.22375626888353869</v>
      </c>
    </row>
    <row r="16" spans="1:17" x14ac:dyDescent="0.15">
      <c r="A16" s="199" t="s">
        <v>11</v>
      </c>
      <c r="B16" s="32">
        <f>'Data Sheet'!B29/'Data Sheet'!B$17</f>
        <v>5.8857332844341213E-2</v>
      </c>
      <c r="C16" s="32">
        <f>'Data Sheet'!C29/'Data Sheet'!C$17</f>
        <v>7.1660858282363238E-2</v>
      </c>
      <c r="D16" s="32">
        <f>'Data Sheet'!D29/'Data Sheet'!D$17</f>
        <v>6.932150816006824E-2</v>
      </c>
      <c r="E16" s="32">
        <f>'Data Sheet'!E29/'Data Sheet'!E$17</f>
        <v>6.8007725527202967E-2</v>
      </c>
      <c r="F16" s="32">
        <f>'Data Sheet'!F29/'Data Sheet'!F$17</f>
        <v>6.6802975067553033E-2</v>
      </c>
      <c r="G16" s="32">
        <f>'Data Sheet'!G29/'Data Sheet'!G$17</f>
        <v>4.9474825902906715E-2</v>
      </c>
      <c r="H16" s="32">
        <f>'Data Sheet'!H29/'Data Sheet'!H$17</f>
        <v>4.990469008416399E-2</v>
      </c>
      <c r="I16" s="32">
        <f>'Data Sheet'!I29/'Data Sheet'!I$17</f>
        <v>4.4827968022649767E-2</v>
      </c>
      <c r="J16" s="32">
        <f>'Data Sheet'!J29/'Data Sheet'!J$17</f>
        <v>4.8875364898130262E-2</v>
      </c>
      <c r="K16" s="200">
        <f>'Data Sheet'!K29/'Data Sheet'!K$17</f>
        <v>5.1967409271540303E-2</v>
      </c>
    </row>
    <row r="17" spans="1:11" x14ac:dyDescent="0.15">
      <c r="A17" s="207" t="s">
        <v>173</v>
      </c>
      <c r="B17" s="106">
        <f>'Data Sheet'!B30/'Data Sheet'!B$17</f>
        <v>0.14010504069377611</v>
      </c>
      <c r="C17" s="106">
        <f>'Data Sheet'!C30/'Data Sheet'!C$17</f>
        <v>0.17991032923726694</v>
      </c>
      <c r="D17" s="106">
        <f>'Data Sheet'!D30/'Data Sheet'!D$17</f>
        <v>0.18752206417733713</v>
      </c>
      <c r="E17" s="106">
        <f>'Data Sheet'!E30/'Data Sheet'!E$17</f>
        <v>0.16735270585836612</v>
      </c>
      <c r="F17" s="106">
        <f>'Data Sheet'!F30/'Data Sheet'!F$17</f>
        <v>0.1623186658510562</v>
      </c>
      <c r="G17" s="106">
        <f>'Data Sheet'!G30/'Data Sheet'!G$17</f>
        <v>0.174202713023482</v>
      </c>
      <c r="H17" s="106">
        <f>'Data Sheet'!H30/'Data Sheet'!H$17</f>
        <v>0.17508402700976314</v>
      </c>
      <c r="I17" s="106">
        <f>'Data Sheet'!I30/'Data Sheet'!I$17</f>
        <v>0.18602878106340348</v>
      </c>
      <c r="J17" s="106">
        <f>'Data Sheet'!J30/'Data Sheet'!J$17</f>
        <v>0.16623636895295016</v>
      </c>
      <c r="K17" s="208">
        <f>'Data Sheet'!K30/'Data Sheet'!K$17</f>
        <v>0.17178885961199836</v>
      </c>
    </row>
    <row r="18" spans="1:11" ht="14" thickBot="1" x14ac:dyDescent="0.2">
      <c r="A18" s="209" t="s">
        <v>64</v>
      </c>
      <c r="B18" s="210">
        <f>'Data Sheet'!B31/'Data Sheet'!B$17</f>
        <v>6.6997940305916437E-2</v>
      </c>
      <c r="C18" s="210">
        <f>'Data Sheet'!C31/'Data Sheet'!C$17</f>
        <v>7.0504202015709436E-2</v>
      </c>
      <c r="D18" s="210">
        <f>'Data Sheet'!D31/'Data Sheet'!D$17</f>
        <v>7.3158376664926042E-2</v>
      </c>
      <c r="E18" s="210">
        <f>'Data Sheet'!E31/'Data Sheet'!E$17</f>
        <v>6.8870480798637682E-2</v>
      </c>
      <c r="F18" s="210">
        <f>'Data Sheet'!F31/'Data Sheet'!F$17</f>
        <v>5.7192211644980187E-2</v>
      </c>
      <c r="G18" s="210">
        <f>'Data Sheet'!G31/'Data Sheet'!G$17</f>
        <v>0.11606272341833605</v>
      </c>
      <c r="H18" s="210">
        <f>'Data Sheet'!H31/'Data Sheet'!H$17</f>
        <v>0.14603541030125719</v>
      </c>
      <c r="I18" s="210">
        <f>'Data Sheet'!I31/'Data Sheet'!I$17</f>
        <v>0.12222704618625416</v>
      </c>
      <c r="J18" s="210">
        <f>'Data Sheet'!J31/'Data Sheet'!J$17</f>
        <v>0.10866544252178965</v>
      </c>
      <c r="K18" s="211">
        <f>'Data Sheet'!K31/'Data Sheet'!K$17</f>
        <v>4.9775319737296923E-2</v>
      </c>
    </row>
    <row r="19" spans="1:11" ht="14" thickBot="1" x14ac:dyDescent="0.2"/>
    <row r="20" spans="1:11" ht="16" x14ac:dyDescent="0.2">
      <c r="A20" s="353" t="s">
        <v>169</v>
      </c>
      <c r="B20" s="354"/>
      <c r="C20" s="354"/>
      <c r="D20" s="354"/>
      <c r="E20" s="354"/>
      <c r="F20" s="354"/>
      <c r="G20" s="354"/>
      <c r="H20" s="354"/>
      <c r="I20" s="354"/>
      <c r="J20" s="354"/>
      <c r="K20" s="355"/>
    </row>
    <row r="21" spans="1:11" x14ac:dyDescent="0.15">
      <c r="A21" s="197" t="s">
        <v>179</v>
      </c>
      <c r="B21" s="103">
        <v>39538</v>
      </c>
      <c r="C21" s="103">
        <v>39903</v>
      </c>
      <c r="D21" s="103">
        <v>40268</v>
      </c>
      <c r="E21" s="103">
        <v>40633</v>
      </c>
      <c r="F21" s="103">
        <v>40999</v>
      </c>
      <c r="G21" s="103">
        <v>41364</v>
      </c>
      <c r="H21" s="103">
        <v>41729</v>
      </c>
      <c r="I21" s="103">
        <v>42094</v>
      </c>
      <c r="J21" s="103">
        <v>42460</v>
      </c>
      <c r="K21" s="198">
        <v>42825</v>
      </c>
    </row>
    <row r="22" spans="1:11" x14ac:dyDescent="0.15">
      <c r="A22" s="199" t="s">
        <v>19</v>
      </c>
      <c r="B22" s="32">
        <f>'Data Sheet'!B57/'Data Sheet'!B$61</f>
        <v>1.8124592874680562E-2</v>
      </c>
      <c r="C22" s="32">
        <f>'Data Sheet'!C57/'Data Sheet'!C$61</f>
        <v>1.678444256126754E-2</v>
      </c>
      <c r="D22" s="32">
        <f>'Data Sheet'!D57/'Data Sheet'!D$61</f>
        <v>1.3373467137328413E-2</v>
      </c>
      <c r="E22" s="32">
        <f>'Data Sheet'!E57/'Data Sheet'!E$61</f>
        <v>1.1509884252814129E-2</v>
      </c>
      <c r="F22" s="32">
        <f>'Data Sheet'!F57/'Data Sheet'!F$61</f>
        <v>1.003557901826325E-2</v>
      </c>
      <c r="G22" s="32">
        <f>'Data Sheet'!G57/'Data Sheet'!G$61</f>
        <v>1.0915495348551227E-2</v>
      </c>
      <c r="H22" s="32">
        <f>'Data Sheet'!H57/'Data Sheet'!H$61</f>
        <v>8.6117641036721048E-3</v>
      </c>
      <c r="I22" s="32">
        <f>'Data Sheet'!I57/'Data Sheet'!I$61</f>
        <v>8.2415274210145429E-3</v>
      </c>
      <c r="J22" s="32">
        <f>'Data Sheet'!J57/'Data Sheet'!J$61</f>
        <v>8.053175548468898E-3</v>
      </c>
      <c r="K22" s="200">
        <f>'Data Sheet'!K57/'Data Sheet'!K$61</f>
        <v>7.0959282161891781E-3</v>
      </c>
    </row>
    <row r="23" spans="1:11" x14ac:dyDescent="0.15">
      <c r="A23" s="199" t="s">
        <v>20</v>
      </c>
      <c r="B23" s="32">
        <f>'Data Sheet'!B58/'Data Sheet'!B$61</f>
        <v>0.67682705316430325</v>
      </c>
      <c r="C23" s="32">
        <f>'Data Sheet'!C58/'Data Sheet'!C$61</f>
        <v>0.79644114366455021</v>
      </c>
      <c r="D23" s="32">
        <f>'Data Sheet'!D58/'Data Sheet'!D$61</f>
        <v>0.81188226801284069</v>
      </c>
      <c r="E23" s="32">
        <f>'Data Sheet'!E58/'Data Sheet'!E$61</f>
        <v>0.80091762459727134</v>
      </c>
      <c r="F23" s="32">
        <f>'Data Sheet'!F58/'Data Sheet'!F$61</f>
        <v>0.79573121142412828</v>
      </c>
      <c r="G23" s="32">
        <f>'Data Sheet'!G58/'Data Sheet'!G$61</f>
        <v>0.80621251888908418</v>
      </c>
      <c r="H23" s="32">
        <f>'Data Sheet'!H58/'Data Sheet'!H$61</f>
        <v>0.80305615398740127</v>
      </c>
      <c r="I23" s="32">
        <f>'Data Sheet'!I58/'Data Sheet'!I$61</f>
        <v>0.84218914699892145</v>
      </c>
      <c r="J23" s="32">
        <f>'Data Sheet'!J58/'Data Sheet'!J$61</f>
        <v>0.82759015210700015</v>
      </c>
      <c r="K23" s="200">
        <f>'Data Sheet'!K58/'Data Sheet'!K$61</f>
        <v>0.72904270036694574</v>
      </c>
    </row>
    <row r="24" spans="1:11" x14ac:dyDescent="0.15">
      <c r="A24" s="199" t="s">
        <v>65</v>
      </c>
      <c r="B24" s="32">
        <f>'Data Sheet'!B59/'Data Sheet'!B$61</f>
        <v>7.0370045598035771E-3</v>
      </c>
      <c r="C24" s="32">
        <f>'Data Sheet'!C59/'Data Sheet'!C$61</f>
        <v>6.8362801958426651E-3</v>
      </c>
      <c r="D24" s="32">
        <f>'Data Sheet'!D59/'Data Sheet'!D$61</f>
        <v>5.5412748721901956E-3</v>
      </c>
      <c r="E24" s="32">
        <f>'Data Sheet'!E59/'Data Sheet'!E$61</f>
        <v>4.8037070920011133E-3</v>
      </c>
      <c r="F24" s="32">
        <f>'Data Sheet'!F59/'Data Sheet'!F$61</f>
        <v>4.3184514612922545E-3</v>
      </c>
      <c r="G24" s="32">
        <f>'Data Sheet'!G59/'Data Sheet'!G$61</f>
        <v>4.7374539890954435E-3</v>
      </c>
      <c r="H24" s="32">
        <f>'Data Sheet'!H59/'Data Sheet'!H$61</f>
        <v>3.6146969901234192E-3</v>
      </c>
      <c r="I24" s="32">
        <f>'Data Sheet'!I59/'Data Sheet'!I$61</f>
        <v>3.4966040760201658E-3</v>
      </c>
      <c r="J24" s="32">
        <f>'Data Sheet'!J59/'Data Sheet'!J$61</f>
        <v>3.5356446083767714E-3</v>
      </c>
      <c r="K24" s="200">
        <f>'Data Sheet'!K59/'Data Sheet'!K$61</f>
        <v>4.8590765126504398E-2</v>
      </c>
    </row>
    <row r="25" spans="1:11" x14ac:dyDescent="0.15">
      <c r="A25" s="199" t="s">
        <v>66</v>
      </c>
      <c r="B25" s="32">
        <f>'Data Sheet'!B60/'Data Sheet'!B$61</f>
        <v>0.2980113494012126</v>
      </c>
      <c r="C25" s="32">
        <f>'Data Sheet'!C60/'Data Sheet'!C$61</f>
        <v>0.17993813357833968</v>
      </c>
      <c r="D25" s="32">
        <f>'Data Sheet'!D60/'Data Sheet'!D$61</f>
        <v>0.1692029899776408</v>
      </c>
      <c r="E25" s="32">
        <f>'Data Sheet'!E60/'Data Sheet'!E$61</f>
        <v>0.18276878405791336</v>
      </c>
      <c r="F25" s="32">
        <f>'Data Sheet'!F60/'Data Sheet'!F$61</f>
        <v>0.18991475809631617</v>
      </c>
      <c r="G25" s="32">
        <f>'Data Sheet'!G60/'Data Sheet'!G$61</f>
        <v>0.17813453177326913</v>
      </c>
      <c r="H25" s="32">
        <f>'Data Sheet'!H60/'Data Sheet'!H$61</f>
        <v>0.18471738491880324</v>
      </c>
      <c r="I25" s="32">
        <f>'Data Sheet'!I60/'Data Sheet'!I$61</f>
        <v>0.14607272150404388</v>
      </c>
      <c r="J25" s="32">
        <f>'Data Sheet'!J60/'Data Sheet'!J$61</f>
        <v>0.16082102773615436</v>
      </c>
      <c r="K25" s="200">
        <f>'Data Sheet'!K60/'Data Sheet'!K$61</f>
        <v>0.21527060629036068</v>
      </c>
    </row>
    <row r="26" spans="1:11" x14ac:dyDescent="0.15">
      <c r="A26" s="201" t="s">
        <v>170</v>
      </c>
      <c r="B26" s="104">
        <v>1</v>
      </c>
      <c r="C26" s="104">
        <v>1</v>
      </c>
      <c r="D26" s="104">
        <v>1</v>
      </c>
      <c r="E26" s="104">
        <v>1</v>
      </c>
      <c r="F26" s="104">
        <v>1</v>
      </c>
      <c r="G26" s="104">
        <v>1</v>
      </c>
      <c r="H26" s="104">
        <v>1</v>
      </c>
      <c r="I26" s="104">
        <v>1</v>
      </c>
      <c r="J26" s="104">
        <v>1</v>
      </c>
      <c r="K26" s="202">
        <v>1</v>
      </c>
    </row>
    <row r="27" spans="1:11" x14ac:dyDescent="0.15">
      <c r="A27" s="199" t="s">
        <v>22</v>
      </c>
      <c r="B27" s="32">
        <f>'Data Sheet'!B62/'Data Sheet'!B$66</f>
        <v>0.15333153780628353</v>
      </c>
      <c r="C27" s="32">
        <f>'Data Sheet'!C62/'Data Sheet'!C$66</f>
        <v>0.11749573820051427</v>
      </c>
      <c r="D27" s="32">
        <f>'Data Sheet'!D62/'Data Sheet'!D$66</f>
        <v>9.2514333831539702E-2</v>
      </c>
      <c r="E27" s="32">
        <f>'Data Sheet'!E62/'Data Sheet'!E$66</f>
        <v>7.4711825305278229E-2</v>
      </c>
      <c r="F27" s="32">
        <f>'Data Sheet'!F62/'Data Sheet'!F$66</f>
        <v>6.1174825494955509E-2</v>
      </c>
      <c r="G27" s="32">
        <f>'Data Sheet'!G62/'Data Sheet'!G$66</f>
        <v>6.4089729091113476E-2</v>
      </c>
      <c r="H27" s="32">
        <f>'Data Sheet'!H62/'Data Sheet'!H$66</f>
        <v>4.9626938629016203E-2</v>
      </c>
      <c r="I27" s="32">
        <f>'Data Sheet'!I62/'Data Sheet'!I$66</f>
        <v>5.2292416011866294E-2</v>
      </c>
      <c r="J27" s="32">
        <f>'Data Sheet'!J62/'Data Sheet'!J$66</f>
        <v>8.0891495868250771E-2</v>
      </c>
      <c r="K27" s="200">
        <f>'Data Sheet'!K62/'Data Sheet'!K$66</f>
        <v>8.1776010333550309E-2</v>
      </c>
    </row>
    <row r="28" spans="1:11" x14ac:dyDescent="0.15">
      <c r="A28" s="199" t="s">
        <v>23</v>
      </c>
      <c r="B28" s="32">
        <f>'Data Sheet'!B63/'Data Sheet'!B$66</f>
        <v>1.5968081374956155E-2</v>
      </c>
      <c r="C28" s="32">
        <f>'Data Sheet'!C63/'Data Sheet'!C$66</f>
        <v>3.0300973819007366E-3</v>
      </c>
      <c r="D28" s="32">
        <f>'Data Sheet'!D63/'Data Sheet'!D$66</f>
        <v>1.9489204450397041E-3</v>
      </c>
      <c r="E28" s="32">
        <f>'Data Sheet'!E63/'Data Sheet'!E$66</f>
        <v>2.2461318165546318E-3</v>
      </c>
      <c r="F28" s="32">
        <f>'Data Sheet'!F63/'Data Sheet'!F$66</f>
        <v>1.6653713393129945E-3</v>
      </c>
      <c r="G28" s="32">
        <f>'Data Sheet'!G63/'Data Sheet'!G$66</f>
        <v>2.2704622629481229E-3</v>
      </c>
      <c r="H28" s="32">
        <f>'Data Sheet'!H63/'Data Sheet'!H$66</f>
        <v>4.7557103492649631E-4</v>
      </c>
      <c r="I28" s="32">
        <f>'Data Sheet'!I63/'Data Sheet'!I$66</f>
        <v>2.1990127939196624E-3</v>
      </c>
      <c r="J28" s="32">
        <f>'Data Sheet'!J63/'Data Sheet'!J$66</f>
        <v>2.426824565372996E-3</v>
      </c>
      <c r="K28" s="200">
        <f>'Data Sheet'!K63/'Data Sheet'!K$66</f>
        <v>8.921379768903222E-4</v>
      </c>
    </row>
    <row r="29" spans="1:11" x14ac:dyDescent="0.15">
      <c r="A29" s="199" t="s">
        <v>24</v>
      </c>
      <c r="B29" s="32">
        <f>'Data Sheet'!B64/'Data Sheet'!B$66</f>
        <v>0.56278811945683216</v>
      </c>
      <c r="C29" s="32">
        <f>'Data Sheet'!C64/'Data Sheet'!C$66</f>
        <v>0.64193691898723748</v>
      </c>
      <c r="D29" s="32">
        <f>'Data Sheet'!D64/'Data Sheet'!D$66</f>
        <v>0.7152838436020228</v>
      </c>
      <c r="E29" s="32">
        <f>'Data Sheet'!E64/'Data Sheet'!E$66</f>
        <v>0.75154409132492739</v>
      </c>
      <c r="F29" s="32">
        <f>'Data Sheet'!F64/'Data Sheet'!F$66</f>
        <v>0.71452302994928629</v>
      </c>
      <c r="G29" s="32">
        <f>'Data Sheet'!G64/'Data Sheet'!G$66</f>
        <v>0.75117182106991998</v>
      </c>
      <c r="H29" s="32">
        <f>'Data Sheet'!H64/'Data Sheet'!H$66</f>
        <v>0.73468433600551886</v>
      </c>
      <c r="I29" s="32">
        <f>'Data Sheet'!I64/'Data Sheet'!I$66</f>
        <v>0.75856457239724862</v>
      </c>
      <c r="J29" s="32">
        <f>'Data Sheet'!J64/'Data Sheet'!J$66</f>
        <v>0.74517801314589271</v>
      </c>
      <c r="K29" s="200">
        <f>'Data Sheet'!K64/'Data Sheet'!K$66</f>
        <v>0.71388016731526704</v>
      </c>
    </row>
    <row r="30" spans="1:11" x14ac:dyDescent="0.15">
      <c r="A30" s="199" t="s">
        <v>67</v>
      </c>
      <c r="B30" s="32">
        <f>'Data Sheet'!B65/'Data Sheet'!B$66</f>
        <v>0.26791226136192814</v>
      </c>
      <c r="C30" s="32">
        <f>'Data Sheet'!C65/'Data Sheet'!C$66</f>
        <v>0.23753724543034752</v>
      </c>
      <c r="D30" s="32">
        <f>'Data Sheet'!D65/'Data Sheet'!D$66</f>
        <v>0.19025290212139784</v>
      </c>
      <c r="E30" s="32">
        <f>'Data Sheet'!E65/'Data Sheet'!E$66</f>
        <v>0.17149795155323974</v>
      </c>
      <c r="F30" s="32">
        <f>'Data Sheet'!F65/'Data Sheet'!F$66</f>
        <v>0.22263677321644523</v>
      </c>
      <c r="G30" s="32">
        <f>'Data Sheet'!G65/'Data Sheet'!G$66</f>
        <v>0.1824679875760184</v>
      </c>
      <c r="H30" s="32">
        <f>'Data Sheet'!H65/'Data Sheet'!H$66</f>
        <v>0.21521315433053853</v>
      </c>
      <c r="I30" s="32">
        <f>'Data Sheet'!I65/'Data Sheet'!I$66</f>
        <v>0.18694399879696541</v>
      </c>
      <c r="J30" s="32">
        <f>'Data Sheet'!J65/'Data Sheet'!J$66</f>
        <v>0.17150366642048359</v>
      </c>
      <c r="K30" s="200">
        <f>'Data Sheet'!K65/'Data Sheet'!K$66</f>
        <v>0.20345168437429229</v>
      </c>
    </row>
    <row r="31" spans="1:11" x14ac:dyDescent="0.15">
      <c r="A31" s="201" t="s">
        <v>171</v>
      </c>
      <c r="B31" s="104">
        <v>1</v>
      </c>
      <c r="C31" s="104">
        <v>1</v>
      </c>
      <c r="D31" s="104">
        <v>1</v>
      </c>
      <c r="E31" s="104">
        <v>1</v>
      </c>
      <c r="F31" s="104">
        <v>1</v>
      </c>
      <c r="G31" s="104">
        <v>1</v>
      </c>
      <c r="H31" s="104">
        <v>1</v>
      </c>
      <c r="I31" s="104">
        <v>1</v>
      </c>
      <c r="J31" s="104">
        <v>1</v>
      </c>
      <c r="K31" s="202">
        <v>1</v>
      </c>
    </row>
    <row r="32" spans="1:11" x14ac:dyDescent="0.15">
      <c r="A32" s="199" t="s">
        <v>72</v>
      </c>
      <c r="B32" s="32">
        <f>'Data Sheet'!B67/'Data Sheet'!B$66</f>
        <v>4.4906549080523127E-2</v>
      </c>
      <c r="C32" s="32">
        <f>'Data Sheet'!C67/'Data Sheet'!C$66</f>
        <v>4.164237774479318E-2</v>
      </c>
      <c r="D32" s="32">
        <f>'Data Sheet'!D67/'Data Sheet'!D$66</f>
        <v>4.4057063577232616E-2</v>
      </c>
      <c r="E32" s="32">
        <f>'Data Sheet'!E67/'Data Sheet'!E$66</f>
        <v>5.9340121713535657E-2</v>
      </c>
      <c r="F32" s="32">
        <f>'Data Sheet'!F67/'Data Sheet'!F$66</f>
        <v>8.8772060881426043E-2</v>
      </c>
      <c r="G32" s="32">
        <f>'Data Sheet'!G67/'Data Sheet'!G$66</f>
        <v>6.5073508054690254E-2</v>
      </c>
      <c r="H32" s="32">
        <f>'Data Sheet'!H67/'Data Sheet'!H$66</f>
        <v>8.0854516035047022E-2</v>
      </c>
      <c r="I32" s="32">
        <f>'Data Sheet'!I67/'Data Sheet'!I$66</f>
        <v>4.3187916337830569E-2</v>
      </c>
      <c r="J32" s="32">
        <f>'Data Sheet'!J67/'Data Sheet'!J$66</f>
        <v>4.9874987370664939E-2</v>
      </c>
      <c r="K32" s="200">
        <f>'Data Sheet'!K67/'Data Sheet'!K$66</f>
        <v>5.2753821514962121E-2</v>
      </c>
    </row>
    <row r="33" spans="1:11" x14ac:dyDescent="0.15">
      <c r="A33" s="199" t="s">
        <v>40</v>
      </c>
      <c r="B33" s="32">
        <f>'Data Sheet'!B68/'Data Sheet'!B$66</f>
        <v>5.0994012126071048E-2</v>
      </c>
      <c r="C33" s="32">
        <f>'Data Sheet'!C68/'Data Sheet'!C$66</f>
        <v>4.1708501615684589E-2</v>
      </c>
      <c r="D33" s="32">
        <f>'Data Sheet'!D68/'Data Sheet'!D$66</f>
        <v>3.3662667151008289E-2</v>
      </c>
      <c r="E33" s="32">
        <f>'Data Sheet'!E68/'Data Sheet'!E$66</f>
        <v>2.9536613499860788E-2</v>
      </c>
      <c r="F33" s="32">
        <f>'Data Sheet'!F68/'Data Sheet'!F$66</f>
        <v>3.3345922458618019E-2</v>
      </c>
      <c r="G33" s="32">
        <f>'Data Sheet'!G68/'Data Sheet'!G$66</f>
        <v>4.0116906739414003E-2</v>
      </c>
      <c r="H33" s="32">
        <f>'Data Sheet'!H68/'Data Sheet'!H$66</f>
        <v>4.445874927198646E-2</v>
      </c>
      <c r="I33" s="32">
        <f>'Data Sheet'!I68/'Data Sheet'!I$66</f>
        <v>3.5046072180366331E-2</v>
      </c>
      <c r="J33" s="32">
        <f>'Data Sheet'!J68/'Data Sheet'!J$66</f>
        <v>4.4499373158073743E-2</v>
      </c>
      <c r="K33" s="200">
        <f>'Data Sheet'!K68/'Data Sheet'!K$66</f>
        <v>4.2923020184431095E-2</v>
      </c>
    </row>
    <row r="34" spans="1:11" x14ac:dyDescent="0.15">
      <c r="A34" s="199" t="s">
        <v>81</v>
      </c>
      <c r="B34" s="32">
        <f>'Data Sheet'!B69/'Data Sheet'!B$66</f>
        <v>3.7126071052763443E-2</v>
      </c>
      <c r="C34" s="32">
        <f>'Data Sheet'!C69/'Data Sheet'!C$66</f>
        <v>5.0290684016642336E-2</v>
      </c>
      <c r="D34" s="32">
        <f>'Data Sheet'!D69/'Data Sheet'!D$66</f>
        <v>1.3927594624547433E-2</v>
      </c>
      <c r="E34" s="32">
        <f>'Data Sheet'!E69/'Data Sheet'!E$66</f>
        <v>3.1528578815480685E-2</v>
      </c>
      <c r="F34" s="32">
        <f>'Data Sheet'!F69/'Data Sheet'!F$66</f>
        <v>3.2359600907388084E-2</v>
      </c>
      <c r="G34" s="32">
        <f>'Data Sheet'!G69/'Data Sheet'!G$66</f>
        <v>1.1932846523691795E-2</v>
      </c>
      <c r="H34" s="32">
        <f>'Data Sheet'!H69/'Data Sheet'!H$66</f>
        <v>1.6036088639536501E-2</v>
      </c>
      <c r="I34" s="32">
        <f>'Data Sheet'!I69/'Data Sheet'!I$66</f>
        <v>2.7286442136286386E-2</v>
      </c>
      <c r="J34" s="32">
        <f>'Data Sheet'!J69/'Data Sheet'!J$66</f>
        <v>1.9651387661530975E-2</v>
      </c>
      <c r="K34" s="200">
        <f>'Data Sheet'!K69/'Data Sheet'!K$66</f>
        <v>2.4281403193243949E-2</v>
      </c>
    </row>
    <row r="35" spans="1:11" ht="14" thickBot="1" x14ac:dyDescent="0.2">
      <c r="A35" s="203"/>
      <c r="B35" s="204"/>
      <c r="C35" s="204"/>
      <c r="D35" s="204"/>
      <c r="E35" s="204"/>
      <c r="F35" s="204"/>
      <c r="G35" s="204"/>
      <c r="H35" s="204"/>
      <c r="I35" s="204"/>
      <c r="J35" s="204"/>
      <c r="K35" s="205"/>
    </row>
  </sheetData>
  <mergeCells count="3">
    <mergeCell ref="A1:K1"/>
    <mergeCell ref="A20:K20"/>
    <mergeCell ref="M2:Q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Instructions</vt:lpstr>
      <vt:lpstr>Summary</vt:lpstr>
      <vt:lpstr>Checklist</vt:lpstr>
      <vt:lpstr>Balance Sheet</vt:lpstr>
      <vt:lpstr>Profit &amp; Loss</vt:lpstr>
      <vt:lpstr>Cash Flow</vt:lpstr>
      <vt:lpstr>Key Ratios</vt:lpstr>
      <vt:lpstr>Charts</vt:lpstr>
      <vt:lpstr>Common Size Analysis</vt:lpstr>
      <vt:lpstr>Dhandho IV</vt:lpstr>
      <vt:lpstr>Ben Graham Formula</vt:lpstr>
      <vt:lpstr>DCF</vt:lpstr>
      <vt:lpstr>Expected Returns</vt:lpstr>
      <vt:lpstr>Intrinsic Values</vt:lpstr>
      <vt:lpstr>Quarters</vt:lpstr>
      <vt:lpstr>Data Sheet</vt:lpstr>
      <vt:lpstr>Customization</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dc:creator>
  <cp:lastModifiedBy>Tanishq Jain</cp:lastModifiedBy>
  <cp:lastPrinted>2012-12-06T18:14:13Z</cp:lastPrinted>
  <dcterms:created xsi:type="dcterms:W3CDTF">2012-08-17T09:55:37Z</dcterms:created>
  <dcterms:modified xsi:type="dcterms:W3CDTF">2024-10-29T13:56:51Z</dcterms:modified>
</cp:coreProperties>
</file>