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tanishqjain/Desktop/4-1/SOP/data/"/>
    </mc:Choice>
  </mc:AlternateContent>
  <xr:revisionPtr revIDLastSave="0" documentId="13_ncr:1_{B0630B25-993D-F84D-B8B7-FD5B905B21AB}" xr6:coauthVersionLast="47" xr6:coauthVersionMax="47" xr10:uidLastSave="{00000000-0000-0000-0000-000000000000}"/>
  <bookViews>
    <workbookView xWindow="0" yWindow="0" windowWidth="28800" windowHeight="18000" activeTab="6"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9" i="2" l="1"/>
  <c r="J19" i="2"/>
  <c r="I19" i="2"/>
  <c r="H19" i="2"/>
  <c r="G19" i="2"/>
  <c r="F19" i="2"/>
  <c r="E19" i="2"/>
  <c r="D19" i="2"/>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14" i="12" l="1"/>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C19" i="17" s="1"/>
  <c r="D6" i="2"/>
  <c r="E6" i="2"/>
  <c r="F6" i="2"/>
  <c r="F19" i="17" s="1"/>
  <c r="G6" i="2"/>
  <c r="G19" i="17" s="1"/>
  <c r="H6" i="2"/>
  <c r="I6" i="2"/>
  <c r="I19" i="17" s="1"/>
  <c r="J6" i="2"/>
  <c r="K6" i="2"/>
  <c r="K19" i="17"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74" i="18" s="1"/>
  <c r="D4" i="4"/>
  <c r="D74" i="18" s="1"/>
  <c r="E4" i="4"/>
  <c r="E74" i="18" s="1"/>
  <c r="F4" i="4"/>
  <c r="F74" i="18" s="1"/>
  <c r="G4" i="4"/>
  <c r="H4" i="4"/>
  <c r="H74" i="18" s="1"/>
  <c r="I4" i="4"/>
  <c r="I74" i="18" s="1"/>
  <c r="J4" i="4"/>
  <c r="J74" i="18" s="1"/>
  <c r="K4" i="4"/>
  <c r="C7" i="4"/>
  <c r="D7" i="4"/>
  <c r="E7" i="4"/>
  <c r="F7" i="4"/>
  <c r="G7" i="4"/>
  <c r="H7" i="4"/>
  <c r="I7" i="4"/>
  <c r="J7" i="4"/>
  <c r="K7" i="4"/>
  <c r="C8" i="4"/>
  <c r="D8" i="4"/>
  <c r="E8" i="4"/>
  <c r="F8" i="4"/>
  <c r="G8" i="4"/>
  <c r="H8" i="4"/>
  <c r="I8" i="4"/>
  <c r="J8" i="4"/>
  <c r="K8" i="4"/>
  <c r="C4" i="3"/>
  <c r="D4" i="3"/>
  <c r="E4" i="3"/>
  <c r="F4" i="3"/>
  <c r="G4" i="3"/>
  <c r="H4" i="3"/>
  <c r="I4" i="3"/>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D12" i="3" s="1"/>
  <c r="E11" i="3"/>
  <c r="F11" i="3"/>
  <c r="G11" i="3"/>
  <c r="G12" i="3" s="1"/>
  <c r="H11" i="3"/>
  <c r="I11" i="3"/>
  <c r="J11" i="3"/>
  <c r="K11" i="3"/>
  <c r="C15" i="3"/>
  <c r="D15" i="3"/>
  <c r="E15" i="3"/>
  <c r="F15" i="3"/>
  <c r="G15" i="3"/>
  <c r="G16" i="3" s="1"/>
  <c r="H15" i="3"/>
  <c r="I15" i="3"/>
  <c r="J15" i="3"/>
  <c r="K15" i="3"/>
  <c r="B6" i="3"/>
  <c r="C30" i="1"/>
  <c r="D30" i="1"/>
  <c r="E30" i="1"/>
  <c r="F30" i="1"/>
  <c r="G30" i="1"/>
  <c r="H30" i="1"/>
  <c r="I30" i="1"/>
  <c r="J30" i="1"/>
  <c r="K30" i="1"/>
  <c r="B30" i="1"/>
  <c r="C4" i="1"/>
  <c r="D4" i="1"/>
  <c r="E4" i="1"/>
  <c r="F4" i="1"/>
  <c r="G4" i="1"/>
  <c r="H4" i="1"/>
  <c r="I4" i="1"/>
  <c r="J4" i="1"/>
  <c r="K4" i="1"/>
  <c r="C14" i="1"/>
  <c r="D14" i="1"/>
  <c r="E14" i="1"/>
  <c r="F14" i="1"/>
  <c r="F15" i="1" s="1"/>
  <c r="G14" i="1"/>
  <c r="H14" i="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A2" i="1"/>
  <c r="E1" i="6"/>
  <c r="H12" i="1" l="1"/>
  <c r="H68" i="18"/>
  <c r="A2" i="2"/>
  <c r="A2" i="17"/>
  <c r="D12" i="1"/>
  <c r="D68" i="18"/>
  <c r="H16" i="3"/>
  <c r="D19" i="17"/>
  <c r="J12" i="1"/>
  <c r="J68" i="18"/>
  <c r="J19" i="17"/>
  <c r="G5" i="4"/>
  <c r="G8" i="17" s="1"/>
  <c r="G74" i="18"/>
  <c r="H15" i="1"/>
  <c r="I12" i="1"/>
  <c r="I19" i="1" s="1"/>
  <c r="I68" i="18"/>
  <c r="F12" i="3"/>
  <c r="H19" i="17"/>
  <c r="I5" i="3"/>
  <c r="F12" i="1"/>
  <c r="F19" i="1" s="1"/>
  <c r="F68" i="18"/>
  <c r="J16" i="3"/>
  <c r="C12" i="3"/>
  <c r="H5" i="3"/>
  <c r="K5" i="4"/>
  <c r="K8" i="17" s="1"/>
  <c r="K74" i="18"/>
  <c r="B12" i="1"/>
  <c r="B68" i="18"/>
  <c r="K12" i="1"/>
  <c r="K68" i="18"/>
  <c r="C12" i="1"/>
  <c r="C68" i="18"/>
  <c r="G12" i="1"/>
  <c r="G68" i="18"/>
  <c r="K16" i="3"/>
  <c r="D15" i="1"/>
  <c r="E12" i="1"/>
  <c r="E19" i="1" s="1"/>
  <c r="E68" i="18"/>
  <c r="I16" i="3"/>
  <c r="G5" i="3"/>
  <c r="E19" i="17"/>
  <c r="C12" i="4"/>
  <c r="C75" i="18" s="1"/>
  <c r="J12" i="4"/>
  <c r="J75" i="18" s="1"/>
  <c r="J5" i="4"/>
  <c r="J8" i="17" s="1"/>
  <c r="F12" i="4"/>
  <c r="F75" i="18" s="1"/>
  <c r="F5" i="4"/>
  <c r="F8" i="17" s="1"/>
  <c r="I12" i="4"/>
  <c r="I75" i="18" s="1"/>
  <c r="I5" i="4"/>
  <c r="I8" i="17" s="1"/>
  <c r="E12" i="4"/>
  <c r="E75" i="18" s="1"/>
  <c r="E5" i="4"/>
  <c r="E8" i="17" s="1"/>
  <c r="H12" i="4"/>
  <c r="H75" i="18" s="1"/>
  <c r="H5" i="4"/>
  <c r="H8" i="17" s="1"/>
  <c r="D12" i="4"/>
  <c r="D75" i="18" s="1"/>
  <c r="D5" i="4"/>
  <c r="D8" i="17" s="1"/>
  <c r="D16" i="4"/>
  <c r="C16" i="4"/>
  <c r="H15" i="4"/>
  <c r="K15" i="1"/>
  <c r="G15" i="1"/>
  <c r="C15" i="1"/>
  <c r="H25" i="2"/>
  <c r="H18" i="17" s="1"/>
  <c r="D25" i="2"/>
  <c r="D18" i="17" s="1"/>
  <c r="K25" i="2"/>
  <c r="K18" i="17" s="1"/>
  <c r="B11" i="11"/>
  <c r="G25" i="2"/>
  <c r="G18" i="17" s="1"/>
  <c r="C25" i="2"/>
  <c r="C18" i="17" s="1"/>
  <c r="H19" i="1"/>
  <c r="D19" i="1"/>
  <c r="D18" i="1" s="1"/>
  <c r="D20" i="17" s="1"/>
  <c r="B15" i="1"/>
  <c r="K19" i="1"/>
  <c r="G19" i="1"/>
  <c r="C19" i="1"/>
  <c r="C18" i="1" s="1"/>
  <c r="C20" i="17" s="1"/>
  <c r="I15" i="1"/>
  <c r="E15" i="1"/>
  <c r="J19" i="1"/>
  <c r="C37" i="1"/>
  <c r="D37" i="1"/>
  <c r="E37" i="1"/>
  <c r="B37" i="1"/>
  <c r="B17" i="15" s="1"/>
  <c r="F13" i="9"/>
  <c r="K12" i="4"/>
  <c r="K13" i="3"/>
  <c r="K12" i="3"/>
  <c r="H13" i="3"/>
  <c r="H12" i="3"/>
  <c r="J13" i="3"/>
  <c r="J12" i="3"/>
  <c r="J25" i="2"/>
  <c r="J18" i="17" s="1"/>
  <c r="F25" i="2"/>
  <c r="F18" i="17" s="1"/>
  <c r="I13" i="3"/>
  <c r="I12" i="3"/>
  <c r="E12" i="3"/>
  <c r="I25" i="2"/>
  <c r="I18" i="17" s="1"/>
  <c r="E25" i="2"/>
  <c r="E18" i="17" s="1"/>
  <c r="J18" i="1"/>
  <c r="J20" i="17" s="1"/>
  <c r="G13" i="3"/>
  <c r="F5" i="1"/>
  <c r="F4" i="17" s="1"/>
  <c r="E62" i="18" s="1"/>
  <c r="F9" i="4"/>
  <c r="F24" i="2"/>
  <c r="F17" i="17" s="1"/>
  <c r="I24" i="2"/>
  <c r="I17" i="17" s="1"/>
  <c r="I9" i="4"/>
  <c r="E24" i="2"/>
  <c r="E17" i="17" s="1"/>
  <c r="E9" i="4"/>
  <c r="H24" i="2"/>
  <c r="H17" i="17" s="1"/>
  <c r="H9" i="4"/>
  <c r="D5" i="1"/>
  <c r="D4" i="17" s="1"/>
  <c r="C62" i="18" s="1"/>
  <c r="D24" i="2"/>
  <c r="D17" i="17" s="1"/>
  <c r="D9" i="4"/>
  <c r="J24" i="2"/>
  <c r="J17" i="17" s="1"/>
  <c r="J9" i="4"/>
  <c r="K24" i="2"/>
  <c r="K17" i="17" s="1"/>
  <c r="K9" i="4"/>
  <c r="G24" i="2"/>
  <c r="G17" i="17" s="1"/>
  <c r="G9" i="4"/>
  <c r="C24"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B3" i="8"/>
  <c r="E3" i="8" s="1"/>
  <c r="E1" i="3"/>
  <c r="H16" i="2"/>
  <c r="D16" i="2"/>
  <c r="G16" i="2"/>
  <c r="I16" i="2"/>
  <c r="E16" i="2"/>
  <c r="K16" i="2"/>
  <c r="C16" i="2"/>
  <c r="J16" i="2"/>
  <c r="F16" i="2"/>
  <c r="I27" i="2" l="1"/>
  <c r="I22" i="17" s="1"/>
  <c r="I58" i="18" s="1"/>
  <c r="I69" i="18"/>
  <c r="I18" i="1"/>
  <c r="I20" i="17" s="1"/>
  <c r="I23" i="1"/>
  <c r="I21" i="1"/>
  <c r="I12" i="17" s="1"/>
  <c r="I52" i="18" s="1"/>
  <c r="E23" i="1"/>
  <c r="E70" i="18" s="1"/>
  <c r="E27" i="2"/>
  <c r="E22" i="17" s="1"/>
  <c r="E58" i="18" s="1"/>
  <c r="E69" i="18"/>
  <c r="E21" i="1"/>
  <c r="E12" i="17" s="1"/>
  <c r="E52" i="18" s="1"/>
  <c r="F23" i="1"/>
  <c r="F69" i="18"/>
  <c r="F27" i="2"/>
  <c r="F22" i="17" s="1"/>
  <c r="F58" i="18" s="1"/>
  <c r="K23" i="17"/>
  <c r="K75" i="18"/>
  <c r="H23" i="1"/>
  <c r="H69" i="18"/>
  <c r="H27" i="2"/>
  <c r="H22" i="17" s="1"/>
  <c r="H58" i="18" s="1"/>
  <c r="D23" i="1"/>
  <c r="D27" i="2"/>
  <c r="D22" i="17" s="1"/>
  <c r="D58" i="18" s="1"/>
  <c r="D69" i="18"/>
  <c r="C23" i="1"/>
  <c r="C69" i="18"/>
  <c r="C27" i="2"/>
  <c r="C22" i="17" s="1"/>
  <c r="C58" i="18" s="1"/>
  <c r="G23" i="1"/>
  <c r="G27" i="2"/>
  <c r="G22" i="17" s="1"/>
  <c r="G58" i="18" s="1"/>
  <c r="G69" i="18"/>
  <c r="J23" i="1"/>
  <c r="J27" i="2"/>
  <c r="J22" i="17" s="1"/>
  <c r="J58" i="18" s="1"/>
  <c r="J69" i="18"/>
  <c r="K23" i="1"/>
  <c r="K69" i="18"/>
  <c r="K27" i="2"/>
  <c r="K22" i="17" s="1"/>
  <c r="K58" i="18" s="1"/>
  <c r="D23" i="17"/>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10" i="4"/>
  <c r="E24" i="1"/>
  <c r="E6" i="17" s="1"/>
  <c r="D64" i="18" s="1"/>
  <c r="E25" i="1"/>
  <c r="E13" i="17" s="1"/>
  <c r="E53" i="18" s="1"/>
  <c r="K18" i="1"/>
  <c r="K20" i="17" s="1"/>
  <c r="I10" i="4"/>
  <c r="K26" i="2"/>
  <c r="E18" i="1"/>
  <c r="E20" i="17" s="1"/>
  <c r="K20" i="1"/>
  <c r="K5" i="17" s="1"/>
  <c r="J63" i="18" s="1"/>
  <c r="F15" i="9"/>
  <c r="K16" i="4"/>
  <c r="K15" i="4"/>
  <c r="B13" i="4"/>
  <c r="B4" i="11" s="1"/>
  <c r="B14" i="11" s="1"/>
  <c r="I26" i="2"/>
  <c r="K21" i="1"/>
  <c r="K12" i="17" s="1"/>
  <c r="K52" i="18" s="1"/>
  <c r="H18" i="1"/>
  <c r="H20" i="17" s="1"/>
  <c r="K10" i="4"/>
  <c r="K32" i="1"/>
  <c r="H26" i="2"/>
  <c r="H21" i="1"/>
  <c r="H12" i="17" s="1"/>
  <c r="H52" i="18" s="1"/>
  <c r="I25" i="1"/>
  <c r="I13" i="17" s="1"/>
  <c r="I53" i="18" s="1"/>
  <c r="I20" i="1"/>
  <c r="I5" i="17" s="1"/>
  <c r="H63" i="18" s="1"/>
  <c r="J24" i="1"/>
  <c r="J6" i="17" s="1"/>
  <c r="I64" i="18" s="1"/>
  <c r="I26" i="1"/>
  <c r="I28" i="1" s="1"/>
  <c r="C38" i="1"/>
  <c r="H10" i="4"/>
  <c r="E38" i="1"/>
  <c r="C26" i="2"/>
  <c r="D20" i="1"/>
  <c r="D5" i="17" s="1"/>
  <c r="C63" i="18" s="1"/>
  <c r="G21" i="1"/>
  <c r="G12" i="17" s="1"/>
  <c r="G52" i="18" s="1"/>
  <c r="J21" i="1"/>
  <c r="J12" i="17" s="1"/>
  <c r="J52" i="18" s="1"/>
  <c r="J26" i="1"/>
  <c r="D26" i="1"/>
  <c r="G26" i="1"/>
  <c r="G28" i="1" s="1"/>
  <c r="D21" i="1"/>
  <c r="D12" i="17" s="1"/>
  <c r="D52" i="18" s="1"/>
  <c r="J20" i="1"/>
  <c r="J5" i="17" s="1"/>
  <c r="I63" i="18" s="1"/>
  <c r="H20" i="1"/>
  <c r="H5" i="17" s="1"/>
  <c r="G63" i="18" s="1"/>
  <c r="D38" i="1"/>
  <c r="C10" i="4"/>
  <c r="F20" i="1"/>
  <c r="F5" i="17" s="1"/>
  <c r="E63" i="18" s="1"/>
  <c r="J26" i="2"/>
  <c r="C21" i="1"/>
  <c r="C12" i="17" s="1"/>
  <c r="C52" i="18" s="1"/>
  <c r="E20" i="1"/>
  <c r="E5" i="17" s="1"/>
  <c r="D63" i="18" s="1"/>
  <c r="K24" i="1"/>
  <c r="K6" i="17" s="1"/>
  <c r="J64" i="18" s="1"/>
  <c r="G10" i="4"/>
  <c r="B20" i="15"/>
  <c r="F26" i="2"/>
  <c r="F25" i="1"/>
  <c r="F13" i="17" s="1"/>
  <c r="F53" i="18" s="1"/>
  <c r="F21" i="1"/>
  <c r="F12" i="17" s="1"/>
  <c r="F52" i="18" s="1"/>
  <c r="F10" i="4"/>
  <c r="F14" i="9"/>
  <c r="B8" i="8"/>
  <c r="F26" i="1"/>
  <c r="G20" i="1"/>
  <c r="G5" i="17" s="1"/>
  <c r="F63" i="18" s="1"/>
  <c r="F24" i="1"/>
  <c r="F6" i="17" s="1"/>
  <c r="E64" i="18" s="1"/>
  <c r="E8" i="8"/>
  <c r="G24" i="1"/>
  <c r="G6" i="17" s="1"/>
  <c r="F64" i="18" s="1"/>
  <c r="F18" i="1"/>
  <c r="F20" i="17" s="1"/>
  <c r="G18" i="1"/>
  <c r="G20" i="17" s="1"/>
  <c r="D39" i="1"/>
  <c r="B13" i="1"/>
  <c r="B11" i="17" s="1"/>
  <c r="B51" i="18" s="1"/>
  <c r="J28" i="1"/>
  <c r="F28" i="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D3" i="4"/>
  <c r="E3" i="4"/>
  <c r="F3" i="4"/>
  <c r="G3" i="4"/>
  <c r="H3" i="4"/>
  <c r="I3" i="4"/>
  <c r="J3" i="4"/>
  <c r="K3" i="4"/>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J67" i="18" l="1"/>
  <c r="J73" i="18" s="1"/>
  <c r="I61" i="18"/>
  <c r="J21" i="17"/>
  <c r="J57" i="18" s="1"/>
  <c r="J6" i="12"/>
  <c r="I21" i="17"/>
  <c r="I57" i="18" s="1"/>
  <c r="I6" i="12"/>
  <c r="K21" i="17"/>
  <c r="K57" i="18" s="1"/>
  <c r="K6" i="12"/>
  <c r="I67" i="18"/>
  <c r="I73" i="18" s="1"/>
  <c r="H61" i="18"/>
  <c r="C21" i="17"/>
  <c r="C57" i="18" s="1"/>
  <c r="C6" i="12"/>
  <c r="G32" i="1"/>
  <c r="G70" i="18"/>
  <c r="G26" i="2"/>
  <c r="G25" i="1"/>
  <c r="G13" i="17" s="1"/>
  <c r="G53" i="18" s="1"/>
  <c r="H32" i="1"/>
  <c r="H70" i="18"/>
  <c r="H25" i="1"/>
  <c r="H13" i="17" s="1"/>
  <c r="H53" i="18" s="1"/>
  <c r="G61" i="18"/>
  <c r="H67" i="18"/>
  <c r="H73" i="18" s="1"/>
  <c r="F6" i="12"/>
  <c r="F21" i="17"/>
  <c r="F57" i="18" s="1"/>
  <c r="H6" i="12"/>
  <c r="H21" i="17"/>
  <c r="H57" i="18" s="1"/>
  <c r="G67" i="18"/>
  <c r="G73" i="18" s="1"/>
  <c r="F61" i="18"/>
  <c r="K25" i="1"/>
  <c r="K13" i="17" s="1"/>
  <c r="K53" i="18" s="1"/>
  <c r="K70" i="18"/>
  <c r="K26" i="1"/>
  <c r="K28" i="1" s="1"/>
  <c r="E40" i="1" s="1"/>
  <c r="F67" i="18"/>
  <c r="F73" i="18" s="1"/>
  <c r="E61" i="18"/>
  <c r="B6" i="8"/>
  <c r="E6" i="8" s="1"/>
  <c r="K27" i="1"/>
  <c r="C25" i="1"/>
  <c r="C13" i="17" s="1"/>
  <c r="C53" i="18" s="1"/>
  <c r="C70" i="18"/>
  <c r="C26" i="1"/>
  <c r="C28" i="1" s="1"/>
  <c r="I32" i="1"/>
  <c r="I70" i="18"/>
  <c r="C61" i="18"/>
  <c r="D67" i="18"/>
  <c r="D73" i="18" s="1"/>
  <c r="H26" i="1"/>
  <c r="H28" i="1" s="1"/>
  <c r="D40" i="1" s="1"/>
  <c r="E26" i="2"/>
  <c r="J32" i="1"/>
  <c r="J70" i="18"/>
  <c r="J25" i="1"/>
  <c r="J13" i="17" s="1"/>
  <c r="J53" i="18" s="1"/>
  <c r="J10" i="4"/>
  <c r="E67" i="18"/>
  <c r="E73" i="18" s="1"/>
  <c r="D61" i="18"/>
  <c r="D24" i="1"/>
  <c r="D6" i="17" s="1"/>
  <c r="C64" i="18" s="1"/>
  <c r="J61" i="18"/>
  <c r="K67" i="18"/>
  <c r="K73" i="18" s="1"/>
  <c r="C67" i="18"/>
  <c r="C73" i="18" s="1"/>
  <c r="B61" i="18"/>
  <c r="H24" i="1"/>
  <c r="H6" i="17" s="1"/>
  <c r="G64" i="18" s="1"/>
  <c r="C32" i="1"/>
  <c r="I24" i="1"/>
  <c r="I6" i="17" s="1"/>
  <c r="H64" i="18" s="1"/>
  <c r="E26" i="1"/>
  <c r="E27" i="1" s="1"/>
  <c r="D32" i="1"/>
  <c r="D70" i="18"/>
  <c r="D26" i="2"/>
  <c r="D10" i="4"/>
  <c r="D25" i="1"/>
  <c r="D13" i="17" s="1"/>
  <c r="D53" i="18" s="1"/>
  <c r="F32" i="1"/>
  <c r="F70" i="18"/>
  <c r="C39" i="1"/>
  <c r="E39" i="1"/>
  <c r="D14" i="11"/>
  <c r="B15" i="11"/>
  <c r="E10" i="8"/>
  <c r="C5" i="10" s="1"/>
  <c r="G27" i="1"/>
  <c r="J27" i="1"/>
  <c r="B10" i="8"/>
  <c r="B5" i="10" s="1"/>
  <c r="D27" i="1"/>
  <c r="B21" i="15"/>
  <c r="D28" i="1"/>
  <c r="B22" i="15"/>
  <c r="J8" i="9"/>
  <c r="C8" i="9"/>
  <c r="B4" i="8"/>
  <c r="E4" i="8" s="1"/>
  <c r="B8" i="4"/>
  <c r="L8" i="4" s="1"/>
  <c r="B7" i="4"/>
  <c r="L7" i="4" s="1"/>
  <c r="B4" i="4"/>
  <c r="B3" i="4"/>
  <c r="K23" i="2"/>
  <c r="K16" i="17" s="1"/>
  <c r="J23" i="2"/>
  <c r="J16" i="17" s="1"/>
  <c r="I23" i="2"/>
  <c r="I16" i="17" s="1"/>
  <c r="H23" i="2"/>
  <c r="H16" i="17" s="1"/>
  <c r="G23" i="2"/>
  <c r="G16" i="17" s="1"/>
  <c r="F23" i="2"/>
  <c r="F16" i="17" s="1"/>
  <c r="E23" i="2"/>
  <c r="E16" i="17" s="1"/>
  <c r="D23" i="2"/>
  <c r="D16" i="17" s="1"/>
  <c r="C23" i="2"/>
  <c r="C16" i="17" s="1"/>
  <c r="B18" i="2"/>
  <c r="B23" i="2" s="1"/>
  <c r="B16" i="17" s="1"/>
  <c r="B13" i="2"/>
  <c r="B12" i="2"/>
  <c r="B11" i="2"/>
  <c r="B10" i="2"/>
  <c r="B24" i="2" s="1"/>
  <c r="B17" i="17" s="1"/>
  <c r="B8" i="2"/>
  <c r="B7" i="2"/>
  <c r="B6" i="2"/>
  <c r="B3" i="2"/>
  <c r="J17" i="3"/>
  <c r="H17" i="3"/>
  <c r="F17" i="3"/>
  <c r="D17" i="3"/>
  <c r="B15" i="3"/>
  <c r="F16" i="3" s="1"/>
  <c r="B11" i="3"/>
  <c r="B10" i="3"/>
  <c r="B9" i="3"/>
  <c r="B8" i="3"/>
  <c r="B4" i="3"/>
  <c r="F5" i="3" s="1"/>
  <c r="B3" i="3"/>
  <c r="L29" i="1"/>
  <c r="B22" i="1"/>
  <c r="B17" i="1"/>
  <c r="B16" i="1"/>
  <c r="B19" i="1" s="1"/>
  <c r="B22" i="2"/>
  <c r="B15" i="17" s="1"/>
  <c r="B3" i="1"/>
  <c r="B3" i="17" s="1"/>
  <c r="B50" i="18" s="1"/>
  <c r="B56" i="18" s="1"/>
  <c r="B67" i="18" s="1"/>
  <c r="B73" i="18" s="1"/>
  <c r="D6" i="12" l="1"/>
  <c r="D21" i="17"/>
  <c r="D57" i="18" s="1"/>
  <c r="G21" i="17"/>
  <c r="G57" i="18" s="1"/>
  <c r="G6" i="12"/>
  <c r="E21" i="17"/>
  <c r="E57" i="18" s="1"/>
  <c r="E6" i="12"/>
  <c r="B69" i="18"/>
  <c r="B27" i="2"/>
  <c r="B22" i="17" s="1"/>
  <c r="B58" i="18" s="1"/>
  <c r="B25" i="2"/>
  <c r="B18" i="17" s="1"/>
  <c r="B19" i="17"/>
  <c r="F27" i="1"/>
  <c r="E28" i="1"/>
  <c r="C40" i="1" s="1"/>
  <c r="C5" i="4"/>
  <c r="C8" i="17" s="1"/>
  <c r="B74" i="18"/>
  <c r="I27" i="1"/>
  <c r="H27" i="1"/>
  <c r="B9" i="4"/>
  <c r="L4" i="4"/>
  <c r="B12" i="4"/>
  <c r="B75" i="18" s="1"/>
  <c r="D15" i="11"/>
  <c r="B16" i="11"/>
  <c r="B23" i="1"/>
  <c r="B26" i="2" s="1"/>
  <c r="B38" i="1"/>
  <c r="B18" i="15" s="1"/>
  <c r="B10" i="4"/>
  <c r="C9" i="9"/>
  <c r="D9" i="9" s="1"/>
  <c r="D8" i="9"/>
  <c r="J9" i="9"/>
  <c r="K9" i="9" s="1"/>
  <c r="K8" i="9"/>
  <c r="F13" i="3"/>
  <c r="B12" i="3"/>
  <c r="B18" i="1"/>
  <c r="B20" i="17" s="1"/>
  <c r="B25" i="1"/>
  <c r="B13" i="17" s="1"/>
  <c r="B53" i="18" s="1"/>
  <c r="B21" i="1"/>
  <c r="C20" i="1"/>
  <c r="C5" i="17" s="1"/>
  <c r="B63" i="18" s="1"/>
  <c r="B26" i="1"/>
  <c r="B16" i="2"/>
  <c r="B17" i="3"/>
  <c r="E17" i="3"/>
  <c r="I17" i="3"/>
  <c r="C17" i="3"/>
  <c r="G17" i="3"/>
  <c r="K17" i="3"/>
  <c r="G22" i="2"/>
  <c r="G15" i="17" s="1"/>
  <c r="I22" i="2"/>
  <c r="I15" i="17" s="1"/>
  <c r="K22" i="2"/>
  <c r="K15" i="17" s="1"/>
  <c r="D22" i="2"/>
  <c r="D15" i="17" s="1"/>
  <c r="F22" i="2"/>
  <c r="F15" i="17" s="1"/>
  <c r="H22" i="2"/>
  <c r="H15" i="17" s="1"/>
  <c r="J22" i="2"/>
  <c r="J15" i="17" s="1"/>
  <c r="C22" i="2"/>
  <c r="C15" i="17" s="1"/>
  <c r="E22" i="2"/>
  <c r="E15" i="17" s="1"/>
  <c r="L22" i="1"/>
  <c r="L17" i="1"/>
  <c r="L16" i="1"/>
  <c r="L14" i="1"/>
  <c r="L4" i="1"/>
  <c r="A1" i="3"/>
  <c r="A2" i="4"/>
  <c r="B21" i="17" l="1"/>
  <c r="B57" i="18" s="1"/>
  <c r="B6" i="12"/>
  <c r="B32" i="1"/>
  <c r="B33" i="1" s="1"/>
  <c r="B70" i="18"/>
  <c r="B39" i="1"/>
  <c r="B12" i="17"/>
  <c r="B52" i="18" s="1"/>
  <c r="C24" i="1"/>
  <c r="C6" i="17" s="1"/>
  <c r="B64" i="18" s="1"/>
  <c r="B23" i="17"/>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75" i="18" s="1"/>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<sst xmlns="http://schemas.openxmlformats.org/spreadsheetml/2006/main" count="458" uniqueCount="318">
  <si>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</si>
  <si>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</si>
  <si>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</si>
  <si>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</si>
  <si>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</si>
  <si>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</si>
  <si>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</si>
  <si>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</si>
  <si>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</si>
  <si>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</si>
  <si>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</si>
  <si>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</si>
  <si>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</si>
  <si>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</si>
  <si>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</si>
  <si>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</si>
  <si>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</si>
  <si>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</si>
  <si>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</si>
  <si>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</si>
  <si>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</si>
  <si>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</si>
  <si>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</si>
  <si>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</si>
  <si>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</si>
  <si>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</si>
  <si>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</si>
  <si>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</si>
  <si>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</si>
  <si>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</si>
  <si>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</si>
  <si>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</si>
  <si>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</si>
  <si>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</si>
  <si>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</si>
  <si>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</si>
  <si>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</si>
  <si>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</si>
  <si>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</si>
  <si>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</si>
  <si>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</si>
  <si>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</si>
  <si>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</si>
  <si>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</si>
  <si>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</si>
  <si>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</si>
  <si>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</si>
  <si>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</si>
  <si>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</si>
  <si>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</si>
  <si>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</si>
  <si>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</si>
  <si>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</si>
  <si>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</si>
  <si>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</si>
  <si>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</si>
  <si>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</si>
  <si>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</si>
  <si>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HERO MOTOCORP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</si>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</sst>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_);[Red]\(&quot;$&quot;#,##0\)"/>
    <numFmt numFmtId="165" formatCode="_ * #,##0.00_ ;_ * \-#,##0.00_ ;_ * &quot;-&quot;??_ ;_ @_ "/>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5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12">
    <xf numFmtId="0" fontId="0" fillId="0" borderId="0" xfId="0"/>
    <xf numFmtId="0" fontId="1" fillId="0" borderId="0" xfId="0" applyFont="1"/>
    <xf numFmtId="0" fontId="6" fillId="0" borderId="0" xfId="0" applyFont="1"/>
    <xf numFmtId="0" fontId="0" fillId="0" borderId="0" xfId="0"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0" fontId="9" fillId="0" borderId="0" xfId="0" applyFont="1"/>
    <xf numFmtId="166" fontId="10" fillId="3" borderId="0" xfId="0" applyNumberFormat="1" applyFont="1" applyFill="1" applyAlignment="1">
      <alignment horizontal="center"/>
    </xf>
    <xf numFmtId="165" fontId="8" fillId="0" borderId="0" xfId="1" applyFont="1" applyBorder="1"/>
    <xf numFmtId="0" fontId="11" fillId="0" borderId="0" xfId="0" applyFont="1"/>
    <xf numFmtId="165" fontId="9" fillId="0" borderId="0" xfId="1" applyFont="1" applyBorder="1"/>
    <xf numFmtId="0" fontId="9" fillId="0" borderId="1" xfId="0" applyFont="1" applyBorder="1"/>
    <xf numFmtId="0" fontId="9" fillId="5" borderId="1" xfId="0" applyFont="1" applyFill="1" applyBorder="1" applyAlignment="1">
      <alignment horizontal="right"/>
    </xf>
    <xf numFmtId="169" fontId="9" fillId="5" borderId="1" xfId="0" applyNumberFormat="1" applyFont="1" applyFill="1" applyBorder="1" applyAlignment="1">
      <alignment horizontal="right"/>
    </xf>
    <xf numFmtId="0" fontId="9" fillId="5" borderId="0" xfId="0" applyFont="1" applyFill="1" applyAlignment="1">
      <alignment horizontal="right"/>
    </xf>
    <xf numFmtId="168" fontId="9" fillId="5" borderId="1" xfId="1" applyNumberFormat="1" applyFont="1" applyFill="1" applyBorder="1" applyAlignment="1">
      <alignment horizontal="right"/>
    </xf>
    <xf numFmtId="167" fontId="9" fillId="0" borderId="0" xfId="1" applyNumberFormat="1" applyFont="1"/>
    <xf numFmtId="0" fontId="9" fillId="0" borderId="0" xfId="0" applyFont="1" applyAlignment="1">
      <alignment horizontal="right"/>
    </xf>
    <xf numFmtId="9" fontId="9" fillId="0" borderId="0" xfId="4" applyFont="1"/>
    <xf numFmtId="0" fontId="13" fillId="0" borderId="0" xfId="0" applyFont="1"/>
    <xf numFmtId="166" fontId="10" fillId="3" borderId="0" xfId="1" applyNumberFormat="1" applyFont="1" applyFill="1" applyBorder="1"/>
    <xf numFmtId="166" fontId="13" fillId="0" borderId="0" xfId="1" applyNumberFormat="1" applyFont="1" applyFill="1" applyBorder="1"/>
    <xf numFmtId="43" fontId="9" fillId="0" borderId="0" xfId="1" applyNumberFormat="1" applyFont="1" applyBorder="1"/>
    <xf numFmtId="171" fontId="9" fillId="0" borderId="1" xfId="1" applyNumberFormat="1" applyFont="1" applyBorder="1"/>
    <xf numFmtId="167" fontId="9" fillId="7" borderId="1" xfId="1" applyNumberFormat="1" applyFont="1" applyFill="1" applyBorder="1" applyAlignment="1">
      <alignment horizontal="right"/>
    </xf>
    <xf numFmtId="168"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7" fontId="18" fillId="0" borderId="1" xfId="1" applyNumberFormat="1" applyFont="1" applyBorder="1" applyAlignment="1">
      <alignment horizontal="right"/>
    </xf>
    <xf numFmtId="167" fontId="9" fillId="0" borderId="1" xfId="1" applyNumberFormat="1" applyFont="1" applyBorder="1" applyAlignment="1">
      <alignment horizontal="right"/>
    </xf>
    <xf numFmtId="167"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7" fontId="10" fillId="4" borderId="1" xfId="1" applyNumberFormat="1" applyFont="1" applyFill="1" applyBorder="1" applyAlignment="1">
      <alignment horizontal="right"/>
    </xf>
    <xf numFmtId="171" fontId="10" fillId="4" borderId="1" xfId="1" applyNumberFormat="1" applyFont="1" applyFill="1" applyBorder="1" applyAlignment="1">
      <alignment horizontal="right"/>
    </xf>
    <xf numFmtId="167" fontId="9" fillId="7" borderId="1" xfId="1" applyNumberFormat="1" applyFont="1" applyFill="1" applyBorder="1"/>
    <xf numFmtId="167" fontId="20" fillId="7" borderId="1" xfId="1" applyNumberFormat="1" applyFont="1" applyFill="1" applyBorder="1"/>
    <xf numFmtId="0" fontId="24" fillId="0" borderId="0" xfId="0" applyFont="1" applyAlignment="1">
      <alignment horizontal="center"/>
    </xf>
    <xf numFmtId="167"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7" fontId="13" fillId="0" borderId="25" xfId="0" applyNumberFormat="1" applyFont="1" applyBorder="1" applyAlignment="1">
      <alignment horizontal="center"/>
    </xf>
    <xf numFmtId="167"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7" fontId="13" fillId="0" borderId="12" xfId="0" applyNumberFormat="1" applyFont="1" applyBorder="1" applyAlignment="1">
      <alignment horizontal="center"/>
    </xf>
    <xf numFmtId="0" fontId="13" fillId="0" borderId="0" xfId="0" applyFont="1" applyAlignment="1">
      <alignment horizontal="center"/>
    </xf>
    <xf numFmtId="173" fontId="13" fillId="0" borderId="0" xfId="0" applyNumberFormat="1" applyFont="1" applyAlignment="1">
      <alignment horizontal="center"/>
    </xf>
    <xf numFmtId="9" fontId="13" fillId="0" borderId="0" xfId="0" applyNumberFormat="1" applyFont="1" applyAlignment="1">
      <alignment horizontal="center"/>
    </xf>
    <xf numFmtId="164" fontId="13" fillId="0" borderId="0" xfId="0" applyNumberFormat="1" applyFont="1" applyAlignment="1">
      <alignment horizontal="center"/>
    </xf>
    <xf numFmtId="0" fontId="13" fillId="0" borderId="24" xfId="0" applyFont="1" applyBorder="1" applyAlignment="1">
      <alignment horizontal="left"/>
    </xf>
    <xf numFmtId="0" fontId="13" fillId="0" borderId="24" xfId="0" quotePrefix="1" applyFont="1" applyBorder="1" applyAlignment="1">
      <alignment horizontal="left"/>
    </xf>
    <xf numFmtId="0" fontId="8" fillId="9" borderId="29" xfId="0" applyFont="1" applyFill="1" applyBorder="1"/>
    <xf numFmtId="169"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Alignment="1">
      <alignment wrapText="1"/>
    </xf>
    <xf numFmtId="9" fontId="9" fillId="0" borderId="0" xfId="4" applyFont="1" applyBorder="1" applyAlignment="1">
      <alignment horizontal="right" wrapText="1"/>
    </xf>
    <xf numFmtId="167" fontId="9" fillId="0" borderId="0" xfId="1" applyNumberFormat="1" applyFont="1" applyAlignment="1">
      <alignment wrapText="1"/>
    </xf>
    <xf numFmtId="0" fontId="9" fillId="0" borderId="7" xfId="0" applyFont="1" applyBorder="1"/>
    <xf numFmtId="0" fontId="9" fillId="0" borderId="24" xfId="0" applyFont="1" applyBorder="1"/>
    <xf numFmtId="167" fontId="9" fillId="5" borderId="25" xfId="1" applyNumberFormat="1" applyFont="1" applyFill="1" applyBorder="1"/>
    <xf numFmtId="174"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1" fontId="9" fillId="0" borderId="1" xfId="1" applyNumberFormat="1" applyFont="1" applyBorder="1" applyAlignment="1">
      <alignment horizontal="right" wrapText="1"/>
    </xf>
    <xf numFmtId="9" fontId="9" fillId="5" borderId="25" xfId="4" applyFont="1" applyFill="1" applyBorder="1"/>
    <xf numFmtId="9" fontId="9" fillId="0" borderId="1" xfId="4" applyFont="1" applyFill="1" applyBorder="1" applyAlignment="1">
      <alignment horizontal="center"/>
    </xf>
    <xf numFmtId="9" fontId="9" fillId="0" borderId="25" xfId="4" applyFont="1" applyFill="1" applyBorder="1" applyAlignment="1">
      <alignment horizontal="center"/>
    </xf>
    <xf numFmtId="9" fontId="11" fillId="0" borderId="1" xfId="4" applyFont="1" applyFill="1" applyBorder="1" applyAlignment="1">
      <alignment horizontal="center"/>
    </xf>
    <xf numFmtId="9" fontId="11" fillId="0" borderId="25" xfId="4" applyFont="1" applyFill="1" applyBorder="1" applyAlignment="1">
      <alignment horizontal="center"/>
    </xf>
    <xf numFmtId="9" fontId="11" fillId="0" borderId="11" xfId="4" applyFont="1" applyFill="1" applyBorder="1" applyAlignment="1">
      <alignment horizontal="center"/>
    </xf>
    <xf numFmtId="9" fontId="11" fillId="0" borderId="12" xfId="4" applyFont="1" applyFill="1" applyBorder="1" applyAlignment="1">
      <alignment horizontal="center"/>
    </xf>
    <xf numFmtId="168" fontId="9" fillId="5" borderId="25" xfId="1" applyNumberFormat="1" applyFont="1" applyFill="1" applyBorder="1"/>
    <xf numFmtId="9" fontId="12" fillId="4" borderId="9" xfId="0" applyNumberFormat="1" applyFont="1" applyFill="1" applyBorder="1"/>
    <xf numFmtId="168"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6"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1" fontId="8" fillId="0" borderId="1" xfId="1" applyNumberFormat="1" applyFont="1" applyBorder="1"/>
    <xf numFmtId="171" fontId="21" fillId="4" borderId="1" xfId="1" applyNumberFormat="1" applyFont="1" applyFill="1" applyBorder="1"/>
    <xf numFmtId="171" fontId="11" fillId="0" borderId="1" xfId="0" applyNumberFormat="1" applyFont="1" applyBorder="1"/>
    <xf numFmtId="167" fontId="8" fillId="9" borderId="1" xfId="1" applyNumberFormat="1" applyFont="1" applyFill="1" applyBorder="1" applyAlignment="1">
      <alignment horizontal="right"/>
    </xf>
    <xf numFmtId="167" fontId="8" fillId="9" borderId="1" xfId="1" applyNumberFormat="1" applyFont="1" applyFill="1" applyBorder="1"/>
    <xf numFmtId="167" fontId="9" fillId="9" borderId="25" xfId="1" applyNumberFormat="1" applyFont="1" applyFill="1" applyBorder="1"/>
    <xf numFmtId="0" fontId="10" fillId="3" borderId="33" xfId="0" applyFont="1" applyFill="1" applyBorder="1"/>
    <xf numFmtId="166" fontId="10" fillId="3" borderId="30" xfId="0" applyNumberFormat="1" applyFont="1" applyFill="1" applyBorder="1" applyAlignment="1">
      <alignment horizontal="center"/>
    </xf>
    <xf numFmtId="166" fontId="10" fillId="3" borderId="2" xfId="0" applyNumberFormat="1" applyFont="1" applyFill="1" applyBorder="1" applyAlignment="1">
      <alignment horizontal="center"/>
    </xf>
    <xf numFmtId="0" fontId="8" fillId="0" borderId="6" xfId="0" applyFont="1" applyBorder="1"/>
    <xf numFmtId="171" fontId="8" fillId="0" borderId="4" xfId="1" applyNumberFormat="1" applyFont="1" applyBorder="1"/>
    <xf numFmtId="0" fontId="11" fillId="0" borderId="6" xfId="0" applyFont="1" applyBorder="1"/>
    <xf numFmtId="165" fontId="11" fillId="0" borderId="1" xfId="1" applyFont="1" applyBorder="1"/>
    <xf numFmtId="9" fontId="11" fillId="0" borderId="4" xfId="4" applyFont="1" applyBorder="1"/>
    <xf numFmtId="0" fontId="9" fillId="0" borderId="6" xfId="0" applyFont="1" applyBorder="1"/>
    <xf numFmtId="171" fontId="9" fillId="0" borderId="4" xfId="1" applyNumberFormat="1" applyFont="1" applyBorder="1"/>
    <xf numFmtId="0" fontId="11" fillId="0" borderId="34" xfId="0" applyFont="1" applyBorder="1"/>
    <xf numFmtId="9" fontId="11" fillId="0" borderId="35" xfId="4" applyFont="1" applyBorder="1"/>
    <xf numFmtId="9" fontId="11" fillId="0" borderId="36" xfId="4" applyFont="1" applyBorder="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xf numFmtId="0" fontId="32" fillId="0" borderId="0" xfId="0" applyFont="1"/>
    <xf numFmtId="0" fontId="33" fillId="3" borderId="7" xfId="0" applyFont="1" applyFill="1" applyBorder="1"/>
    <xf numFmtId="166"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24" xfId="0" applyFont="1" applyBorder="1"/>
    <xf numFmtId="171" fontId="32" fillId="0" borderId="1" xfId="1" applyNumberFormat="1" applyFont="1" applyBorder="1"/>
    <xf numFmtId="171" fontId="32" fillId="0" borderId="25" xfId="1" applyNumberFormat="1" applyFont="1" applyBorder="1"/>
    <xf numFmtId="0" fontId="34" fillId="9" borderId="24" xfId="0" applyFont="1" applyFill="1" applyBorder="1"/>
    <xf numFmtId="165"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1" fontId="31" fillId="0" borderId="1" xfId="1" applyNumberFormat="1" applyFont="1" applyBorder="1"/>
    <xf numFmtId="171" fontId="31" fillId="0" borderId="25" xfId="1" applyNumberFormat="1" applyFont="1" applyBorder="1"/>
    <xf numFmtId="165" fontId="34" fillId="0" borderId="24" xfId="1" applyFont="1" applyBorder="1" applyAlignment="1">
      <alignment horizontal="left" indent="1"/>
    </xf>
    <xf numFmtId="9" fontId="34" fillId="0" borderId="1" xfId="4" applyFont="1" applyBorder="1"/>
    <xf numFmtId="9" fontId="34" fillId="0" borderId="25" xfId="4" applyFont="1" applyBorder="1"/>
    <xf numFmtId="172" fontId="34" fillId="9" borderId="1" xfId="1" applyNumberFormat="1" applyFont="1" applyFill="1" applyBorder="1"/>
    <xf numFmtId="172" fontId="34" fillId="9" borderId="25" xfId="1" applyNumberFormat="1" applyFont="1" applyFill="1" applyBorder="1"/>
    <xf numFmtId="171" fontId="34" fillId="9" borderId="1" xfId="1" applyNumberFormat="1" applyFont="1" applyFill="1" applyBorder="1"/>
    <xf numFmtId="171" fontId="34" fillId="9" borderId="25" xfId="1" applyNumberFormat="1" applyFont="1" applyFill="1" applyBorder="1"/>
    <xf numFmtId="170" fontId="31" fillId="0" borderId="1" xfId="1" applyNumberFormat="1" applyFont="1" applyBorder="1"/>
    <xf numFmtId="170" fontId="31" fillId="0" borderId="25" xfId="1" applyNumberFormat="1" applyFont="1" applyBorder="1"/>
    <xf numFmtId="0" fontId="31" fillId="9" borderId="24" xfId="0" applyFont="1" applyFill="1" applyBorder="1"/>
    <xf numFmtId="170" fontId="31" fillId="9" borderId="1" xfId="1" applyNumberFormat="1" applyFont="1" applyFill="1" applyBorder="1"/>
    <xf numFmtId="170" fontId="31" fillId="9" borderId="25" xfId="1" applyNumberFormat="1" applyFont="1" applyFill="1" applyBorder="1"/>
    <xf numFmtId="172" fontId="31" fillId="0" borderId="1" xfId="0" applyNumberFormat="1" applyFont="1" applyBorder="1"/>
    <xf numFmtId="10" fontId="31" fillId="0" borderId="25" xfId="0" applyNumberFormat="1" applyFont="1" applyBorder="1"/>
    <xf numFmtId="0" fontId="31" fillId="0" borderId="10" xfId="0" applyFont="1" applyBorder="1"/>
    <xf numFmtId="170" fontId="31" fillId="0" borderId="11" xfId="1" applyNumberFormat="1" applyFont="1" applyBorder="1"/>
    <xf numFmtId="172" fontId="31" fillId="0" borderId="11" xfId="0" applyNumberFormat="1" applyFont="1" applyBorder="1"/>
    <xf numFmtId="10" fontId="31" fillId="0" borderId="12" xfId="0" applyNumberFormat="1" applyFont="1" applyBorder="1"/>
    <xf numFmtId="10" fontId="31" fillId="0" borderId="0" xfId="0" applyNumberFormat="1" applyFont="1"/>
    <xf numFmtId="171" fontId="31" fillId="0" borderId="0" xfId="0" applyNumberFormat="1" applyFont="1"/>
    <xf numFmtId="166" fontId="33" fillId="3" borderId="1" xfId="0" applyNumberFormat="1" applyFont="1" applyFill="1" applyBorder="1" applyAlignment="1">
      <alignment horizontal="center"/>
    </xf>
    <xf numFmtId="0" fontId="31" fillId="0" borderId="1" xfId="0" applyFont="1" applyBorder="1"/>
    <xf numFmtId="172" fontId="31" fillId="9" borderId="1" xfId="0" applyNumberFormat="1" applyFont="1" applyFill="1" applyBorder="1"/>
    <xf numFmtId="0" fontId="37" fillId="0" borderId="0" xfId="0" applyFont="1"/>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37"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7" fontId="9" fillId="0" borderId="25" xfId="1" applyNumberFormat="1" applyFont="1" applyFill="1" applyBorder="1" applyAlignment="1">
      <alignment horizontal="left"/>
    </xf>
    <xf numFmtId="168" fontId="9" fillId="0" borderId="25" xfId="1" applyNumberFormat="1" applyFont="1" applyFill="1" applyBorder="1" applyAlignment="1">
      <alignment horizontal="left"/>
    </xf>
    <xf numFmtId="172" fontId="9" fillId="0" borderId="25" xfId="4" applyNumberFormat="1" applyFont="1" applyFill="1" applyBorder="1" applyAlignment="1">
      <alignment horizontal="right"/>
    </xf>
    <xf numFmtId="168" fontId="9" fillId="0" borderId="25" xfId="1" applyNumberFormat="1" applyFont="1" applyFill="1" applyBorder="1" applyAlignment="1">
      <alignment horizontal="left" indent="1"/>
    </xf>
    <xf numFmtId="172" fontId="9" fillId="0" borderId="25" xfId="4" applyNumberFormat="1" applyFont="1" applyFill="1" applyBorder="1" applyAlignment="1"/>
    <xf numFmtId="170" fontId="9" fillId="0" borderId="25" xfId="1" applyNumberFormat="1" applyFont="1" applyFill="1" applyBorder="1" applyAlignment="1"/>
    <xf numFmtId="0" fontId="13" fillId="0" borderId="10" xfId="0" applyFont="1" applyBorder="1" applyAlignment="1">
      <alignment horizontal="left"/>
    </xf>
    <xf numFmtId="170" fontId="9" fillId="0" borderId="12" xfId="1" applyNumberFormat="1" applyFont="1" applyFill="1" applyBorder="1" applyAlignment="1"/>
    <xf numFmtId="0" fontId="18" fillId="0" borderId="0" xfId="0" applyFont="1" applyAlignment="1">
      <alignment horizontal="left"/>
    </xf>
    <xf numFmtId="166" fontId="10" fillId="3" borderId="24" xfId="1" applyNumberFormat="1" applyFont="1" applyFill="1" applyBorder="1"/>
    <xf numFmtId="166"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39" fillId="0" borderId="0" xfId="0" applyFont="1"/>
    <xf numFmtId="0" fontId="40" fillId="0" borderId="0" xfId="0" applyFont="1"/>
    <xf numFmtId="171" fontId="40" fillId="0" borderId="1" xfId="1" applyNumberFormat="1" applyFont="1" applyBorder="1" applyAlignment="1">
      <alignment horizontal="center"/>
    </xf>
    <xf numFmtId="171" fontId="39" fillId="0" borderId="1" xfId="1" applyNumberFormat="1" applyFont="1" applyBorder="1" applyAlignment="1">
      <alignment horizontal="center"/>
    </xf>
    <xf numFmtId="171" fontId="40" fillId="0" borderId="1" xfId="1" applyNumberFormat="1" applyFont="1" applyBorder="1"/>
    <xf numFmtId="171" fontId="40" fillId="0" borderId="0" xfId="1" applyNumberFormat="1" applyFont="1" applyBorder="1"/>
    <xf numFmtId="171" fontId="43" fillId="9" borderId="1" xfId="1" applyNumberFormat="1" applyFont="1" applyFill="1" applyBorder="1"/>
    <xf numFmtId="170" fontId="43" fillId="9" borderId="1" xfId="1" applyNumberFormat="1" applyFont="1" applyFill="1" applyBorder="1"/>
    <xf numFmtId="9" fontId="43" fillId="9" borderId="1" xfId="4" applyFont="1" applyFill="1" applyBorder="1"/>
    <xf numFmtId="0" fontId="44" fillId="0" borderId="0" xfId="0" applyFont="1"/>
    <xf numFmtId="0" fontId="44" fillId="0" borderId="0" xfId="0" applyFont="1" applyAlignment="1">
      <alignment wrapText="1"/>
    </xf>
    <xf numFmtId="166" fontId="41" fillId="3" borderId="30" xfId="0" applyNumberFormat="1" applyFont="1" applyFill="1" applyBorder="1" applyAlignment="1">
      <alignment horizontal="center"/>
    </xf>
    <xf numFmtId="0" fontId="41" fillId="3" borderId="29" xfId="0" applyFont="1" applyFill="1" applyBorder="1"/>
    <xf numFmtId="166" fontId="41" fillId="3" borderId="31" xfId="0" applyNumberFormat="1" applyFont="1" applyFill="1" applyBorder="1" applyAlignment="1">
      <alignment horizontal="center"/>
    </xf>
    <xf numFmtId="0" fontId="40" fillId="0" borderId="24" xfId="0" applyFont="1" applyBorder="1"/>
    <xf numFmtId="171" fontId="40" fillId="0" borderId="25" xfId="1" applyNumberFormat="1" applyFont="1" applyBorder="1" applyAlignment="1">
      <alignment horizontal="center"/>
    </xf>
    <xf numFmtId="0" fontId="39" fillId="0" borderId="24" xfId="0" applyFont="1" applyBorder="1"/>
    <xf numFmtId="171" fontId="39" fillId="0" borderId="25" xfId="1" applyNumberFormat="1" applyFont="1" applyBorder="1" applyAlignment="1">
      <alignment horizontal="center"/>
    </xf>
    <xf numFmtId="171" fontId="40" fillId="0" borderId="25" xfId="1" applyNumberFormat="1" applyFont="1" applyBorder="1"/>
    <xf numFmtId="0" fontId="42" fillId="4" borderId="10" xfId="0" applyFont="1" applyFill="1" applyBorder="1"/>
    <xf numFmtId="171" fontId="42" fillId="4" borderId="11" xfId="1" applyNumberFormat="1" applyFont="1" applyFill="1" applyBorder="1"/>
    <xf numFmtId="171" fontId="42" fillId="4" borderId="12" xfId="1" applyNumberFormat="1" applyFont="1" applyFill="1" applyBorder="1"/>
    <xf numFmtId="0" fontId="43" fillId="9" borderId="7" xfId="0" applyFont="1" applyFill="1" applyBorder="1"/>
    <xf numFmtId="171" fontId="43" fillId="9" borderId="8" xfId="1" applyNumberFormat="1" applyFont="1" applyFill="1" applyBorder="1"/>
    <xf numFmtId="171" fontId="43" fillId="9" borderId="9" xfId="1" applyNumberFormat="1" applyFont="1" applyFill="1" applyBorder="1"/>
    <xf numFmtId="0" fontId="43" fillId="9" borderId="24" xfId="0" applyFont="1" applyFill="1" applyBorder="1"/>
    <xf numFmtId="171" fontId="43" fillId="9" borderId="25" xfId="1" applyNumberFormat="1" applyFont="1" applyFill="1" applyBorder="1"/>
    <xf numFmtId="170" fontId="43" fillId="9" borderId="25" xfId="1" applyNumberFormat="1" applyFont="1" applyFill="1" applyBorder="1"/>
    <xf numFmtId="9" fontId="43" fillId="9" borderId="25" xfId="4" applyFont="1" applyFill="1" applyBorder="1"/>
    <xf numFmtId="0" fontId="43" fillId="9" borderId="10" xfId="0" applyFont="1" applyFill="1" applyBorder="1"/>
    <xf numFmtId="0" fontId="10" fillId="3" borderId="24" xfId="0" applyFont="1" applyFill="1" applyBorder="1"/>
    <xf numFmtId="0" fontId="8" fillId="0" borderId="24" xfId="0" applyFont="1" applyBorder="1"/>
    <xf numFmtId="171" fontId="8" fillId="0" borderId="23" xfId="1" applyNumberFormat="1" applyFont="1" applyBorder="1"/>
    <xf numFmtId="0" fontId="11" fillId="0" borderId="24" xfId="0" applyFont="1" applyBorder="1"/>
    <xf numFmtId="171" fontId="11" fillId="0" borderId="23" xfId="1" applyNumberFormat="1" applyFont="1" applyBorder="1"/>
    <xf numFmtId="0" fontId="21" fillId="4" borderId="24" xfId="0" applyFont="1" applyFill="1" applyBorder="1"/>
    <xf numFmtId="171" fontId="26" fillId="0" borderId="23" xfId="1" applyNumberFormat="1" applyFont="1" applyBorder="1"/>
    <xf numFmtId="171" fontId="9" fillId="0" borderId="23" xfId="1" applyNumberFormat="1" applyFont="1" applyBorder="1"/>
    <xf numFmtId="0" fontId="11" fillId="0" borderId="10" xfId="0" applyFont="1" applyBorder="1"/>
    <xf numFmtId="9" fontId="11" fillId="0" borderId="11" xfId="4" applyFont="1" applyBorder="1"/>
    <xf numFmtId="171" fontId="9" fillId="0" borderId="28" xfId="1" applyNumberFormat="1" applyFont="1" applyBorder="1"/>
    <xf numFmtId="0" fontId="46" fillId="0" borderId="0" xfId="0" applyFont="1" applyAlignment="1">
      <alignment wrapText="1"/>
    </xf>
    <xf numFmtId="0" fontId="47" fillId="0" borderId="0" xfId="2" applyFont="1" applyFill="1" applyBorder="1" applyAlignment="1" applyProtection="1">
      <alignment horizontal="center" wrapText="1"/>
    </xf>
    <xf numFmtId="0" fontId="48" fillId="8" borderId="40" xfId="0" applyFont="1" applyFill="1" applyBorder="1" applyAlignment="1">
      <alignment horizontal="center" wrapText="1"/>
    </xf>
    <xf numFmtId="0" fontId="46" fillId="0" borderId="41" xfId="0" applyFont="1" applyBorder="1" applyAlignment="1">
      <alignment wrapText="1"/>
    </xf>
    <xf numFmtId="0" fontId="46" fillId="0" borderId="42" xfId="0" applyFont="1" applyBorder="1" applyAlignment="1">
      <alignment wrapText="1"/>
    </xf>
    <xf numFmtId="0" fontId="50" fillId="0" borderId="0" xfId="0" applyFont="1" applyAlignment="1">
      <alignment wrapText="1"/>
    </xf>
    <xf numFmtId="0" fontId="0" fillId="0" borderId="41" xfId="0" applyBorder="1" applyAlignment="1">
      <alignment wrapText="1"/>
    </xf>
    <xf numFmtId="171" fontId="11" fillId="0" borderId="4" xfId="0" applyNumberFormat="1" applyFont="1" applyBorder="1" applyAlignment="1">
      <alignment horizontal="center"/>
    </xf>
    <xf numFmtId="171" fontId="26" fillId="0" borderId="1" xfId="1" applyNumberFormat="1" applyFont="1" applyBorder="1"/>
    <xf numFmtId="0" fontId="26" fillId="0" borderId="0" xfId="0" applyFont="1"/>
    <xf numFmtId="9" fontId="11" fillId="0" borderId="5" xfId="4" applyFont="1" applyBorder="1" applyAlignment="1">
      <alignment horizontal="center"/>
    </xf>
    <xf numFmtId="9" fontId="40" fillId="9" borderId="11" xfId="4" applyFont="1" applyFill="1" applyBorder="1"/>
    <xf numFmtId="9" fontId="40" fillId="9" borderId="12" xfId="4" applyFont="1" applyFill="1" applyBorder="1"/>
    <xf numFmtId="169" fontId="10" fillId="3" borderId="1" xfId="0" applyNumberFormat="1" applyFont="1" applyFill="1" applyBorder="1"/>
    <xf numFmtId="172" fontId="9" fillId="0" borderId="1" xfId="4" applyNumberFormat="1" applyFont="1" applyBorder="1"/>
    <xf numFmtId="172" fontId="9" fillId="0" borderId="1" xfId="0" applyNumberFormat="1" applyFont="1" applyBorder="1"/>
    <xf numFmtId="170" fontId="9" fillId="0" borderId="1" xfId="1" applyNumberFormat="1" applyFont="1" applyBorder="1"/>
    <xf numFmtId="0" fontId="12" fillId="3" borderId="24" xfId="0" applyFont="1" applyFill="1" applyBorder="1"/>
    <xf numFmtId="169" fontId="10" fillId="3" borderId="25" xfId="0" applyNumberFormat="1" applyFont="1" applyFill="1" applyBorder="1"/>
    <xf numFmtId="172" fontId="9" fillId="0" borderId="25" xfId="4" applyNumberFormat="1" applyFont="1" applyBorder="1"/>
    <xf numFmtId="0" fontId="9" fillId="0" borderId="25" xfId="0" applyFont="1" applyBorder="1"/>
    <xf numFmtId="172" fontId="9" fillId="0" borderId="25" xfId="0" applyNumberFormat="1" applyFont="1" applyBorder="1"/>
    <xf numFmtId="170" fontId="9" fillId="0" borderId="25" xfId="1" applyNumberFormat="1" applyFont="1" applyBorder="1"/>
    <xf numFmtId="0" fontId="9" fillId="0" borderId="10" xfId="0" applyFont="1" applyBorder="1"/>
    <xf numFmtId="171" fontId="9" fillId="0" borderId="11" xfId="1" applyNumberFormat="1" applyFont="1" applyBorder="1"/>
    <xf numFmtId="171" fontId="9" fillId="0" borderId="12" xfId="1" applyNumberFormat="1" applyFont="1" applyBorder="1"/>
    <xf numFmtId="0" fontId="52" fillId="0" borderId="0" xfId="0" applyFont="1"/>
    <xf numFmtId="0" fontId="53" fillId="0" borderId="0" xfId="0" applyFont="1"/>
    <xf numFmtId="169" fontId="52" fillId="0" borderId="0" xfId="0" applyNumberFormat="1" applyFont="1"/>
    <xf numFmtId="169" fontId="53" fillId="0" borderId="0" xfId="0" applyNumberFormat="1" applyFont="1"/>
    <xf numFmtId="9" fontId="52" fillId="0" borderId="0" xfId="4" applyFont="1"/>
    <xf numFmtId="171" fontId="52" fillId="0" borderId="0" xfId="1" applyNumberFormat="1" applyFont="1"/>
    <xf numFmtId="0" fontId="54" fillId="0" borderId="1" xfId="2" applyFont="1" applyBorder="1" applyAlignment="1" applyProtection="1"/>
    <xf numFmtId="0" fontId="8" fillId="7" borderId="1" xfId="0" applyFont="1" applyFill="1" applyBorder="1"/>
    <xf numFmtId="0" fontId="55" fillId="0" borderId="0" xfId="0" applyFont="1"/>
    <xf numFmtId="0" fontId="7" fillId="8" borderId="40" xfId="0" applyFont="1" applyFill="1" applyBorder="1" applyAlignment="1">
      <alignment horizontal="center" wrapText="1"/>
    </xf>
    <xf numFmtId="0" fontId="45" fillId="8" borderId="21" xfId="2" applyFont="1" applyFill="1" applyBorder="1" applyAlignment="1" applyProtection="1">
      <alignment horizontal="center" wrapText="1"/>
    </xf>
    <xf numFmtId="0" fontId="9" fillId="0" borderId="41" xfId="0" applyFont="1" applyBorder="1" applyAlignment="1">
      <alignment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8" fillId="9" borderId="18" xfId="0" applyFont="1" applyFill="1" applyBorder="1" applyAlignment="1">
      <alignment horizontal="center" vertical="center" wrapText="1"/>
    </xf>
    <xf numFmtId="0" fontId="38" fillId="9" borderId="20" xfId="0" applyFont="1" applyFill="1" applyBorder="1" applyAlignment="1">
      <alignment horizontal="center" vertical="center" wrapText="1"/>
    </xf>
    <xf numFmtId="0" fontId="38" fillId="9" borderId="22" xfId="0" applyFont="1" applyFill="1" applyBorder="1" applyAlignment="1">
      <alignment horizontal="center" vertical="center" wrapText="1"/>
    </xf>
    <xf numFmtId="0" fontId="38" fillId="9" borderId="23" xfId="0" applyFont="1" applyFill="1" applyBorder="1" applyAlignment="1">
      <alignment horizontal="center" vertical="center" wrapText="1"/>
    </xf>
    <xf numFmtId="0" fontId="38" fillId="9" borderId="26" xfId="0" applyFont="1" applyFill="1" applyBorder="1" applyAlignment="1">
      <alignment horizontal="center" vertical="center" wrapText="1"/>
    </xf>
    <xf numFmtId="0" fontId="38" fillId="9" borderId="28" xfId="0" applyFont="1" applyFill="1" applyBorder="1" applyAlignment="1">
      <alignment horizontal="center" vertical="center" wrapText="1"/>
    </xf>
    <xf numFmtId="0" fontId="45" fillId="0" borderId="0" xfId="2" applyFont="1" applyAlignment="1" applyProtection="1">
      <alignment horizontal="center"/>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39" fillId="9" borderId="26" xfId="0" applyFont="1" applyFill="1" applyBorder="1" applyAlignment="1">
      <alignment horizontal="center"/>
    </xf>
    <xf numFmtId="0" fontId="39" fillId="9" borderId="27" xfId="0" applyFont="1" applyFill="1" applyBorder="1" applyAlignment="1">
      <alignment horizontal="center"/>
    </xf>
    <xf numFmtId="0" fontId="39" fillId="9" borderId="28" xfId="0" applyFont="1" applyFill="1" applyBorder="1" applyAlignment="1">
      <alignment horizontal="center"/>
    </xf>
    <xf numFmtId="0" fontId="31" fillId="9" borderId="0" xfId="0" applyFont="1" applyFill="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71" fontId="11" fillId="0" borderId="4" xfId="0" applyNumberFormat="1" applyFont="1" applyBorder="1" applyAlignment="1">
      <alignment horizontal="center"/>
    </xf>
    <xf numFmtId="171" fontId="11" fillId="0" borderId="5" xfId="0" applyNumberFormat="1" applyFont="1" applyBorder="1" applyAlignment="1">
      <alignment horizontal="center"/>
    </xf>
    <xf numFmtId="171"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xf numFmtId="0" fontId="10" fillId="3" borderId="24" xfId="0" applyFont="1" applyFill="1" applyBorder="1" applyAlignment="1">
      <alignment horizontal="center"/>
    </xf>
    <xf numFmtId="0" fontId="10" fillId="3" borderId="1" xfId="0" applyFont="1" applyFill="1" applyBorder="1" applyAlignment="1">
      <alignment horizontal="center"/>
    </xf>
    <xf numFmtId="0" fontId="10" fillId="3" borderId="25" xfId="0"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8" fillId="7" borderId="4" xfId="1" applyNumberFormat="1" applyFont="1" applyFill="1" applyBorder="1" applyAlignment="1">
      <alignment horizontal="right"/>
    </xf>
    <xf numFmtId="171" fontId="8" fillId="7" borderId="6" xfId="1" applyNumberFormat="1" applyFont="1" applyFill="1" applyBorder="1" applyAlignment="1">
      <alignment horizontal="right"/>
    </xf>
    <xf numFmtId="0" fontId="36" fillId="9" borderId="19" xfId="0" applyFont="1" applyFill="1" applyBorder="1" applyAlignment="1">
      <alignment horizontal="center" vertical="center" wrapText="1"/>
    </xf>
    <xf numFmtId="0" fontId="36" fillId="9" borderId="20" xfId="0" applyFont="1" applyFill="1" applyBorder="1" applyAlignment="1">
      <alignment horizontal="center" vertical="center" wrapText="1"/>
    </xf>
    <xf numFmtId="0" fontId="36" fillId="9" borderId="22" xfId="0" applyFont="1" applyFill="1" applyBorder="1" applyAlignment="1">
      <alignment horizontal="center" vertical="center" wrapText="1"/>
    </xf>
    <xf numFmtId="0" fontId="36" fillId="9" borderId="0" xfId="0" applyFont="1" applyFill="1" applyAlignment="1">
      <alignment horizontal="center" vertical="center" wrapText="1"/>
    </xf>
    <xf numFmtId="0" fontId="36" fillId="9" borderId="23"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165" fontId="14" fillId="0" borderId="0" xfId="2" applyNumberFormat="1" applyFont="1" applyBorder="1" applyAlignment="1" applyProtection="1">
      <alignment horizontal="center"/>
    </xf>
    <xf numFmtId="165" fontId="10"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 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6" formatCode="[$-409]mmm\-yy;@"/>
    </dxf>
    <dxf>
      <font>
        <b/>
        <i val="0"/>
        <strike val="0"/>
        <condense val="0"/>
        <extend val="0"/>
        <outline val="0"/>
        <shadow val="0"/>
        <u val="none"/>
        <vertAlign val="baseline"/>
        <sz val="10"/>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Charts!$B$51:$K$51</c:f>
              <c:numCache>
                <c:formatCode>0%</c:formatCode>
                <c:ptCount val="10"/>
                <c:pt idx="0">
                  <c:v>0.12780761732048343</c:v>
                </c:pt>
                <c:pt idx="1">
                  <c:v>0.1554549441405175</c:v>
                </c:pt>
                <c:pt idx="2">
                  <c:v>0.16025798983098119</c:v>
                </c:pt>
                <c:pt idx="3">
                  <c:v>0.16434374246149766</c:v>
                </c:pt>
                <c:pt idx="4">
                  <c:v>0.14791812502612542</c:v>
                </c:pt>
                <c:pt idx="5">
                  <c:v>0.13911205897866175</c:v>
                </c:pt>
                <c:pt idx="6">
                  <c:v>0.13106350650646864</c:v>
                </c:pt>
                <c:pt idx="7">
                  <c:v>0.11017966057646236</c:v>
                </c:pt>
                <c:pt idx="8">
                  <c:v>0.11998812590058414</c:v>
                </c:pt>
                <c:pt idx="9">
                  <c:v>0.13853244707004395</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Charts!$B$52:$K$52</c:f>
              <c:numCache>
                <c:formatCode>0%</c:formatCode>
                <c:ptCount val="10"/>
                <c:pt idx="0">
                  <c:v>0.11954232020228001</c:v>
                </c:pt>
                <c:pt idx="1">
                  <c:v>0.15416177041106072</c:v>
                </c:pt>
                <c:pt idx="2">
                  <c:v>0.17075590964553836</c:v>
                </c:pt>
                <c:pt idx="3">
                  <c:v>0.16304269129965557</c:v>
                </c:pt>
                <c:pt idx="4">
                  <c:v>0.1502554250971864</c:v>
                </c:pt>
                <c:pt idx="5">
                  <c:v>0.15762236715221903</c:v>
                </c:pt>
                <c:pt idx="6">
                  <c:v>0.12433529430195037</c:v>
                </c:pt>
                <c:pt idx="7">
                  <c:v>0.10348485750871031</c:v>
                </c:pt>
                <c:pt idx="8">
                  <c:v>0.1131089940447994</c:v>
                </c:pt>
                <c:pt idx="9">
                  <c:v>0.13470192878173387</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Charts!$B$53:$K$53</c:f>
              <c:numCache>
                <c:formatCode>0%</c:formatCode>
                <c:ptCount val="10"/>
                <c:pt idx="0">
                  <c:v>8.5282425794437469E-2</c:v>
                </c:pt>
                <c:pt idx="1">
                  <c:v>0.10936770832747669</c:v>
                </c:pt>
                <c:pt idx="2">
                  <c:v>0.12395130027755612</c:v>
                </c:pt>
                <c:pt idx="3">
                  <c:v>0.11467519779951985</c:v>
                </c:pt>
                <c:pt idx="4">
                  <c:v>0.10203904409725763</c:v>
                </c:pt>
                <c:pt idx="5">
                  <c:v>0.12509105601735424</c:v>
                </c:pt>
                <c:pt idx="6">
                  <c:v>9.4836137508765531E-2</c:v>
                </c:pt>
                <c:pt idx="7">
                  <c:v>7.8813844950201842E-2</c:v>
                </c:pt>
                <c:pt idx="8">
                  <c:v>8.1968172963705982E-2</c:v>
                </c:pt>
                <c:pt idx="9">
                  <c:v>9.9028755217840825E-2</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Charts!$B$57:$K$57</c:f>
              <c:numCache>
                <c:formatCode>0%</c:formatCode>
                <c:ptCount val="10"/>
                <c:pt idx="0">
                  <c:v>0.3590993883792038</c:v>
                </c:pt>
                <c:pt idx="1">
                  <c:v>0.35230374084090005</c:v>
                </c:pt>
                <c:pt idx="2">
                  <c:v>0.34378329331269125</c:v>
                </c:pt>
                <c:pt idx="3">
                  <c:v>0.31092030545981864</c:v>
                </c:pt>
                <c:pt idx="4">
                  <c:v>0.26419524999599869</c:v>
                </c:pt>
                <c:pt idx="5">
                  <c:v>0.25401491571731222</c:v>
                </c:pt>
                <c:pt idx="6">
                  <c:v>0.19044953367902528</c:v>
                </c:pt>
                <c:pt idx="7">
                  <c:v>0.14697428163050238</c:v>
                </c:pt>
                <c:pt idx="8">
                  <c:v>0.16810592492481466</c:v>
                </c:pt>
                <c:pt idx="9">
                  <c:v>0.21143437000675774</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Charts!$B$58:$K$58</c:f>
              <c:numCache>
                <c:formatCode>0%</c:formatCode>
                <c:ptCount val="10"/>
                <c:pt idx="0">
                  <c:v>0.49753915662650489</c:v>
                </c:pt>
                <c:pt idx="1">
                  <c:v>0.48549025403912538</c:v>
                </c:pt>
                <c:pt idx="2">
                  <c:v>0.46450683237330881</c:v>
                </c:pt>
                <c:pt idx="3">
                  <c:v>0.43632652559357682</c:v>
                </c:pt>
                <c:pt idx="4">
                  <c:v>0.38278100433966589</c:v>
                </c:pt>
                <c:pt idx="5">
                  <c:v>0.31345002163594682</c:v>
                </c:pt>
                <c:pt idx="6">
                  <c:v>0.24347642939819147</c:v>
                </c:pt>
                <c:pt idx="7">
                  <c:v>0.18911038413987027</c:v>
                </c:pt>
                <c:pt idx="8">
                  <c:v>0.23041715462538384</c:v>
                </c:pt>
                <c:pt idx="9">
                  <c:v>0.28224402400830823</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Charts!$B$62:$J$62</c:f>
              <c:numCache>
                <c:formatCode>0%</c:formatCode>
                <c:ptCount val="9"/>
                <c:pt idx="0">
                  <c:v>3.337529954030849E-2</c:v>
                </c:pt>
                <c:pt idx="1">
                  <c:v>5.3874039256256445E-3</c:v>
                </c:pt>
                <c:pt idx="2">
                  <c:v>0.1344943085441217</c:v>
                </c:pt>
                <c:pt idx="3">
                  <c:v>4.6596609749657736E-2</c:v>
                </c:pt>
                <c:pt idx="4">
                  <c:v>-0.138850048365038</c:v>
                </c:pt>
                <c:pt idx="5">
                  <c:v>5.8290208132434573E-2</c:v>
                </c:pt>
                <c:pt idx="6">
                  <c:v>-4.5476318986381714E-2</c:v>
                </c:pt>
                <c:pt idx="7">
                  <c:v>0.15590187633158359</c:v>
                </c:pt>
                <c:pt idx="8">
                  <c:v>0.10627670281787394</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Charts!$B$63:$J$63</c:f>
              <c:numCache>
                <c:formatCode>0%</c:formatCode>
                <c:ptCount val="9"/>
                <c:pt idx="0">
                  <c:v>0.33264073682548179</c:v>
                </c:pt>
                <c:pt idx="1">
                  <c:v>0.11360838842033183</c:v>
                </c:pt>
                <c:pt idx="2">
                  <c:v>8.324804519589013E-2</c:v>
                </c:pt>
                <c:pt idx="3">
                  <c:v>-3.5486857769127633E-2</c:v>
                </c:pt>
                <c:pt idx="4">
                  <c:v>-9.662833297415907E-2</c:v>
                </c:pt>
                <c:pt idx="5">
                  <c:v>-0.1652020784718552</c:v>
                </c:pt>
                <c:pt idx="6">
                  <c:v>-0.20554539503081026</c:v>
                </c:pt>
                <c:pt idx="7">
                  <c:v>0.26340125109953338</c:v>
                </c:pt>
                <c:pt idx="8">
                  <c:v>0.3174691092809363</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Charts!$B$64:$J$64</c:f>
              <c:numCache>
                <c:formatCode>0%</c:formatCode>
                <c:ptCount val="9"/>
                <c:pt idx="0">
                  <c:v>0.32521896862266408</c:v>
                </c:pt>
                <c:pt idx="1">
                  <c:v>0.13945037255525539</c:v>
                </c:pt>
                <c:pt idx="2">
                  <c:v>4.9592533062629007E-2</c:v>
                </c:pt>
                <c:pt idx="3">
                  <c:v>-6.872872544778974E-2</c:v>
                </c:pt>
                <c:pt idx="4">
                  <c:v>5.5695472182554884E-2</c:v>
                </c:pt>
                <c:pt idx="5">
                  <c:v>-0.19767120929330184</c:v>
                </c:pt>
                <c:pt idx="6">
                  <c:v>-0.20674034842730826</c:v>
                </c:pt>
                <c:pt idx="7">
                  <c:v>0.20216397243511053</c:v>
                </c:pt>
                <c:pt idx="8">
                  <c:v>0.33653344762313342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Charts!$B$68:$K$68</c:f>
              <c:numCache>
                <c:formatCode>_ * #,##0_ ;_ * \-#,##0_ ;_ * "-"??_ ;_ @_ </c:formatCode>
                <c:ptCount val="10"/>
                <c:pt idx="0">
                  <c:v>27538.03</c:v>
                </c:pt>
                <c:pt idx="1">
                  <c:v>28457.119999999999</c:v>
                </c:pt>
                <c:pt idx="2">
                  <c:v>28610.43</c:v>
                </c:pt>
                <c:pt idx="3">
                  <c:v>32458.37</c:v>
                </c:pt>
                <c:pt idx="4">
                  <c:v>33970.82</c:v>
                </c:pt>
                <c:pt idx="5">
                  <c:v>29253.97</c:v>
                </c:pt>
                <c:pt idx="6">
                  <c:v>30959.19</c:v>
                </c:pt>
                <c:pt idx="7">
                  <c:v>29551.279999999999</c:v>
                </c:pt>
                <c:pt idx="8">
                  <c:v>34158.379999999997</c:v>
                </c:pt>
                <c:pt idx="9">
                  <c:v>37788.620000000003</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Charts!$B$69:$K$69</c:f>
              <c:numCache>
                <c:formatCode>_ * #,##0_ ;_ * \-#,##0_ ;_ * "-"??_ ;_ @_ </c:formatCode>
                <c:ptCount val="10"/>
                <c:pt idx="0">
                  <c:v>3291.9599999999928</c:v>
                </c:pt>
                <c:pt idx="1">
                  <c:v>4387.0000000000036</c:v>
                </c:pt>
                <c:pt idx="2">
                  <c:v>4885.3999999999996</c:v>
                </c:pt>
                <c:pt idx="3">
                  <c:v>5292.1000000000013</c:v>
                </c:pt>
                <c:pt idx="4">
                  <c:v>5104.3000000000011</c:v>
                </c:pt>
                <c:pt idx="5">
                  <c:v>4611.0800000000008</c:v>
                </c:pt>
                <c:pt idx="6">
                  <c:v>3849.3199999999988</c:v>
                </c:pt>
                <c:pt idx="7">
                  <c:v>3058.1100000000006</c:v>
                </c:pt>
                <c:pt idx="8">
                  <c:v>3863.6199999999949</c:v>
                </c:pt>
                <c:pt idx="9">
                  <c:v>5090.2000000000044</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Charts!$B$70:$K$70</c:f>
              <c:numCache>
                <c:formatCode>_ * #,##0_ ;_ * \-#,##0_ ;_ * "-"??_ ;_ @_ </c:formatCode>
                <c:ptCount val="10"/>
                <c:pt idx="0">
                  <c:v>2348.5099999999929</c:v>
                </c:pt>
                <c:pt idx="1">
                  <c:v>3112.2900000000036</c:v>
                </c:pt>
                <c:pt idx="2">
                  <c:v>3546.2999999999997</c:v>
                </c:pt>
                <c:pt idx="3">
                  <c:v>3722.170000000001</c:v>
                </c:pt>
                <c:pt idx="4">
                  <c:v>3466.3500000000013</c:v>
                </c:pt>
                <c:pt idx="5">
                  <c:v>3659.4100000000008</c:v>
                </c:pt>
                <c:pt idx="6">
                  <c:v>2936.0499999999988</c:v>
                </c:pt>
                <c:pt idx="7">
                  <c:v>2329.0500000000006</c:v>
                </c:pt>
                <c:pt idx="8">
                  <c:v>2799.8999999999951</c:v>
                </c:pt>
                <c:pt idx="9">
                  <c:v>3742.1600000000044</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Charts!$B$74:$K$74</c:f>
              <c:numCache>
                <c:formatCode>_ * #,##0_ ;_ * \-#,##0_ ;_ * "-"??_ ;_ @_ </c:formatCode>
                <c:ptCount val="10"/>
                <c:pt idx="0">
                  <c:v>2185.5100000000002</c:v>
                </c:pt>
                <c:pt idx="1">
                  <c:v>3722.37</c:v>
                </c:pt>
                <c:pt idx="2">
                  <c:v>4007.18</c:v>
                </c:pt>
                <c:pt idx="3">
                  <c:v>4017.21</c:v>
                </c:pt>
                <c:pt idx="4">
                  <c:v>1032.28</c:v>
                </c:pt>
                <c:pt idx="5">
                  <c:v>5518.13</c:v>
                </c:pt>
                <c:pt idx="6">
                  <c:v>4110.45</c:v>
                </c:pt>
                <c:pt idx="7">
                  <c:v>2103.6999999999998</c:v>
                </c:pt>
                <c:pt idx="8">
                  <c:v>2613.84</c:v>
                </c:pt>
                <c:pt idx="9">
                  <c:v>4923.07</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Charts!$B$75:$K$75</c:f>
              <c:numCache>
                <c:formatCode>_ * #,##0_ ;_ * \-#,##0_ ;_ * "-"??_ ;_ @_ </c:formatCode>
                <c:ptCount val="10"/>
                <c:pt idx="0">
                  <c:v>1870.4300000000003</c:v>
                </c:pt>
                <c:pt idx="1">
                  <c:v>3510.7999999999997</c:v>
                </c:pt>
                <c:pt idx="2">
                  <c:v>3643.06</c:v>
                </c:pt>
                <c:pt idx="3">
                  <c:v>3452.21</c:v>
                </c:pt>
                <c:pt idx="4">
                  <c:v>425.28</c:v>
                </c:pt>
                <c:pt idx="5">
                  <c:v>4581.13</c:v>
                </c:pt>
                <c:pt idx="6">
                  <c:v>2954.45</c:v>
                </c:pt>
                <c:pt idx="7">
                  <c:v>465.69999999999982</c:v>
                </c:pt>
                <c:pt idx="8">
                  <c:v>1375.8400000000001</c:v>
                </c:pt>
                <c:pt idx="9">
                  <c:v>4098.91</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A23"/>
  <sheetViews>
    <sheetView workbookViewId="0"/>
  </sheetViews>
  <sheetFormatPr baseColWidth="10" defaultColWidth="8.6640625" defaultRowHeight="13" x14ac:dyDescent="0.15"/>
  <cols>
    <col min="1" max="1" width="151.5" style="253" customWidth="1"/>
    <col min="2" max="16384" width="8.6640625" style="253"/>
  </cols>
  <sheetData>
    <row r="1" spans="1:1" ht="20" x14ac:dyDescent="0.2">
      <c r="A1" s="288" t="s">
        <v>316</v>
      </c>
    </row>
    <row r="2" spans="1:1" ht="18" thickBot="1" x14ac:dyDescent="0.25">
      <c r="A2" s="289" t="s">
        <v>212</v>
      </c>
    </row>
    <row r="3" spans="1:1" ht="17" thickBot="1" x14ac:dyDescent="0.25">
      <c r="A3" s="254"/>
    </row>
    <row r="4" spans="1:1" ht="17" x14ac:dyDescent="0.2">
      <c r="A4" s="255" t="s">
        <v>247</v>
      </c>
    </row>
    <row r="5" spans="1:1" ht="16" x14ac:dyDescent="0.2">
      <c r="A5" s="256" t="s">
        <v>272</v>
      </c>
    </row>
    <row r="6" spans="1:1" ht="16" x14ac:dyDescent="0.2">
      <c r="A6" s="259" t="s">
        <v>273</v>
      </c>
    </row>
    <row r="7" spans="1:1" ht="28" x14ac:dyDescent="0.15">
      <c r="A7" s="256" t="s">
        <v>274</v>
      </c>
    </row>
    <row r="8" spans="1:1" ht="28" x14ac:dyDescent="0.15">
      <c r="A8" s="290" t="s">
        <v>317</v>
      </c>
    </row>
    <row r="9" spans="1:1" ht="15" thickBot="1" x14ac:dyDescent="0.2">
      <c r="A9" s="257" t="s">
        <v>275</v>
      </c>
    </row>
    <row r="11" spans="1:1" ht="14" thickBot="1" x14ac:dyDescent="0.2"/>
    <row r="12" spans="1:1" ht="17" x14ac:dyDescent="0.2">
      <c r="A12" s="255" t="s">
        <v>248</v>
      </c>
    </row>
    <row r="13" spans="1:1" ht="28" x14ac:dyDescent="0.15">
      <c r="A13" s="256" t="s">
        <v>255</v>
      </c>
    </row>
    <row r="14" spans="1:1" ht="28" x14ac:dyDescent="0.15">
      <c r="A14" s="256" t="s">
        <v>249</v>
      </c>
    </row>
    <row r="15" spans="1:1" ht="28" x14ac:dyDescent="0.15">
      <c r="A15" s="256" t="s">
        <v>263</v>
      </c>
    </row>
    <row r="16" spans="1:1" ht="28" x14ac:dyDescent="0.15">
      <c r="A16" s="256" t="s">
        <v>262</v>
      </c>
    </row>
    <row r="17" spans="1:1" ht="14" x14ac:dyDescent="0.15">
      <c r="A17" s="256" t="s">
        <v>252</v>
      </c>
    </row>
    <row r="18" spans="1:1" ht="28" x14ac:dyDescent="0.15">
      <c r="A18" s="256" t="s">
        <v>256</v>
      </c>
    </row>
    <row r="19" spans="1:1" ht="14" x14ac:dyDescent="0.15">
      <c r="A19" s="256" t="s">
        <v>253</v>
      </c>
    </row>
    <row r="20" spans="1:1" ht="28" x14ac:dyDescent="0.15">
      <c r="A20" s="256" t="s">
        <v>254</v>
      </c>
    </row>
    <row r="21" spans="1:1" ht="15" thickBot="1" x14ac:dyDescent="0.2">
      <c r="A21" s="257" t="s">
        <v>271</v>
      </c>
    </row>
    <row r="23" spans="1:1" ht="14" x14ac:dyDescent="0.15">
      <c r="A23" s="258"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baseColWidth="10" defaultColWidth="8.6640625" defaultRowHeight="13" x14ac:dyDescent="0.15"/>
  <cols>
    <col min="1" max="1" width="4.6640625" style="7" bestFit="1" customWidth="1"/>
    <col min="2" max="2" width="9.33203125" style="7" customWidth="1"/>
    <col min="3" max="3" width="10.83203125" style="7" bestFit="1" customWidth="1"/>
    <col min="4" max="4" width="16.1640625" style="7" bestFit="1" customWidth="1"/>
    <col min="5" max="5" width="13" style="7" bestFit="1" customWidth="1"/>
    <col min="6" max="6" width="6.83203125" style="7" customWidth="1"/>
    <col min="7" max="7" width="8.6640625" style="7"/>
    <col min="8" max="8" width="4.6640625" style="7" bestFit="1" customWidth="1"/>
    <col min="9" max="9" width="8.5" style="7" customWidth="1"/>
    <col min="10" max="10" width="10.83203125" style="7" bestFit="1" customWidth="1"/>
    <col min="11" max="11" width="16.1640625" style="7" bestFit="1" customWidth="1"/>
    <col min="12" max="12" width="13" style="7" bestFit="1" customWidth="1"/>
    <col min="13" max="13" width="7" style="7" customWidth="1"/>
    <col min="14" max="16384" width="8.6640625" style="7"/>
  </cols>
  <sheetData>
    <row r="1" spans="1:13" ht="19" x14ac:dyDescent="0.2">
      <c r="A1" s="368" t="s">
        <v>241</v>
      </c>
      <c r="B1" s="369"/>
      <c r="C1" s="369"/>
      <c r="D1" s="369"/>
      <c r="E1" s="369"/>
      <c r="F1" s="369"/>
      <c r="G1" s="369"/>
      <c r="H1" s="369"/>
      <c r="I1" s="369"/>
      <c r="J1" s="369"/>
      <c r="K1" s="369"/>
      <c r="L1" s="369"/>
      <c r="M1" s="370"/>
    </row>
    <row r="2" spans="1:13" ht="14" thickBot="1" x14ac:dyDescent="0.2">
      <c r="A2" s="371" t="s">
        <v>242</v>
      </c>
      <c r="B2" s="372"/>
      <c r="C2" s="372"/>
      <c r="D2" s="372"/>
      <c r="E2" s="372"/>
      <c r="F2" s="372"/>
      <c r="G2" s="372"/>
      <c r="H2" s="372"/>
      <c r="I2" s="372"/>
      <c r="J2" s="372"/>
      <c r="K2" s="372"/>
      <c r="L2" s="372"/>
      <c r="M2" s="373"/>
    </row>
    <row r="4" spans="1:13" x14ac:dyDescent="0.15">
      <c r="A4" s="377" t="str">
        <f>'Data Sheet'!B1</f>
        <v>HERO MOTOCORP LTD</v>
      </c>
      <c r="B4" s="377"/>
      <c r="C4" s="377"/>
      <c r="D4" s="377"/>
      <c r="H4" s="377" t="str">
        <f>A4</f>
        <v>HERO MOTOCORP LTD</v>
      </c>
      <c r="I4" s="377"/>
      <c r="J4" s="377"/>
      <c r="K4" s="377"/>
    </row>
    <row r="5" spans="1:13" x14ac:dyDescent="0.15">
      <c r="A5" s="377" t="s">
        <v>243</v>
      </c>
      <c r="B5" s="377"/>
      <c r="C5" s="377"/>
      <c r="D5" s="377"/>
      <c r="E5" s="375"/>
      <c r="F5" s="376"/>
      <c r="H5" s="377" t="s">
        <v>244</v>
      </c>
      <c r="I5" s="377"/>
      <c r="J5" s="377"/>
      <c r="K5" s="377"/>
      <c r="L5" s="375"/>
      <c r="M5" s="376"/>
    </row>
    <row r="6" spans="1:13" x14ac:dyDescent="0.15">
      <c r="A6" s="33" t="s">
        <v>109</v>
      </c>
      <c r="B6" s="34"/>
      <c r="C6" s="35" t="s">
        <v>110</v>
      </c>
      <c r="D6" s="34" t="s">
        <v>111</v>
      </c>
      <c r="E6" s="374" t="s">
        <v>112</v>
      </c>
      <c r="F6" s="374"/>
      <c r="H6" s="33" t="s">
        <v>109</v>
      </c>
      <c r="I6" s="34"/>
      <c r="J6" s="35" t="s">
        <v>110</v>
      </c>
      <c r="K6" s="34" t="s">
        <v>111</v>
      </c>
      <c r="L6" s="374" t="s">
        <v>112</v>
      </c>
      <c r="M6" s="374"/>
    </row>
    <row r="7" spans="1:13" x14ac:dyDescent="0.15">
      <c r="A7" s="28">
        <v>0</v>
      </c>
      <c r="B7" s="12" t="s">
        <v>129</v>
      </c>
      <c r="C7" s="29"/>
      <c r="D7" s="31">
        <f>'Balance Sheet'!K19</f>
        <v>5828.69</v>
      </c>
      <c r="E7" s="27" t="s">
        <v>113</v>
      </c>
      <c r="F7" s="36">
        <v>0.15</v>
      </c>
      <c r="H7" s="28">
        <v>0</v>
      </c>
      <c r="I7" s="12" t="s">
        <v>129</v>
      </c>
      <c r="J7" s="29"/>
      <c r="K7" s="31">
        <f>D7</f>
        <v>5828.69</v>
      </c>
      <c r="L7" s="27" t="s">
        <v>113</v>
      </c>
      <c r="M7" s="36">
        <v>0.2</v>
      </c>
    </row>
    <row r="8" spans="1:13" x14ac:dyDescent="0.15">
      <c r="A8" s="28">
        <v>1</v>
      </c>
      <c r="B8" s="12" t="s">
        <v>114</v>
      </c>
      <c r="C8" s="30">
        <f>'Cash Flow'!B13*(1+$F$7)</f>
        <v>2277.1724999999997</v>
      </c>
      <c r="D8" s="31">
        <f>C8/((1+$F$10)^A8)</f>
        <v>2033.1897321428567</v>
      </c>
      <c r="E8" s="27" t="s">
        <v>115</v>
      </c>
      <c r="F8" s="36">
        <v>0.1</v>
      </c>
      <c r="H8" s="28">
        <v>1</v>
      </c>
      <c r="I8" s="12" t="s">
        <v>114</v>
      </c>
      <c r="J8" s="30">
        <f>'Cash Flow'!B13*(1+$M$7)</f>
        <v>2376.1799999999998</v>
      </c>
      <c r="K8" s="31">
        <f>J8/((1+$M$10)^H8)</f>
        <v>2121.5892857142853</v>
      </c>
      <c r="L8" s="27" t="s">
        <v>115</v>
      </c>
      <c r="M8" s="36">
        <v>0.15</v>
      </c>
    </row>
    <row r="9" spans="1:13" x14ac:dyDescent="0.15">
      <c r="A9" s="28">
        <v>2</v>
      </c>
      <c r="B9" s="12" t="s">
        <v>116</v>
      </c>
      <c r="C9" s="30">
        <f>C8*(1+$F$7)</f>
        <v>2618.7483749999992</v>
      </c>
      <c r="D9" s="31">
        <f t="shared" ref="D9:D18" si="0">C9/((1+$F$10)^A9)</f>
        <v>2087.6501713966827</v>
      </c>
      <c r="E9" s="27" t="s">
        <v>117</v>
      </c>
      <c r="F9" s="36">
        <v>0.05</v>
      </c>
      <c r="H9" s="28">
        <v>2</v>
      </c>
      <c r="I9" s="12" t="s">
        <v>116</v>
      </c>
      <c r="J9" s="30">
        <f>J8*(1+$M$7)</f>
        <v>2851.4159999999997</v>
      </c>
      <c r="K9" s="31">
        <f t="shared" ref="K9:K18" si="1">J9/((1+$M$10)^H9)</f>
        <v>2273.1313775510198</v>
      </c>
      <c r="L9" s="27" t="s">
        <v>117</v>
      </c>
      <c r="M9" s="36">
        <v>0.1</v>
      </c>
    </row>
    <row r="10" spans="1:13" x14ac:dyDescent="0.15">
      <c r="A10" s="28">
        <v>3</v>
      </c>
      <c r="B10" s="12" t="s">
        <v>118</v>
      </c>
      <c r="C10" s="30">
        <f>C9*(1+$F$7)</f>
        <v>3011.560631249999</v>
      </c>
      <c r="D10" s="31">
        <f t="shared" si="0"/>
        <v>2143.5693724162365</v>
      </c>
      <c r="E10" s="27" t="s">
        <v>120</v>
      </c>
      <c r="F10" s="36">
        <v>0.12</v>
      </c>
      <c r="H10" s="28">
        <v>3</v>
      </c>
      <c r="I10" s="12" t="s">
        <v>118</v>
      </c>
      <c r="J10" s="30">
        <f>J9*(1+$M$7)</f>
        <v>3421.6991999999996</v>
      </c>
      <c r="K10" s="31">
        <f t="shared" si="1"/>
        <v>2435.4979045189493</v>
      </c>
      <c r="L10" s="27" t="s">
        <v>120</v>
      </c>
      <c r="M10" s="36">
        <v>0.12</v>
      </c>
    </row>
    <row r="11" spans="1:13" x14ac:dyDescent="0.15">
      <c r="A11" s="28">
        <v>4</v>
      </c>
      <c r="B11" s="12" t="s">
        <v>119</v>
      </c>
      <c r="C11" s="30">
        <f>C10*(1+$F$8)</f>
        <v>3312.716694374999</v>
      </c>
      <c r="D11" s="31">
        <f t="shared" si="0"/>
        <v>2105.2913479088038</v>
      </c>
      <c r="H11" s="28">
        <v>4</v>
      </c>
      <c r="I11" s="12" t="s">
        <v>119</v>
      </c>
      <c r="J11" s="30">
        <f>J10*(1+$M$8)</f>
        <v>3934.9540799999991</v>
      </c>
      <c r="K11" s="31">
        <f t="shared" si="1"/>
        <v>2500.7344555328496</v>
      </c>
    </row>
    <row r="12" spans="1:13" x14ac:dyDescent="0.15">
      <c r="A12" s="28">
        <v>5</v>
      </c>
      <c r="B12" s="12" t="s">
        <v>121</v>
      </c>
      <c r="C12" s="30">
        <f t="shared" ref="C12:C13" si="2">C11*(1+$F$8)</f>
        <v>3643.9883638124993</v>
      </c>
      <c r="D12" s="31">
        <f t="shared" si="0"/>
        <v>2067.6968595532894</v>
      </c>
      <c r="E12" s="364" t="s">
        <v>258</v>
      </c>
      <c r="F12" s="364"/>
      <c r="H12" s="28">
        <v>5</v>
      </c>
      <c r="I12" s="12" t="s">
        <v>121</v>
      </c>
      <c r="J12" s="30">
        <f t="shared" ref="J12:J13" si="3">J11*(1+$M$8)</f>
        <v>4525.1971919999987</v>
      </c>
      <c r="K12" s="31">
        <f t="shared" si="1"/>
        <v>2567.7184141631938</v>
      </c>
    </row>
    <row r="13" spans="1:13" x14ac:dyDescent="0.15">
      <c r="A13" s="28">
        <v>6</v>
      </c>
      <c r="B13" s="12" t="s">
        <v>122</v>
      </c>
      <c r="C13" s="30">
        <f t="shared" si="2"/>
        <v>4008.3872001937498</v>
      </c>
      <c r="D13" s="31">
        <f t="shared" si="0"/>
        <v>2030.7737013469807</v>
      </c>
      <c r="E13" s="101" t="s">
        <v>4</v>
      </c>
      <c r="F13" s="107">
        <f>('Profit &amp; Loss'!K4/'Profit &amp; Loss'!F4)^(1/5)-1</f>
        <v>2.1529706038543761E-2</v>
      </c>
      <c r="H13" s="28">
        <v>6</v>
      </c>
      <c r="I13" s="12" t="s">
        <v>122</v>
      </c>
      <c r="J13" s="30">
        <f t="shared" si="3"/>
        <v>5203.9767707999981</v>
      </c>
      <c r="K13" s="31">
        <f t="shared" si="1"/>
        <v>2636.4965859711356</v>
      </c>
    </row>
    <row r="14" spans="1:13" x14ac:dyDescent="0.15">
      <c r="A14" s="28">
        <v>7</v>
      </c>
      <c r="B14" s="12" t="s">
        <v>123</v>
      </c>
      <c r="C14" s="30">
        <f>C13*(1+$F$9)</f>
        <v>4208.8065602034376</v>
      </c>
      <c r="D14" s="31">
        <f t="shared" si="0"/>
        <v>1903.8503450127946</v>
      </c>
      <c r="E14" s="101" t="s">
        <v>132</v>
      </c>
      <c r="F14" s="107">
        <f>('Profit &amp; Loss'!K19/'Profit &amp; Loss'!F19)^(1/5)-1</f>
        <v>-5.5308683571386741E-4</v>
      </c>
      <c r="H14" s="28">
        <v>7</v>
      </c>
      <c r="I14" s="12" t="s">
        <v>123</v>
      </c>
      <c r="J14" s="30">
        <f>J13*(1+$M$9)</f>
        <v>5724.3744478799981</v>
      </c>
      <c r="K14" s="31">
        <f t="shared" si="1"/>
        <v>2589.4162897930796</v>
      </c>
    </row>
    <row r="15" spans="1:13" x14ac:dyDescent="0.15">
      <c r="A15" s="28">
        <v>8</v>
      </c>
      <c r="B15" s="12" t="s">
        <v>124</v>
      </c>
      <c r="C15" s="30">
        <f t="shared" ref="C15:C17" si="4">C14*(1+$F$9)</f>
        <v>4419.24688821361</v>
      </c>
      <c r="D15" s="31">
        <f t="shared" si="0"/>
        <v>1784.859698449495</v>
      </c>
      <c r="E15" s="101" t="s">
        <v>130</v>
      </c>
      <c r="F15" s="107">
        <f>('Cash Flow'!K12/'Cash Flow'!F12)^(1/5)-1</f>
        <v>0.57325342057617257</v>
      </c>
      <c r="H15" s="28">
        <v>8</v>
      </c>
      <c r="I15" s="12" t="s">
        <v>124</v>
      </c>
      <c r="J15" s="30">
        <f t="shared" ref="J15:J17" si="5">J14*(1+$M$9)</f>
        <v>6296.8118926679981</v>
      </c>
      <c r="K15" s="31">
        <f t="shared" si="1"/>
        <v>2543.1767131896318</v>
      </c>
    </row>
    <row r="16" spans="1:13" x14ac:dyDescent="0.15">
      <c r="A16" s="28">
        <v>9</v>
      </c>
      <c r="B16" s="12" t="s">
        <v>125</v>
      </c>
      <c r="C16" s="30">
        <f t="shared" si="4"/>
        <v>4640.209232624291</v>
      </c>
      <c r="D16" s="31">
        <f t="shared" si="0"/>
        <v>1673.3059672964016</v>
      </c>
      <c r="H16" s="28">
        <v>9</v>
      </c>
      <c r="I16" s="12" t="s">
        <v>125</v>
      </c>
      <c r="J16" s="30">
        <f t="shared" si="5"/>
        <v>6926.4930819347983</v>
      </c>
      <c r="K16" s="31">
        <f t="shared" si="1"/>
        <v>2497.7628433112454</v>
      </c>
    </row>
    <row r="17" spans="1:11" x14ac:dyDescent="0.15">
      <c r="A17" s="28">
        <v>10</v>
      </c>
      <c r="B17" s="12" t="s">
        <v>126</v>
      </c>
      <c r="C17" s="30">
        <f t="shared" si="4"/>
        <v>4872.2196942555056</v>
      </c>
      <c r="D17" s="31">
        <f t="shared" si="0"/>
        <v>1568.7243443403765</v>
      </c>
      <c r="H17" s="28">
        <v>10</v>
      </c>
      <c r="I17" s="12" t="s">
        <v>126</v>
      </c>
      <c r="J17" s="30">
        <f t="shared" si="5"/>
        <v>7619.1423901282787</v>
      </c>
      <c r="K17" s="31">
        <f t="shared" si="1"/>
        <v>2453.1599353949732</v>
      </c>
    </row>
    <row r="18" spans="1:11" x14ac:dyDescent="0.15">
      <c r="A18" s="28">
        <v>10</v>
      </c>
      <c r="B18" s="12"/>
      <c r="C18" s="38">
        <f>C17*10</f>
        <v>48722.196942555056</v>
      </c>
      <c r="D18" s="31">
        <f t="shared" si="0"/>
        <v>15687.243443403764</v>
      </c>
      <c r="H18" s="28">
        <v>10</v>
      </c>
      <c r="I18" s="12"/>
      <c r="J18" s="37">
        <f>J17*15</f>
        <v>114287.13585192418</v>
      </c>
      <c r="K18" s="31">
        <f t="shared" si="1"/>
        <v>36797.3990309246</v>
      </c>
    </row>
    <row r="19" spans="1:11" x14ac:dyDescent="0.15">
      <c r="A19" s="365" t="s">
        <v>133</v>
      </c>
      <c r="B19" s="366"/>
      <c r="C19" s="367"/>
      <c r="D19" s="39">
        <f>SUM(D7:D18)</f>
        <v>40914.844983267678</v>
      </c>
      <c r="H19" s="365" t="s">
        <v>133</v>
      </c>
      <c r="I19" s="366"/>
      <c r="J19" s="367"/>
      <c r="K19" s="39">
        <f>SUM(K7:K18)</f>
        <v>67244.772836064963</v>
      </c>
    </row>
    <row r="20" spans="1:11" x14ac:dyDescent="0.15">
      <c r="A20" s="365" t="s">
        <v>127</v>
      </c>
      <c r="B20" s="366"/>
      <c r="C20" s="367"/>
      <c r="D20" s="40">
        <f>'Data Sheet'!B9</f>
        <v>95783.21</v>
      </c>
      <c r="H20" s="365" t="s">
        <v>127</v>
      </c>
      <c r="I20" s="366"/>
      <c r="J20" s="367"/>
      <c r="K20" s="40">
        <f>D20</f>
        <v>95783.21</v>
      </c>
    </row>
    <row r="21" spans="1:11" x14ac:dyDescent="0.15">
      <c r="A21" s="365" t="s">
        <v>128</v>
      </c>
      <c r="B21" s="366"/>
      <c r="C21" s="367"/>
      <c r="D21" s="32">
        <f>D20/D19-1</f>
        <v>1.3410380765018419</v>
      </c>
      <c r="H21" s="365" t="s">
        <v>128</v>
      </c>
      <c r="I21" s="366"/>
      <c r="J21" s="367"/>
      <c r="K21" s="32">
        <f>K20/K19-1</f>
        <v>0.4243963651049647</v>
      </c>
    </row>
    <row r="23" spans="1:11" x14ac:dyDescent="0.15">
      <c r="A23" s="139" t="s">
        <v>185</v>
      </c>
    </row>
    <row r="24" spans="1:11" ht="14" thickBot="1" x14ac:dyDescent="0.2"/>
    <row r="25" spans="1:11" ht="13" customHeight="1" x14ac:dyDescent="0.15">
      <c r="A25" s="344" t="s">
        <v>270</v>
      </c>
      <c r="B25" s="345"/>
      <c r="C25" s="345"/>
      <c r="D25" s="345"/>
      <c r="E25" s="345"/>
      <c r="F25" s="345"/>
      <c r="G25" s="345"/>
      <c r="H25" s="345"/>
      <c r="I25" s="345"/>
      <c r="J25" s="345"/>
      <c r="K25" s="346"/>
    </row>
    <row r="26" spans="1:11" x14ac:dyDescent="0.15">
      <c r="A26" s="347"/>
      <c r="B26" s="348"/>
      <c r="C26" s="348"/>
      <c r="D26" s="348"/>
      <c r="E26" s="348"/>
      <c r="F26" s="348"/>
      <c r="G26" s="348"/>
      <c r="H26" s="348"/>
      <c r="I26" s="348"/>
      <c r="J26" s="348"/>
      <c r="K26" s="349"/>
    </row>
    <row r="27" spans="1:11" ht="14" thickBot="1" x14ac:dyDescent="0.2">
      <c r="A27" s="350"/>
      <c r="B27" s="351"/>
      <c r="C27" s="351"/>
      <c r="D27" s="351"/>
      <c r="E27" s="351"/>
      <c r="F27" s="351"/>
      <c r="G27" s="351"/>
      <c r="H27" s="351"/>
      <c r="I27" s="351"/>
      <c r="J27" s="351"/>
      <c r="K27" s="352"/>
    </row>
  </sheetData>
  <mergeCells count="18">
    <mergeCell ref="A1:M1"/>
    <mergeCell ref="A2:M2"/>
    <mergeCell ref="L6:M6"/>
    <mergeCell ref="E5:F5"/>
    <mergeCell ref="L5:M5"/>
    <mergeCell ref="A4:D4"/>
    <mergeCell ref="H4:K4"/>
    <mergeCell ref="A5:D5"/>
    <mergeCell ref="H5:K5"/>
    <mergeCell ref="E6:F6"/>
    <mergeCell ref="E12:F12"/>
    <mergeCell ref="A19:C19"/>
    <mergeCell ref="A20:C20"/>
    <mergeCell ref="A25:K27"/>
    <mergeCell ref="A21:C21"/>
    <mergeCell ref="H19:J19"/>
    <mergeCell ref="H20:J20"/>
    <mergeCell ref="H21:J21"/>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baseColWidth="10" defaultColWidth="8.6640625" defaultRowHeight="13" x14ac:dyDescent="0.15"/>
  <cols>
    <col min="1" max="1" width="26.33203125" style="7" bestFit="1" customWidth="1"/>
    <col min="2" max="2" width="21.33203125" style="7" bestFit="1" customWidth="1"/>
    <col min="3" max="3" width="8.6640625" style="7"/>
    <col min="4" max="4" width="26.1640625" style="7" bestFit="1" customWidth="1"/>
    <col min="5" max="5" width="21.33203125" style="7" bestFit="1" customWidth="1"/>
    <col min="6" max="6" width="8.6640625" style="7"/>
    <col min="7" max="8" width="4.83203125" style="7" bestFit="1" customWidth="1"/>
    <col min="9" max="9" width="26.33203125" style="7" bestFit="1" customWidth="1"/>
    <col min="10" max="10" width="8.6640625" style="7"/>
    <col min="11" max="11" width="6.83203125" style="7" bestFit="1" customWidth="1"/>
    <col min="12" max="16384" width="8.6640625" style="7"/>
  </cols>
  <sheetData>
    <row r="1" spans="1:9" ht="20" thickBot="1" x14ac:dyDescent="0.25">
      <c r="A1" s="378" t="s">
        <v>260</v>
      </c>
      <c r="B1" s="379"/>
      <c r="D1" s="378" t="s">
        <v>261</v>
      </c>
      <c r="E1" s="379"/>
    </row>
    <row r="3" spans="1:9" x14ac:dyDescent="0.15">
      <c r="A3" s="12" t="s">
        <v>89</v>
      </c>
      <c r="B3" s="13" t="str">
        <f>'Profit &amp; Loss'!A2</f>
        <v>HERO MOTOCORP LTD</v>
      </c>
      <c r="D3" s="12" t="s">
        <v>89</v>
      </c>
      <c r="E3" s="13" t="str">
        <f>B3</f>
        <v>HERO MOTOCORP LTD</v>
      </c>
    </row>
    <row r="4" spans="1:9" x14ac:dyDescent="0.15">
      <c r="A4" s="12" t="s">
        <v>88</v>
      </c>
      <c r="B4" s="14">
        <f>'Profit &amp; Loss'!K3</f>
        <v>45382</v>
      </c>
      <c r="D4" s="12" t="s">
        <v>88</v>
      </c>
      <c r="E4" s="14">
        <f>B4</f>
        <v>45382</v>
      </c>
    </row>
    <row r="5" spans="1:9" x14ac:dyDescent="0.15">
      <c r="B5" s="15"/>
      <c r="E5" s="15"/>
    </row>
    <row r="6" spans="1:9" x14ac:dyDescent="0.15">
      <c r="A6" s="12" t="s">
        <v>108</v>
      </c>
      <c r="B6" s="16">
        <f>AVERAGE('Profit &amp; Loss'!G23:K23)</f>
        <v>3093.3139999999999</v>
      </c>
      <c r="D6" s="12" t="s">
        <v>108</v>
      </c>
      <c r="E6" s="16">
        <f>B6</f>
        <v>3093.3139999999999</v>
      </c>
    </row>
    <row r="7" spans="1:9" x14ac:dyDescent="0.15">
      <c r="A7" s="12" t="s">
        <v>87</v>
      </c>
      <c r="B7" s="16">
        <v>8.5</v>
      </c>
      <c r="D7" s="12" t="s">
        <v>87</v>
      </c>
      <c r="E7" s="16">
        <f>B7</f>
        <v>8.5</v>
      </c>
    </row>
    <row r="8" spans="1:9" x14ac:dyDescent="0.15">
      <c r="A8" s="12" t="s">
        <v>105</v>
      </c>
      <c r="B8" s="26">
        <f>(('Profit &amp; Loss'!K23/'Profit &amp; Loss'!F23)^(1/5)-1)*100*50%</f>
        <v>0.77149976807787679</v>
      </c>
      <c r="D8" s="12" t="s">
        <v>105</v>
      </c>
      <c r="E8" s="26">
        <f>(('Profit &amp; Loss'!K23/'Profit &amp; Loss'!F23)^(1/5)-1)*100</f>
        <v>1.5429995361557536</v>
      </c>
    </row>
    <row r="9" spans="1:9" x14ac:dyDescent="0.15">
      <c r="B9" s="18"/>
      <c r="E9" s="18"/>
      <c r="H9" s="19"/>
      <c r="I9" s="17"/>
    </row>
    <row r="10" spans="1:9" x14ac:dyDescent="0.15">
      <c r="A10" s="12" t="s">
        <v>107</v>
      </c>
      <c r="B10" s="25">
        <f>B6*(B7+2*B8)</f>
        <v>31066.151067184099</v>
      </c>
      <c r="D10" s="12" t="s">
        <v>107</v>
      </c>
      <c r="E10" s="25">
        <f>E6*(E7+2*E8)</f>
        <v>35839.133134368196</v>
      </c>
    </row>
    <row r="11" spans="1:9" x14ac:dyDescent="0.15">
      <c r="A11" s="12" t="s">
        <v>106</v>
      </c>
      <c r="B11" s="25">
        <f>'Data Sheet'!B9</f>
        <v>95783.21</v>
      </c>
      <c r="D11" s="12" t="s">
        <v>106</v>
      </c>
      <c r="E11" s="25">
        <f>B11</f>
        <v>95783.21</v>
      </c>
      <c r="F11" s="19"/>
    </row>
    <row r="12" spans="1:9" x14ac:dyDescent="0.15">
      <c r="B12" s="18"/>
    </row>
    <row r="13" spans="1:9" x14ac:dyDescent="0.15">
      <c r="A13" s="48" t="s">
        <v>259</v>
      </c>
      <c r="B13" s="18"/>
    </row>
    <row r="14" spans="1:9" x14ac:dyDescent="0.15">
      <c r="A14" s="6" t="s">
        <v>231</v>
      </c>
    </row>
    <row r="15" spans="1:9" x14ac:dyDescent="0.15">
      <c r="A15" s="10" t="s">
        <v>232</v>
      </c>
    </row>
    <row r="17" spans="1:1" x14ac:dyDescent="0.15">
      <c r="A17" s="6" t="s">
        <v>233</v>
      </c>
    </row>
    <row r="18" spans="1:1" x14ac:dyDescent="0.15">
      <c r="A18" s="10" t="s">
        <v>234</v>
      </c>
    </row>
    <row r="20" spans="1:1" x14ac:dyDescent="0.15">
      <c r="A20" s="6"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baseColWidth="10" defaultColWidth="12.83203125" defaultRowHeight="13" x14ac:dyDescent="0.15"/>
  <cols>
    <col min="1" max="1" width="32.5" style="7" bestFit="1" customWidth="1"/>
    <col min="2" max="2" width="7.6640625" style="7" bestFit="1" customWidth="1"/>
    <col min="3" max="3" width="7.1640625" style="7" bestFit="1" customWidth="1"/>
    <col min="4" max="4" width="12.6640625" style="7" bestFit="1" customWidth="1"/>
    <col min="5" max="5" width="7.6640625" style="7" bestFit="1" customWidth="1"/>
    <col min="6" max="6" width="33.5" style="7" bestFit="1" customWidth="1"/>
    <col min="7" max="9" width="12.83203125" style="7"/>
    <col min="10" max="10" width="12.83203125" style="7" customWidth="1"/>
    <col min="11" max="16384" width="12.83203125" style="7"/>
  </cols>
  <sheetData>
    <row r="1" spans="1:6" ht="19" x14ac:dyDescent="0.2">
      <c r="A1" s="382" t="s">
        <v>161</v>
      </c>
      <c r="B1" s="383"/>
      <c r="C1" s="383"/>
      <c r="D1" s="383"/>
      <c r="E1" s="383"/>
      <c r="F1" s="384"/>
    </row>
    <row r="2" spans="1:6" ht="14" thickBot="1" x14ac:dyDescent="0.2">
      <c r="A2" s="385" t="str">
        <f>'Data Sheet'!B1</f>
        <v>HERO MOTOCORP LTD</v>
      </c>
      <c r="B2" s="386"/>
      <c r="C2" s="386"/>
      <c r="D2" s="386"/>
      <c r="E2" s="386"/>
      <c r="F2" s="387"/>
    </row>
    <row r="3" spans="1:6" ht="14" thickBot="1" x14ac:dyDescent="0.2">
      <c r="A3" s="41"/>
      <c r="B3" s="41"/>
      <c r="C3" s="41"/>
    </row>
    <row r="4" spans="1:6" ht="14" thickBot="1" x14ac:dyDescent="0.2">
      <c r="A4" s="7" t="s">
        <v>162</v>
      </c>
      <c r="B4" s="42">
        <f>'Cash Flow'!B13</f>
        <v>1980.1499999999999</v>
      </c>
      <c r="E4" s="111">
        <f>B29</f>
        <v>45076.446402074849</v>
      </c>
      <c r="F4" s="102" t="s">
        <v>165</v>
      </c>
    </row>
    <row r="5" spans="1:6" ht="14" thickBot="1" x14ac:dyDescent="0.2">
      <c r="E5" s="112">
        <f>'Data Sheet'!B9</f>
        <v>95783.21</v>
      </c>
      <c r="F5" s="102" t="s">
        <v>160</v>
      </c>
    </row>
    <row r="6" spans="1:6" ht="14" thickBot="1" x14ac:dyDescent="0.2">
      <c r="A6" s="43" t="s">
        <v>136</v>
      </c>
      <c r="B6" s="44" t="s">
        <v>137</v>
      </c>
      <c r="C6" s="45" t="s">
        <v>138</v>
      </c>
      <c r="D6" s="46"/>
      <c r="E6" s="104">
        <f>E4/E5</f>
        <v>0.47060905979320222</v>
      </c>
      <c r="F6" s="102" t="s">
        <v>266</v>
      </c>
    </row>
    <row r="7" spans="1:6" ht="14" thickBot="1" x14ac:dyDescent="0.2">
      <c r="A7" s="7" t="s">
        <v>139</v>
      </c>
      <c r="B7" s="97">
        <v>0.15</v>
      </c>
      <c r="C7" s="98">
        <v>0.12</v>
      </c>
      <c r="D7" s="47"/>
    </row>
    <row r="8" spans="1:6" ht="14" thickBot="1" x14ac:dyDescent="0.2">
      <c r="A8" s="7" t="s">
        <v>120</v>
      </c>
      <c r="B8" s="99">
        <v>0.12</v>
      </c>
      <c r="C8" s="48"/>
    </row>
    <row r="9" spans="1:6" ht="14" thickBot="1" x14ac:dyDescent="0.2">
      <c r="A9" s="7" t="s">
        <v>140</v>
      </c>
      <c r="B9" s="100">
        <v>0.02</v>
      </c>
      <c r="C9" s="48"/>
      <c r="F9" s="49"/>
    </row>
    <row r="10" spans="1:6" ht="14" thickBot="1" x14ac:dyDescent="0.2">
      <c r="B10" s="50"/>
      <c r="C10" s="48"/>
      <c r="F10" s="49"/>
    </row>
    <row r="11" spans="1:6" ht="14" thickBot="1" x14ac:dyDescent="0.2">
      <c r="A11" s="20" t="s">
        <v>163</v>
      </c>
      <c r="B11" s="42">
        <f>'Balance Sheet'!K6-'Balance Sheet'!K19</f>
        <v>-5222.28</v>
      </c>
      <c r="C11" s="48"/>
      <c r="D11" s="17"/>
    </row>
    <row r="12" spans="1:6" ht="14" thickBot="1" x14ac:dyDescent="0.2"/>
    <row r="13" spans="1:6" x14ac:dyDescent="0.15">
      <c r="A13" s="51" t="s">
        <v>109</v>
      </c>
      <c r="B13" s="52" t="s">
        <v>130</v>
      </c>
      <c r="C13" s="52" t="s">
        <v>141</v>
      </c>
      <c r="D13" s="53" t="s">
        <v>142</v>
      </c>
    </row>
    <row r="14" spans="1:6" x14ac:dyDescent="0.15">
      <c r="A14" s="54">
        <v>1</v>
      </c>
      <c r="B14" s="55">
        <f>(B4*C14)+B4</f>
        <v>2277.1724999999997</v>
      </c>
      <c r="C14" s="56">
        <f>$B$7</f>
        <v>0.15</v>
      </c>
      <c r="D14" s="57">
        <f t="shared" ref="D14:D23" si="0">B14/((1+$B$8)^A14)</f>
        <v>2033.1897321428567</v>
      </c>
    </row>
    <row r="15" spans="1:6" x14ac:dyDescent="0.15">
      <c r="A15" s="54">
        <v>2</v>
      </c>
      <c r="B15" s="55">
        <f t="shared" ref="B15:B23" si="1">(B14*C15)+B14</f>
        <v>2618.7483749999997</v>
      </c>
      <c r="C15" s="56">
        <f>$B$7</f>
        <v>0.15</v>
      </c>
      <c r="D15" s="57">
        <f t="shared" si="0"/>
        <v>2087.6501713966832</v>
      </c>
    </row>
    <row r="16" spans="1:6" x14ac:dyDescent="0.15">
      <c r="A16" s="54">
        <v>3</v>
      </c>
      <c r="B16" s="55">
        <f t="shared" si="1"/>
        <v>3011.5606312499995</v>
      </c>
      <c r="C16" s="56">
        <f>$B$7</f>
        <v>0.15</v>
      </c>
      <c r="D16" s="57">
        <f t="shared" si="0"/>
        <v>2143.5693724162365</v>
      </c>
      <c r="F16" s="58"/>
    </row>
    <row r="17" spans="1:6" x14ac:dyDescent="0.15">
      <c r="A17" s="54">
        <v>4</v>
      </c>
      <c r="B17" s="55">
        <f t="shared" si="1"/>
        <v>3463.2947259374996</v>
      </c>
      <c r="C17" s="56">
        <f>$B$7</f>
        <v>0.15</v>
      </c>
      <c r="D17" s="57">
        <f t="shared" si="0"/>
        <v>2200.9864091773861</v>
      </c>
      <c r="F17" s="49"/>
    </row>
    <row r="18" spans="1:6" x14ac:dyDescent="0.15">
      <c r="A18" s="54">
        <v>5</v>
      </c>
      <c r="B18" s="55">
        <f t="shared" si="1"/>
        <v>3982.7889348281246</v>
      </c>
      <c r="C18" s="56">
        <f>$B$7</f>
        <v>0.15</v>
      </c>
      <c r="D18" s="57">
        <f t="shared" si="0"/>
        <v>2259.9414022803517</v>
      </c>
      <c r="F18" s="49"/>
    </row>
    <row r="19" spans="1:6" x14ac:dyDescent="0.15">
      <c r="A19" s="54">
        <v>6</v>
      </c>
      <c r="B19" s="55">
        <f t="shared" si="1"/>
        <v>4460.7236070074996</v>
      </c>
      <c r="C19" s="56">
        <f>$C$7</f>
        <v>0.12</v>
      </c>
      <c r="D19" s="57">
        <f t="shared" si="0"/>
        <v>2259.9414022803517</v>
      </c>
      <c r="F19" s="49"/>
    </row>
    <row r="20" spans="1:6" x14ac:dyDescent="0.15">
      <c r="A20" s="54">
        <v>7</v>
      </c>
      <c r="B20" s="55">
        <f t="shared" si="1"/>
        <v>4996.0104398484</v>
      </c>
      <c r="C20" s="56">
        <f>$C$7</f>
        <v>0.12</v>
      </c>
      <c r="D20" s="57">
        <f t="shared" si="0"/>
        <v>2259.9414022803517</v>
      </c>
      <c r="F20" s="49"/>
    </row>
    <row r="21" spans="1:6" x14ac:dyDescent="0.15">
      <c r="A21" s="54">
        <v>8</v>
      </c>
      <c r="B21" s="55">
        <f t="shared" si="1"/>
        <v>5595.5316926302075</v>
      </c>
      <c r="C21" s="56">
        <f>$C$7</f>
        <v>0.12</v>
      </c>
      <c r="D21" s="57">
        <f t="shared" si="0"/>
        <v>2259.9414022803512</v>
      </c>
    </row>
    <row r="22" spans="1:6" x14ac:dyDescent="0.15">
      <c r="A22" s="54">
        <v>9</v>
      </c>
      <c r="B22" s="55">
        <f t="shared" si="1"/>
        <v>6266.9954957458322</v>
      </c>
      <c r="C22" s="56">
        <f>$C$7</f>
        <v>0.12</v>
      </c>
      <c r="D22" s="57">
        <f t="shared" si="0"/>
        <v>2259.9414022803512</v>
      </c>
    </row>
    <row r="23" spans="1:6" ht="14" thickBot="1" x14ac:dyDescent="0.2">
      <c r="A23" s="59">
        <v>10</v>
      </c>
      <c r="B23" s="60">
        <f t="shared" si="1"/>
        <v>7019.0349552353318</v>
      </c>
      <c r="C23" s="61">
        <f>$C$7</f>
        <v>0.12</v>
      </c>
      <c r="D23" s="62">
        <f t="shared" si="0"/>
        <v>2259.9414022803508</v>
      </c>
    </row>
    <row r="24" spans="1:6" ht="14" thickBot="1" x14ac:dyDescent="0.2">
      <c r="A24" s="63"/>
      <c r="B24" s="64"/>
      <c r="C24" s="65"/>
      <c r="D24" s="66"/>
    </row>
    <row r="25" spans="1:6" x14ac:dyDescent="0.15">
      <c r="A25" s="380" t="s">
        <v>143</v>
      </c>
      <c r="B25" s="381"/>
      <c r="C25" s="65"/>
      <c r="D25" s="66"/>
    </row>
    <row r="26" spans="1:6" x14ac:dyDescent="0.15">
      <c r="A26" s="67" t="s">
        <v>144</v>
      </c>
      <c r="B26" s="57">
        <f>(B23*B9)+B23</f>
        <v>7159.4156543400386</v>
      </c>
      <c r="C26" s="65"/>
      <c r="D26" s="64"/>
    </row>
    <row r="27" spans="1:6" x14ac:dyDescent="0.15">
      <c r="A27" s="68" t="s">
        <v>145</v>
      </c>
      <c r="B27" s="57">
        <f>SUM(D14:D23)</f>
        <v>22025.04409881527</v>
      </c>
      <c r="C27" s="20"/>
    </row>
    <row r="28" spans="1:6" x14ac:dyDescent="0.15">
      <c r="A28" s="67" t="s">
        <v>146</v>
      </c>
      <c r="B28" s="57">
        <f>((B26)/($B$8-$B$9))/(1+$B$8)^A23</f>
        <v>23051.40230325958</v>
      </c>
      <c r="C28" s="20"/>
    </row>
    <row r="29" spans="1:6" x14ac:dyDescent="0.15">
      <c r="A29" s="67" t="s">
        <v>147</v>
      </c>
      <c r="B29" s="57">
        <f>B27+B28</f>
        <v>45076.446402074849</v>
      </c>
      <c r="C29" s="20"/>
    </row>
    <row r="30" spans="1:6" x14ac:dyDescent="0.15">
      <c r="A30" s="67" t="s">
        <v>157</v>
      </c>
      <c r="B30" s="57">
        <f>'Data Sheet'!B9</f>
        <v>95783.21</v>
      </c>
      <c r="C30" s="20"/>
    </row>
    <row r="32" spans="1:6" x14ac:dyDescent="0.15">
      <c r="A32" s="140" t="s">
        <v>236</v>
      </c>
      <c r="D32" s="17"/>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baseColWidth="10" defaultColWidth="9.1640625" defaultRowHeight="14" x14ac:dyDescent="0.2"/>
  <cols>
    <col min="1" max="1" width="40.5" style="83" bestFit="1" customWidth="1"/>
    <col min="2" max="2" width="8.6640625" style="83" bestFit="1" customWidth="1"/>
    <col min="3" max="11" width="6.6640625" style="83" bestFit="1" customWidth="1"/>
    <col min="12" max="13" width="11.33203125" style="83" bestFit="1" customWidth="1"/>
    <col min="14" max="16384" width="9.1640625" style="83"/>
  </cols>
  <sheetData>
    <row r="1" spans="1:13" ht="19" x14ac:dyDescent="0.2">
      <c r="A1" s="388" t="s">
        <v>166</v>
      </c>
      <c r="B1" s="389"/>
      <c r="C1" s="389"/>
      <c r="D1" s="389"/>
      <c r="E1" s="389"/>
      <c r="F1" s="389"/>
      <c r="G1" s="389"/>
      <c r="H1" s="389"/>
      <c r="I1" s="389"/>
      <c r="J1" s="389"/>
      <c r="K1" s="389"/>
      <c r="L1" s="389"/>
      <c r="M1" s="390"/>
    </row>
    <row r="2" spans="1:13" x14ac:dyDescent="0.2">
      <c r="A2" s="391" t="str">
        <f>'Data Sheet'!B1</f>
        <v>HERO MOTOCORP LTD</v>
      </c>
      <c r="B2" s="392"/>
      <c r="C2" s="392"/>
      <c r="D2" s="392"/>
      <c r="E2" s="392"/>
      <c r="F2" s="392"/>
      <c r="G2" s="392"/>
      <c r="H2" s="392"/>
      <c r="I2" s="392"/>
      <c r="J2" s="392"/>
      <c r="K2" s="392"/>
      <c r="L2" s="392"/>
      <c r="M2" s="393"/>
    </row>
    <row r="3" spans="1:13" x14ac:dyDescent="0.2">
      <c r="A3" s="69" t="s">
        <v>148</v>
      </c>
      <c r="B3" s="70">
        <f>'Data Sheet'!B16</f>
        <v>42094</v>
      </c>
      <c r="C3" s="70">
        <f>'Data Sheet'!C16</f>
        <v>42460</v>
      </c>
      <c r="D3" s="70">
        <f>'Data Sheet'!D16</f>
        <v>42825</v>
      </c>
      <c r="E3" s="70">
        <f>'Data Sheet'!E16</f>
        <v>43190</v>
      </c>
      <c r="F3" s="70">
        <f>'Data Sheet'!F16</f>
        <v>43555</v>
      </c>
      <c r="G3" s="70">
        <f>'Data Sheet'!G16</f>
        <v>43921</v>
      </c>
      <c r="H3" s="70">
        <f>'Data Sheet'!H16</f>
        <v>44286</v>
      </c>
      <c r="I3" s="70">
        <f>'Data Sheet'!I16</f>
        <v>44651</v>
      </c>
      <c r="J3" s="70">
        <f>'Data Sheet'!J16</f>
        <v>45016</v>
      </c>
      <c r="K3" s="70">
        <f>'Data Sheet'!K16</f>
        <v>45382</v>
      </c>
      <c r="L3" s="84" t="s">
        <v>152</v>
      </c>
      <c r="M3" s="85" t="s">
        <v>149</v>
      </c>
    </row>
    <row r="4" spans="1:13" ht="15" x14ac:dyDescent="0.2">
      <c r="A4" s="71" t="s">
        <v>155</v>
      </c>
      <c r="B4" s="86">
        <f>'Data Sheet'!B30</f>
        <v>2364.6999999999998</v>
      </c>
      <c r="C4" s="86">
        <f>'Data Sheet'!C30</f>
        <v>3141.98</v>
      </c>
      <c r="D4" s="86">
        <f>'Data Sheet'!D30</f>
        <v>3584.27</v>
      </c>
      <c r="E4" s="86">
        <f>'Data Sheet'!E30</f>
        <v>3720.4</v>
      </c>
      <c r="F4" s="86">
        <f>'Data Sheet'!F30</f>
        <v>3444.09</v>
      </c>
      <c r="G4" s="86">
        <f>'Data Sheet'!G30</f>
        <v>3638.11</v>
      </c>
      <c r="H4" s="86">
        <f>'Data Sheet'!H30</f>
        <v>2917.75</v>
      </c>
      <c r="I4" s="86">
        <f>'Data Sheet'!I30</f>
        <v>2316.88</v>
      </c>
      <c r="J4" s="86">
        <f>'Data Sheet'!J30</f>
        <v>2809.96</v>
      </c>
      <c r="K4" s="86">
        <f>'Data Sheet'!K30</f>
        <v>3744.83</v>
      </c>
      <c r="L4" s="88">
        <f>(K4/B4)^(1/9)-1</f>
        <v>5.240767394412793E-2</v>
      </c>
      <c r="M4" s="89">
        <f>(K4/F4)^(1/5)-1</f>
        <v>1.6884255332559883E-2</v>
      </c>
    </row>
    <row r="5" spans="1:13" ht="15" x14ac:dyDescent="0.2">
      <c r="A5" s="72" t="s">
        <v>91</v>
      </c>
      <c r="B5" s="73">
        <f>B4/'Data Sheet'!B17</f>
        <v>8.587034003521675E-2</v>
      </c>
      <c r="C5" s="73">
        <f>C4/'Data Sheet'!C17</f>
        <v>0.11041103245866062</v>
      </c>
      <c r="D5" s="73">
        <f>D4/'Data Sheet'!D17</f>
        <v>0.12527843866729721</v>
      </c>
      <c r="E5" s="73">
        <f>E4/'Data Sheet'!E17</f>
        <v>0.11462066641054373</v>
      </c>
      <c r="F5" s="73">
        <f>F4/'Data Sheet'!F17</f>
        <v>0.10138377584055965</v>
      </c>
      <c r="G5" s="73">
        <f>G4/'Data Sheet'!G17</f>
        <v>0.12436294971246638</v>
      </c>
      <c r="H5" s="73">
        <f>H4/'Data Sheet'!H17</f>
        <v>9.4245036772602903E-2</v>
      </c>
      <c r="I5" s="73">
        <f>I4/'Data Sheet'!I17</f>
        <v>7.8402018457406922E-2</v>
      </c>
      <c r="J5" s="73">
        <f>J4/'Data Sheet'!J17</f>
        <v>8.2262683417656232E-2</v>
      </c>
      <c r="K5" s="73">
        <f>K4/'Data Sheet'!K17</f>
        <v>9.9099411410101756E-2</v>
      </c>
      <c r="L5" s="90"/>
      <c r="M5" s="91"/>
    </row>
    <row r="6" spans="1:13" ht="16" thickBot="1" x14ac:dyDescent="0.25">
      <c r="A6" s="74" t="s">
        <v>55</v>
      </c>
      <c r="B6" s="75">
        <f>'Balance Sheet'!B26</f>
        <v>0.3590993883792038</v>
      </c>
      <c r="C6" s="75">
        <f>'Balance Sheet'!C26</f>
        <v>0.35230374084090005</v>
      </c>
      <c r="D6" s="75">
        <f>'Balance Sheet'!D26</f>
        <v>0.34378329331269125</v>
      </c>
      <c r="E6" s="75">
        <f>'Balance Sheet'!E26</f>
        <v>0.31092030545981864</v>
      </c>
      <c r="F6" s="75">
        <f>'Balance Sheet'!F26</f>
        <v>0.26419524999599869</v>
      </c>
      <c r="G6" s="75">
        <f>'Balance Sheet'!G26</f>
        <v>0.25401491571731222</v>
      </c>
      <c r="H6" s="75">
        <f>'Balance Sheet'!H26</f>
        <v>0.19044953367902528</v>
      </c>
      <c r="I6" s="75">
        <f>'Balance Sheet'!I26</f>
        <v>0.14697428163050238</v>
      </c>
      <c r="J6" s="75">
        <f>'Balance Sheet'!J26</f>
        <v>0.16810592492481466</v>
      </c>
      <c r="K6" s="75">
        <f>'Balance Sheet'!K26</f>
        <v>0.21143437000675774</v>
      </c>
      <c r="L6" s="92"/>
      <c r="M6" s="93"/>
    </row>
    <row r="7" spans="1:13" x14ac:dyDescent="0.2">
      <c r="A7" s="76"/>
      <c r="B7" s="77"/>
      <c r="C7" s="77"/>
      <c r="D7" s="77"/>
      <c r="E7" s="77"/>
      <c r="F7" s="77"/>
      <c r="G7" s="77"/>
      <c r="H7" s="77"/>
      <c r="I7" s="77"/>
      <c r="J7" s="77"/>
      <c r="K7" s="77"/>
      <c r="L7" s="77"/>
      <c r="M7" s="77"/>
    </row>
    <row r="8" spans="1:13" ht="15" thickBot="1" x14ac:dyDescent="0.25">
      <c r="A8" s="6" t="s">
        <v>159</v>
      </c>
      <c r="B8" s="78"/>
      <c r="C8" s="78"/>
      <c r="D8" s="78"/>
      <c r="E8" s="78"/>
      <c r="F8" s="78"/>
      <c r="G8" s="78"/>
      <c r="H8" s="78"/>
      <c r="I8" s="78"/>
      <c r="J8" s="78"/>
      <c r="K8" s="78"/>
      <c r="L8" s="19"/>
      <c r="M8" s="19"/>
    </row>
    <row r="9" spans="1:13" x14ac:dyDescent="0.2">
      <c r="A9" s="79" t="s">
        <v>153</v>
      </c>
      <c r="B9" s="95">
        <v>0.12</v>
      </c>
      <c r="C9" s="7"/>
      <c r="D9" s="7"/>
      <c r="E9" s="7"/>
      <c r="F9" s="7"/>
      <c r="G9" s="7"/>
      <c r="H9" s="7"/>
      <c r="I9" s="7"/>
      <c r="J9" s="7"/>
      <c r="K9" s="7"/>
      <c r="L9" s="7"/>
      <c r="M9" s="7"/>
    </row>
    <row r="10" spans="1:13" x14ac:dyDescent="0.2">
      <c r="A10" s="80" t="s">
        <v>154</v>
      </c>
      <c r="B10" s="81">
        <f>K4*(1+B9)^10</f>
        <v>11630.873546053652</v>
      </c>
      <c r="C10" s="82"/>
      <c r="D10" s="7"/>
      <c r="E10" s="7"/>
      <c r="F10" s="7"/>
      <c r="G10" s="7"/>
      <c r="H10" s="7"/>
      <c r="I10" s="7"/>
      <c r="J10" s="7"/>
      <c r="K10" s="7"/>
      <c r="L10" s="7"/>
      <c r="M10" s="7"/>
    </row>
    <row r="11" spans="1:13" x14ac:dyDescent="0.2">
      <c r="A11" s="80" t="s">
        <v>150</v>
      </c>
      <c r="B11" s="94">
        <f>'Data Sheet'!B9/'Data Sheet'!K30</f>
        <v>25.577452113981145</v>
      </c>
      <c r="C11" s="7"/>
      <c r="D11" s="7"/>
      <c r="E11" s="7"/>
      <c r="F11" s="7"/>
      <c r="G11" s="7"/>
      <c r="H11" s="7"/>
      <c r="I11" s="7"/>
      <c r="J11" s="7"/>
      <c r="K11" s="7"/>
      <c r="L11" s="7"/>
      <c r="M11" s="7"/>
    </row>
    <row r="12" spans="1:13" x14ac:dyDescent="0.2">
      <c r="A12" s="80" t="s">
        <v>151</v>
      </c>
      <c r="B12" s="96">
        <v>20</v>
      </c>
      <c r="C12" s="7"/>
      <c r="D12" s="7"/>
      <c r="E12" s="7"/>
      <c r="F12" s="7"/>
      <c r="G12" s="7"/>
      <c r="H12" s="7"/>
      <c r="I12" s="7"/>
      <c r="J12" s="7"/>
      <c r="K12" s="7"/>
      <c r="L12" s="7"/>
      <c r="M12" s="7"/>
    </row>
    <row r="13" spans="1:13" x14ac:dyDescent="0.2">
      <c r="A13" s="80" t="s">
        <v>156</v>
      </c>
      <c r="B13" s="81">
        <f>B10*B12</f>
        <v>232617.47092107305</v>
      </c>
      <c r="C13" s="7"/>
      <c r="D13" s="7"/>
      <c r="E13" s="7"/>
      <c r="F13" s="7"/>
      <c r="G13" s="7"/>
      <c r="H13" s="7"/>
      <c r="I13" s="7"/>
      <c r="J13" s="7"/>
      <c r="K13" s="7"/>
      <c r="L13" s="7"/>
      <c r="M13" s="7"/>
    </row>
    <row r="14" spans="1:13" x14ac:dyDescent="0.2">
      <c r="A14" s="80" t="s">
        <v>178</v>
      </c>
      <c r="B14" s="87">
        <f>DCF!B8</f>
        <v>0.12</v>
      </c>
      <c r="C14" s="7"/>
      <c r="D14" s="7"/>
      <c r="E14" s="7"/>
      <c r="F14" s="7"/>
      <c r="G14" s="7"/>
      <c r="H14" s="7"/>
      <c r="I14" s="7"/>
      <c r="J14" s="7"/>
      <c r="K14" s="7"/>
      <c r="L14" s="7"/>
      <c r="M14" s="7"/>
    </row>
    <row r="15" spans="1:13" x14ac:dyDescent="0.2">
      <c r="A15" s="80" t="s">
        <v>158</v>
      </c>
      <c r="B15" s="113">
        <f>B13/(1+B14)^10</f>
        <v>74896.600000000006</v>
      </c>
      <c r="C15" s="7"/>
      <c r="D15" s="7"/>
      <c r="E15" s="7"/>
      <c r="F15" s="7"/>
      <c r="G15" s="7"/>
      <c r="H15" s="7"/>
      <c r="I15" s="7"/>
      <c r="J15" s="7"/>
      <c r="K15" s="7"/>
      <c r="L15" s="7"/>
      <c r="M15" s="7"/>
    </row>
    <row r="16" spans="1:13" x14ac:dyDescent="0.2">
      <c r="A16" s="80" t="s">
        <v>157</v>
      </c>
      <c r="B16" s="113">
        <f>'Data Sheet'!B9</f>
        <v>95783.21</v>
      </c>
      <c r="C16" s="7"/>
      <c r="D16" s="7"/>
      <c r="E16" s="7"/>
      <c r="F16" s="7"/>
      <c r="G16" s="7"/>
      <c r="H16" s="7"/>
      <c r="I16" s="7"/>
      <c r="J16" s="7"/>
      <c r="K16" s="7"/>
      <c r="L16" s="7"/>
      <c r="M16" s="7"/>
    </row>
    <row r="17" spans="1:13" x14ac:dyDescent="0.2">
      <c r="A17" s="7"/>
      <c r="B17" s="7"/>
      <c r="C17" s="7"/>
      <c r="D17" s="7"/>
      <c r="E17" s="7"/>
      <c r="F17" s="7"/>
      <c r="G17" s="7"/>
      <c r="H17" s="7"/>
      <c r="I17" s="7"/>
      <c r="J17" s="7"/>
      <c r="K17" s="7"/>
      <c r="L17" s="7"/>
      <c r="M17" s="7"/>
    </row>
    <row r="18" spans="1:13" x14ac:dyDescent="0.2">
      <c r="A18" s="139"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baseColWidth="10" defaultColWidth="8.6640625" defaultRowHeight="13" x14ac:dyDescent="0.15"/>
  <cols>
    <col min="1" max="1" width="18.5" style="179" bestFit="1" customWidth="1"/>
    <col min="2" max="2" width="8" style="179" bestFit="1" customWidth="1"/>
    <col min="3" max="3" width="7.5" style="179" bestFit="1" customWidth="1"/>
    <col min="4" max="8" width="8.6640625" style="179"/>
    <col min="9" max="9" width="31.5" style="179" customWidth="1"/>
    <col min="10" max="16384" width="8.6640625" style="179"/>
  </cols>
  <sheetData>
    <row r="1" spans="1:9" ht="19" x14ac:dyDescent="0.2">
      <c r="A1" s="394" t="s">
        <v>238</v>
      </c>
      <c r="B1" s="395"/>
      <c r="C1" s="396"/>
      <c r="F1" s="309" t="s">
        <v>306</v>
      </c>
      <c r="G1" s="402"/>
      <c r="H1" s="402"/>
      <c r="I1" s="403"/>
    </row>
    <row r="2" spans="1:9" x14ac:dyDescent="0.15">
      <c r="A2" s="397" t="str">
        <f>'Data Sheet'!B1</f>
        <v>HERO MOTOCORP LTD</v>
      </c>
      <c r="B2" s="398"/>
      <c r="C2" s="399"/>
      <c r="F2" s="404"/>
      <c r="G2" s="405"/>
      <c r="H2" s="405"/>
      <c r="I2" s="406"/>
    </row>
    <row r="3" spans="1:9" x14ac:dyDescent="0.15">
      <c r="A3" s="180"/>
      <c r="B3" s="181" t="s">
        <v>176</v>
      </c>
      <c r="C3" s="182" t="s">
        <v>177</v>
      </c>
      <c r="F3" s="404"/>
      <c r="G3" s="405"/>
      <c r="H3" s="405"/>
      <c r="I3" s="406"/>
    </row>
    <row r="4" spans="1:9" x14ac:dyDescent="0.15">
      <c r="A4" s="285" t="s">
        <v>134</v>
      </c>
      <c r="B4" s="183">
        <f>'Dhandho IV'!D19</f>
        <v>40914.844983267678</v>
      </c>
      <c r="C4" s="183">
        <f>'Dhandho IV'!K19</f>
        <v>67244.772836064963</v>
      </c>
      <c r="F4" s="404"/>
      <c r="G4" s="405"/>
      <c r="H4" s="405"/>
      <c r="I4" s="406"/>
    </row>
    <row r="5" spans="1:9" x14ac:dyDescent="0.15">
      <c r="A5" s="285" t="s">
        <v>135</v>
      </c>
      <c r="B5" s="183">
        <f>'Ben Graham Formula'!B10</f>
        <v>31066.151067184099</v>
      </c>
      <c r="C5" s="183">
        <f>'Ben Graham Formula'!E10</f>
        <v>35839.133134368196</v>
      </c>
      <c r="F5" s="404"/>
      <c r="G5" s="405"/>
      <c r="H5" s="405"/>
      <c r="I5" s="406"/>
    </row>
    <row r="6" spans="1:9" x14ac:dyDescent="0.15">
      <c r="A6" s="285" t="s">
        <v>164</v>
      </c>
      <c r="B6" s="183">
        <f>DCF!B29</f>
        <v>45076.446402074849</v>
      </c>
      <c r="C6" s="183"/>
      <c r="F6" s="404"/>
      <c r="G6" s="405"/>
      <c r="H6" s="405"/>
      <c r="I6" s="406"/>
    </row>
    <row r="7" spans="1:9" x14ac:dyDescent="0.15">
      <c r="A7" s="285" t="s">
        <v>167</v>
      </c>
      <c r="B7" s="183">
        <f>'Expected Returns'!B15</f>
        <v>74896.600000000006</v>
      </c>
      <c r="C7" s="183"/>
      <c r="F7" s="404"/>
      <c r="G7" s="405"/>
      <c r="H7" s="405"/>
      <c r="I7" s="406"/>
    </row>
    <row r="8" spans="1:9" x14ac:dyDescent="0.15">
      <c r="A8" s="286" t="s">
        <v>269</v>
      </c>
      <c r="B8" s="400">
        <f>'Data Sheet'!B9</f>
        <v>95783.21</v>
      </c>
      <c r="C8" s="401"/>
      <c r="F8" s="404"/>
      <c r="G8" s="405"/>
      <c r="H8" s="405"/>
      <c r="I8" s="406"/>
    </row>
    <row r="9" spans="1:9" ht="14" thickBot="1" x14ac:dyDescent="0.2">
      <c r="F9" s="404"/>
      <c r="G9" s="405"/>
      <c r="H9" s="405"/>
      <c r="I9" s="406"/>
    </row>
    <row r="10" spans="1:9" ht="12.5" customHeight="1" x14ac:dyDescent="0.15">
      <c r="A10" s="344" t="s">
        <v>305</v>
      </c>
      <c r="B10" s="345"/>
      <c r="C10" s="346"/>
      <c r="F10" s="404"/>
      <c r="G10" s="405"/>
      <c r="H10" s="405"/>
      <c r="I10" s="406"/>
    </row>
    <row r="11" spans="1:9" x14ac:dyDescent="0.15">
      <c r="A11" s="347"/>
      <c r="B11" s="348"/>
      <c r="C11" s="349"/>
      <c r="F11" s="404"/>
      <c r="G11" s="405"/>
      <c r="H11" s="405"/>
      <c r="I11" s="406"/>
    </row>
    <row r="12" spans="1:9" x14ac:dyDescent="0.15">
      <c r="A12" s="347"/>
      <c r="B12" s="348"/>
      <c r="C12" s="349"/>
      <c r="F12" s="404"/>
      <c r="G12" s="405"/>
      <c r="H12" s="405"/>
      <c r="I12" s="406"/>
    </row>
    <row r="13" spans="1:9" x14ac:dyDescent="0.15">
      <c r="A13" s="347"/>
      <c r="B13" s="348"/>
      <c r="C13" s="349"/>
      <c r="F13" s="404"/>
      <c r="G13" s="405"/>
      <c r="H13" s="405"/>
      <c r="I13" s="406"/>
    </row>
    <row r="14" spans="1:9" x14ac:dyDescent="0.15">
      <c r="A14" s="347"/>
      <c r="B14" s="348"/>
      <c r="C14" s="349"/>
      <c r="F14" s="404"/>
      <c r="G14" s="405"/>
      <c r="H14" s="405"/>
      <c r="I14" s="406"/>
    </row>
    <row r="15" spans="1:9" x14ac:dyDescent="0.15">
      <c r="A15" s="347"/>
      <c r="B15" s="348"/>
      <c r="C15" s="349"/>
      <c r="F15" s="404"/>
      <c r="G15" s="405"/>
      <c r="H15" s="405"/>
      <c r="I15" s="406"/>
    </row>
    <row r="16" spans="1:9" x14ac:dyDescent="0.15">
      <c r="A16" s="347"/>
      <c r="B16" s="348"/>
      <c r="C16" s="349"/>
      <c r="F16" s="404"/>
      <c r="G16" s="405"/>
      <c r="H16" s="405"/>
      <c r="I16" s="406"/>
    </row>
    <row r="17" spans="1:9" ht="14" thickBot="1" x14ac:dyDescent="0.2">
      <c r="A17" s="347"/>
      <c r="B17" s="348"/>
      <c r="C17" s="349"/>
      <c r="F17" s="407"/>
      <c r="G17" s="408"/>
      <c r="H17" s="408"/>
      <c r="I17" s="409"/>
    </row>
    <row r="18" spans="1:9" x14ac:dyDescent="0.15">
      <c r="A18" s="347"/>
      <c r="B18" s="348"/>
      <c r="C18" s="349"/>
    </row>
    <row r="19" spans="1:9" x14ac:dyDescent="0.15">
      <c r="A19" s="347"/>
      <c r="B19" s="348"/>
      <c r="C19" s="349"/>
    </row>
    <row r="20" spans="1:9" x14ac:dyDescent="0.15">
      <c r="A20" s="347"/>
      <c r="B20" s="348"/>
      <c r="C20" s="349"/>
    </row>
    <row r="21" spans="1:9" ht="14" thickBot="1" x14ac:dyDescent="0.2">
      <c r="A21" s="350"/>
      <c r="B21" s="351"/>
      <c r="C21" s="352"/>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baseColWidth="10" defaultColWidth="9.1640625" defaultRowHeight="13" x14ac:dyDescent="0.15"/>
  <cols>
    <col min="1" max="1" width="21.6640625" style="7" bestFit="1" customWidth="1"/>
    <col min="2" max="11" width="6.6640625" style="7" bestFit="1" customWidth="1"/>
    <col min="12" max="16384" width="9.1640625" style="7"/>
  </cols>
  <sheetData>
    <row r="1" spans="1:11" s="6" customFormat="1" x14ac:dyDescent="0.15">
      <c r="A1" s="6" t="str">
        <f>'Profit &amp; Loss'!A2</f>
        <v>HERO MOTOCORP LTD</v>
      </c>
      <c r="E1" s="7" t="str">
        <f>UPDATE</f>
        <v/>
      </c>
    </row>
    <row r="2" spans="1:11" x14ac:dyDescent="0.15">
      <c r="A2" s="6" t="s">
        <v>1</v>
      </c>
    </row>
    <row r="3" spans="1:11" s="6" customFormat="1" x14ac:dyDescent="0.15">
      <c r="A3" s="114" t="s">
        <v>2</v>
      </c>
      <c r="B3" s="115">
        <f>'Data Sheet'!B41</f>
        <v>44651</v>
      </c>
      <c r="C3" s="115">
        <f>'Data Sheet'!C41</f>
        <v>44742</v>
      </c>
      <c r="D3" s="115">
        <f>'Data Sheet'!D41</f>
        <v>44834</v>
      </c>
      <c r="E3" s="115">
        <f>'Data Sheet'!E41</f>
        <v>44926</v>
      </c>
      <c r="F3" s="115">
        <f>'Data Sheet'!F41</f>
        <v>45016</v>
      </c>
      <c r="G3" s="115">
        <f>'Data Sheet'!G41</f>
        <v>45107</v>
      </c>
      <c r="H3" s="115">
        <f>'Data Sheet'!H41</f>
        <v>45199</v>
      </c>
      <c r="I3" s="115">
        <f>'Data Sheet'!I41</f>
        <v>45291</v>
      </c>
      <c r="J3" s="115">
        <f>'Data Sheet'!J41</f>
        <v>45382</v>
      </c>
      <c r="K3" s="116">
        <f>'Data Sheet'!K41</f>
        <v>45473</v>
      </c>
    </row>
    <row r="4" spans="1:11" s="6" customFormat="1" x14ac:dyDescent="0.15">
      <c r="A4" s="117" t="s">
        <v>4</v>
      </c>
      <c r="B4" s="108">
        <f>'Data Sheet'!B42</f>
        <v>7496.55</v>
      </c>
      <c r="C4" s="108">
        <f>'Data Sheet'!C42</f>
        <v>8447.5400000000009</v>
      </c>
      <c r="D4" s="108">
        <f>'Data Sheet'!D42</f>
        <v>9158.23</v>
      </c>
      <c r="E4" s="108">
        <f>'Data Sheet'!E42</f>
        <v>8118.33</v>
      </c>
      <c r="F4" s="108">
        <f>'Data Sheet'!F42</f>
        <v>8434.2800000000007</v>
      </c>
      <c r="G4" s="108">
        <f>'Data Sheet'!G42</f>
        <v>8851.01</v>
      </c>
      <c r="H4" s="108">
        <f>'Data Sheet'!H42</f>
        <v>9533.07</v>
      </c>
      <c r="I4" s="108">
        <f>'Data Sheet'!I42</f>
        <v>9787.86</v>
      </c>
      <c r="J4" s="108">
        <f>'Data Sheet'!J42</f>
        <v>9616.68</v>
      </c>
      <c r="K4" s="118">
        <f>'Data Sheet'!K42</f>
        <v>10210.790000000001</v>
      </c>
    </row>
    <row r="5" spans="1:11" s="10" customFormat="1" x14ac:dyDescent="0.15">
      <c r="A5" s="119" t="s">
        <v>92</v>
      </c>
      <c r="B5" s="120"/>
      <c r="C5" s="120"/>
      <c r="D5" s="120"/>
      <c r="E5" s="120"/>
      <c r="F5" s="107">
        <f>F4/B4-1</f>
        <v>0.1250882072419981</v>
      </c>
      <c r="G5" s="107">
        <f t="shared" ref="G5:K5" si="0">G4/C4-1</f>
        <v>4.7761833622569361E-2</v>
      </c>
      <c r="H5" s="107">
        <f t="shared" si="0"/>
        <v>4.0929306208732585E-2</v>
      </c>
      <c r="I5" s="107">
        <f t="shared" si="0"/>
        <v>0.20564943775382383</v>
      </c>
      <c r="J5" s="107">
        <f t="shared" si="0"/>
        <v>0.14018979687655619</v>
      </c>
      <c r="K5" s="121">
        <f t="shared" si="0"/>
        <v>0.15362992472045578</v>
      </c>
    </row>
    <row r="6" spans="1:11" x14ac:dyDescent="0.15">
      <c r="A6" s="122" t="s">
        <v>5</v>
      </c>
      <c r="B6" s="24">
        <f>'Data Sheet'!B43</f>
        <v>6660.91</v>
      </c>
      <c r="C6" s="24">
        <f>'Data Sheet'!C43</f>
        <v>7527.29</v>
      </c>
      <c r="D6" s="24">
        <f>'Data Sheet'!D43</f>
        <v>8095.85</v>
      </c>
      <c r="E6" s="24">
        <f>'Data Sheet'!E43</f>
        <v>7176.6</v>
      </c>
      <c r="F6" s="24">
        <f>'Data Sheet'!F43</f>
        <v>7344.79</v>
      </c>
      <c r="G6" s="24">
        <f>'Data Sheet'!G43</f>
        <v>7733.87</v>
      </c>
      <c r="H6" s="24">
        <f>'Data Sheet'!H43</f>
        <v>8173.52</v>
      </c>
      <c r="I6" s="24">
        <f>'Data Sheet'!I43</f>
        <v>8402.98</v>
      </c>
      <c r="J6" s="24">
        <f>'Data Sheet'!J43</f>
        <v>8297.68</v>
      </c>
      <c r="K6" s="123">
        <f>'Data Sheet'!K43</f>
        <v>8803.65</v>
      </c>
    </row>
    <row r="7" spans="1:11" s="6" customFormat="1" x14ac:dyDescent="0.15">
      <c r="A7" s="117" t="s">
        <v>6</v>
      </c>
      <c r="B7" s="108">
        <f>'Data Sheet'!B50</f>
        <v>835.64</v>
      </c>
      <c r="C7" s="108">
        <f>'Data Sheet'!C50</f>
        <v>920.25</v>
      </c>
      <c r="D7" s="108">
        <f>'Data Sheet'!D50</f>
        <v>1062.3800000000001</v>
      </c>
      <c r="E7" s="108">
        <f>'Data Sheet'!E50</f>
        <v>941.73</v>
      </c>
      <c r="F7" s="108">
        <f>'Data Sheet'!F50</f>
        <v>1089.49</v>
      </c>
      <c r="G7" s="108">
        <f>'Data Sheet'!G50</f>
        <v>1117.1400000000001</v>
      </c>
      <c r="H7" s="108">
        <f>'Data Sheet'!H50</f>
        <v>1359.55</v>
      </c>
      <c r="I7" s="108">
        <f>'Data Sheet'!I50</f>
        <v>1384.88</v>
      </c>
      <c r="J7" s="108">
        <f>'Data Sheet'!J50</f>
        <v>1319</v>
      </c>
      <c r="K7" s="118">
        <f>'Data Sheet'!K50</f>
        <v>1407.14</v>
      </c>
    </row>
    <row r="8" spans="1:11" x14ac:dyDescent="0.15">
      <c r="A8" s="122" t="s">
        <v>7</v>
      </c>
      <c r="B8" s="24">
        <f>'Data Sheet'!B44</f>
        <v>131.44</v>
      </c>
      <c r="C8" s="24">
        <f>'Data Sheet'!C44</f>
        <v>55.53</v>
      </c>
      <c r="D8" s="24">
        <f>'Data Sheet'!D44</f>
        <v>93.99</v>
      </c>
      <c r="E8" s="24">
        <f>'Data Sheet'!E44</f>
        <v>264.98</v>
      </c>
      <c r="F8" s="24">
        <f>'Data Sheet'!F44</f>
        <v>237.54</v>
      </c>
      <c r="G8" s="24">
        <f>'Data Sheet'!G44</f>
        <v>65.55</v>
      </c>
      <c r="H8" s="24">
        <f>'Data Sheet'!H44</f>
        <v>212.62</v>
      </c>
      <c r="I8" s="24">
        <f>'Data Sheet'!I44</f>
        <v>287.86</v>
      </c>
      <c r="J8" s="24">
        <f>'Data Sheet'!J44</f>
        <v>177.33</v>
      </c>
      <c r="K8" s="123">
        <f>'Data Sheet'!K44</f>
        <v>224.81</v>
      </c>
    </row>
    <row r="9" spans="1:11" x14ac:dyDescent="0.15">
      <c r="A9" s="122" t="s">
        <v>8</v>
      </c>
      <c r="B9" s="24">
        <f>'Data Sheet'!B45</f>
        <v>168.38</v>
      </c>
      <c r="C9" s="24">
        <f>'Data Sheet'!C45</f>
        <v>172.84</v>
      </c>
      <c r="D9" s="24">
        <f>'Data Sheet'!D45</f>
        <v>172.83</v>
      </c>
      <c r="E9" s="24">
        <f>'Data Sheet'!E45</f>
        <v>171.97</v>
      </c>
      <c r="F9" s="24">
        <f>'Data Sheet'!F45</f>
        <v>179.75</v>
      </c>
      <c r="G9" s="24">
        <f>'Data Sheet'!G45</f>
        <v>179.74</v>
      </c>
      <c r="H9" s="24">
        <f>'Data Sheet'!H45</f>
        <v>187.09</v>
      </c>
      <c r="I9" s="24">
        <f>'Data Sheet'!I45</f>
        <v>193.92</v>
      </c>
      <c r="J9" s="24">
        <f>'Data Sheet'!J45</f>
        <v>196.61</v>
      </c>
      <c r="K9" s="123">
        <f>'Data Sheet'!K45</f>
        <v>205.44</v>
      </c>
    </row>
    <row r="10" spans="1:11" x14ac:dyDescent="0.15">
      <c r="A10" s="122" t="s">
        <v>9</v>
      </c>
      <c r="B10" s="24">
        <f>'Data Sheet'!B46</f>
        <v>12.97</v>
      </c>
      <c r="C10" s="24">
        <f>'Data Sheet'!C46</f>
        <v>13.92</v>
      </c>
      <c r="D10" s="24">
        <f>'Data Sheet'!D46</f>
        <v>47.66</v>
      </c>
      <c r="E10" s="24">
        <f>'Data Sheet'!E46</f>
        <v>24.19</v>
      </c>
      <c r="F10" s="24">
        <f>'Data Sheet'!F46</f>
        <v>19.11</v>
      </c>
      <c r="G10" s="24">
        <f>'Data Sheet'!G46</f>
        <v>21.01</v>
      </c>
      <c r="H10" s="24">
        <f>'Data Sheet'!H46</f>
        <v>24.98</v>
      </c>
      <c r="I10" s="24">
        <f>'Data Sheet'!I46</f>
        <v>22.74</v>
      </c>
      <c r="J10" s="24">
        <f>'Data Sheet'!J46</f>
        <v>7.64</v>
      </c>
      <c r="K10" s="123">
        <f>'Data Sheet'!K46</f>
        <v>18.850000000000001</v>
      </c>
    </row>
    <row r="11" spans="1:11" x14ac:dyDescent="0.15">
      <c r="A11" s="122" t="s">
        <v>10</v>
      </c>
      <c r="B11" s="24">
        <f>'Data Sheet'!B47</f>
        <v>785.73</v>
      </c>
      <c r="C11" s="24">
        <f>'Data Sheet'!C47</f>
        <v>789.02</v>
      </c>
      <c r="D11" s="24">
        <f>'Data Sheet'!D47</f>
        <v>935.88</v>
      </c>
      <c r="E11" s="24">
        <f>'Data Sheet'!E47</f>
        <v>1010.55</v>
      </c>
      <c r="F11" s="24">
        <f>'Data Sheet'!F47</f>
        <v>1128.17</v>
      </c>
      <c r="G11" s="24">
        <f>'Data Sheet'!G47</f>
        <v>981.94</v>
      </c>
      <c r="H11" s="24">
        <f>'Data Sheet'!H47</f>
        <v>1360.1</v>
      </c>
      <c r="I11" s="24">
        <f>'Data Sheet'!I47</f>
        <v>1456.08</v>
      </c>
      <c r="J11" s="24">
        <f>'Data Sheet'!J47</f>
        <v>1292.08</v>
      </c>
      <c r="K11" s="123">
        <f>'Data Sheet'!K47</f>
        <v>1407.66</v>
      </c>
    </row>
    <row r="12" spans="1:11" x14ac:dyDescent="0.15">
      <c r="A12" s="119" t="s">
        <v>100</v>
      </c>
      <c r="B12" s="107">
        <f>B11/B4</f>
        <v>0.1048122136182644</v>
      </c>
      <c r="C12" s="107">
        <f t="shared" ref="C12:K12" si="1">C11/C4</f>
        <v>9.3402339616030214E-2</v>
      </c>
      <c r="D12" s="107">
        <f t="shared" si="1"/>
        <v>0.10219005200786616</v>
      </c>
      <c r="E12" s="107">
        <f t="shared" si="1"/>
        <v>0.12447757112608135</v>
      </c>
      <c r="F12" s="107">
        <f t="shared" si="1"/>
        <v>0.1337600838482953</v>
      </c>
      <c r="G12" s="107">
        <f t="shared" si="1"/>
        <v>0.11094101125182323</v>
      </c>
      <c r="H12" s="107">
        <f t="shared" si="1"/>
        <v>0.14267177310142481</v>
      </c>
      <c r="I12" s="107">
        <f t="shared" si="1"/>
        <v>0.14876387688422188</v>
      </c>
      <c r="J12" s="107">
        <f t="shared" si="1"/>
        <v>0.13435821926070118</v>
      </c>
      <c r="K12" s="121">
        <f t="shared" si="1"/>
        <v>0.1378600480472128</v>
      </c>
    </row>
    <row r="13" spans="1:11" s="10" customFormat="1" x14ac:dyDescent="0.15">
      <c r="A13" s="119" t="s">
        <v>92</v>
      </c>
      <c r="B13" s="120"/>
      <c r="C13" s="120"/>
      <c r="D13" s="120"/>
      <c r="E13" s="120"/>
      <c r="F13" s="107">
        <f>F11/B11-1</f>
        <v>0.43582401079251154</v>
      </c>
      <c r="G13" s="107">
        <f>G11/C11-1</f>
        <v>0.24450584269093323</v>
      </c>
      <c r="H13" s="107">
        <f>H11/D11-1</f>
        <v>0.45328460913792368</v>
      </c>
      <c r="I13" s="107">
        <f>I11/E11-1</f>
        <v>0.44087872940477957</v>
      </c>
      <c r="J13" s="107">
        <f>J11/F11-1</f>
        <v>0.14528838738842542</v>
      </c>
      <c r="K13" s="121">
        <f t="shared" ref="K13" si="2">K11/G11-1</f>
        <v>0.43354991139988197</v>
      </c>
    </row>
    <row r="14" spans="1:11" x14ac:dyDescent="0.15">
      <c r="A14" s="122" t="s">
        <v>11</v>
      </c>
      <c r="B14" s="24">
        <f>'Data Sheet'!B48</f>
        <v>165.17</v>
      </c>
      <c r="C14" s="24">
        <f>'Data Sheet'!C48</f>
        <v>203.44</v>
      </c>
      <c r="D14" s="24">
        <f>'Data Sheet'!D48</f>
        <v>253.6</v>
      </c>
      <c r="E14" s="24">
        <f>'Data Sheet'!E48</f>
        <v>289.31</v>
      </c>
      <c r="F14" s="24">
        <f>'Data Sheet'!F48</f>
        <v>317.37</v>
      </c>
      <c r="G14" s="24">
        <f>'Data Sheet'!G48</f>
        <v>281.39999999999998</v>
      </c>
      <c r="H14" s="24">
        <f>'Data Sheet'!H48</f>
        <v>353.06</v>
      </c>
      <c r="I14" s="24">
        <f>'Data Sheet'!I48</f>
        <v>364.96</v>
      </c>
      <c r="J14" s="24">
        <f>'Data Sheet'!J48</f>
        <v>348.62</v>
      </c>
      <c r="K14" s="123">
        <f>'Data Sheet'!K48</f>
        <v>375.45</v>
      </c>
    </row>
    <row r="15" spans="1:11" s="6" customFormat="1" x14ac:dyDescent="0.15">
      <c r="A15" s="117" t="s">
        <v>12</v>
      </c>
      <c r="B15" s="108">
        <f>'Data Sheet'!B49</f>
        <v>611.34</v>
      </c>
      <c r="C15" s="108">
        <f>'Data Sheet'!C49</f>
        <v>590.37</v>
      </c>
      <c r="D15" s="108">
        <f>'Data Sheet'!D49</f>
        <v>688.44</v>
      </c>
      <c r="E15" s="108">
        <f>'Data Sheet'!E49</f>
        <v>726.03</v>
      </c>
      <c r="F15" s="108">
        <f>'Data Sheet'!F49</f>
        <v>805.12</v>
      </c>
      <c r="G15" s="108">
        <f>'Data Sheet'!G49</f>
        <v>710.1</v>
      </c>
      <c r="H15" s="108">
        <f>'Data Sheet'!H49</f>
        <v>1006.31</v>
      </c>
      <c r="I15" s="108">
        <f>'Data Sheet'!I49</f>
        <v>1093.4100000000001</v>
      </c>
      <c r="J15" s="108">
        <f>'Data Sheet'!J49</f>
        <v>935.01</v>
      </c>
      <c r="K15" s="118">
        <f>'Data Sheet'!K49</f>
        <v>1045.8900000000001</v>
      </c>
    </row>
    <row r="16" spans="1:11" s="10" customFormat="1" x14ac:dyDescent="0.15">
      <c r="A16" s="119" t="s">
        <v>92</v>
      </c>
      <c r="B16" s="120"/>
      <c r="C16" s="120"/>
      <c r="D16" s="120"/>
      <c r="E16" s="120"/>
      <c r="F16" s="107">
        <f>F15/B15-1</f>
        <v>0.31697582360061505</v>
      </c>
      <c r="G16" s="107">
        <f t="shared" ref="G16" si="3">G15/C15-1</f>
        <v>0.20280502058031402</v>
      </c>
      <c r="H16" s="107">
        <f t="shared" ref="H16" si="4">H15/D15-1</f>
        <v>0.46172505955493559</v>
      </c>
      <c r="I16" s="107">
        <f t="shared" ref="I16" si="5">I15/E15-1</f>
        <v>0.50601214825833662</v>
      </c>
      <c r="J16" s="107">
        <f t="shared" ref="J16" si="6">J15/F15-1</f>
        <v>0.16132998807631149</v>
      </c>
      <c r="K16" s="121">
        <f t="shared" ref="K16" si="7">K15/G15-1</f>
        <v>0.47287705956907478</v>
      </c>
    </row>
    <row r="17" spans="1:12" s="6" customFormat="1" x14ac:dyDescent="0.15">
      <c r="A17" s="124" t="s">
        <v>15</v>
      </c>
      <c r="B17" s="125">
        <f t="shared" ref="B17:K17" si="8">IF(B4&gt;0,B7/B4,"")</f>
        <v>0.11146994284037323</v>
      </c>
      <c r="C17" s="125">
        <f t="shared" si="8"/>
        <v>0.10893703965888293</v>
      </c>
      <c r="D17" s="125">
        <f t="shared" si="8"/>
        <v>0.11600276472637182</v>
      </c>
      <c r="E17" s="125">
        <f t="shared" si="8"/>
        <v>0.11600045822231912</v>
      </c>
      <c r="F17" s="125">
        <f t="shared" si="8"/>
        <v>0.12917403738078412</v>
      </c>
      <c r="G17" s="125">
        <f t="shared" si="8"/>
        <v>0.12621610415082574</v>
      </c>
      <c r="H17" s="125">
        <f t="shared" si="8"/>
        <v>0.14261407920008978</v>
      </c>
      <c r="I17" s="125">
        <f t="shared" si="8"/>
        <v>0.14148955951556316</v>
      </c>
      <c r="J17" s="125">
        <f t="shared" si="8"/>
        <v>0.13715752213861748</v>
      </c>
      <c r="K17" s="126">
        <f t="shared" si="8"/>
        <v>0.1378091215273255</v>
      </c>
      <c r="L17" s="10"/>
    </row>
    <row r="25" spans="1:12" s="20" customFormat="1" x14ac:dyDescent="0.1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baseColWidth="10" defaultColWidth="9.1640625" defaultRowHeight="13" x14ac:dyDescent="0.15"/>
  <cols>
    <col min="1" max="1" width="25.1640625" style="11" bestFit="1" customWidth="1"/>
    <col min="2" max="2" width="13.83203125" style="11" bestFit="1" customWidth="1"/>
    <col min="3" max="8" width="9.83203125" style="11" bestFit="1" customWidth="1"/>
    <col min="9" max="11" width="10.83203125" style="11" bestFit="1" customWidth="1"/>
    <col min="12" max="16384" width="9.1640625" style="11"/>
  </cols>
  <sheetData>
    <row r="1" spans="1:11" s="9" customFormat="1" x14ac:dyDescent="0.15">
      <c r="A1" s="9" t="s">
        <v>0</v>
      </c>
      <c r="B1" s="9" t="s">
        <v>58</v>
      </c>
      <c r="E1" s="410" t="str">
        <f>IF(B2&lt;&gt;B3, "A NEW VERSION OF THE WORKSHEET IS AVAILABLE", "")</f>
        <v/>
      </c>
      <c r="F1" s="410"/>
      <c r="G1" s="410"/>
      <c r="H1" s="410"/>
      <c r="I1" s="410"/>
      <c r="J1" s="410"/>
      <c r="K1" s="410"/>
    </row>
    <row r="2" spans="1:11" x14ac:dyDescent="0.15">
      <c r="A2" s="9" t="s">
        <v>56</v>
      </c>
      <c r="B2" s="11">
        <v>2.1</v>
      </c>
      <c r="E2" s="411" t="s">
        <v>31</v>
      </c>
      <c r="F2" s="411"/>
      <c r="G2" s="411"/>
      <c r="H2" s="411"/>
      <c r="I2" s="411"/>
      <c r="J2" s="411"/>
      <c r="K2" s="411"/>
    </row>
    <row r="3" spans="1:11" x14ac:dyDescent="0.15">
      <c r="A3" s="9" t="s">
        <v>57</v>
      </c>
      <c r="B3" s="11">
        <v>2.1</v>
      </c>
    </row>
    <row r="4" spans="1:11" x14ac:dyDescent="0.15">
      <c r="A4" s="9"/>
    </row>
    <row r="5" spans="1:11" x14ac:dyDescent="0.15">
      <c r="A5" s="9" t="s">
        <v>59</v>
      </c>
    </row>
    <row r="6" spans="1:11" x14ac:dyDescent="0.15">
      <c r="A6" s="11" t="s">
        <v>37</v>
      </c>
      <c r="B6" s="11">
        <f>IF(B9&gt;0, B9/B8, 0)</f>
        <v>20.007145766535423</v>
      </c>
    </row>
    <row r="7" spans="1:11" x14ac:dyDescent="0.15">
      <c r="A7" s="11" t="s">
        <v>26</v>
      </c>
      <c r="B7" s="7">
        <v>2</v>
      </c>
    </row>
    <row r="8" spans="1:11" x14ac:dyDescent="0.15">
      <c r="A8" s="11" t="s">
        <v>38</v>
      </c>
      <c r="B8" s="7">
        <v>4787.45</v>
      </c>
    </row>
    <row r="9" spans="1:11" x14ac:dyDescent="0.15">
      <c r="A9" s="11" t="s">
        <v>73</v>
      </c>
      <c r="B9" s="7">
        <v>95783.21</v>
      </c>
    </row>
    <row r="15" spans="1:11" x14ac:dyDescent="0.15">
      <c r="A15" s="9" t="s">
        <v>32</v>
      </c>
    </row>
    <row r="16" spans="1:11" s="22" customFormat="1" x14ac:dyDescent="0.15">
      <c r="A16" s="21" t="s">
        <v>33</v>
      </c>
      <c r="B16" s="8">
        <v>42094</v>
      </c>
      <c r="C16" s="8">
        <v>42460</v>
      </c>
      <c r="D16" s="8">
        <v>42825</v>
      </c>
      <c r="E16" s="8">
        <v>43190</v>
      </c>
      <c r="F16" s="8">
        <v>43555</v>
      </c>
      <c r="G16" s="8">
        <v>43921</v>
      </c>
      <c r="H16" s="8">
        <v>44286</v>
      </c>
      <c r="I16" s="8">
        <v>44651</v>
      </c>
      <c r="J16" s="8">
        <v>45016</v>
      </c>
      <c r="K16" s="8">
        <v>45382</v>
      </c>
    </row>
    <row r="17" spans="1:11" x14ac:dyDescent="0.15">
      <c r="A17" s="11" t="s">
        <v>4</v>
      </c>
      <c r="B17" s="7">
        <v>27538.03</v>
      </c>
      <c r="C17" s="7">
        <v>28457.119999999999</v>
      </c>
      <c r="D17" s="7">
        <v>28610.43</v>
      </c>
      <c r="E17" s="7">
        <v>32458.37</v>
      </c>
      <c r="F17" s="7">
        <v>33970.82</v>
      </c>
      <c r="G17" s="7">
        <v>29253.97</v>
      </c>
      <c r="H17" s="7">
        <v>30959.19</v>
      </c>
      <c r="I17" s="7">
        <v>29551.279999999999</v>
      </c>
      <c r="J17" s="7">
        <v>34158.379999999997</v>
      </c>
      <c r="K17" s="7">
        <v>37788.620000000003</v>
      </c>
    </row>
    <row r="18" spans="1:11" ht="15" x14ac:dyDescent="0.2">
      <c r="A18" s="11" t="s">
        <v>74</v>
      </c>
      <c r="B18">
        <v>19790.400000000001</v>
      </c>
      <c r="C18">
        <v>19357.96</v>
      </c>
      <c r="D18">
        <v>19019.34</v>
      </c>
      <c r="E18">
        <v>21995.94</v>
      </c>
      <c r="F18">
        <v>23503.46</v>
      </c>
      <c r="G18">
        <v>20004.29</v>
      </c>
      <c r="H18">
        <v>21999.18</v>
      </c>
      <c r="I18">
        <v>20891.689999999999</v>
      </c>
      <c r="J18">
        <v>24107.72</v>
      </c>
      <c r="K18">
        <v>25321.09</v>
      </c>
    </row>
    <row r="19" spans="1:11" ht="15" x14ac:dyDescent="0.2">
      <c r="A19" s="11" t="s">
        <v>75</v>
      </c>
      <c r="B19">
        <v>75.099999999999994</v>
      </c>
      <c r="C19">
        <v>49.86</v>
      </c>
      <c r="D19">
        <v>-96.74</v>
      </c>
      <c r="E19">
        <v>110.12</v>
      </c>
      <c r="F19">
        <v>59.04</v>
      </c>
      <c r="G19">
        <v>173.34</v>
      </c>
      <c r="H19">
        <v>255.57</v>
      </c>
      <c r="I19">
        <v>-28.67</v>
      </c>
      <c r="J19">
        <v>163.69</v>
      </c>
      <c r="K19">
        <v>-188.35</v>
      </c>
    </row>
    <row r="20" spans="1:11" x14ac:dyDescent="0.15">
      <c r="A20" s="11" t="s">
        <v>76</v>
      </c>
      <c r="B20" s="7">
        <v>158.49</v>
      </c>
      <c r="C20" s="7">
        <v>122.2</v>
      </c>
      <c r="D20" s="7">
        <v>112.84</v>
      </c>
      <c r="E20" s="7">
        <v>139.84</v>
      </c>
      <c r="F20" s="7">
        <v>158.12</v>
      </c>
      <c r="G20" s="7">
        <v>132.96</v>
      </c>
      <c r="H20" s="7">
        <v>113.89</v>
      </c>
      <c r="I20" s="7">
        <v>109.72</v>
      </c>
      <c r="J20" s="7">
        <v>114.56</v>
      </c>
      <c r="K20" s="7">
        <v>120.18</v>
      </c>
    </row>
    <row r="21" spans="1:11" x14ac:dyDescent="0.15">
      <c r="A21" s="11" t="s">
        <v>77</v>
      </c>
      <c r="B21" s="7">
        <v>245.73</v>
      </c>
      <c r="C21" s="7">
        <v>210.21</v>
      </c>
      <c r="D21" s="7">
        <v>205.67</v>
      </c>
      <c r="E21" s="7">
        <v>241.07</v>
      </c>
      <c r="F21" s="7">
        <v>251.2</v>
      </c>
      <c r="G21" s="7">
        <v>231.91</v>
      </c>
      <c r="H21" s="7">
        <v>217.64</v>
      </c>
      <c r="I21" s="7">
        <v>227.08</v>
      </c>
      <c r="J21" s="7">
        <v>239.17</v>
      </c>
      <c r="K21" s="7">
        <v>287.52999999999997</v>
      </c>
    </row>
    <row r="22" spans="1:11" x14ac:dyDescent="0.15">
      <c r="A22" s="11" t="s">
        <v>78</v>
      </c>
      <c r="B22" s="7">
        <v>1178.72</v>
      </c>
      <c r="C22" s="7">
        <v>1339.46</v>
      </c>
      <c r="D22" s="7">
        <v>1432.49</v>
      </c>
      <c r="E22" s="7">
        <v>1583.71</v>
      </c>
      <c r="F22" s="7">
        <v>1778.03</v>
      </c>
      <c r="G22" s="7">
        <v>1889.32</v>
      </c>
      <c r="H22" s="7">
        <v>1951.02</v>
      </c>
      <c r="I22" s="7">
        <v>1995.78</v>
      </c>
      <c r="J22" s="7">
        <v>2250.0500000000002</v>
      </c>
      <c r="K22" s="7">
        <v>2631.54</v>
      </c>
    </row>
    <row r="23" spans="1:11" x14ac:dyDescent="0.15">
      <c r="A23" s="11" t="s">
        <v>79</v>
      </c>
      <c r="B23" s="7">
        <v>1942.73</v>
      </c>
      <c r="C23" s="7">
        <v>2083.71</v>
      </c>
      <c r="D23" s="7">
        <v>2097.44</v>
      </c>
      <c r="E23" s="7">
        <v>2180.62</v>
      </c>
      <c r="F23" s="7">
        <v>2183.54</v>
      </c>
      <c r="G23" s="7">
        <v>1787.87</v>
      </c>
      <c r="H23" s="7">
        <v>1699.6</v>
      </c>
      <c r="I23" s="7">
        <v>1835.46</v>
      </c>
      <c r="J23" s="7">
        <v>2007.04</v>
      </c>
      <c r="K23" s="7">
        <v>2201.66</v>
      </c>
    </row>
    <row r="24" spans="1:11" x14ac:dyDescent="0.15">
      <c r="A24" s="11" t="s">
        <v>80</v>
      </c>
      <c r="B24" s="7">
        <v>777.49</v>
      </c>
      <c r="C24" s="7">
        <v>969.64</v>
      </c>
      <c r="D24" s="7">
        <v>1060.8599999999999</v>
      </c>
      <c r="E24" s="7">
        <v>1092.98</v>
      </c>
      <c r="F24" s="7">
        <v>1130.6099999999999</v>
      </c>
      <c r="G24" s="7">
        <v>1311.38</v>
      </c>
      <c r="H24" s="7">
        <v>1175.81</v>
      </c>
      <c r="I24" s="7">
        <v>1206.93</v>
      </c>
      <c r="J24" s="7">
        <v>1504.93</v>
      </c>
      <c r="K24" s="7">
        <v>1803.32</v>
      </c>
    </row>
    <row r="25" spans="1:11" x14ac:dyDescent="0.15">
      <c r="A25" s="11" t="s">
        <v>7</v>
      </c>
      <c r="B25" s="7">
        <v>324.54000000000002</v>
      </c>
      <c r="C25" s="7">
        <v>421.06</v>
      </c>
      <c r="D25" s="7">
        <v>829.88</v>
      </c>
      <c r="E25" s="7">
        <v>563.54999999999995</v>
      </c>
      <c r="F25" s="7">
        <v>741.02</v>
      </c>
      <c r="G25" s="7">
        <v>1433.9</v>
      </c>
      <c r="H25" s="7">
        <v>553.23</v>
      </c>
      <c r="I25" s="7">
        <v>544.78</v>
      </c>
      <c r="J25" s="7">
        <v>567.29</v>
      </c>
      <c r="K25" s="7">
        <v>688.98</v>
      </c>
    </row>
    <row r="26" spans="1:11" x14ac:dyDescent="0.15">
      <c r="A26" s="11" t="s">
        <v>8</v>
      </c>
      <c r="B26" s="7">
        <v>540.45000000000005</v>
      </c>
      <c r="C26" s="7">
        <v>443.25</v>
      </c>
      <c r="D26" s="7">
        <v>502.25</v>
      </c>
      <c r="E26" s="7">
        <v>574.98</v>
      </c>
      <c r="F26" s="7">
        <v>624.44000000000005</v>
      </c>
      <c r="G26" s="7">
        <v>845.76</v>
      </c>
      <c r="H26" s="7">
        <v>715.12</v>
      </c>
      <c r="I26" s="7">
        <v>689.52</v>
      </c>
      <c r="J26" s="7">
        <v>697.39</v>
      </c>
      <c r="K26" s="7">
        <v>757.36</v>
      </c>
    </row>
    <row r="27" spans="1:11" ht="15" x14ac:dyDescent="0.2">
      <c r="A27" s="11" t="s">
        <v>9</v>
      </c>
      <c r="B27" s="7">
        <v>11.7</v>
      </c>
      <c r="C27" s="7">
        <v>14.61</v>
      </c>
      <c r="D27" s="7">
        <v>27.28</v>
      </c>
      <c r="E27" s="7">
        <v>30.8</v>
      </c>
      <c r="F27" s="7">
        <v>37.18</v>
      </c>
      <c r="G27" s="7">
        <v>46.64</v>
      </c>
      <c r="H27" s="7">
        <v>46.41</v>
      </c>
      <c r="I27" s="7">
        <v>53.1</v>
      </c>
      <c r="J27">
        <v>104.88</v>
      </c>
      <c r="K27">
        <v>76.37</v>
      </c>
    </row>
    <row r="28" spans="1:11" x14ac:dyDescent="0.15">
      <c r="A28" s="11" t="s">
        <v>10</v>
      </c>
      <c r="B28" s="7">
        <v>3291.96</v>
      </c>
      <c r="C28" s="7">
        <v>4387</v>
      </c>
      <c r="D28" s="7">
        <v>4885.3999999999996</v>
      </c>
      <c r="E28" s="7">
        <v>5292.1</v>
      </c>
      <c r="F28" s="7">
        <v>5104.3</v>
      </c>
      <c r="G28" s="7">
        <v>4611.08</v>
      </c>
      <c r="H28" s="7">
        <v>3849.32</v>
      </c>
      <c r="I28" s="7">
        <v>3058.11</v>
      </c>
      <c r="J28" s="7">
        <v>3863.62</v>
      </c>
      <c r="K28" s="7">
        <v>5090.2</v>
      </c>
    </row>
    <row r="29" spans="1:11" x14ac:dyDescent="0.15">
      <c r="A29" s="11" t="s">
        <v>11</v>
      </c>
      <c r="B29" s="7">
        <v>943.45</v>
      </c>
      <c r="C29" s="7">
        <v>1274.71</v>
      </c>
      <c r="D29" s="7">
        <v>1339.1</v>
      </c>
      <c r="E29" s="7">
        <v>1569.93</v>
      </c>
      <c r="F29" s="7">
        <v>1637.95</v>
      </c>
      <c r="G29" s="7">
        <v>951.67</v>
      </c>
      <c r="H29" s="7">
        <v>913.27</v>
      </c>
      <c r="I29" s="7">
        <v>729.06</v>
      </c>
      <c r="J29" s="7">
        <v>1063.72</v>
      </c>
      <c r="K29" s="7">
        <v>1348.04</v>
      </c>
    </row>
    <row r="30" spans="1:11" x14ac:dyDescent="0.15">
      <c r="A30" s="11" t="s">
        <v>12</v>
      </c>
      <c r="B30" s="7">
        <v>2364.6999999999998</v>
      </c>
      <c r="C30" s="7">
        <v>3141.98</v>
      </c>
      <c r="D30" s="7">
        <v>3584.27</v>
      </c>
      <c r="E30" s="7">
        <v>3720.4</v>
      </c>
      <c r="F30" s="7">
        <v>3444.09</v>
      </c>
      <c r="G30" s="7">
        <v>3638.11</v>
      </c>
      <c r="H30" s="7">
        <v>2917.75</v>
      </c>
      <c r="I30" s="7">
        <v>2316.88</v>
      </c>
      <c r="J30" s="7">
        <v>2809.96</v>
      </c>
      <c r="K30" s="7">
        <v>3744.83</v>
      </c>
    </row>
    <row r="31" spans="1:11" x14ac:dyDescent="0.15">
      <c r="A31" s="11" t="s">
        <v>64</v>
      </c>
      <c r="B31" s="7">
        <v>1198.2</v>
      </c>
      <c r="C31" s="7">
        <v>1437.84</v>
      </c>
      <c r="D31" s="7">
        <v>1697.45</v>
      </c>
      <c r="E31" s="7">
        <v>1897.15</v>
      </c>
      <c r="F31" s="7">
        <v>1737.82</v>
      </c>
      <c r="G31" s="7">
        <v>1797.75</v>
      </c>
      <c r="H31" s="7">
        <v>2097.9</v>
      </c>
      <c r="I31" s="7">
        <v>1898.1</v>
      </c>
      <c r="J31" s="7">
        <v>1998.5</v>
      </c>
      <c r="K31" s="7">
        <v>2798.6</v>
      </c>
    </row>
    <row r="40" spans="1:11" x14ac:dyDescent="0.15">
      <c r="A40" s="9" t="s">
        <v>34</v>
      </c>
    </row>
    <row r="41" spans="1:11" s="22" customFormat="1" x14ac:dyDescent="0.15">
      <c r="A41" s="21" t="s">
        <v>33</v>
      </c>
      <c r="B41" s="8">
        <v>44651</v>
      </c>
      <c r="C41" s="8">
        <v>44742</v>
      </c>
      <c r="D41" s="8">
        <v>44834</v>
      </c>
      <c r="E41" s="8">
        <v>44926</v>
      </c>
      <c r="F41" s="8">
        <v>45016</v>
      </c>
      <c r="G41" s="8">
        <v>45107</v>
      </c>
      <c r="H41" s="8">
        <v>45199</v>
      </c>
      <c r="I41" s="8">
        <v>45291</v>
      </c>
      <c r="J41" s="8">
        <v>45382</v>
      </c>
      <c r="K41" s="8">
        <v>45473</v>
      </c>
    </row>
    <row r="42" spans="1:11" x14ac:dyDescent="0.15">
      <c r="A42" s="11" t="s">
        <v>4</v>
      </c>
      <c r="B42" s="7">
        <v>7496.55</v>
      </c>
      <c r="C42" s="7">
        <v>8447.5400000000009</v>
      </c>
      <c r="D42" s="7">
        <v>9158.23</v>
      </c>
      <c r="E42" s="7">
        <v>8118.33</v>
      </c>
      <c r="F42" s="7">
        <v>8434.2800000000007</v>
      </c>
      <c r="G42" s="7">
        <v>8851.01</v>
      </c>
      <c r="H42" s="7">
        <v>9533.07</v>
      </c>
      <c r="I42" s="7">
        <v>9787.86</v>
      </c>
      <c r="J42" s="7">
        <v>9616.68</v>
      </c>
      <c r="K42" s="7">
        <v>10210.790000000001</v>
      </c>
    </row>
    <row r="43" spans="1:11" x14ac:dyDescent="0.15">
      <c r="A43" s="11" t="s">
        <v>5</v>
      </c>
      <c r="B43" s="7">
        <v>6660.91</v>
      </c>
      <c r="C43" s="7">
        <v>7527.29</v>
      </c>
      <c r="D43" s="7">
        <v>8095.85</v>
      </c>
      <c r="E43" s="7">
        <v>7176.6</v>
      </c>
      <c r="F43" s="7">
        <v>7344.79</v>
      </c>
      <c r="G43" s="7">
        <v>7733.87</v>
      </c>
      <c r="H43" s="7">
        <v>8173.52</v>
      </c>
      <c r="I43" s="7">
        <v>8402.98</v>
      </c>
      <c r="J43" s="7">
        <v>8297.68</v>
      </c>
      <c r="K43" s="7">
        <v>8803.65</v>
      </c>
    </row>
    <row r="44" spans="1:11" x14ac:dyDescent="0.15">
      <c r="A44" s="11" t="s">
        <v>7</v>
      </c>
      <c r="B44" s="7">
        <v>131.44</v>
      </c>
      <c r="C44" s="7">
        <v>55.53</v>
      </c>
      <c r="D44" s="7">
        <v>93.99</v>
      </c>
      <c r="E44" s="7">
        <v>264.98</v>
      </c>
      <c r="F44" s="7">
        <v>237.54</v>
      </c>
      <c r="G44" s="7">
        <v>65.55</v>
      </c>
      <c r="H44" s="7">
        <v>212.62</v>
      </c>
      <c r="I44" s="7">
        <v>287.86</v>
      </c>
      <c r="J44" s="7">
        <v>177.33</v>
      </c>
      <c r="K44" s="7">
        <v>224.81</v>
      </c>
    </row>
    <row r="45" spans="1:11" x14ac:dyDescent="0.15">
      <c r="A45" s="11" t="s">
        <v>8</v>
      </c>
      <c r="B45" s="7">
        <v>168.38</v>
      </c>
      <c r="C45" s="7">
        <v>172.84</v>
      </c>
      <c r="D45" s="7">
        <v>172.83</v>
      </c>
      <c r="E45" s="7">
        <v>171.97</v>
      </c>
      <c r="F45" s="7">
        <v>179.75</v>
      </c>
      <c r="G45" s="7">
        <v>179.74</v>
      </c>
      <c r="H45" s="7">
        <v>187.09</v>
      </c>
      <c r="I45" s="7">
        <v>193.92</v>
      </c>
      <c r="J45" s="7">
        <v>196.61</v>
      </c>
      <c r="K45" s="7">
        <v>205.44</v>
      </c>
    </row>
    <row r="46" spans="1:11" ht="15" x14ac:dyDescent="0.2">
      <c r="A46" s="11" t="s">
        <v>9</v>
      </c>
      <c r="B46">
        <v>12.97</v>
      </c>
      <c r="C46">
        <v>13.92</v>
      </c>
      <c r="D46">
        <v>47.66</v>
      </c>
      <c r="E46">
        <v>24.19</v>
      </c>
      <c r="F46">
        <v>19.11</v>
      </c>
      <c r="G46">
        <v>21.01</v>
      </c>
      <c r="H46">
        <v>24.98</v>
      </c>
      <c r="I46">
        <v>22.74</v>
      </c>
      <c r="J46">
        <v>7.64</v>
      </c>
      <c r="K46">
        <v>18.850000000000001</v>
      </c>
    </row>
    <row r="47" spans="1:11" x14ac:dyDescent="0.15">
      <c r="A47" s="11" t="s">
        <v>10</v>
      </c>
      <c r="B47" s="7">
        <v>785.73</v>
      </c>
      <c r="C47" s="7">
        <v>789.02</v>
      </c>
      <c r="D47" s="7">
        <v>935.88</v>
      </c>
      <c r="E47" s="7">
        <v>1010.55</v>
      </c>
      <c r="F47" s="7">
        <v>1128.17</v>
      </c>
      <c r="G47" s="7">
        <v>981.94</v>
      </c>
      <c r="H47" s="7">
        <v>1360.1</v>
      </c>
      <c r="I47" s="7">
        <v>1456.08</v>
      </c>
      <c r="J47" s="7">
        <v>1292.08</v>
      </c>
      <c r="K47" s="7">
        <v>1407.66</v>
      </c>
    </row>
    <row r="48" spans="1:11" x14ac:dyDescent="0.15">
      <c r="A48" s="11" t="s">
        <v>11</v>
      </c>
      <c r="B48" s="7">
        <v>165.17</v>
      </c>
      <c r="C48" s="7">
        <v>203.44</v>
      </c>
      <c r="D48" s="7">
        <v>253.6</v>
      </c>
      <c r="E48" s="7">
        <v>289.31</v>
      </c>
      <c r="F48" s="7">
        <v>317.37</v>
      </c>
      <c r="G48" s="7">
        <v>281.39999999999998</v>
      </c>
      <c r="H48" s="7">
        <v>353.06</v>
      </c>
      <c r="I48" s="7">
        <v>364.96</v>
      </c>
      <c r="J48" s="7">
        <v>348.62</v>
      </c>
      <c r="K48" s="7">
        <v>375.45</v>
      </c>
    </row>
    <row r="49" spans="1:11" x14ac:dyDescent="0.15">
      <c r="A49" s="11" t="s">
        <v>12</v>
      </c>
      <c r="B49" s="7">
        <v>611.34</v>
      </c>
      <c r="C49" s="7">
        <v>590.37</v>
      </c>
      <c r="D49" s="7">
        <v>688.44</v>
      </c>
      <c r="E49" s="7">
        <v>726.03</v>
      </c>
      <c r="F49" s="7">
        <v>805.12</v>
      </c>
      <c r="G49" s="7">
        <v>710.1</v>
      </c>
      <c r="H49" s="7">
        <v>1006.31</v>
      </c>
      <c r="I49" s="7">
        <v>1093.4100000000001</v>
      </c>
      <c r="J49" s="7">
        <v>935.01</v>
      </c>
      <c r="K49" s="7">
        <v>1045.8900000000001</v>
      </c>
    </row>
    <row r="50" spans="1:11" x14ac:dyDescent="0.15">
      <c r="A50" s="11" t="s">
        <v>6</v>
      </c>
      <c r="B50" s="7">
        <v>835.64</v>
      </c>
      <c r="C50" s="7">
        <v>920.25</v>
      </c>
      <c r="D50" s="7">
        <v>1062.3800000000001</v>
      </c>
      <c r="E50" s="7">
        <v>941.73</v>
      </c>
      <c r="F50" s="7">
        <v>1089.49</v>
      </c>
      <c r="G50" s="7">
        <v>1117.1400000000001</v>
      </c>
      <c r="H50" s="7">
        <v>1359.55</v>
      </c>
      <c r="I50" s="7">
        <v>1384.88</v>
      </c>
      <c r="J50" s="7">
        <v>1319</v>
      </c>
      <c r="K50" s="7">
        <v>1407.14</v>
      </c>
    </row>
    <row r="55" spans="1:11" x14ac:dyDescent="0.15">
      <c r="A55" s="9" t="s">
        <v>35</v>
      </c>
    </row>
    <row r="56" spans="1:11" s="22" customFormat="1" x14ac:dyDescent="0.15">
      <c r="A56" s="21" t="s">
        <v>33</v>
      </c>
      <c r="B56" s="8">
        <v>42094</v>
      </c>
      <c r="C56" s="8">
        <v>42460</v>
      </c>
      <c r="D56" s="8">
        <v>42825</v>
      </c>
      <c r="E56" s="8">
        <v>43190</v>
      </c>
      <c r="F56" s="8">
        <v>43555</v>
      </c>
      <c r="G56" s="8">
        <v>43921</v>
      </c>
      <c r="H56" s="8">
        <v>44286</v>
      </c>
      <c r="I56" s="8">
        <v>44651</v>
      </c>
      <c r="J56" s="8">
        <v>45016</v>
      </c>
      <c r="K56" s="8">
        <v>45382</v>
      </c>
    </row>
    <row r="57" spans="1:11" x14ac:dyDescent="0.15">
      <c r="A57" s="11" t="s">
        <v>19</v>
      </c>
      <c r="B57" s="7">
        <v>39.94</v>
      </c>
      <c r="C57" s="7">
        <v>39.94</v>
      </c>
      <c r="D57" s="7">
        <v>39.94</v>
      </c>
      <c r="E57" s="7">
        <v>39.94</v>
      </c>
      <c r="F57" s="7">
        <v>39.950000000000003</v>
      </c>
      <c r="G57" s="7">
        <v>39.950000000000003</v>
      </c>
      <c r="H57" s="7">
        <v>39.96</v>
      </c>
      <c r="I57" s="7">
        <v>39.96</v>
      </c>
      <c r="J57" s="7">
        <v>39.97</v>
      </c>
      <c r="K57" s="7">
        <v>39.979999999999997</v>
      </c>
    </row>
    <row r="58" spans="1:11" x14ac:dyDescent="0.15">
      <c r="A58" s="11" t="s">
        <v>20</v>
      </c>
      <c r="B58" s="7">
        <v>6500.06</v>
      </c>
      <c r="C58" s="7">
        <v>8794.17</v>
      </c>
      <c r="D58" s="7">
        <v>10275.57</v>
      </c>
      <c r="E58" s="7">
        <v>11931.52</v>
      </c>
      <c r="F58" s="7">
        <v>13080.46</v>
      </c>
      <c r="G58" s="7">
        <v>14366.33</v>
      </c>
      <c r="H58" s="7">
        <v>15376.46</v>
      </c>
      <c r="I58" s="7">
        <v>15806.69</v>
      </c>
      <c r="J58" s="7">
        <v>16615.599999999999</v>
      </c>
      <c r="K58" s="7">
        <v>17658.939999999999</v>
      </c>
    </row>
    <row r="59" spans="1:11" ht="15" x14ac:dyDescent="0.2">
      <c r="A59" s="11" t="s">
        <v>65</v>
      </c>
      <c r="B59">
        <v>100</v>
      </c>
      <c r="C59">
        <v>232.21</v>
      </c>
      <c r="D59">
        <v>260.61</v>
      </c>
      <c r="E59">
        <v>227.89</v>
      </c>
      <c r="F59">
        <v>311.5</v>
      </c>
      <c r="G59">
        <v>453.25</v>
      </c>
      <c r="H59">
        <v>584.02</v>
      </c>
      <c r="I59">
        <v>605.16999999999996</v>
      </c>
      <c r="J59">
        <v>567.54</v>
      </c>
      <c r="K59">
        <v>606.41</v>
      </c>
    </row>
    <row r="60" spans="1:11" x14ac:dyDescent="0.15">
      <c r="A60" s="11" t="s">
        <v>66</v>
      </c>
      <c r="B60" s="7">
        <v>4014.35</v>
      </c>
      <c r="C60" s="7">
        <v>3829.49</v>
      </c>
      <c r="D60" s="7">
        <v>4735.88</v>
      </c>
      <c r="E60" s="7">
        <v>5197.38</v>
      </c>
      <c r="F60" s="7">
        <v>5072.45</v>
      </c>
      <c r="G60" s="7">
        <v>4814.54</v>
      </c>
      <c r="H60" s="7">
        <v>7095.65</v>
      </c>
      <c r="I60" s="7">
        <v>6026.57</v>
      </c>
      <c r="J60" s="7">
        <v>6693.92</v>
      </c>
      <c r="K60" s="7">
        <v>7847.46</v>
      </c>
    </row>
    <row r="61" spans="1:11" s="9" customFormat="1" x14ac:dyDescent="0.15">
      <c r="A61" s="9" t="s">
        <v>21</v>
      </c>
      <c r="B61" s="7">
        <v>10654.35</v>
      </c>
      <c r="C61" s="7">
        <v>12895.81</v>
      </c>
      <c r="D61" s="7">
        <v>15312</v>
      </c>
      <c r="E61" s="7">
        <v>17396.73</v>
      </c>
      <c r="F61" s="7">
        <v>18504.36</v>
      </c>
      <c r="G61" s="7">
        <v>19674.07</v>
      </c>
      <c r="H61" s="7">
        <v>23096.09</v>
      </c>
      <c r="I61" s="7">
        <v>22478.39</v>
      </c>
      <c r="J61" s="7">
        <v>23917.03</v>
      </c>
      <c r="K61" s="7">
        <v>26152.79</v>
      </c>
    </row>
    <row r="62" spans="1:11" x14ac:dyDescent="0.15">
      <c r="A62" s="11" t="s">
        <v>22</v>
      </c>
      <c r="B62" s="7">
        <v>2952.28</v>
      </c>
      <c r="C62" s="7">
        <v>3783.71</v>
      </c>
      <c r="D62" s="7">
        <v>4598.8500000000004</v>
      </c>
      <c r="E62" s="7">
        <v>4960.96</v>
      </c>
      <c r="F62" s="7">
        <v>4952.3599999999997</v>
      </c>
      <c r="G62" s="7">
        <v>6472.93</v>
      </c>
      <c r="H62" s="7">
        <v>6380.39</v>
      </c>
      <c r="I62" s="7">
        <v>6193.54</v>
      </c>
      <c r="J62" s="7">
        <v>6159.2</v>
      </c>
      <c r="K62" s="7">
        <v>6232.2</v>
      </c>
    </row>
    <row r="63" spans="1:11" x14ac:dyDescent="0.15">
      <c r="A63" s="11" t="s">
        <v>23</v>
      </c>
      <c r="B63" s="7">
        <v>719.2</v>
      </c>
      <c r="C63" s="7">
        <v>653.37</v>
      </c>
      <c r="D63" s="7">
        <v>580.96</v>
      </c>
      <c r="E63" s="7">
        <v>355.48</v>
      </c>
      <c r="F63" s="7">
        <v>572.82000000000005</v>
      </c>
      <c r="G63" s="7">
        <v>391.33</v>
      </c>
      <c r="H63" s="7">
        <v>495.13</v>
      </c>
      <c r="I63" s="7">
        <v>517.22</v>
      </c>
      <c r="J63" s="7">
        <v>453.71</v>
      </c>
      <c r="K63" s="7">
        <v>484.06</v>
      </c>
    </row>
    <row r="64" spans="1:11" ht="15" x14ac:dyDescent="0.2">
      <c r="A64" s="11" t="s">
        <v>24</v>
      </c>
      <c r="B64" s="7">
        <v>3118.5</v>
      </c>
      <c r="C64">
        <v>4501.08</v>
      </c>
      <c r="D64" s="7">
        <v>6066.37</v>
      </c>
      <c r="E64" s="7">
        <v>7669.24</v>
      </c>
      <c r="F64" s="7">
        <v>6113.83</v>
      </c>
      <c r="G64" s="7">
        <v>8358.64</v>
      </c>
      <c r="H64" s="7">
        <v>10581.62</v>
      </c>
      <c r="I64" s="7">
        <v>10527.87</v>
      </c>
      <c r="J64" s="7">
        <v>10890.93</v>
      </c>
      <c r="K64" s="7">
        <v>12751.24</v>
      </c>
    </row>
    <row r="65" spans="1:11" x14ac:dyDescent="0.15">
      <c r="A65" s="11" t="s">
        <v>67</v>
      </c>
      <c r="B65" s="7">
        <v>3864.37</v>
      </c>
      <c r="C65" s="7">
        <v>3957.65</v>
      </c>
      <c r="D65" s="7">
        <v>4065.82</v>
      </c>
      <c r="E65" s="7">
        <v>4411.05</v>
      </c>
      <c r="F65" s="7">
        <v>6865.35</v>
      </c>
      <c r="G65" s="7">
        <v>4451.17</v>
      </c>
      <c r="H65" s="7">
        <v>5638.95</v>
      </c>
      <c r="I65" s="7">
        <v>5239.76</v>
      </c>
      <c r="J65" s="7">
        <v>6413.19</v>
      </c>
      <c r="K65" s="7">
        <v>6685.29</v>
      </c>
    </row>
    <row r="66" spans="1:11" s="9" customFormat="1" x14ac:dyDescent="0.15">
      <c r="A66" s="9" t="s">
        <v>21</v>
      </c>
      <c r="B66" s="7">
        <v>10654.35</v>
      </c>
      <c r="C66" s="7">
        <v>12895.81</v>
      </c>
      <c r="D66" s="7">
        <v>15312</v>
      </c>
      <c r="E66" s="7">
        <v>17396.73</v>
      </c>
      <c r="F66" s="7">
        <v>18504.36</v>
      </c>
      <c r="G66" s="7">
        <v>19674.07</v>
      </c>
      <c r="H66" s="7">
        <v>23096.09</v>
      </c>
      <c r="I66" s="7">
        <v>22478.39</v>
      </c>
      <c r="J66" s="7">
        <v>23917.03</v>
      </c>
      <c r="K66" s="7">
        <v>26152.79</v>
      </c>
    </row>
    <row r="67" spans="1:11" x14ac:dyDescent="0.15">
      <c r="A67" s="11" t="s">
        <v>72</v>
      </c>
      <c r="B67" s="7">
        <v>1371.82</v>
      </c>
      <c r="C67" s="7">
        <v>1282.07</v>
      </c>
      <c r="D67" s="7">
        <v>1551.75</v>
      </c>
      <c r="E67" s="7">
        <v>1426.97</v>
      </c>
      <c r="F67" s="7">
        <v>2745.11</v>
      </c>
      <c r="G67" s="7">
        <v>1511.91</v>
      </c>
      <c r="H67" s="7">
        <v>2274.6799999999998</v>
      </c>
      <c r="I67" s="7">
        <v>2158.4899999999998</v>
      </c>
      <c r="J67" s="7">
        <v>2719.47</v>
      </c>
      <c r="K67" s="7">
        <v>2630.22</v>
      </c>
    </row>
    <row r="68" spans="1:11" ht="15" x14ac:dyDescent="0.2">
      <c r="A68" s="11" t="s">
        <v>40</v>
      </c>
      <c r="B68">
        <v>861.39</v>
      </c>
      <c r="C68">
        <v>761.99</v>
      </c>
      <c r="D68">
        <v>708.58</v>
      </c>
      <c r="E68">
        <v>962.68</v>
      </c>
      <c r="F68">
        <v>1249.53</v>
      </c>
      <c r="G68">
        <v>1282.32</v>
      </c>
      <c r="H68">
        <v>1789.27</v>
      </c>
      <c r="I68">
        <v>1472.41</v>
      </c>
      <c r="J68">
        <v>1756.39</v>
      </c>
      <c r="K68">
        <v>1755.9</v>
      </c>
    </row>
    <row r="69" spans="1:11" x14ac:dyDescent="0.15">
      <c r="A69" s="11" t="s">
        <v>81</v>
      </c>
      <c r="B69" s="7">
        <v>215.78</v>
      </c>
      <c r="C69" s="7">
        <v>179.09</v>
      </c>
      <c r="D69" s="7">
        <v>195.39</v>
      </c>
      <c r="E69" s="7">
        <v>237.57</v>
      </c>
      <c r="F69" s="7">
        <v>303.89999999999998</v>
      </c>
      <c r="G69" s="7">
        <v>435.41</v>
      </c>
      <c r="H69" s="7">
        <v>396.24</v>
      </c>
      <c r="I69" s="7">
        <v>299.74</v>
      </c>
      <c r="J69" s="7">
        <v>422.8</v>
      </c>
      <c r="K69" s="7">
        <v>696.47</v>
      </c>
    </row>
    <row r="70" spans="1:11" x14ac:dyDescent="0.15">
      <c r="A70" s="11" t="s">
        <v>68</v>
      </c>
      <c r="B70" s="7">
        <v>199687500</v>
      </c>
      <c r="C70" s="7">
        <v>199690088</v>
      </c>
      <c r="D70" s="7">
        <v>199696838</v>
      </c>
      <c r="E70" s="7">
        <v>199696838</v>
      </c>
      <c r="F70" s="7">
        <v>199726884</v>
      </c>
      <c r="G70" s="7">
        <v>199739368</v>
      </c>
      <c r="H70" s="7">
        <v>199780217</v>
      </c>
      <c r="I70" s="7">
        <v>199780217</v>
      </c>
      <c r="J70" s="7">
        <v>199839718</v>
      </c>
      <c r="K70" s="7">
        <v>199921741</v>
      </c>
    </row>
    <row r="71" spans="1:11" x14ac:dyDescent="0.15">
      <c r="A71" s="11" t="s">
        <v>69</v>
      </c>
    </row>
    <row r="72" spans="1:11" x14ac:dyDescent="0.15">
      <c r="A72" s="11" t="s">
        <v>82</v>
      </c>
      <c r="B72" s="7">
        <v>2</v>
      </c>
      <c r="C72" s="7">
        <v>2</v>
      </c>
      <c r="D72" s="7">
        <v>2</v>
      </c>
      <c r="E72" s="7">
        <v>2</v>
      </c>
      <c r="F72" s="7">
        <v>2</v>
      </c>
      <c r="G72" s="7">
        <v>2</v>
      </c>
      <c r="H72" s="7">
        <v>2</v>
      </c>
      <c r="I72" s="7">
        <v>2</v>
      </c>
      <c r="J72" s="7">
        <v>2</v>
      </c>
      <c r="K72" s="7">
        <v>2</v>
      </c>
    </row>
    <row r="80" spans="1:11" x14ac:dyDescent="0.15">
      <c r="A80" s="9" t="s">
        <v>36</v>
      </c>
    </row>
    <row r="81" spans="1:12" s="22" customFormat="1" x14ac:dyDescent="0.15">
      <c r="A81" s="21" t="s">
        <v>33</v>
      </c>
      <c r="B81" s="8">
        <v>42094</v>
      </c>
      <c r="C81" s="8">
        <v>42460</v>
      </c>
      <c r="D81" s="8">
        <v>42825</v>
      </c>
      <c r="E81" s="8">
        <v>43190</v>
      </c>
      <c r="F81" s="8">
        <v>43555</v>
      </c>
      <c r="G81" s="8">
        <v>43921</v>
      </c>
      <c r="H81" s="8">
        <v>44286</v>
      </c>
      <c r="I81" s="8">
        <v>44651</v>
      </c>
      <c r="J81" s="8">
        <v>45016</v>
      </c>
      <c r="K81" s="8">
        <v>45382</v>
      </c>
      <c r="L81" s="8"/>
    </row>
    <row r="82" spans="1:12" s="9" customFormat="1" x14ac:dyDescent="0.15">
      <c r="A82" s="11" t="s">
        <v>27</v>
      </c>
      <c r="B82" s="7">
        <v>2185.5100000000002</v>
      </c>
      <c r="C82" s="7">
        <v>3722.37</v>
      </c>
      <c r="D82" s="7">
        <v>4007.18</v>
      </c>
      <c r="E82" s="7">
        <v>4017.21</v>
      </c>
      <c r="F82" s="7">
        <v>1032.28</v>
      </c>
      <c r="G82" s="7">
        <v>5518.13</v>
      </c>
      <c r="H82" s="7">
        <v>4110.45</v>
      </c>
      <c r="I82" s="7">
        <v>2103.6999999999998</v>
      </c>
      <c r="J82" s="7">
        <v>2613.84</v>
      </c>
      <c r="K82" s="7">
        <v>4923.07</v>
      </c>
    </row>
    <row r="83" spans="1:12" x14ac:dyDescent="0.15">
      <c r="A83" s="11" t="s">
        <v>28</v>
      </c>
      <c r="B83" s="7">
        <v>31.38</v>
      </c>
      <c r="C83" s="7">
        <v>-2300.1799999999998</v>
      </c>
      <c r="D83" s="7">
        <v>-1971.95</v>
      </c>
      <c r="E83" s="7">
        <v>-1858.21</v>
      </c>
      <c r="F83" s="7">
        <v>1297.6300000000001</v>
      </c>
      <c r="G83" s="7">
        <v>-2819.14</v>
      </c>
      <c r="H83" s="7">
        <v>-2289.3200000000002</v>
      </c>
      <c r="I83" s="7">
        <v>-221.97</v>
      </c>
      <c r="J83" s="7">
        <v>-421.33</v>
      </c>
      <c r="K83" s="7">
        <v>-1827.87</v>
      </c>
    </row>
    <row r="84" spans="1:12" x14ac:dyDescent="0.15">
      <c r="A84" s="11" t="s">
        <v>29</v>
      </c>
      <c r="B84" s="7">
        <v>-2131.13</v>
      </c>
      <c r="C84" s="7">
        <v>-1474.73</v>
      </c>
      <c r="D84" s="7">
        <v>-2035.86</v>
      </c>
      <c r="E84" s="7">
        <v>-2102.4499999999998</v>
      </c>
      <c r="F84" s="7">
        <v>-2252.4</v>
      </c>
      <c r="G84" s="7">
        <v>-2601.8000000000002</v>
      </c>
      <c r="H84" s="7">
        <v>-1851.82</v>
      </c>
      <c r="I84" s="7">
        <v>-1975.33</v>
      </c>
      <c r="J84" s="7">
        <v>-2147.23</v>
      </c>
      <c r="K84" s="7">
        <v>-2716.59</v>
      </c>
    </row>
    <row r="85" spans="1:12" s="9" customFormat="1" x14ac:dyDescent="0.15">
      <c r="A85" s="11" t="s">
        <v>30</v>
      </c>
      <c r="B85" s="7">
        <v>85.76</v>
      </c>
      <c r="C85" s="7">
        <v>-52.54</v>
      </c>
      <c r="D85" s="7">
        <v>-0.63</v>
      </c>
      <c r="E85" s="7">
        <v>56.55</v>
      </c>
      <c r="F85" s="7">
        <v>77.510000000000005</v>
      </c>
      <c r="G85" s="7">
        <v>97.19</v>
      </c>
      <c r="H85" s="7">
        <v>-30.69</v>
      </c>
      <c r="I85" s="7">
        <v>-93.6</v>
      </c>
      <c r="J85" s="7">
        <v>45.28</v>
      </c>
      <c r="K85" s="7">
        <v>378.61</v>
      </c>
    </row>
    <row r="90" spans="1:12" s="9" customFormat="1" x14ac:dyDescent="0.15">
      <c r="A90" s="9" t="s">
        <v>71</v>
      </c>
      <c r="B90" s="7">
        <v>2639.8</v>
      </c>
      <c r="C90" s="7">
        <v>2945.7</v>
      </c>
      <c r="D90" s="7">
        <v>3221.95</v>
      </c>
      <c r="E90" s="7">
        <v>3542.8</v>
      </c>
      <c r="F90" s="7">
        <v>2553.15</v>
      </c>
      <c r="G90" s="7">
        <v>1596.45</v>
      </c>
      <c r="H90" s="7">
        <v>2913.6</v>
      </c>
      <c r="I90" s="7">
        <v>2294.15</v>
      </c>
      <c r="J90" s="7">
        <v>2347.35</v>
      </c>
      <c r="K90" s="7">
        <v>4722.3</v>
      </c>
    </row>
    <row r="92" spans="1:12" s="9" customFormat="1" x14ac:dyDescent="0.15">
      <c r="A92" s="9" t="s">
        <v>70</v>
      </c>
    </row>
    <row r="93" spans="1:12" x14ac:dyDescent="0.15">
      <c r="A93" s="11" t="s">
        <v>83</v>
      </c>
      <c r="B93" s="23">
        <v>19.97</v>
      </c>
      <c r="C93" s="23">
        <v>19.97</v>
      </c>
      <c r="D93" s="23">
        <v>19.97</v>
      </c>
      <c r="E93" s="23">
        <v>19.97</v>
      </c>
      <c r="F93" s="23">
        <v>19.97</v>
      </c>
      <c r="G93" s="23">
        <v>19.97</v>
      </c>
      <c r="H93" s="23">
        <v>19.98</v>
      </c>
      <c r="I93" s="23">
        <v>19.98</v>
      </c>
      <c r="J93" s="23">
        <v>19.98</v>
      </c>
      <c r="K93" s="23">
        <v>19.989999999999998</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baseColWidth="10" defaultColWidth="9.1640625" defaultRowHeight="15" x14ac:dyDescent="0.2"/>
  <cols>
    <col min="1" max="1" width="9.1640625" style="1"/>
    <col min="2" max="2" width="10.5" customWidth="1"/>
    <col min="3" max="3" width="13.33203125" style="3" customWidth="1"/>
    <col min="6" max="6" width="6.83203125" customWidth="1"/>
  </cols>
  <sheetData>
    <row r="1" spans="1:7" ht="21" x14ac:dyDescent="0.25">
      <c r="A1" s="2" t="s">
        <v>52</v>
      </c>
    </row>
    <row r="3" spans="1:7" x14ac:dyDescent="0.2">
      <c r="A3" s="1" t="s">
        <v>43</v>
      </c>
    </row>
    <row r="4" spans="1:7" x14ac:dyDescent="0.2">
      <c r="B4" t="s">
        <v>84</v>
      </c>
    </row>
    <row r="5" spans="1:7" x14ac:dyDescent="0.2">
      <c r="B5" t="s">
        <v>44</v>
      </c>
    </row>
    <row r="7" spans="1:7" x14ac:dyDescent="0.2">
      <c r="A7" s="1" t="s">
        <v>45</v>
      </c>
    </row>
    <row r="8" spans="1:7" x14ac:dyDescent="0.2">
      <c r="B8" t="s">
        <v>46</v>
      </c>
      <c r="C8" s="4" t="s">
        <v>85</v>
      </c>
    </row>
    <row r="10" spans="1:7" x14ac:dyDescent="0.2">
      <c r="A10" s="1" t="s">
        <v>47</v>
      </c>
    </row>
    <row r="11" spans="1:7" x14ac:dyDescent="0.2">
      <c r="B11" t="s">
        <v>48</v>
      </c>
    </row>
    <row r="14" spans="1:7" x14ac:dyDescent="0.2">
      <c r="A14" s="1" t="s">
        <v>49</v>
      </c>
    </row>
    <row r="15" spans="1:7" x14ac:dyDescent="0.2">
      <c r="B15" t="s">
        <v>50</v>
      </c>
    </row>
    <row r="16" spans="1:7" x14ac:dyDescent="0.2">
      <c r="B16" t="s">
        <v>51</v>
      </c>
      <c r="G16" s="5"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baseColWidth="10" defaultColWidth="9.1640625" defaultRowHeight="14" x14ac:dyDescent="0.2"/>
  <cols>
    <col min="1" max="1" width="34.5" style="184" bestFit="1" customWidth="1"/>
    <col min="2" max="2" width="21.33203125" style="184" bestFit="1" customWidth="1"/>
    <col min="3" max="16384" width="9.1640625" style="184"/>
  </cols>
  <sheetData>
    <row r="1" spans="1:11" ht="15" thickBot="1" x14ac:dyDescent="0.25">
      <c r="A1" s="293" t="s">
        <v>316</v>
      </c>
      <c r="B1" s="294"/>
    </row>
    <row r="2" spans="1:11" ht="13" customHeight="1" x14ac:dyDescent="0.2">
      <c r="A2" s="295"/>
      <c r="B2" s="296"/>
      <c r="E2" s="300" t="s">
        <v>297</v>
      </c>
      <c r="F2" s="301"/>
      <c r="G2" s="301"/>
      <c r="H2" s="301"/>
      <c r="I2" s="301"/>
      <c r="J2" s="301"/>
      <c r="K2" s="302"/>
    </row>
    <row r="3" spans="1:11" ht="15" customHeight="1" x14ac:dyDescent="0.2">
      <c r="A3" s="295"/>
      <c r="B3" s="296"/>
      <c r="E3" s="303"/>
      <c r="F3" s="304"/>
      <c r="G3" s="304"/>
      <c r="H3" s="304"/>
      <c r="I3" s="304"/>
      <c r="J3" s="304"/>
      <c r="K3" s="305"/>
    </row>
    <row r="4" spans="1:11" ht="15" customHeight="1" x14ac:dyDescent="0.2">
      <c r="A4" s="295"/>
      <c r="B4" s="296"/>
      <c r="E4" s="303"/>
      <c r="F4" s="304"/>
      <c r="G4" s="304"/>
      <c r="H4" s="304"/>
      <c r="I4" s="304"/>
      <c r="J4" s="304"/>
      <c r="K4" s="305"/>
    </row>
    <row r="5" spans="1:11" ht="15" customHeight="1" thickBot="1" x14ac:dyDescent="0.25">
      <c r="A5" s="297"/>
      <c r="B5" s="298"/>
      <c r="E5" s="303"/>
      <c r="F5" s="304"/>
      <c r="G5" s="304"/>
      <c r="H5" s="304"/>
      <c r="I5" s="304"/>
      <c r="J5" s="304"/>
      <c r="K5" s="305"/>
    </row>
    <row r="6" spans="1:11" ht="17" thickBot="1" x14ac:dyDescent="0.25">
      <c r="A6" s="299" t="s">
        <v>212</v>
      </c>
      <c r="B6" s="299"/>
      <c r="E6" s="306"/>
      <c r="F6" s="307"/>
      <c r="G6" s="307"/>
      <c r="H6" s="307"/>
      <c r="I6" s="307"/>
      <c r="J6" s="307"/>
      <c r="K6" s="308"/>
    </row>
    <row r="7" spans="1:11" x14ac:dyDescent="0.2">
      <c r="A7" s="291" t="s">
        <v>213</v>
      </c>
      <c r="B7" s="292"/>
    </row>
    <row r="8" spans="1:11" ht="15" thickBot="1" x14ac:dyDescent="0.25">
      <c r="A8" s="185" t="s">
        <v>214</v>
      </c>
      <c r="B8" s="186" t="s">
        <v>215</v>
      </c>
    </row>
    <row r="9" spans="1:11" ht="13" customHeight="1" x14ac:dyDescent="0.2">
      <c r="A9" s="67" t="s">
        <v>216</v>
      </c>
      <c r="B9" s="187" t="str">
        <f>'Data Sheet'!B1</f>
        <v>HERO MOTOCORP LTD</v>
      </c>
      <c r="E9" s="309" t="s">
        <v>245</v>
      </c>
      <c r="F9" s="310"/>
      <c r="G9" s="310"/>
      <c r="H9" s="310"/>
      <c r="I9" s="310"/>
      <c r="J9" s="310"/>
      <c r="K9" s="311"/>
    </row>
    <row r="10" spans="1:11" ht="14.5" customHeight="1" x14ac:dyDescent="0.2">
      <c r="A10" s="67" t="s">
        <v>217</v>
      </c>
      <c r="B10" s="188">
        <f>'Data Sheet'!B8</f>
        <v>4787.45</v>
      </c>
      <c r="E10" s="312"/>
      <c r="F10" s="313"/>
      <c r="G10" s="313"/>
      <c r="H10" s="313"/>
      <c r="I10" s="313"/>
      <c r="J10" s="313"/>
      <c r="K10" s="314"/>
    </row>
    <row r="11" spans="1:11" ht="14.5" customHeight="1" x14ac:dyDescent="0.2">
      <c r="A11" s="67" t="s">
        <v>218</v>
      </c>
      <c r="B11" s="189">
        <f>'Data Sheet'!B7</f>
        <v>2</v>
      </c>
      <c r="E11" s="312"/>
      <c r="F11" s="313"/>
      <c r="G11" s="313"/>
      <c r="H11" s="313"/>
      <c r="I11" s="313"/>
      <c r="J11" s="313"/>
      <c r="K11" s="314"/>
    </row>
    <row r="12" spans="1:11" ht="14.5" customHeight="1" thickBot="1" x14ac:dyDescent="0.25">
      <c r="A12" s="67" t="s">
        <v>219</v>
      </c>
      <c r="B12" s="189">
        <f>'Data Sheet'!B6</f>
        <v>20.007145766535423</v>
      </c>
      <c r="E12" s="315"/>
      <c r="F12" s="316"/>
      <c r="G12" s="316"/>
      <c r="H12" s="316"/>
      <c r="I12" s="316"/>
      <c r="J12" s="316"/>
      <c r="K12" s="317"/>
    </row>
    <row r="13" spans="1:11" x14ac:dyDescent="0.2">
      <c r="A13" s="67" t="s">
        <v>220</v>
      </c>
      <c r="B13" s="188">
        <f>B10*B12</f>
        <v>95783.21</v>
      </c>
    </row>
    <row r="14" spans="1:11" ht="15" thickBot="1" x14ac:dyDescent="0.25"/>
    <row r="15" spans="1:11" ht="13" customHeight="1" x14ac:dyDescent="0.2">
      <c r="A15" s="291" t="s">
        <v>224</v>
      </c>
      <c r="B15" s="292"/>
      <c r="E15" s="309" t="s">
        <v>246</v>
      </c>
      <c r="F15" s="310"/>
      <c r="G15" s="310"/>
      <c r="H15" s="310"/>
      <c r="I15" s="310"/>
      <c r="J15" s="310"/>
      <c r="K15" s="311"/>
    </row>
    <row r="16" spans="1:11" ht="14.5" customHeight="1" x14ac:dyDescent="0.2">
      <c r="A16" s="185" t="s">
        <v>214</v>
      </c>
      <c r="B16" s="186" t="s">
        <v>215</v>
      </c>
      <c r="E16" s="312"/>
      <c r="F16" s="313"/>
      <c r="G16" s="313"/>
      <c r="H16" s="313"/>
      <c r="I16" s="313"/>
      <c r="J16" s="313"/>
      <c r="K16" s="314"/>
    </row>
    <row r="17" spans="1:11" ht="14.5" customHeight="1" x14ac:dyDescent="0.2">
      <c r="A17" s="67" t="s">
        <v>225</v>
      </c>
      <c r="B17" s="190">
        <f>'Profit &amp; Loss'!B37</f>
        <v>3.5785425890505262E-2</v>
      </c>
      <c r="E17" s="312"/>
      <c r="F17" s="313"/>
      <c r="G17" s="313"/>
      <c r="H17" s="313"/>
      <c r="I17" s="313"/>
      <c r="J17" s="313"/>
      <c r="K17" s="314"/>
    </row>
    <row r="18" spans="1:11" ht="14.5" customHeight="1" x14ac:dyDescent="0.2">
      <c r="A18" s="67" t="s">
        <v>226</v>
      </c>
      <c r="B18" s="190">
        <f>'Profit &amp; Loss'!B38</f>
        <v>4.9617696122883803E-2</v>
      </c>
      <c r="E18" s="312"/>
      <c r="F18" s="313"/>
      <c r="G18" s="313"/>
      <c r="H18" s="313"/>
      <c r="I18" s="313"/>
      <c r="J18" s="313"/>
      <c r="K18" s="314"/>
    </row>
    <row r="19" spans="1:11" ht="14.5" customHeight="1" x14ac:dyDescent="0.2">
      <c r="A19" s="67" t="s">
        <v>221</v>
      </c>
      <c r="B19" s="190">
        <f>('Data Sheet'!K30/'Data Sheet'!B30)^(1/9)-1</f>
        <v>5.240767394412793E-2</v>
      </c>
      <c r="E19" s="312"/>
      <c r="F19" s="313"/>
      <c r="G19" s="313"/>
      <c r="H19" s="313"/>
      <c r="I19" s="313"/>
      <c r="J19" s="313"/>
      <c r="K19" s="314"/>
    </row>
    <row r="20" spans="1:11" ht="14.5" customHeight="1" x14ac:dyDescent="0.2">
      <c r="A20" s="67" t="s">
        <v>222</v>
      </c>
      <c r="B20" s="191">
        <f>AVERAGE('Balance Sheet'!G25:K25)</f>
        <v>3.5174346375676888E-2</v>
      </c>
      <c r="E20" s="312"/>
      <c r="F20" s="313"/>
      <c r="G20" s="313"/>
      <c r="H20" s="313"/>
      <c r="I20" s="313"/>
      <c r="J20" s="313"/>
      <c r="K20" s="314"/>
    </row>
    <row r="21" spans="1:11" ht="14.5" customHeight="1" x14ac:dyDescent="0.2">
      <c r="A21" s="67" t="s">
        <v>223</v>
      </c>
      <c r="B21" s="192">
        <f>AVERAGE('Balance Sheet'!G26:K26)</f>
        <v>0.19419580519168247</v>
      </c>
      <c r="E21" s="312"/>
      <c r="F21" s="313"/>
      <c r="G21" s="313"/>
      <c r="H21" s="313"/>
      <c r="I21" s="313"/>
      <c r="J21" s="313"/>
      <c r="K21" s="314"/>
    </row>
    <row r="22" spans="1:11" ht="14.5" customHeight="1" x14ac:dyDescent="0.2">
      <c r="A22" s="67" t="s">
        <v>228</v>
      </c>
      <c r="B22" s="193">
        <f>AVERAGE('Profit &amp; Loss'!G28:K28)</f>
        <v>18.039257059087021</v>
      </c>
      <c r="E22" s="312"/>
      <c r="F22" s="313"/>
      <c r="G22" s="313"/>
      <c r="H22" s="313"/>
      <c r="I22" s="313"/>
      <c r="J22" s="313"/>
      <c r="K22" s="314"/>
    </row>
    <row r="23" spans="1:11" ht="15" customHeight="1" thickBot="1" x14ac:dyDescent="0.25">
      <c r="A23" s="194" t="s">
        <v>227</v>
      </c>
      <c r="B23" s="195">
        <f>B13/Annual[[#This Row],[Column12]]</f>
        <v>23.511832845258645</v>
      </c>
      <c r="E23" s="315"/>
      <c r="F23" s="316"/>
      <c r="G23" s="316"/>
      <c r="H23" s="316"/>
      <c r="I23" s="316"/>
      <c r="J23" s="316"/>
      <c r="K23" s="317"/>
    </row>
    <row r="24" spans="1:11" x14ac:dyDescent="0.2">
      <c r="A24" s="196"/>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baseColWidth="10" defaultColWidth="9.1640625" defaultRowHeight="13" x14ac:dyDescent="0.15"/>
  <cols>
    <col min="1" max="1" width="36.5" style="7" bestFit="1" customWidth="1"/>
    <col min="2" max="2" width="96.33203125" style="7" customWidth="1"/>
    <col min="3" max="3" width="92.5" style="7" bestFit="1" customWidth="1"/>
    <col min="4" max="16384" width="9.1640625" style="7"/>
  </cols>
  <sheetData>
    <row r="1" spans="1:2" ht="20" thickBot="1" x14ac:dyDescent="0.25">
      <c r="A1" s="318" t="s">
        <v>186</v>
      </c>
      <c r="B1" s="319"/>
    </row>
    <row r="2" spans="1:2" ht="14" thickBot="1" x14ac:dyDescent="0.2">
      <c r="A2" s="320" t="s">
        <v>187</v>
      </c>
      <c r="B2" s="320"/>
    </row>
    <row r="3" spans="1:2" ht="14" x14ac:dyDescent="0.15">
      <c r="A3" s="127" t="s">
        <v>188</v>
      </c>
      <c r="B3" s="128" t="s">
        <v>189</v>
      </c>
    </row>
    <row r="4" spans="1:2" ht="71" thickBot="1" x14ac:dyDescent="0.2">
      <c r="A4" s="129" t="s">
        <v>190</v>
      </c>
      <c r="B4" s="130" t="s">
        <v>191</v>
      </c>
    </row>
    <row r="5" spans="1:2" ht="14" thickBot="1" x14ac:dyDescent="0.2">
      <c r="A5" s="131"/>
      <c r="B5" s="132"/>
    </row>
    <row r="6" spans="1:2" ht="85" thickBot="1" x14ac:dyDescent="0.2">
      <c r="A6" s="133" t="s">
        <v>192</v>
      </c>
      <c r="B6" s="134" t="s">
        <v>193</v>
      </c>
    </row>
    <row r="7" spans="1:2" ht="14" thickBot="1" x14ac:dyDescent="0.2">
      <c r="A7" s="135"/>
      <c r="B7" s="131"/>
    </row>
    <row r="8" spans="1:2" ht="43" thickBot="1" x14ac:dyDescent="0.2">
      <c r="A8" s="133" t="s">
        <v>194</v>
      </c>
      <c r="B8" s="134" t="s">
        <v>195</v>
      </c>
    </row>
    <row r="9" spans="1:2" ht="14" thickBot="1" x14ac:dyDescent="0.2">
      <c r="A9" s="135"/>
      <c r="B9" s="131"/>
    </row>
    <row r="10" spans="1:2" ht="71" thickBot="1" x14ac:dyDescent="0.2">
      <c r="A10" s="133" t="s">
        <v>196</v>
      </c>
      <c r="B10" s="134" t="s">
        <v>267</v>
      </c>
    </row>
    <row r="11" spans="1:2" x14ac:dyDescent="0.15">
      <c r="A11" s="135"/>
      <c r="B11" s="131"/>
    </row>
    <row r="12" spans="1:2" ht="56" x14ac:dyDescent="0.15">
      <c r="A12" s="136" t="s">
        <v>197</v>
      </c>
      <c r="B12" s="137" t="s">
        <v>198</v>
      </c>
    </row>
    <row r="13" spans="1:2" ht="14" thickBot="1" x14ac:dyDescent="0.2">
      <c r="A13" s="135"/>
      <c r="B13" s="131"/>
    </row>
    <row r="14" spans="1:2" ht="57" thickBot="1" x14ac:dyDescent="0.2">
      <c r="A14" s="133" t="s">
        <v>199</v>
      </c>
      <c r="B14" s="134" t="s">
        <v>200</v>
      </c>
    </row>
    <row r="15" spans="1:2" ht="14" thickBot="1" x14ac:dyDescent="0.2">
      <c r="A15" s="135"/>
      <c r="B15" s="131"/>
    </row>
    <row r="16" spans="1:2" ht="43" thickBot="1" x14ac:dyDescent="0.2">
      <c r="A16" s="133" t="s">
        <v>201</v>
      </c>
      <c r="B16" s="134" t="s">
        <v>202</v>
      </c>
    </row>
    <row r="17" spans="1:2" ht="14" thickBot="1" x14ac:dyDescent="0.2">
      <c r="A17" s="135"/>
      <c r="B17" s="131"/>
    </row>
    <row r="18" spans="1:2" ht="43" thickBot="1" x14ac:dyDescent="0.2">
      <c r="A18" s="133" t="s">
        <v>203</v>
      </c>
      <c r="B18" s="134" t="s">
        <v>268</v>
      </c>
    </row>
    <row r="19" spans="1:2" ht="14" thickBot="1" x14ac:dyDescent="0.2">
      <c r="A19" s="135"/>
      <c r="B19" s="131"/>
    </row>
    <row r="20" spans="1:2" ht="43" thickBot="1" x14ac:dyDescent="0.2">
      <c r="A20" s="133" t="s">
        <v>204</v>
      </c>
      <c r="B20" s="134" t="s">
        <v>205</v>
      </c>
    </row>
    <row r="21" spans="1:2" ht="14" thickBot="1" x14ac:dyDescent="0.2">
      <c r="A21" s="135"/>
      <c r="B21" s="131"/>
    </row>
    <row r="22" spans="1:2" ht="71" thickBot="1" x14ac:dyDescent="0.2">
      <c r="A22" s="133" t="s">
        <v>206</v>
      </c>
      <c r="B22" s="134" t="s">
        <v>207</v>
      </c>
    </row>
    <row r="23" spans="1:2" ht="14" thickBot="1" x14ac:dyDescent="0.2">
      <c r="A23" s="138"/>
      <c r="B23" s="138"/>
    </row>
    <row r="24" spans="1:2" ht="57" thickBot="1" x14ac:dyDescent="0.2">
      <c r="A24" s="133" t="s">
        <v>208</v>
      </c>
      <c r="B24" s="134" t="s">
        <v>209</v>
      </c>
    </row>
    <row r="25" spans="1:2" ht="14" thickBot="1" x14ac:dyDescent="0.2">
      <c r="A25" s="132"/>
      <c r="B25" s="132"/>
    </row>
    <row r="26" spans="1:2" ht="15" thickBot="1" x14ac:dyDescent="0.2">
      <c r="A26" s="133" t="s">
        <v>210</v>
      </c>
      <c r="B26" s="134"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7"/>
  <sheetViews>
    <sheetView workbookViewId="0">
      <selection sqref="A1:L28"/>
    </sheetView>
  </sheetViews>
  <sheetFormatPr baseColWidth="10" defaultColWidth="9.1640625" defaultRowHeight="13" x14ac:dyDescent="0.15"/>
  <cols>
    <col min="1" max="1" width="24.33203125" style="213" bestFit="1" customWidth="1"/>
    <col min="2" max="3" width="7.1640625" style="213" bestFit="1" customWidth="1"/>
    <col min="4" max="5" width="7.5" style="213" bestFit="1" customWidth="1"/>
    <col min="6" max="6" width="7.1640625" style="213" bestFit="1" customWidth="1"/>
    <col min="7" max="11" width="7.5" style="213" bestFit="1" customWidth="1"/>
    <col min="12" max="16384" width="9.1640625" style="213"/>
  </cols>
  <sheetData>
    <row r="1" spans="1:11" ht="19" x14ac:dyDescent="0.2">
      <c r="A1" s="321" t="s">
        <v>264</v>
      </c>
      <c r="B1" s="322"/>
      <c r="C1" s="322"/>
      <c r="D1" s="322"/>
      <c r="E1" s="322"/>
      <c r="F1" s="322"/>
      <c r="G1" s="322"/>
      <c r="H1" s="322"/>
      <c r="I1" s="322"/>
      <c r="J1" s="322"/>
      <c r="K1" s="323"/>
    </row>
    <row r="2" spans="1:11" s="212" customFormat="1" ht="14" thickBot="1" x14ac:dyDescent="0.2">
      <c r="A2" s="324" t="str">
        <f>'Profit &amp; Loss'!A2</f>
        <v>HERO MOTOCORP LTD</v>
      </c>
      <c r="B2" s="325"/>
      <c r="C2" s="325"/>
      <c r="D2" s="325"/>
      <c r="E2" s="325"/>
      <c r="F2" s="325"/>
      <c r="G2" s="325"/>
      <c r="H2" s="325"/>
      <c r="I2" s="325"/>
      <c r="J2" s="325"/>
      <c r="K2" s="326"/>
    </row>
    <row r="3" spans="1:11" x14ac:dyDescent="0.15">
      <c r="A3" s="224" t="s">
        <v>179</v>
      </c>
      <c r="B3" s="223">
        <f>'Data Sheet'!B56</f>
        <v>42094</v>
      </c>
      <c r="C3" s="223">
        <f>'Data Sheet'!C56</f>
        <v>42460</v>
      </c>
      <c r="D3" s="223">
        <f>'Data Sheet'!D56</f>
        <v>42825</v>
      </c>
      <c r="E3" s="223">
        <f>'Data Sheet'!E56</f>
        <v>43190</v>
      </c>
      <c r="F3" s="223">
        <f>'Data Sheet'!F56</f>
        <v>43555</v>
      </c>
      <c r="G3" s="223">
        <f>'Data Sheet'!G56</f>
        <v>43921</v>
      </c>
      <c r="H3" s="223">
        <f>'Data Sheet'!H56</f>
        <v>44286</v>
      </c>
      <c r="I3" s="223">
        <f>'Data Sheet'!I56</f>
        <v>44651</v>
      </c>
      <c r="J3" s="223">
        <f>'Data Sheet'!J56</f>
        <v>45016</v>
      </c>
      <c r="K3" s="225">
        <f>'Data Sheet'!K56</f>
        <v>45382</v>
      </c>
    </row>
    <row r="4" spans="1:11" x14ac:dyDescent="0.15">
      <c r="A4" s="226" t="s">
        <v>19</v>
      </c>
      <c r="B4" s="214">
        <f>'Data Sheet'!B57</f>
        <v>39.94</v>
      </c>
      <c r="C4" s="214">
        <f>'Data Sheet'!C57</f>
        <v>39.94</v>
      </c>
      <c r="D4" s="214">
        <f>'Data Sheet'!D57</f>
        <v>39.94</v>
      </c>
      <c r="E4" s="214">
        <f>'Data Sheet'!E57</f>
        <v>39.94</v>
      </c>
      <c r="F4" s="214">
        <f>'Data Sheet'!F57</f>
        <v>39.950000000000003</v>
      </c>
      <c r="G4" s="214">
        <f>'Data Sheet'!G57</f>
        <v>39.950000000000003</v>
      </c>
      <c r="H4" s="214">
        <f>'Data Sheet'!H57</f>
        <v>39.96</v>
      </c>
      <c r="I4" s="214">
        <f>'Data Sheet'!I57</f>
        <v>39.96</v>
      </c>
      <c r="J4" s="214">
        <f>'Data Sheet'!J57</f>
        <v>39.97</v>
      </c>
      <c r="K4" s="227">
        <f>'Data Sheet'!K57</f>
        <v>39.979999999999997</v>
      </c>
    </row>
    <row r="5" spans="1:11" x14ac:dyDescent="0.15">
      <c r="A5" s="226" t="s">
        <v>20</v>
      </c>
      <c r="B5" s="214">
        <f>'Data Sheet'!B58</f>
        <v>6500.06</v>
      </c>
      <c r="C5" s="214">
        <f>'Data Sheet'!C58</f>
        <v>8794.17</v>
      </c>
      <c r="D5" s="214">
        <f>'Data Sheet'!D58</f>
        <v>10275.57</v>
      </c>
      <c r="E5" s="214">
        <f>'Data Sheet'!E58</f>
        <v>11931.52</v>
      </c>
      <c r="F5" s="214">
        <f>'Data Sheet'!F58</f>
        <v>13080.46</v>
      </c>
      <c r="G5" s="214">
        <f>'Data Sheet'!G58</f>
        <v>14366.33</v>
      </c>
      <c r="H5" s="214">
        <f>'Data Sheet'!H58</f>
        <v>15376.46</v>
      </c>
      <c r="I5" s="214">
        <f>'Data Sheet'!I58</f>
        <v>15806.69</v>
      </c>
      <c r="J5" s="214">
        <f>'Data Sheet'!J58</f>
        <v>16615.599999999999</v>
      </c>
      <c r="K5" s="227">
        <f>'Data Sheet'!K58</f>
        <v>17658.939999999999</v>
      </c>
    </row>
    <row r="6" spans="1:11" x14ac:dyDescent="0.15">
      <c r="A6" s="226" t="s">
        <v>65</v>
      </c>
      <c r="B6" s="214">
        <f>'Data Sheet'!B59</f>
        <v>100</v>
      </c>
      <c r="C6" s="214">
        <f>'Data Sheet'!C59</f>
        <v>232.21</v>
      </c>
      <c r="D6" s="214">
        <f>'Data Sheet'!D59</f>
        <v>260.61</v>
      </c>
      <c r="E6" s="214">
        <f>'Data Sheet'!E59</f>
        <v>227.89</v>
      </c>
      <c r="F6" s="214">
        <f>'Data Sheet'!F59</f>
        <v>311.5</v>
      </c>
      <c r="G6" s="214">
        <f>'Data Sheet'!G59</f>
        <v>453.25</v>
      </c>
      <c r="H6" s="214">
        <f>'Data Sheet'!H59</f>
        <v>584.02</v>
      </c>
      <c r="I6" s="214">
        <f>'Data Sheet'!I59</f>
        <v>605.16999999999996</v>
      </c>
      <c r="J6" s="214">
        <f>'Data Sheet'!J59</f>
        <v>567.54</v>
      </c>
      <c r="K6" s="227">
        <f>'Data Sheet'!K59</f>
        <v>606.41</v>
      </c>
    </row>
    <row r="7" spans="1:11" x14ac:dyDescent="0.15">
      <c r="A7" s="226" t="s">
        <v>66</v>
      </c>
      <c r="B7" s="214">
        <f>'Data Sheet'!B60</f>
        <v>4014.35</v>
      </c>
      <c r="C7" s="214">
        <f>'Data Sheet'!C60</f>
        <v>3829.49</v>
      </c>
      <c r="D7" s="214">
        <f>'Data Sheet'!D60</f>
        <v>4735.88</v>
      </c>
      <c r="E7" s="214">
        <f>'Data Sheet'!E60</f>
        <v>5197.38</v>
      </c>
      <c r="F7" s="214">
        <f>'Data Sheet'!F60</f>
        <v>5072.45</v>
      </c>
      <c r="G7" s="214">
        <f>'Data Sheet'!G60</f>
        <v>4814.54</v>
      </c>
      <c r="H7" s="214">
        <f>'Data Sheet'!H60</f>
        <v>7095.65</v>
      </c>
      <c r="I7" s="214">
        <f>'Data Sheet'!I60</f>
        <v>6026.57</v>
      </c>
      <c r="J7" s="214">
        <f>'Data Sheet'!J60</f>
        <v>6693.92</v>
      </c>
      <c r="K7" s="227">
        <f>'Data Sheet'!K60</f>
        <v>7847.46</v>
      </c>
    </row>
    <row r="8" spans="1:11" s="212" customFormat="1" x14ac:dyDescent="0.15">
      <c r="A8" s="228" t="s">
        <v>21</v>
      </c>
      <c r="B8" s="215">
        <f>'Data Sheet'!B61</f>
        <v>10654.35</v>
      </c>
      <c r="C8" s="215">
        <f>'Data Sheet'!C61</f>
        <v>12895.81</v>
      </c>
      <c r="D8" s="215">
        <f>'Data Sheet'!D61</f>
        <v>15312</v>
      </c>
      <c r="E8" s="215">
        <f>'Data Sheet'!E61</f>
        <v>17396.73</v>
      </c>
      <c r="F8" s="215">
        <f>'Data Sheet'!F61</f>
        <v>18504.36</v>
      </c>
      <c r="G8" s="215">
        <f>'Data Sheet'!G61</f>
        <v>19674.07</v>
      </c>
      <c r="H8" s="215">
        <f>'Data Sheet'!H61</f>
        <v>23096.09</v>
      </c>
      <c r="I8" s="215">
        <f>'Data Sheet'!I61</f>
        <v>22478.39</v>
      </c>
      <c r="J8" s="215">
        <f>'Data Sheet'!J61</f>
        <v>23917.03</v>
      </c>
      <c r="K8" s="229">
        <f>'Data Sheet'!K61</f>
        <v>26152.79</v>
      </c>
    </row>
    <row r="9" spans="1:11" s="212" customFormat="1" x14ac:dyDescent="0.15">
      <c r="A9" s="228"/>
      <c r="B9" s="215"/>
      <c r="C9" s="215"/>
      <c r="D9" s="215"/>
      <c r="E9" s="215"/>
      <c r="F9" s="215"/>
      <c r="G9" s="215"/>
      <c r="H9" s="215"/>
      <c r="I9" s="215"/>
      <c r="J9" s="215"/>
      <c r="K9" s="229"/>
    </row>
    <row r="10" spans="1:11" x14ac:dyDescent="0.15">
      <c r="A10" s="226" t="s">
        <v>22</v>
      </c>
      <c r="B10" s="214">
        <f>'Data Sheet'!B62</f>
        <v>2952.28</v>
      </c>
      <c r="C10" s="214">
        <f>'Data Sheet'!C62</f>
        <v>3783.71</v>
      </c>
      <c r="D10" s="214">
        <f>'Data Sheet'!D62</f>
        <v>4598.8500000000004</v>
      </c>
      <c r="E10" s="214">
        <f>'Data Sheet'!E62</f>
        <v>4960.96</v>
      </c>
      <c r="F10" s="214">
        <f>'Data Sheet'!F62</f>
        <v>4952.3599999999997</v>
      </c>
      <c r="G10" s="214">
        <f>'Data Sheet'!G62</f>
        <v>6472.93</v>
      </c>
      <c r="H10" s="214">
        <f>'Data Sheet'!H62</f>
        <v>6380.39</v>
      </c>
      <c r="I10" s="214">
        <f>'Data Sheet'!I62</f>
        <v>6193.54</v>
      </c>
      <c r="J10" s="214">
        <f>'Data Sheet'!J62</f>
        <v>6159.2</v>
      </c>
      <c r="K10" s="227">
        <f>'Data Sheet'!K62</f>
        <v>6232.2</v>
      </c>
    </row>
    <row r="11" spans="1:11" x14ac:dyDescent="0.15">
      <c r="A11" s="226" t="s">
        <v>23</v>
      </c>
      <c r="B11" s="214">
        <f>'Data Sheet'!B63</f>
        <v>719.2</v>
      </c>
      <c r="C11" s="214">
        <f>'Data Sheet'!C63</f>
        <v>653.37</v>
      </c>
      <c r="D11" s="214">
        <f>'Data Sheet'!D63</f>
        <v>580.96</v>
      </c>
      <c r="E11" s="214">
        <f>'Data Sheet'!E63</f>
        <v>355.48</v>
      </c>
      <c r="F11" s="214">
        <f>'Data Sheet'!F63</f>
        <v>572.82000000000005</v>
      </c>
      <c r="G11" s="214">
        <f>'Data Sheet'!G63</f>
        <v>391.33</v>
      </c>
      <c r="H11" s="214">
        <f>'Data Sheet'!H63</f>
        <v>495.13</v>
      </c>
      <c r="I11" s="214">
        <f>'Data Sheet'!I63</f>
        <v>517.22</v>
      </c>
      <c r="J11" s="214">
        <f>'Data Sheet'!J63</f>
        <v>453.71</v>
      </c>
      <c r="K11" s="227">
        <f>'Data Sheet'!K63</f>
        <v>484.06</v>
      </c>
    </row>
    <row r="12" spans="1:11" x14ac:dyDescent="0.15">
      <c r="A12" s="226" t="s">
        <v>24</v>
      </c>
      <c r="B12" s="214">
        <f>'Data Sheet'!B64</f>
        <v>3118.5</v>
      </c>
      <c r="C12" s="214">
        <f>'Data Sheet'!C64</f>
        <v>4501.08</v>
      </c>
      <c r="D12" s="214">
        <f>'Data Sheet'!D64</f>
        <v>6066.37</v>
      </c>
      <c r="E12" s="214">
        <f>'Data Sheet'!E64</f>
        <v>7669.24</v>
      </c>
      <c r="F12" s="214">
        <f>'Data Sheet'!F64</f>
        <v>6113.83</v>
      </c>
      <c r="G12" s="214">
        <f>'Data Sheet'!G64</f>
        <v>8358.64</v>
      </c>
      <c r="H12" s="214">
        <f>'Data Sheet'!H64</f>
        <v>10581.62</v>
      </c>
      <c r="I12" s="214">
        <f>'Data Sheet'!I64</f>
        <v>10527.87</v>
      </c>
      <c r="J12" s="214">
        <f>'Data Sheet'!J64</f>
        <v>10890.93</v>
      </c>
      <c r="K12" s="227">
        <f>'Data Sheet'!K64</f>
        <v>12751.24</v>
      </c>
    </row>
    <row r="13" spans="1:11" x14ac:dyDescent="0.15">
      <c r="A13" s="226" t="s">
        <v>67</v>
      </c>
      <c r="B13" s="214">
        <f>'Data Sheet'!B65</f>
        <v>3864.37</v>
      </c>
      <c r="C13" s="214">
        <f>'Data Sheet'!C65</f>
        <v>3957.65</v>
      </c>
      <c r="D13" s="214">
        <f>'Data Sheet'!D65</f>
        <v>4065.82</v>
      </c>
      <c r="E13" s="214">
        <f>'Data Sheet'!E65</f>
        <v>4411.05</v>
      </c>
      <c r="F13" s="214">
        <f>'Data Sheet'!F65</f>
        <v>6865.35</v>
      </c>
      <c r="G13" s="214">
        <f>'Data Sheet'!G65</f>
        <v>4451.17</v>
      </c>
      <c r="H13" s="214">
        <f>'Data Sheet'!H65</f>
        <v>5638.95</v>
      </c>
      <c r="I13" s="214">
        <f>'Data Sheet'!I65</f>
        <v>5239.76</v>
      </c>
      <c r="J13" s="214">
        <f>'Data Sheet'!J65</f>
        <v>6413.19</v>
      </c>
      <c r="K13" s="227">
        <f>'Data Sheet'!K65</f>
        <v>6685.29</v>
      </c>
    </row>
    <row r="14" spans="1:11" s="212" customFormat="1" x14ac:dyDescent="0.15">
      <c r="A14" s="228" t="s">
        <v>21</v>
      </c>
      <c r="B14" s="215">
        <f>'Data Sheet'!B66</f>
        <v>10654.35</v>
      </c>
      <c r="C14" s="215">
        <f>'Data Sheet'!C66</f>
        <v>12895.81</v>
      </c>
      <c r="D14" s="215">
        <f>'Data Sheet'!D66</f>
        <v>15312</v>
      </c>
      <c r="E14" s="215">
        <f>'Data Sheet'!E66</f>
        <v>17396.73</v>
      </c>
      <c r="F14" s="215">
        <f>'Data Sheet'!F66</f>
        <v>18504.36</v>
      </c>
      <c r="G14" s="215">
        <f>'Data Sheet'!G66</f>
        <v>19674.07</v>
      </c>
      <c r="H14" s="215">
        <f>'Data Sheet'!H66</f>
        <v>23096.09</v>
      </c>
      <c r="I14" s="215">
        <f>'Data Sheet'!I66</f>
        <v>22478.39</v>
      </c>
      <c r="J14" s="215">
        <f>'Data Sheet'!J66</f>
        <v>23917.03</v>
      </c>
      <c r="K14" s="229">
        <f>'Data Sheet'!K66</f>
        <v>26152.79</v>
      </c>
    </row>
    <row r="15" spans="1:11" x14ac:dyDescent="0.15">
      <c r="A15" s="226"/>
      <c r="B15" s="216"/>
      <c r="C15" s="216"/>
      <c r="D15" s="216"/>
      <c r="E15" s="216"/>
      <c r="F15" s="216"/>
      <c r="G15" s="216"/>
      <c r="H15" s="216"/>
      <c r="I15" s="216"/>
      <c r="J15" s="216"/>
      <c r="K15" s="230"/>
    </row>
    <row r="16" spans="1:11" x14ac:dyDescent="0.15">
      <c r="A16" s="226" t="s">
        <v>25</v>
      </c>
      <c r="B16" s="216">
        <f>B13-B7</f>
        <v>-149.98000000000002</v>
      </c>
      <c r="C16" s="216">
        <f t="shared" ref="C16:K16" si="0">C13-C7</f>
        <v>128.16000000000031</v>
      </c>
      <c r="D16" s="216">
        <f t="shared" si="0"/>
        <v>-670.06</v>
      </c>
      <c r="E16" s="216">
        <f t="shared" si="0"/>
        <v>-786.32999999999993</v>
      </c>
      <c r="F16" s="216">
        <f t="shared" si="0"/>
        <v>1792.9000000000005</v>
      </c>
      <c r="G16" s="216">
        <f t="shared" si="0"/>
        <v>-363.36999999999989</v>
      </c>
      <c r="H16" s="216">
        <f t="shared" si="0"/>
        <v>-1456.6999999999998</v>
      </c>
      <c r="I16" s="216">
        <f t="shared" si="0"/>
        <v>-786.80999999999949</v>
      </c>
      <c r="J16" s="216">
        <f t="shared" si="0"/>
        <v>-280.73000000000047</v>
      </c>
      <c r="K16" s="230">
        <f t="shared" si="0"/>
        <v>-1162.17</v>
      </c>
    </row>
    <row r="17" spans="1:12" x14ac:dyDescent="0.15">
      <c r="A17" s="226" t="s">
        <v>39</v>
      </c>
      <c r="B17" s="216">
        <f>'Data Sheet'!B67</f>
        <v>1371.82</v>
      </c>
      <c r="C17" s="216">
        <f>'Data Sheet'!C67</f>
        <v>1282.07</v>
      </c>
      <c r="D17" s="216">
        <f>'Data Sheet'!D67</f>
        <v>1551.75</v>
      </c>
      <c r="E17" s="216">
        <f>'Data Sheet'!E67</f>
        <v>1426.97</v>
      </c>
      <c r="F17" s="216">
        <f>'Data Sheet'!F67</f>
        <v>2745.11</v>
      </c>
      <c r="G17" s="216">
        <f>'Data Sheet'!G67</f>
        <v>1511.91</v>
      </c>
      <c r="H17" s="216">
        <f>'Data Sheet'!H67</f>
        <v>2274.6799999999998</v>
      </c>
      <c r="I17" s="216">
        <f>'Data Sheet'!I67</f>
        <v>2158.4899999999998</v>
      </c>
      <c r="J17" s="216">
        <f>'Data Sheet'!J67</f>
        <v>2719.47</v>
      </c>
      <c r="K17" s="230">
        <f>'Data Sheet'!K67</f>
        <v>2630.22</v>
      </c>
    </row>
    <row r="18" spans="1:12" x14ac:dyDescent="0.15">
      <c r="A18" s="226" t="s">
        <v>40</v>
      </c>
      <c r="B18" s="216">
        <f>'Data Sheet'!B68</f>
        <v>861.39</v>
      </c>
      <c r="C18" s="216">
        <f>'Data Sheet'!C68</f>
        <v>761.99</v>
      </c>
      <c r="D18" s="216">
        <f>'Data Sheet'!D68</f>
        <v>708.58</v>
      </c>
      <c r="E18" s="216">
        <f>'Data Sheet'!E68</f>
        <v>962.68</v>
      </c>
      <c r="F18" s="216">
        <f>'Data Sheet'!F68</f>
        <v>1249.53</v>
      </c>
      <c r="G18" s="216">
        <f>'Data Sheet'!G68</f>
        <v>1282.32</v>
      </c>
      <c r="H18" s="216">
        <f>'Data Sheet'!H68</f>
        <v>1789.27</v>
      </c>
      <c r="I18" s="216">
        <f>'Data Sheet'!I68</f>
        <v>1472.41</v>
      </c>
      <c r="J18" s="216">
        <f>'Data Sheet'!J68</f>
        <v>1756.39</v>
      </c>
      <c r="K18" s="230">
        <f>'Data Sheet'!K68</f>
        <v>1755.9</v>
      </c>
    </row>
    <row r="19" spans="1:12" ht="14" thickBot="1" x14ac:dyDescent="0.2">
      <c r="A19" s="231" t="s">
        <v>229</v>
      </c>
      <c r="B19" s="232"/>
      <c r="C19" s="232"/>
      <c r="D19" s="232">
        <f>71.52+4663.29</f>
        <v>4734.8100000000004</v>
      </c>
      <c r="E19" s="232">
        <f>76.82+3290.3</f>
        <v>3367.1200000000003</v>
      </c>
      <c r="F19" s="232">
        <f>181.04+3009.36</f>
        <v>3190.4</v>
      </c>
      <c r="G19" s="232">
        <f>117.5+3275.89</f>
        <v>3393.39</v>
      </c>
      <c r="H19" s="232">
        <f>127.22+2477.63</f>
        <v>2604.85</v>
      </c>
      <c r="I19" s="232">
        <f>74.68+3471.57</f>
        <v>3546.25</v>
      </c>
      <c r="J19" s="233">
        <f>74.06+4544.06+121.33</f>
        <v>4739.4500000000007</v>
      </c>
      <c r="K19" s="233">
        <f>106.96+130.61+5591.12</f>
        <v>5828.69</v>
      </c>
    </row>
    <row r="20" spans="1:12" x14ac:dyDescent="0.15">
      <c r="A20" s="221" t="s">
        <v>250</v>
      </c>
      <c r="B20" s="217"/>
      <c r="C20" s="217"/>
      <c r="D20" s="217"/>
      <c r="E20" s="217"/>
      <c r="F20" s="217"/>
      <c r="G20" s="217"/>
      <c r="H20" s="217"/>
      <c r="I20" s="217"/>
      <c r="J20" s="217"/>
      <c r="K20" s="217"/>
    </row>
    <row r="21" spans="1:12" ht="14" thickBot="1" x14ac:dyDescent="0.2">
      <c r="B21" s="217"/>
      <c r="C21" s="217"/>
      <c r="D21" s="217"/>
      <c r="E21" s="217"/>
      <c r="F21" s="217"/>
      <c r="G21" s="217"/>
      <c r="H21" s="217"/>
      <c r="I21" s="217"/>
      <c r="J21" s="217"/>
      <c r="K21" s="217"/>
    </row>
    <row r="22" spans="1:12" x14ac:dyDescent="0.15">
      <c r="A22" s="234" t="s">
        <v>41</v>
      </c>
      <c r="B22" s="235">
        <f>IF('Profit &amp; Loss'!B4&gt;0,'Balance Sheet'!B17/('Profit &amp; Loss'!B4/365),0)</f>
        <v>18.182647778363233</v>
      </c>
      <c r="C22" s="235">
        <f>IF('Profit &amp; Loss'!C4&gt;0,'Balance Sheet'!C17/('Profit &amp; Loss'!C4/365),0)</f>
        <v>16.444234342758509</v>
      </c>
      <c r="D22" s="235">
        <f>IF('Profit &amp; Loss'!D4&gt;0,'Balance Sheet'!D17/('Profit &amp; Loss'!D4/365),0)</f>
        <v>19.796582924478937</v>
      </c>
      <c r="E22" s="235">
        <f>IF('Profit &amp; Loss'!E4&gt;0,'Balance Sheet'!E17/('Profit &amp; Loss'!E4/365),0)</f>
        <v>16.046525133578797</v>
      </c>
      <c r="F22" s="235">
        <f>IF('Profit &amp; Loss'!F4&gt;0,'Balance Sheet'!F17/('Profit &amp; Loss'!F4/365),0)</f>
        <v>29.494876779541972</v>
      </c>
      <c r="G22" s="235">
        <f>IF('Profit &amp; Loss'!G4&gt;0,'Balance Sheet'!G17/('Profit &amp; Loss'!G4/365),0)</f>
        <v>18.864008884947921</v>
      </c>
      <c r="H22" s="235">
        <f>IF('Profit &amp; Loss'!H4&gt;0,'Balance Sheet'!H17/('Profit &amp; Loss'!H4/365),0)</f>
        <v>26.817826952190931</v>
      </c>
      <c r="I22" s="235">
        <f>IF('Profit &amp; Loss'!I4&gt;0,'Balance Sheet'!I17/('Profit &amp; Loss'!I4/365),0)</f>
        <v>26.660396774691318</v>
      </c>
      <c r="J22" s="235">
        <f>IF('Profit &amp; Loss'!J4&gt;0,'Balance Sheet'!J17/('Profit &amp; Loss'!J4/365),0)</f>
        <v>29.058946882141367</v>
      </c>
      <c r="K22" s="236">
        <f>IF('Profit &amp; Loss'!K4&gt;0,'Balance Sheet'!K17/('Profit &amp; Loss'!K4/365),0)</f>
        <v>25.405275450651541</v>
      </c>
    </row>
    <row r="23" spans="1:12" x14ac:dyDescent="0.15">
      <c r="A23" s="237" t="s">
        <v>42</v>
      </c>
      <c r="B23" s="218">
        <f>IF('Balance Sheet'!B18&gt;0,'Profit &amp; Loss'!B4/'Balance Sheet'!B18,0)</f>
        <v>31.96929381580933</v>
      </c>
      <c r="C23" s="218">
        <f>IF('Balance Sheet'!C18&gt;0,'Profit &amp; Loss'!C4/'Balance Sheet'!C18,0)</f>
        <v>37.345791939526762</v>
      </c>
      <c r="D23" s="218">
        <f>IF('Balance Sheet'!D18&gt;0,'Profit &amp; Loss'!D4/'Balance Sheet'!D18,0)</f>
        <v>40.377134550791723</v>
      </c>
      <c r="E23" s="218">
        <f>IF('Balance Sheet'!E18&gt;0,'Profit &amp; Loss'!E4/'Balance Sheet'!E18,0)</f>
        <v>33.716676361823247</v>
      </c>
      <c r="F23" s="218">
        <f>IF('Balance Sheet'!F18&gt;0,'Profit &amp; Loss'!F4/'Balance Sheet'!F18,0)</f>
        <v>27.186878266228103</v>
      </c>
      <c r="G23" s="218">
        <f>IF('Balance Sheet'!G18&gt;0,'Profit &amp; Loss'!G4/'Balance Sheet'!G18,0)</f>
        <v>22.813314929190845</v>
      </c>
      <c r="H23" s="218">
        <f>IF('Balance Sheet'!H18&gt;0,'Profit &amp; Loss'!H4/'Balance Sheet'!H18,0)</f>
        <v>17.302693277146545</v>
      </c>
      <c r="I23" s="218">
        <f>IF('Balance Sheet'!I18&gt;0,'Profit &amp; Loss'!I4/'Balance Sheet'!I18,0)</f>
        <v>20.070007674492835</v>
      </c>
      <c r="J23" s="218">
        <f>IF('Balance Sheet'!J18&gt;0,'Profit &amp; Loss'!J4/'Balance Sheet'!J18,0)</f>
        <v>19.448061079828509</v>
      </c>
      <c r="K23" s="238">
        <f>IF('Balance Sheet'!K18&gt;0,'Profit &amp; Loss'!K4/'Balance Sheet'!K18,0)</f>
        <v>21.520940828065381</v>
      </c>
    </row>
    <row r="24" spans="1:12" x14ac:dyDescent="0.15">
      <c r="A24" s="237" t="s">
        <v>97</v>
      </c>
      <c r="B24" s="219">
        <f>'Profit &amp; Loss'!B4/'Balance Sheet'!B10</f>
        <v>9.3277162057799394</v>
      </c>
      <c r="C24" s="219">
        <f>'Profit &amp; Loss'!C4/'Balance Sheet'!C10</f>
        <v>7.5209569443747011</v>
      </c>
      <c r="D24" s="219">
        <f>'Profit &amp; Loss'!D4/'Balance Sheet'!D10</f>
        <v>6.2212139991519617</v>
      </c>
      <c r="E24" s="219">
        <f>'Profit &amp; Loss'!E4/'Balance Sheet'!E10</f>
        <v>6.5427598690576012</v>
      </c>
      <c r="F24" s="219">
        <f>'Profit &amp; Loss'!F4/'Balance Sheet'!F10</f>
        <v>6.8595215210525895</v>
      </c>
      <c r="G24" s="219">
        <f>'Profit &amp; Loss'!G4/'Balance Sheet'!G10</f>
        <v>4.5194324672134565</v>
      </c>
      <c r="H24" s="219">
        <f>'Profit &amp; Loss'!H4/'Balance Sheet'!H10</f>
        <v>4.8522410072111573</v>
      </c>
      <c r="I24" s="219">
        <f>'Profit &amp; Loss'!I4/'Balance Sheet'!I10</f>
        <v>4.771306877811397</v>
      </c>
      <c r="J24" s="219">
        <f>'Profit &amp; Loss'!J4/'Balance Sheet'!J10</f>
        <v>5.5459118067281459</v>
      </c>
      <c r="K24" s="239">
        <f>'Profit &amp; Loss'!K4/'Balance Sheet'!K10</f>
        <v>6.0634478996181134</v>
      </c>
    </row>
    <row r="25" spans="1:12" x14ac:dyDescent="0.15">
      <c r="A25" s="237" t="s">
        <v>98</v>
      </c>
      <c r="B25" s="219">
        <f>B6/(B4+B5)</f>
        <v>1.5290519877675841E-2</v>
      </c>
      <c r="C25" s="219">
        <f t="shared" ref="C25:K25" si="1">C6/(C4+C5)</f>
        <v>2.6285613378144487E-2</v>
      </c>
      <c r="D25" s="219">
        <f t="shared" si="1"/>
        <v>2.5263898731133994E-2</v>
      </c>
      <c r="E25" s="219">
        <f t="shared" si="1"/>
        <v>1.9036107542438431E-2</v>
      </c>
      <c r="F25" s="219">
        <f t="shared" si="1"/>
        <v>2.3741636122651656E-2</v>
      </c>
      <c r="G25" s="219">
        <f t="shared" si="1"/>
        <v>3.1461973528211305E-2</v>
      </c>
      <c r="H25" s="219">
        <f t="shared" si="1"/>
        <v>3.7882984506130479E-2</v>
      </c>
      <c r="I25" s="219">
        <f t="shared" si="1"/>
        <v>3.8189144077770382E-2</v>
      </c>
      <c r="J25" s="219">
        <f t="shared" si="1"/>
        <v>3.4075087193053133E-2</v>
      </c>
      <c r="K25" s="239">
        <f t="shared" si="1"/>
        <v>3.426254257321916E-2</v>
      </c>
    </row>
    <row r="26" spans="1:12" s="212" customFormat="1" x14ac:dyDescent="0.15">
      <c r="A26" s="237" t="s">
        <v>55</v>
      </c>
      <c r="B26" s="220">
        <f>IF(SUM('Balance Sheet'!B4:B5)&gt;0,'Profit &amp; Loss'!B23/SUM('Balance Sheet'!B4:B5),"")</f>
        <v>0.3590993883792038</v>
      </c>
      <c r="C26" s="220">
        <f>IF(SUM('Balance Sheet'!C4:C5)&gt;0,'Profit &amp; Loss'!C23/SUM('Balance Sheet'!C4:C5),"")</f>
        <v>0.35230374084090005</v>
      </c>
      <c r="D26" s="220">
        <f>IF(SUM('Balance Sheet'!D4:D5)&gt;0,'Profit &amp; Loss'!D23/SUM('Balance Sheet'!D4:D5),"")</f>
        <v>0.34378329331269125</v>
      </c>
      <c r="E26" s="220">
        <f>IF(SUM('Balance Sheet'!E4:E5)&gt;0,'Profit &amp; Loss'!E23/SUM('Balance Sheet'!E4:E5),"")</f>
        <v>0.31092030545981864</v>
      </c>
      <c r="F26" s="220">
        <f>IF(SUM('Balance Sheet'!F4:F5)&gt;0,'Profit &amp; Loss'!F23/SUM('Balance Sheet'!F4:F5),"")</f>
        <v>0.26419524999599869</v>
      </c>
      <c r="G26" s="220">
        <f>IF(SUM('Balance Sheet'!G4:G5)&gt;0,'Profit &amp; Loss'!G23/SUM('Balance Sheet'!G4:G5),"")</f>
        <v>0.25401491571731222</v>
      </c>
      <c r="H26" s="220">
        <f>IF(SUM('Balance Sheet'!H4:H5)&gt;0,'Profit &amp; Loss'!H23/SUM('Balance Sheet'!H4:H5),"")</f>
        <v>0.19044953367902528</v>
      </c>
      <c r="I26" s="220">
        <f>IF(SUM('Balance Sheet'!I4:I5)&gt;0,'Profit &amp; Loss'!I23/SUM('Balance Sheet'!I4:I5),"")</f>
        <v>0.14697428163050238</v>
      </c>
      <c r="J26" s="220">
        <f>IF(SUM('Balance Sheet'!J4:J5)&gt;0,'Profit &amp; Loss'!J23/SUM('Balance Sheet'!J4:J5),"")</f>
        <v>0.16810592492481466</v>
      </c>
      <c r="K26" s="240">
        <f>IF(SUM('Balance Sheet'!K4:K5)&gt;0,'Profit &amp; Loss'!K23/SUM('Balance Sheet'!K4:K5),"")</f>
        <v>0.21143437000675774</v>
      </c>
      <c r="L26" s="213"/>
    </row>
    <row r="27" spans="1:12" s="212" customFormat="1" ht="14" thickBot="1" x14ac:dyDescent="0.2">
      <c r="A27" s="241" t="s">
        <v>96</v>
      </c>
      <c r="B27" s="264">
        <f>('Profit &amp; Loss'!B19+'Profit &amp; Loss'!B17)/(B4+B5+B6)</f>
        <v>0.49753915662650489</v>
      </c>
      <c r="C27" s="264">
        <f>('Profit &amp; Loss'!C19+'Profit &amp; Loss'!C17)/(C4+C5+C6)</f>
        <v>0.48549025403912538</v>
      </c>
      <c r="D27" s="264">
        <f>('Profit &amp; Loss'!D19+'Profit &amp; Loss'!D17)/(D4+D5+D6)</f>
        <v>0.46450683237330881</v>
      </c>
      <c r="E27" s="264">
        <f>('Profit &amp; Loss'!E19+'Profit &amp; Loss'!E17)/(E4+E5+E6)</f>
        <v>0.43632652559357682</v>
      </c>
      <c r="F27" s="264">
        <f>('Profit &amp; Loss'!F19+'Profit &amp; Loss'!F17)/(F4+F5+F6)</f>
        <v>0.38278100433966589</v>
      </c>
      <c r="G27" s="264">
        <f>('Profit &amp; Loss'!G19+'Profit &amp; Loss'!G17)/(G4+G5+G6)</f>
        <v>0.31345002163594682</v>
      </c>
      <c r="H27" s="264">
        <f>('Profit &amp; Loss'!H19+'Profit &amp; Loss'!H17)/(H4+H5+H6)</f>
        <v>0.24347642939819147</v>
      </c>
      <c r="I27" s="264">
        <f>('Profit &amp; Loss'!I19+'Profit &amp; Loss'!I17)/(I4+I5+I6)</f>
        <v>0.18911038413987027</v>
      </c>
      <c r="J27" s="264">
        <f>('Profit &amp; Loss'!J19+'Profit &amp; Loss'!J17)/(J4+J5+J6)</f>
        <v>0.23041715462538384</v>
      </c>
      <c r="K27" s="265">
        <f>('Profit &amp; Loss'!K19+'Profit &amp; Loss'!K17)/(K4+K5+K6)</f>
        <v>0.28224402400830823</v>
      </c>
      <c r="L27" s="213"/>
    </row>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activeCell="N44" sqref="A1:O44"/>
    </sheetView>
  </sheetViews>
  <sheetFormatPr baseColWidth="10" defaultColWidth="9.5" defaultRowHeight="13" x14ac:dyDescent="0.15"/>
  <cols>
    <col min="1" max="1" width="25.5" style="141" bestFit="1" customWidth="1"/>
    <col min="2" max="2" width="9.33203125" style="141" bestFit="1" customWidth="1"/>
    <col min="3" max="5" width="8.33203125" style="141" bestFit="1" customWidth="1"/>
    <col min="6" max="12" width="7.5" style="141" bestFit="1" customWidth="1"/>
    <col min="13" max="13" width="13" style="141" bestFit="1" customWidth="1"/>
    <col min="14" max="14" width="9.5" style="141"/>
    <col min="15" max="15" width="10.5" style="141" customWidth="1"/>
    <col min="16" max="16384" width="9.5" style="141"/>
  </cols>
  <sheetData>
    <row r="1" spans="1:15" ht="19" x14ac:dyDescent="0.2">
      <c r="A1" s="321" t="s">
        <v>239</v>
      </c>
      <c r="B1" s="322"/>
      <c r="C1" s="322"/>
      <c r="D1" s="322"/>
      <c r="E1" s="322"/>
      <c r="F1" s="322"/>
      <c r="G1" s="322"/>
      <c r="H1" s="322"/>
      <c r="I1" s="322"/>
      <c r="J1" s="322"/>
      <c r="K1" s="322"/>
      <c r="L1" s="323"/>
    </row>
    <row r="2" spans="1:15" s="142" customFormat="1" ht="14" thickBot="1" x14ac:dyDescent="0.2">
      <c r="A2" s="329" t="str">
        <f>'Data Sheet'!B1</f>
        <v>HERO MOTOCORP LTD</v>
      </c>
      <c r="B2" s="330"/>
      <c r="C2" s="330"/>
      <c r="D2" s="330"/>
      <c r="E2" s="330"/>
      <c r="F2" s="330"/>
      <c r="G2" s="330"/>
      <c r="H2" s="330"/>
      <c r="I2" s="330"/>
      <c r="J2" s="330"/>
      <c r="K2" s="330"/>
      <c r="L2" s="331"/>
    </row>
    <row r="3" spans="1:15" s="142" customFormat="1" x14ac:dyDescent="0.15">
      <c r="A3" s="143" t="s">
        <v>179</v>
      </c>
      <c r="B3" s="144">
        <f>'Data Sheet'!B16</f>
        <v>42094</v>
      </c>
      <c r="C3" s="144">
        <f>'Data Sheet'!C16</f>
        <v>42460</v>
      </c>
      <c r="D3" s="144">
        <f>'Data Sheet'!D16</f>
        <v>42825</v>
      </c>
      <c r="E3" s="144">
        <f>'Data Sheet'!E16</f>
        <v>43190</v>
      </c>
      <c r="F3" s="144">
        <f>'Data Sheet'!F16</f>
        <v>43555</v>
      </c>
      <c r="G3" s="144">
        <f>'Data Sheet'!G16</f>
        <v>43921</v>
      </c>
      <c r="H3" s="144">
        <f>'Data Sheet'!H16</f>
        <v>44286</v>
      </c>
      <c r="I3" s="144">
        <f>'Data Sheet'!I16</f>
        <v>44651</v>
      </c>
      <c r="J3" s="144">
        <f>'Data Sheet'!J16</f>
        <v>45016</v>
      </c>
      <c r="K3" s="144">
        <f>'Data Sheet'!K16</f>
        <v>45382</v>
      </c>
      <c r="L3" s="145" t="s">
        <v>3</v>
      </c>
    </row>
    <row r="4" spans="1:15" s="142" customFormat="1" x14ac:dyDescent="0.15">
      <c r="A4" s="146" t="s">
        <v>4</v>
      </c>
      <c r="B4" s="147">
        <f>'Data Sheet'!B17</f>
        <v>27538.03</v>
      </c>
      <c r="C4" s="147">
        <f>'Data Sheet'!C17</f>
        <v>28457.119999999999</v>
      </c>
      <c r="D4" s="147">
        <f>'Data Sheet'!D17</f>
        <v>28610.43</v>
      </c>
      <c r="E4" s="147">
        <f>'Data Sheet'!E17</f>
        <v>32458.37</v>
      </c>
      <c r="F4" s="147">
        <f>'Data Sheet'!F17</f>
        <v>33970.82</v>
      </c>
      <c r="G4" s="147">
        <f>'Data Sheet'!G17</f>
        <v>29253.97</v>
      </c>
      <c r="H4" s="147">
        <f>'Data Sheet'!H17</f>
        <v>30959.19</v>
      </c>
      <c r="I4" s="147">
        <f>'Data Sheet'!I17</f>
        <v>29551.279999999999</v>
      </c>
      <c r="J4" s="147">
        <f>'Data Sheet'!J17</f>
        <v>34158.379999999997</v>
      </c>
      <c r="K4" s="147">
        <f>'Data Sheet'!K17</f>
        <v>37788.620000000003</v>
      </c>
      <c r="L4" s="148">
        <f>SUM(Quarters!H4:K4)</f>
        <v>39148.400000000001</v>
      </c>
    </row>
    <row r="5" spans="1:15" s="142" customFormat="1" x14ac:dyDescent="0.15">
      <c r="A5" s="149" t="s">
        <v>92</v>
      </c>
      <c r="B5" s="150"/>
      <c r="C5" s="151">
        <f>C4/B4-1</f>
        <v>3.337529954030849E-2</v>
      </c>
      <c r="D5" s="151">
        <f t="shared" ref="D5:K5" si="0">D4/C4-1</f>
        <v>5.3874039256256445E-3</v>
      </c>
      <c r="E5" s="151">
        <f t="shared" si="0"/>
        <v>0.1344943085441217</v>
      </c>
      <c r="F5" s="151">
        <f t="shared" si="0"/>
        <v>4.6596609749657736E-2</v>
      </c>
      <c r="G5" s="151">
        <f t="shared" si="0"/>
        <v>-0.138850048365038</v>
      </c>
      <c r="H5" s="151">
        <f t="shared" si="0"/>
        <v>5.8290208132434573E-2</v>
      </c>
      <c r="I5" s="151">
        <f t="shared" si="0"/>
        <v>-4.5476318986381714E-2</v>
      </c>
      <c r="J5" s="151">
        <f t="shared" si="0"/>
        <v>0.15590187633158359</v>
      </c>
      <c r="K5" s="151">
        <f t="shared" si="0"/>
        <v>0.10627670281787394</v>
      </c>
      <c r="L5" s="152"/>
    </row>
    <row r="6" spans="1:15" x14ac:dyDescent="0.15">
      <c r="A6" s="153" t="s">
        <v>5</v>
      </c>
      <c r="B6" s="154">
        <f>SUM('Data Sheet'!B18,'Data Sheet'!B20:B24, -1*'Data Sheet'!B19)</f>
        <v>24018.460000000006</v>
      </c>
      <c r="C6" s="154">
        <f>SUM('Data Sheet'!C18,'Data Sheet'!C20:C24, -1*'Data Sheet'!C19)</f>
        <v>24033.319999999996</v>
      </c>
      <c r="D6" s="154">
        <f>SUM('Data Sheet'!D18,'Data Sheet'!D20:D24, -1*'Data Sheet'!D19)</f>
        <v>24025.38</v>
      </c>
      <c r="E6" s="154">
        <f>SUM('Data Sheet'!E18,'Data Sheet'!E20:E24, -1*'Data Sheet'!E19)</f>
        <v>27124.039999999997</v>
      </c>
      <c r="F6" s="154">
        <f>SUM('Data Sheet'!F18,'Data Sheet'!F20:F24, -1*'Data Sheet'!F19)</f>
        <v>28945.919999999998</v>
      </c>
      <c r="G6" s="154">
        <f>SUM('Data Sheet'!G18,'Data Sheet'!G20:G24, -1*'Data Sheet'!G19)</f>
        <v>25184.39</v>
      </c>
      <c r="H6" s="154">
        <f>SUM('Data Sheet'!H18,'Data Sheet'!H20:H24, -1*'Data Sheet'!H19)</f>
        <v>26901.57</v>
      </c>
      <c r="I6" s="154">
        <f>SUM('Data Sheet'!I18,'Data Sheet'!I20:I24, -1*'Data Sheet'!I19)</f>
        <v>26295.329999999998</v>
      </c>
      <c r="J6" s="154">
        <f>SUM('Data Sheet'!J18,'Data Sheet'!J20:J24, -1*'Data Sheet'!J19)</f>
        <v>30059.780000000002</v>
      </c>
      <c r="K6" s="154">
        <f>SUM('Data Sheet'!K18,'Data Sheet'!K20:K24, -1*'Data Sheet'!K19)</f>
        <v>32553.67</v>
      </c>
      <c r="L6" s="155">
        <f>SUM(Quarters!H6:K6)</f>
        <v>33677.83</v>
      </c>
      <c r="M6" s="327" t="s">
        <v>104</v>
      </c>
      <c r="N6" s="327"/>
      <c r="O6" s="327"/>
    </row>
    <row r="7" spans="1:15" x14ac:dyDescent="0.15">
      <c r="A7" s="156" t="s">
        <v>102</v>
      </c>
      <c r="B7" s="157">
        <f>'Data Sheet'!B18/'Data Sheet'!B17</f>
        <v>0.71865707169321846</v>
      </c>
      <c r="C7" s="157">
        <f>'Data Sheet'!C18/'Data Sheet'!C17</f>
        <v>0.68025014477923273</v>
      </c>
      <c r="D7" s="157">
        <f>'Data Sheet'!D18/'Data Sheet'!D17</f>
        <v>0.66476945645346819</v>
      </c>
      <c r="E7" s="157">
        <f>'Data Sheet'!E18/'Data Sheet'!E17</f>
        <v>0.67766619211007817</v>
      </c>
      <c r="F7" s="157">
        <f>'Data Sheet'!F18/'Data Sheet'!F17</f>
        <v>0.69187202428437111</v>
      </c>
      <c r="G7" s="157">
        <f>'Data Sheet'!G18/'Data Sheet'!G17</f>
        <v>0.68381453867628905</v>
      </c>
      <c r="H7" s="157">
        <f>'Data Sheet'!H18/'Data Sheet'!H17</f>
        <v>0.71058642038115338</v>
      </c>
      <c r="I7" s="157">
        <f>'Data Sheet'!I18/'Data Sheet'!I17</f>
        <v>0.7069639623055245</v>
      </c>
      <c r="J7" s="157">
        <f>'Data Sheet'!J18/'Data Sheet'!J17</f>
        <v>0.7057629782208642</v>
      </c>
      <c r="K7" s="157">
        <f>'Data Sheet'!K18/'Data Sheet'!K17</f>
        <v>0.67007183644176471</v>
      </c>
      <c r="L7" s="158"/>
      <c r="M7" s="327"/>
      <c r="N7" s="327"/>
      <c r="O7" s="327"/>
    </row>
    <row r="8" spans="1:15" x14ac:dyDescent="0.15">
      <c r="A8" s="156" t="s">
        <v>76</v>
      </c>
      <c r="B8" s="157">
        <f>'Data Sheet'!B20/'Data Sheet'!B17</f>
        <v>5.7553136517027549E-3</v>
      </c>
      <c r="C8" s="157">
        <f>'Data Sheet'!C20/'Data Sheet'!C17</f>
        <v>4.2941801559679971E-3</v>
      </c>
      <c r="D8" s="157">
        <f>'Data Sheet'!D20/'Data Sheet'!D17</f>
        <v>3.9440162206579909E-3</v>
      </c>
      <c r="E8" s="157">
        <f>'Data Sheet'!E20/'Data Sheet'!E17</f>
        <v>4.3082878160548418E-3</v>
      </c>
      <c r="F8" s="157">
        <f>'Data Sheet'!F20/'Data Sheet'!F17</f>
        <v>4.6545829626720818E-3</v>
      </c>
      <c r="G8" s="157">
        <f>'Data Sheet'!G20/'Data Sheet'!G17</f>
        <v>4.5450241454407731E-3</v>
      </c>
      <c r="H8" s="157">
        <f>'Data Sheet'!H20/'Data Sheet'!H17</f>
        <v>3.678713816479049E-3</v>
      </c>
      <c r="I8" s="157">
        <f>'Data Sheet'!I20/'Data Sheet'!I17</f>
        <v>3.712867936684976E-3</v>
      </c>
      <c r="J8" s="157">
        <f>'Data Sheet'!J20/'Data Sheet'!J17</f>
        <v>3.3537890262945727E-3</v>
      </c>
      <c r="K8" s="157">
        <f>'Data Sheet'!K20/'Data Sheet'!K17</f>
        <v>3.1803225415482227E-3</v>
      </c>
      <c r="L8" s="158"/>
      <c r="M8" s="327"/>
      <c r="N8" s="327"/>
      <c r="O8" s="327"/>
    </row>
    <row r="9" spans="1:15" x14ac:dyDescent="0.15">
      <c r="A9" s="156" t="s">
        <v>77</v>
      </c>
      <c r="B9" s="157">
        <f>'Data Sheet'!B21/'Data Sheet'!B17</f>
        <v>8.9232962561228962E-3</v>
      </c>
      <c r="C9" s="157">
        <f>'Data Sheet'!C21/'Data Sheet'!C17</f>
        <v>7.3869035236172886E-3</v>
      </c>
      <c r="D9" s="157">
        <f>'Data Sheet'!D21/'Data Sheet'!D17</f>
        <v>7.188637150857222E-3</v>
      </c>
      <c r="E9" s="157">
        <f>'Data Sheet'!E21/'Data Sheet'!E17</f>
        <v>7.4270519437667389E-3</v>
      </c>
      <c r="F9" s="157">
        <f>'Data Sheet'!F21/'Data Sheet'!F17</f>
        <v>7.3945815850191424E-3</v>
      </c>
      <c r="G9" s="157">
        <f>'Data Sheet'!G21/'Data Sheet'!G17</f>
        <v>7.9274710406826831E-3</v>
      </c>
      <c r="H9" s="157">
        <f>'Data Sheet'!H21/'Data Sheet'!H17</f>
        <v>7.0298996840679612E-3</v>
      </c>
      <c r="I9" s="157">
        <f>'Data Sheet'!I21/'Data Sheet'!I17</f>
        <v>7.6842695138755416E-3</v>
      </c>
      <c r="J9" s="157">
        <f>'Data Sheet'!J21/'Data Sheet'!J17</f>
        <v>7.001795752608877E-3</v>
      </c>
      <c r="K9" s="157">
        <f>'Data Sheet'!K21/'Data Sheet'!K17</f>
        <v>7.6089044797084402E-3</v>
      </c>
      <c r="L9" s="158"/>
      <c r="M9" s="327"/>
      <c r="N9" s="327"/>
      <c r="O9" s="327"/>
    </row>
    <row r="10" spans="1:15" x14ac:dyDescent="0.15">
      <c r="A10" s="156" t="s">
        <v>78</v>
      </c>
      <c r="B10" s="157">
        <f>'Data Sheet'!B22/'Data Sheet'!B17</f>
        <v>4.2803352309515243E-2</v>
      </c>
      <c r="C10" s="157">
        <f>'Data Sheet'!C22/'Data Sheet'!C17</f>
        <v>4.7069415316799451E-2</v>
      </c>
      <c r="D10" s="157">
        <f>'Data Sheet'!D22/'Data Sheet'!D17</f>
        <v>5.0068803579673568E-2</v>
      </c>
      <c r="E10" s="157">
        <f>'Data Sheet'!E22/'Data Sheet'!E17</f>
        <v>4.8792037308096496E-2</v>
      </c>
      <c r="F10" s="157">
        <f>'Data Sheet'!F22/'Data Sheet'!F17</f>
        <v>5.2339919966606634E-2</v>
      </c>
      <c r="G10" s="157">
        <f>'Data Sheet'!G22/'Data Sheet'!G17</f>
        <v>6.4583371077498189E-2</v>
      </c>
      <c r="H10" s="157">
        <f>'Data Sheet'!H22/'Data Sheet'!H17</f>
        <v>6.3019090615742859E-2</v>
      </c>
      <c r="I10" s="157">
        <f>'Data Sheet'!I22/'Data Sheet'!I17</f>
        <v>6.7536160870189044E-2</v>
      </c>
      <c r="J10" s="157">
        <f>'Data Sheet'!J22/'Data Sheet'!J17</f>
        <v>6.5871098102427583E-2</v>
      </c>
      <c r="K10" s="157">
        <f>'Data Sheet'!K22/'Data Sheet'!K17</f>
        <v>6.9638425536576884E-2</v>
      </c>
      <c r="L10" s="158"/>
      <c r="M10" s="327"/>
      <c r="N10" s="327"/>
      <c r="O10" s="327"/>
    </row>
    <row r="11" spans="1:15" x14ac:dyDescent="0.15">
      <c r="A11" s="156" t="s">
        <v>101</v>
      </c>
      <c r="B11" s="157">
        <f>'Data Sheet'!B23/'Data Sheet'!B17</f>
        <v>7.0547166954208415E-2</v>
      </c>
      <c r="C11" s="157">
        <f>'Data Sheet'!C23/'Data Sheet'!C17</f>
        <v>7.3222799777349218E-2</v>
      </c>
      <c r="D11" s="157">
        <f>'Data Sheet'!D23/'Data Sheet'!D17</f>
        <v>7.3310327737122441E-2</v>
      </c>
      <c r="E11" s="157">
        <f>'Data Sheet'!E23/'Data Sheet'!E17</f>
        <v>6.718205504466182E-2</v>
      </c>
      <c r="F11" s="157">
        <f>'Data Sheet'!F23/'Data Sheet'!F17</f>
        <v>6.4276929435321248E-2</v>
      </c>
      <c r="G11" s="157">
        <f>'Data Sheet'!G23/'Data Sheet'!G17</f>
        <v>6.1115465695767097E-2</v>
      </c>
      <c r="H11" s="157">
        <f>'Data Sheet'!H23/'Data Sheet'!H17</f>
        <v>5.4898077113774618E-2</v>
      </c>
      <c r="I11" s="157">
        <f>'Data Sheet'!I23/'Data Sheet'!I17</f>
        <v>6.2111015157380663E-2</v>
      </c>
      <c r="J11" s="157">
        <f>'Data Sheet'!J23/'Data Sheet'!J17</f>
        <v>5.8756884840557431E-2</v>
      </c>
      <c r="K11" s="157">
        <f>'Data Sheet'!K23/'Data Sheet'!K17</f>
        <v>5.826251395261324E-2</v>
      </c>
      <c r="L11" s="158"/>
      <c r="M11" s="327"/>
      <c r="N11" s="327"/>
      <c r="O11" s="327"/>
    </row>
    <row r="12" spans="1:15" s="142" customFormat="1" x14ac:dyDescent="0.15">
      <c r="A12" s="146" t="s">
        <v>6</v>
      </c>
      <c r="B12" s="147">
        <f>B4-B6</f>
        <v>3519.5699999999924</v>
      </c>
      <c r="C12" s="147">
        <f t="shared" ref="C12:L12" si="1">C4-C6</f>
        <v>4423.8000000000029</v>
      </c>
      <c r="D12" s="147">
        <f t="shared" si="1"/>
        <v>4585.0499999999993</v>
      </c>
      <c r="E12" s="147">
        <f t="shared" si="1"/>
        <v>5334.3300000000017</v>
      </c>
      <c r="F12" s="147">
        <f t="shared" si="1"/>
        <v>5024.9000000000015</v>
      </c>
      <c r="G12" s="147">
        <f t="shared" si="1"/>
        <v>4069.5800000000017</v>
      </c>
      <c r="H12" s="147">
        <f t="shared" si="1"/>
        <v>4057.619999999999</v>
      </c>
      <c r="I12" s="147">
        <f t="shared" si="1"/>
        <v>3255.9500000000007</v>
      </c>
      <c r="J12" s="147">
        <f t="shared" si="1"/>
        <v>4098.5999999999949</v>
      </c>
      <c r="K12" s="147">
        <f t="shared" si="1"/>
        <v>5234.9500000000044</v>
      </c>
      <c r="L12" s="148">
        <f t="shared" si="1"/>
        <v>5470.57</v>
      </c>
    </row>
    <row r="13" spans="1:15" s="142" customFormat="1" x14ac:dyDescent="0.15">
      <c r="A13" s="149" t="s">
        <v>90</v>
      </c>
      <c r="B13" s="151">
        <f t="shared" ref="B13:L13" si="2">B12/B4</f>
        <v>0.12780761732048343</v>
      </c>
      <c r="C13" s="151">
        <f t="shared" si="2"/>
        <v>0.1554549441405175</v>
      </c>
      <c r="D13" s="151">
        <f t="shared" si="2"/>
        <v>0.16025798983098119</v>
      </c>
      <c r="E13" s="151">
        <f t="shared" si="2"/>
        <v>0.16434374246149766</v>
      </c>
      <c r="F13" s="151">
        <f t="shared" si="2"/>
        <v>0.14791812502612542</v>
      </c>
      <c r="G13" s="151">
        <f t="shared" si="2"/>
        <v>0.13911205897866175</v>
      </c>
      <c r="H13" s="151">
        <f t="shared" si="2"/>
        <v>0.13106350650646864</v>
      </c>
      <c r="I13" s="151">
        <f t="shared" si="2"/>
        <v>0.11017966057646236</v>
      </c>
      <c r="J13" s="151">
        <f t="shared" si="2"/>
        <v>0.11998812590058414</v>
      </c>
      <c r="K13" s="151">
        <f t="shared" si="2"/>
        <v>0.13853244707004395</v>
      </c>
      <c r="L13" s="152">
        <f t="shared" si="2"/>
        <v>0.1397392996904088</v>
      </c>
    </row>
    <row r="14" spans="1:15" x14ac:dyDescent="0.15">
      <c r="A14" s="153" t="s">
        <v>7</v>
      </c>
      <c r="B14" s="154">
        <f>'Data Sheet'!B25</f>
        <v>324.54000000000002</v>
      </c>
      <c r="C14" s="154">
        <f>'Data Sheet'!C25</f>
        <v>421.06</v>
      </c>
      <c r="D14" s="154">
        <f>'Data Sheet'!D25</f>
        <v>829.88</v>
      </c>
      <c r="E14" s="154">
        <f>'Data Sheet'!E25</f>
        <v>563.54999999999995</v>
      </c>
      <c r="F14" s="154">
        <f>'Data Sheet'!F25</f>
        <v>741.02</v>
      </c>
      <c r="G14" s="154">
        <f>'Data Sheet'!G25</f>
        <v>1433.9</v>
      </c>
      <c r="H14" s="154">
        <f>'Data Sheet'!H25</f>
        <v>553.23</v>
      </c>
      <c r="I14" s="154">
        <f>'Data Sheet'!I25</f>
        <v>544.78</v>
      </c>
      <c r="J14" s="154">
        <f>'Data Sheet'!J25</f>
        <v>567.29</v>
      </c>
      <c r="K14" s="154">
        <f>'Data Sheet'!K25</f>
        <v>688.98</v>
      </c>
      <c r="L14" s="155">
        <f>SUM(Quarters!H8:K8)</f>
        <v>902.62000000000012</v>
      </c>
    </row>
    <row r="15" spans="1:15" x14ac:dyDescent="0.15">
      <c r="A15" s="149" t="s">
        <v>184</v>
      </c>
      <c r="B15" s="159">
        <f>B14/B4</f>
        <v>1.1785156745054023E-2</v>
      </c>
      <c r="C15" s="159">
        <f t="shared" ref="C15:L15" si="3">C14/C4</f>
        <v>1.4796297025138173E-2</v>
      </c>
      <c r="D15" s="159">
        <f t="shared" si="3"/>
        <v>2.9006205079755879E-2</v>
      </c>
      <c r="E15" s="159">
        <f t="shared" si="3"/>
        <v>1.7362239693490461E-2</v>
      </c>
      <c r="F15" s="159">
        <f t="shared" si="3"/>
        <v>2.1813426935234415E-2</v>
      </c>
      <c r="G15" s="159">
        <f t="shared" si="3"/>
        <v>4.901556951073649E-2</v>
      </c>
      <c r="H15" s="159">
        <f t="shared" si="3"/>
        <v>1.7869653566517731E-2</v>
      </c>
      <c r="I15" s="159">
        <f t="shared" si="3"/>
        <v>1.8435072863172086E-2</v>
      </c>
      <c r="J15" s="159">
        <f t="shared" si="3"/>
        <v>1.6607637715840153E-2</v>
      </c>
      <c r="K15" s="159">
        <f t="shared" si="3"/>
        <v>1.8232473162555288E-2</v>
      </c>
      <c r="L15" s="160">
        <f t="shared" si="3"/>
        <v>2.3056370119851642E-2</v>
      </c>
    </row>
    <row r="16" spans="1:15" x14ac:dyDescent="0.15">
      <c r="A16" s="153" t="s">
        <v>8</v>
      </c>
      <c r="B16" s="154">
        <f>'Data Sheet'!B26</f>
        <v>540.45000000000005</v>
      </c>
      <c r="C16" s="154">
        <f>'Data Sheet'!C26</f>
        <v>443.25</v>
      </c>
      <c r="D16" s="154">
        <f>'Data Sheet'!D26</f>
        <v>502.25</v>
      </c>
      <c r="E16" s="154">
        <f>'Data Sheet'!E26</f>
        <v>574.98</v>
      </c>
      <c r="F16" s="154">
        <f>'Data Sheet'!F26</f>
        <v>624.44000000000005</v>
      </c>
      <c r="G16" s="154">
        <f>'Data Sheet'!G26</f>
        <v>845.76</v>
      </c>
      <c r="H16" s="154">
        <f>'Data Sheet'!H26</f>
        <v>715.12</v>
      </c>
      <c r="I16" s="154">
        <f>'Data Sheet'!I26</f>
        <v>689.52</v>
      </c>
      <c r="J16" s="154">
        <f>'Data Sheet'!J26</f>
        <v>697.39</v>
      </c>
      <c r="K16" s="154">
        <f>'Data Sheet'!K26</f>
        <v>757.36</v>
      </c>
      <c r="L16" s="155">
        <f>SUM(Quarters!H9:K9)</f>
        <v>783.06</v>
      </c>
    </row>
    <row r="17" spans="1:13" x14ac:dyDescent="0.15">
      <c r="A17" s="153" t="s">
        <v>9</v>
      </c>
      <c r="B17" s="154">
        <f>'Data Sheet'!B27</f>
        <v>11.7</v>
      </c>
      <c r="C17" s="154">
        <f>'Data Sheet'!C27</f>
        <v>14.61</v>
      </c>
      <c r="D17" s="154">
        <f>'Data Sheet'!D27</f>
        <v>27.28</v>
      </c>
      <c r="E17" s="154">
        <f>'Data Sheet'!E27</f>
        <v>30.8</v>
      </c>
      <c r="F17" s="154">
        <f>'Data Sheet'!F27</f>
        <v>37.18</v>
      </c>
      <c r="G17" s="154">
        <f>'Data Sheet'!G27</f>
        <v>46.64</v>
      </c>
      <c r="H17" s="154">
        <f>'Data Sheet'!H27</f>
        <v>46.41</v>
      </c>
      <c r="I17" s="154">
        <f>'Data Sheet'!I27</f>
        <v>53.1</v>
      </c>
      <c r="J17" s="154">
        <f>'Data Sheet'!J27</f>
        <v>104.88</v>
      </c>
      <c r="K17" s="154">
        <f>'Data Sheet'!K27</f>
        <v>76.37</v>
      </c>
      <c r="L17" s="155">
        <f>SUM(Quarters!H10:K10)</f>
        <v>74.210000000000008</v>
      </c>
    </row>
    <row r="18" spans="1:13" x14ac:dyDescent="0.15">
      <c r="A18" s="149" t="s">
        <v>99</v>
      </c>
      <c r="B18" s="161">
        <f>(B19+B17)/B17</f>
        <v>282.36410256410193</v>
      </c>
      <c r="C18" s="161">
        <f t="shared" ref="C18:L18" si="4">(C19+C17)/C17</f>
        <v>301.27378507871344</v>
      </c>
      <c r="D18" s="161">
        <f t="shared" si="4"/>
        <v>180.08357771260995</v>
      </c>
      <c r="E18" s="161">
        <f t="shared" si="4"/>
        <v>172.82142857142861</v>
      </c>
      <c r="F18" s="161">
        <f t="shared" si="4"/>
        <v>138.28617536309847</v>
      </c>
      <c r="G18" s="161">
        <f t="shared" si="4"/>
        <v>99.865351629502598</v>
      </c>
      <c r="H18" s="161">
        <f t="shared" si="4"/>
        <v>83.941607412195623</v>
      </c>
      <c r="I18" s="161">
        <f t="shared" si="4"/>
        <v>58.591525423728818</v>
      </c>
      <c r="J18" s="161">
        <f t="shared" si="4"/>
        <v>37.838482074752051</v>
      </c>
      <c r="K18" s="161">
        <f t="shared" si="4"/>
        <v>67.651826633494878</v>
      </c>
      <c r="L18" s="162">
        <f t="shared" si="4"/>
        <v>75.328527152674823</v>
      </c>
    </row>
    <row r="19" spans="1:13" x14ac:dyDescent="0.15">
      <c r="A19" s="153" t="s">
        <v>103</v>
      </c>
      <c r="B19" s="154">
        <f>B12+B14-B16-B17</f>
        <v>3291.9599999999928</v>
      </c>
      <c r="C19" s="154">
        <f t="shared" ref="C19:L19" si="5">C12+C14-C16-C17</f>
        <v>4387.0000000000036</v>
      </c>
      <c r="D19" s="154">
        <f t="shared" si="5"/>
        <v>4885.3999999999996</v>
      </c>
      <c r="E19" s="154">
        <f t="shared" si="5"/>
        <v>5292.1000000000013</v>
      </c>
      <c r="F19" s="154">
        <f t="shared" si="5"/>
        <v>5104.3000000000011</v>
      </c>
      <c r="G19" s="154">
        <f t="shared" si="5"/>
        <v>4611.0800000000008</v>
      </c>
      <c r="H19" s="154">
        <f t="shared" si="5"/>
        <v>3849.3199999999988</v>
      </c>
      <c r="I19" s="154">
        <f t="shared" si="5"/>
        <v>3058.1100000000006</v>
      </c>
      <c r="J19" s="154">
        <f t="shared" si="5"/>
        <v>3863.6199999999949</v>
      </c>
      <c r="K19" s="154">
        <f t="shared" si="5"/>
        <v>5090.2000000000044</v>
      </c>
      <c r="L19" s="155">
        <f t="shared" si="5"/>
        <v>5515.9199999999992</v>
      </c>
      <c r="M19" s="142"/>
    </row>
    <row r="20" spans="1:13" s="142" customFormat="1" x14ac:dyDescent="0.15">
      <c r="A20" s="149" t="s">
        <v>92</v>
      </c>
      <c r="B20" s="150"/>
      <c r="C20" s="151">
        <f>C19/B19-1</f>
        <v>0.33264073682548179</v>
      </c>
      <c r="D20" s="151">
        <f t="shared" ref="D20" si="6">D19/C19-1</f>
        <v>0.11360838842033183</v>
      </c>
      <c r="E20" s="151">
        <f t="shared" ref="E20" si="7">E19/D19-1</f>
        <v>8.324804519589013E-2</v>
      </c>
      <c r="F20" s="151">
        <f t="shared" ref="F20" si="8">F19/E19-1</f>
        <v>-3.5486857769127633E-2</v>
      </c>
      <c r="G20" s="151">
        <f t="shared" ref="G20" si="9">G19/F19-1</f>
        <v>-9.662833297415907E-2</v>
      </c>
      <c r="H20" s="151">
        <f t="shared" ref="H20" si="10">H19/G19-1</f>
        <v>-0.1652020784718552</v>
      </c>
      <c r="I20" s="151">
        <f t="shared" ref="I20" si="11">I19/H19-1</f>
        <v>-0.20554539503081026</v>
      </c>
      <c r="J20" s="151">
        <f t="shared" ref="J20" si="12">J19/I19-1</f>
        <v>0.26340125109953338</v>
      </c>
      <c r="K20" s="151">
        <f t="shared" ref="K20" si="13">K19/J19-1</f>
        <v>0.3174691092809363</v>
      </c>
      <c r="L20" s="152"/>
    </row>
    <row r="21" spans="1:13" x14ac:dyDescent="0.15">
      <c r="A21" s="149" t="s">
        <v>100</v>
      </c>
      <c r="B21" s="151">
        <f t="shared" ref="B21:L21" si="14">B19/B4</f>
        <v>0.11954232020228001</v>
      </c>
      <c r="C21" s="151">
        <f t="shared" si="14"/>
        <v>0.15416177041106072</v>
      </c>
      <c r="D21" s="151">
        <f t="shared" si="14"/>
        <v>0.17075590964553836</v>
      </c>
      <c r="E21" s="151">
        <f t="shared" si="14"/>
        <v>0.16304269129965557</v>
      </c>
      <c r="F21" s="151">
        <f t="shared" si="14"/>
        <v>0.1502554250971864</v>
      </c>
      <c r="G21" s="151">
        <f t="shared" si="14"/>
        <v>0.15762236715221903</v>
      </c>
      <c r="H21" s="151">
        <f t="shared" si="14"/>
        <v>0.12433529430195037</v>
      </c>
      <c r="I21" s="151">
        <f t="shared" si="14"/>
        <v>0.10348485750871031</v>
      </c>
      <c r="J21" s="151">
        <f t="shared" si="14"/>
        <v>0.1131089940447994</v>
      </c>
      <c r="K21" s="151">
        <f t="shared" si="14"/>
        <v>0.13470192878173387</v>
      </c>
      <c r="L21" s="152">
        <f t="shared" si="14"/>
        <v>0.14089771229475531</v>
      </c>
    </row>
    <row r="22" spans="1:13" x14ac:dyDescent="0.15">
      <c r="A22" s="153" t="s">
        <v>11</v>
      </c>
      <c r="B22" s="154">
        <f>'Data Sheet'!B29</f>
        <v>943.45</v>
      </c>
      <c r="C22" s="154">
        <f>'Data Sheet'!C29</f>
        <v>1274.71</v>
      </c>
      <c r="D22" s="154">
        <f>'Data Sheet'!D29</f>
        <v>1339.1</v>
      </c>
      <c r="E22" s="154">
        <f>'Data Sheet'!E29</f>
        <v>1569.93</v>
      </c>
      <c r="F22" s="154">
        <f>'Data Sheet'!F29</f>
        <v>1637.95</v>
      </c>
      <c r="G22" s="154">
        <f>'Data Sheet'!G29</f>
        <v>951.67</v>
      </c>
      <c r="H22" s="154">
        <f>'Data Sheet'!H29</f>
        <v>913.27</v>
      </c>
      <c r="I22" s="154">
        <f>'Data Sheet'!I29</f>
        <v>729.06</v>
      </c>
      <c r="J22" s="154">
        <f>'Data Sheet'!J29</f>
        <v>1063.72</v>
      </c>
      <c r="K22" s="154">
        <f>'Data Sheet'!K29</f>
        <v>1348.04</v>
      </c>
      <c r="L22" s="155">
        <f>SUM(Quarters!H14:K14)</f>
        <v>1442.09</v>
      </c>
    </row>
    <row r="23" spans="1:13" s="142" customFormat="1" x14ac:dyDescent="0.15">
      <c r="A23" s="146" t="s">
        <v>12</v>
      </c>
      <c r="B23" s="147">
        <f>B19-B22</f>
        <v>2348.5099999999929</v>
      </c>
      <c r="C23" s="147">
        <f t="shared" ref="C23:L23" si="15">C19-C22</f>
        <v>3112.2900000000036</v>
      </c>
      <c r="D23" s="147">
        <f t="shared" si="15"/>
        <v>3546.2999999999997</v>
      </c>
      <c r="E23" s="147">
        <f t="shared" si="15"/>
        <v>3722.170000000001</v>
      </c>
      <c r="F23" s="147">
        <f t="shared" si="15"/>
        <v>3466.3500000000013</v>
      </c>
      <c r="G23" s="147">
        <f t="shared" si="15"/>
        <v>3659.4100000000008</v>
      </c>
      <c r="H23" s="147">
        <f t="shared" si="15"/>
        <v>2936.0499999999988</v>
      </c>
      <c r="I23" s="147">
        <f t="shared" si="15"/>
        <v>2329.0500000000006</v>
      </c>
      <c r="J23" s="147">
        <f t="shared" si="15"/>
        <v>2799.8999999999951</v>
      </c>
      <c r="K23" s="147">
        <f t="shared" si="15"/>
        <v>3742.1600000000044</v>
      </c>
      <c r="L23" s="148">
        <f t="shared" si="15"/>
        <v>4073.829999999999</v>
      </c>
    </row>
    <row r="24" spans="1:13" s="142" customFormat="1" x14ac:dyDescent="0.15">
      <c r="A24" s="149" t="s">
        <v>92</v>
      </c>
      <c r="B24" s="150"/>
      <c r="C24" s="151">
        <f>C23/B23-1</f>
        <v>0.32521896862266408</v>
      </c>
      <c r="D24" s="151">
        <f t="shared" ref="D24" si="16">D23/C23-1</f>
        <v>0.13945037255525539</v>
      </c>
      <c r="E24" s="151">
        <f t="shared" ref="E24" si="17">E23/D23-1</f>
        <v>4.9592533062629007E-2</v>
      </c>
      <c r="F24" s="151">
        <f t="shared" ref="F24" si="18">F23/E23-1</f>
        <v>-6.872872544778974E-2</v>
      </c>
      <c r="G24" s="151">
        <f t="shared" ref="G24" si="19">G23/F23-1</f>
        <v>5.5695472182554884E-2</v>
      </c>
      <c r="H24" s="151">
        <f t="shared" ref="H24" si="20">H23/G23-1</f>
        <v>-0.19767120929330184</v>
      </c>
      <c r="I24" s="151">
        <f t="shared" ref="I24" si="21">I23/H23-1</f>
        <v>-0.20674034842730826</v>
      </c>
      <c r="J24" s="151">
        <f t="shared" ref="J24" si="22">J23/I23-1</f>
        <v>0.20216397243511053</v>
      </c>
      <c r="K24" s="151">
        <f t="shared" ref="K24" si="23">K23/J23-1</f>
        <v>0.33653344762313342</v>
      </c>
      <c r="L24" s="152"/>
    </row>
    <row r="25" spans="1:13" x14ac:dyDescent="0.15">
      <c r="A25" s="149" t="s">
        <v>91</v>
      </c>
      <c r="B25" s="151">
        <f t="shared" ref="B25:L25" si="24">B23/B4</f>
        <v>8.5282425794437469E-2</v>
      </c>
      <c r="C25" s="151">
        <f t="shared" si="24"/>
        <v>0.10936770832747669</v>
      </c>
      <c r="D25" s="151">
        <f t="shared" si="24"/>
        <v>0.12395130027755612</v>
      </c>
      <c r="E25" s="151">
        <f t="shared" si="24"/>
        <v>0.11467519779951985</v>
      </c>
      <c r="F25" s="151">
        <f t="shared" si="24"/>
        <v>0.10203904409725763</v>
      </c>
      <c r="G25" s="151">
        <f t="shared" si="24"/>
        <v>0.12509105601735424</v>
      </c>
      <c r="H25" s="151">
        <f t="shared" si="24"/>
        <v>9.4836137508765531E-2</v>
      </c>
      <c r="I25" s="151">
        <f t="shared" si="24"/>
        <v>7.8813844950201842E-2</v>
      </c>
      <c r="J25" s="151">
        <f t="shared" si="24"/>
        <v>8.1968172963705982E-2</v>
      </c>
      <c r="K25" s="151">
        <f t="shared" si="24"/>
        <v>9.9028755217840825E-2</v>
      </c>
      <c r="L25" s="152">
        <f t="shared" si="24"/>
        <v>0.10406121322965942</v>
      </c>
      <c r="M25" s="142"/>
    </row>
    <row r="26" spans="1:13" x14ac:dyDescent="0.15">
      <c r="A26" s="153" t="s">
        <v>53</v>
      </c>
      <c r="B26" s="163">
        <f>IF('Data Sheet'!B93&gt;0,B23/'Data Sheet'!B93,0)</f>
        <v>117.60190285428108</v>
      </c>
      <c r="C26" s="163">
        <f>IF('Data Sheet'!C93&gt;0,C23/'Data Sheet'!C93,0)</f>
        <v>155.8482724086131</v>
      </c>
      <c r="D26" s="163">
        <f>IF('Data Sheet'!D93&gt;0,D23/'Data Sheet'!D93,0)</f>
        <v>177.58137205808714</v>
      </c>
      <c r="E26" s="163">
        <f>IF('Data Sheet'!E93&gt;0,E23/'Data Sheet'!E93,0)</f>
        <v>186.38808212318483</v>
      </c>
      <c r="F26" s="163">
        <f>IF('Data Sheet'!F93&gt;0,F23/'Data Sheet'!F93,0)</f>
        <v>173.57786680020038</v>
      </c>
      <c r="G26" s="163">
        <f>IF('Data Sheet'!G93&gt;0,G23/'Data Sheet'!G93,0)</f>
        <v>183.24536805207816</v>
      </c>
      <c r="H26" s="163">
        <f>IF('Data Sheet'!H93&gt;0,H23/'Data Sheet'!H93,0)</f>
        <v>146.94944944944939</v>
      </c>
      <c r="I26" s="163">
        <f>IF('Data Sheet'!I93&gt;0,I23/'Data Sheet'!I93,0)</f>
        <v>116.5690690690691</v>
      </c>
      <c r="J26" s="163">
        <f>IF('Data Sheet'!J93&gt;0,J23/'Data Sheet'!J93,0)</f>
        <v>140.13513513513487</v>
      </c>
      <c r="K26" s="163">
        <f>IF('Data Sheet'!K93&gt;0,K23/'Data Sheet'!K93,0)</f>
        <v>187.20160080040043</v>
      </c>
      <c r="L26" s="164">
        <f>IF('Data Sheet'!$B6&gt;0,'Profit &amp; Loss'!L23/'Data Sheet'!$B6,0)</f>
        <v>203.61874939772841</v>
      </c>
    </row>
    <row r="27" spans="1:13" s="142" customFormat="1" x14ac:dyDescent="0.15">
      <c r="A27" s="149" t="s">
        <v>92</v>
      </c>
      <c r="B27" s="150"/>
      <c r="C27" s="151">
        <f>C26/B26-1</f>
        <v>0.32521896862266408</v>
      </c>
      <c r="D27" s="151">
        <f t="shared" ref="D27" si="25">D26/C26-1</f>
        <v>0.13945037255525539</v>
      </c>
      <c r="E27" s="151">
        <f t="shared" ref="E27" si="26">E26/D26-1</f>
        <v>4.9592533062628785E-2</v>
      </c>
      <c r="F27" s="151">
        <f t="shared" ref="F27" si="27">F26/E26-1</f>
        <v>-6.872872544778974E-2</v>
      </c>
      <c r="G27" s="151">
        <f t="shared" ref="G27" si="28">G26/F26-1</f>
        <v>5.5695472182554884E-2</v>
      </c>
      <c r="H27" s="151">
        <f t="shared" ref="H27" si="29">H26/G26-1</f>
        <v>-0.19807277525461653</v>
      </c>
      <c r="I27" s="151">
        <f t="shared" ref="I27" si="30">I26/H26-1</f>
        <v>-0.20674034842730826</v>
      </c>
      <c r="J27" s="151">
        <f t="shared" ref="J27" si="31">J26/I26-1</f>
        <v>0.20216397243511053</v>
      </c>
      <c r="K27" s="151">
        <f t="shared" ref="K27" si="32">K26/J26-1</f>
        <v>0.33586484659880989</v>
      </c>
      <c r="L27" s="152"/>
    </row>
    <row r="28" spans="1:13" x14ac:dyDescent="0.15">
      <c r="A28" s="165" t="s">
        <v>13</v>
      </c>
      <c r="B28" s="166">
        <f t="shared" ref="B28:K28" si="33">IF(B29&gt;0,B29/B26,"")</f>
        <v>22.446915703999625</v>
      </c>
      <c r="C28" s="166">
        <f t="shared" si="33"/>
        <v>18.901075735230307</v>
      </c>
      <c r="D28" s="166">
        <f t="shared" si="33"/>
        <v>18.143513380142682</v>
      </c>
      <c r="E28" s="166">
        <f t="shared" si="33"/>
        <v>19.007653062595203</v>
      </c>
      <c r="F28" s="166">
        <f t="shared" si="33"/>
        <v>14.708960578129727</v>
      </c>
      <c r="G28" s="166">
        <f t="shared" si="33"/>
        <v>8.7120892438945052</v>
      </c>
      <c r="H28" s="166">
        <f t="shared" si="33"/>
        <v>19.827226375572632</v>
      </c>
      <c r="I28" s="166">
        <f t="shared" si="33"/>
        <v>19.680606685129124</v>
      </c>
      <c r="J28" s="166">
        <f t="shared" si="33"/>
        <v>16.750617164898777</v>
      </c>
      <c r="K28" s="166">
        <f t="shared" si="33"/>
        <v>25.22574582594007</v>
      </c>
      <c r="L28" s="167">
        <f t="shared" ref="L28" si="34">IF(L26&gt;0,L29/L26,0)</f>
        <v>23.511832845258645</v>
      </c>
      <c r="M28" s="142"/>
    </row>
    <row r="29" spans="1:13" s="142" customFormat="1" x14ac:dyDescent="0.15">
      <c r="A29" s="146" t="s">
        <v>54</v>
      </c>
      <c r="B29" s="147">
        <f>'Data Sheet'!B90</f>
        <v>2639.8</v>
      </c>
      <c r="C29" s="147">
        <f>'Data Sheet'!C90</f>
        <v>2945.7</v>
      </c>
      <c r="D29" s="147">
        <f>'Data Sheet'!D90</f>
        <v>3221.95</v>
      </c>
      <c r="E29" s="147">
        <f>'Data Sheet'!E90</f>
        <v>3542.8</v>
      </c>
      <c r="F29" s="147">
        <f>'Data Sheet'!F90</f>
        <v>2553.15</v>
      </c>
      <c r="G29" s="147">
        <f>'Data Sheet'!G90</f>
        <v>1596.45</v>
      </c>
      <c r="H29" s="147">
        <f>'Data Sheet'!H90</f>
        <v>2913.6</v>
      </c>
      <c r="I29" s="147">
        <f>'Data Sheet'!I90</f>
        <v>2294.15</v>
      </c>
      <c r="J29" s="147">
        <f>'Data Sheet'!J90</f>
        <v>2347.35</v>
      </c>
      <c r="K29" s="147">
        <f>'Data Sheet'!K90</f>
        <v>4722.3</v>
      </c>
      <c r="L29" s="148">
        <f>'Data Sheet'!B8</f>
        <v>4787.45</v>
      </c>
    </row>
    <row r="30" spans="1:13" x14ac:dyDescent="0.15">
      <c r="A30" s="153" t="s">
        <v>14</v>
      </c>
      <c r="B30" s="168">
        <f>IF('Data Sheet'!B30&gt;0, 'Data Sheet'!B31/'Data Sheet'!B30, 0)</f>
        <v>0.50670275299192291</v>
      </c>
      <c r="C30" s="168">
        <f>IF('Data Sheet'!C30&gt;0, 'Data Sheet'!C31/'Data Sheet'!C30, 0)</f>
        <v>0.4576222636681328</v>
      </c>
      <c r="D30" s="168">
        <f>IF('Data Sheet'!D30&gt;0, 'Data Sheet'!D31/'Data Sheet'!D30, 0)</f>
        <v>0.47358318430252189</v>
      </c>
      <c r="E30" s="168">
        <f>IF('Data Sheet'!E30&gt;0, 'Data Sheet'!E31/'Data Sheet'!E30, 0)</f>
        <v>0.50993172777120743</v>
      </c>
      <c r="F30" s="168">
        <f>IF('Data Sheet'!F30&gt;0, 'Data Sheet'!F31/'Data Sheet'!F30, 0)</f>
        <v>0.50458031003835557</v>
      </c>
      <c r="G30" s="168">
        <f>IF('Data Sheet'!G30&gt;0, 'Data Sheet'!G31/'Data Sheet'!G30, 0)</f>
        <v>0.49414393737407608</v>
      </c>
      <c r="H30" s="168">
        <f>IF('Data Sheet'!H30&gt;0, 'Data Sheet'!H31/'Data Sheet'!H30, 0)</f>
        <v>0.71901293805158084</v>
      </c>
      <c r="I30" s="168">
        <f>IF('Data Sheet'!I30&gt;0, 'Data Sheet'!I31/'Data Sheet'!I30, 0)</f>
        <v>0.81924829943717403</v>
      </c>
      <c r="J30" s="168">
        <f>IF('Data Sheet'!J30&gt;0, 'Data Sheet'!J31/'Data Sheet'!J30, 0)</f>
        <v>0.71122008854218566</v>
      </c>
      <c r="K30" s="168">
        <f>IF('Data Sheet'!K30&gt;0, 'Data Sheet'!K31/'Data Sheet'!K30, 0)</f>
        <v>0.7473236435298799</v>
      </c>
      <c r="L30" s="169"/>
    </row>
    <row r="31" spans="1:13" x14ac:dyDescent="0.15">
      <c r="A31" s="153" t="s">
        <v>181</v>
      </c>
      <c r="B31" s="154">
        <f>B29*'Data Sheet'!B93</f>
        <v>52716.806000000004</v>
      </c>
      <c r="C31" s="154">
        <f>C29*'Data Sheet'!C93</f>
        <v>58825.628999999994</v>
      </c>
      <c r="D31" s="154">
        <f>D29*'Data Sheet'!D93</f>
        <v>64342.341499999995</v>
      </c>
      <c r="E31" s="154">
        <f>E29*'Data Sheet'!E93</f>
        <v>70749.716</v>
      </c>
      <c r="F31" s="154">
        <f>F29*'Data Sheet'!F93</f>
        <v>50986.405500000001</v>
      </c>
      <c r="G31" s="154">
        <f>G29*'Data Sheet'!G93</f>
        <v>31881.106499999998</v>
      </c>
      <c r="H31" s="154">
        <f>H29*'Data Sheet'!H93</f>
        <v>58213.728000000003</v>
      </c>
      <c r="I31" s="154">
        <f>I29*'Data Sheet'!I93</f>
        <v>45837.117000000006</v>
      </c>
      <c r="J31" s="154">
        <f>J29*'Data Sheet'!J93</f>
        <v>46900.053</v>
      </c>
      <c r="K31" s="154">
        <f>K29*'Data Sheet'!K93</f>
        <v>94398.777000000002</v>
      </c>
      <c r="L31" s="155"/>
    </row>
    <row r="32" spans="1:13" x14ac:dyDescent="0.15">
      <c r="A32" s="153" t="s">
        <v>182</v>
      </c>
      <c r="B32" s="154">
        <f>B23*(1-B30)</f>
        <v>1158.5135175709356</v>
      </c>
      <c r="C32" s="154">
        <f t="shared" ref="C32:K32" si="35">C23*(1-C30)</f>
        <v>1688.0368050083086</v>
      </c>
      <c r="D32" s="154">
        <f t="shared" si="35"/>
        <v>1866.8319535079665</v>
      </c>
      <c r="E32" s="154">
        <f t="shared" si="35"/>
        <v>1824.1174208418454</v>
      </c>
      <c r="F32" s="154">
        <f t="shared" si="35"/>
        <v>1717.2980422985468</v>
      </c>
      <c r="G32" s="154">
        <f t="shared" si="35"/>
        <v>1851.1347341339324</v>
      </c>
      <c r="H32" s="154">
        <f t="shared" si="35"/>
        <v>824.9920632336557</v>
      </c>
      <c r="I32" s="154">
        <f t="shared" si="35"/>
        <v>420.97974819584994</v>
      </c>
      <c r="J32" s="154">
        <f t="shared" si="35"/>
        <v>808.55487409073294</v>
      </c>
      <c r="K32" s="154">
        <f t="shared" si="35"/>
        <v>945.55535412822576</v>
      </c>
      <c r="L32" s="169"/>
    </row>
    <row r="33" spans="1:12" ht="14" thickBot="1" x14ac:dyDescent="0.2">
      <c r="A33" s="170" t="s">
        <v>183</v>
      </c>
      <c r="B33" s="171">
        <f>(K31-B31)/SUM(B32:K32)</f>
        <v>3.1803696660509102</v>
      </c>
      <c r="C33" s="172"/>
      <c r="D33" s="172"/>
      <c r="E33" s="172"/>
      <c r="F33" s="172"/>
      <c r="G33" s="172"/>
      <c r="H33" s="172"/>
      <c r="I33" s="172"/>
      <c r="J33" s="172"/>
      <c r="K33" s="172"/>
      <c r="L33" s="173"/>
    </row>
    <row r="34" spans="1:12" x14ac:dyDescent="0.15">
      <c r="B34" s="174"/>
      <c r="C34" s="174"/>
      <c r="D34" s="174"/>
      <c r="E34" s="174"/>
      <c r="F34" s="174"/>
      <c r="G34" s="174"/>
      <c r="H34" s="174"/>
      <c r="I34" s="174"/>
      <c r="J34" s="174"/>
      <c r="K34" s="174"/>
      <c r="L34" s="174"/>
    </row>
    <row r="35" spans="1:12" x14ac:dyDescent="0.15">
      <c r="B35" s="175"/>
      <c r="C35" s="175"/>
      <c r="D35" s="175"/>
      <c r="E35" s="175"/>
      <c r="F35" s="175"/>
      <c r="G35" s="175"/>
      <c r="H35" s="175"/>
      <c r="I35" s="175"/>
      <c r="J35" s="175"/>
      <c r="K35" s="175"/>
      <c r="L35" s="175"/>
    </row>
    <row r="36" spans="1:12" s="142" customFormat="1" x14ac:dyDescent="0.15">
      <c r="A36" s="176" t="s">
        <v>16</v>
      </c>
      <c r="B36" s="176" t="s">
        <v>60</v>
      </c>
      <c r="C36" s="176" t="s">
        <v>61</v>
      </c>
      <c r="D36" s="176" t="s">
        <v>62</v>
      </c>
      <c r="E36" s="176" t="s">
        <v>63</v>
      </c>
    </row>
    <row r="37" spans="1:12" s="142" customFormat="1" x14ac:dyDescent="0.15">
      <c r="A37" s="177" t="s">
        <v>17</v>
      </c>
      <c r="B37" s="178">
        <f>(K4/B4)^(1/9)-1</f>
        <v>3.5785425890505262E-2</v>
      </c>
      <c r="C37" s="178">
        <f>(K4/D4)^(1/7)-1</f>
        <v>4.0548621393672768E-2</v>
      </c>
      <c r="D37" s="178">
        <f>(K4/F4)^(1/5)-1</f>
        <v>2.1529706038543761E-2</v>
      </c>
      <c r="E37" s="178">
        <f>(K4/H4)^(1/3)-1</f>
        <v>6.8703292977077002E-2</v>
      </c>
    </row>
    <row r="38" spans="1:12" s="142" customFormat="1" x14ac:dyDescent="0.15">
      <c r="A38" s="177" t="s">
        <v>180</v>
      </c>
      <c r="B38" s="178">
        <f>(K19/B19)^(1/9)-1</f>
        <v>4.9617696122883803E-2</v>
      </c>
      <c r="C38" s="178">
        <f>(K19/D19)^(1/7)-1</f>
        <v>5.8838072894376037E-3</v>
      </c>
      <c r="D38" s="178">
        <f>(K19/F19)^(1/5)-1</f>
        <v>-5.5308683571386741E-4</v>
      </c>
      <c r="E38" s="178">
        <f>(K19/H19)^(1/3)-1</f>
        <v>9.7615615018528779E-2</v>
      </c>
    </row>
    <row r="39" spans="1:12" x14ac:dyDescent="0.15">
      <c r="A39" s="177" t="s">
        <v>100</v>
      </c>
      <c r="B39" s="178">
        <f>AVERAGE(B21:K21)</f>
        <v>0.13910115584451341</v>
      </c>
      <c r="C39" s="178">
        <f>AVERAGE(E21:K21)</f>
        <v>0.135221651169465</v>
      </c>
      <c r="D39" s="178">
        <f>AVERAGE(G21:K21)</f>
        <v>0.1266506883578826</v>
      </c>
      <c r="E39" s="178">
        <f>AVERAGE(I21:K21)</f>
        <v>0.11709859344508118</v>
      </c>
      <c r="F39" s="142"/>
    </row>
    <row r="40" spans="1:12" x14ac:dyDescent="0.15">
      <c r="A40" s="177" t="s">
        <v>18</v>
      </c>
      <c r="B40" s="166">
        <f>AVERAGE(B28:K28)</f>
        <v>18.340440375553268</v>
      </c>
      <c r="C40" s="166">
        <f>AVERAGE(E28:K28)</f>
        <v>17.701842705165717</v>
      </c>
      <c r="D40" s="166">
        <f>AVERAGE(G28:K28)</f>
        <v>18.039257059087021</v>
      </c>
      <c r="E40" s="166">
        <f>AVERAGE(I28:K28)</f>
        <v>20.552323225322656</v>
      </c>
      <c r="F40" s="142"/>
    </row>
    <row r="41" spans="1:12" x14ac:dyDescent="0.15">
      <c r="A41" s="328" t="s">
        <v>240</v>
      </c>
      <c r="B41" s="328"/>
      <c r="C41" s="328"/>
      <c r="D41" s="328"/>
      <c r="E41" s="328"/>
    </row>
    <row r="42" spans="1:12" x14ac:dyDescent="0.15">
      <c r="A42" s="328"/>
      <c r="B42" s="328"/>
      <c r="C42" s="328"/>
      <c r="D42" s="328"/>
      <c r="E42" s="328"/>
    </row>
    <row r="43" spans="1:12" x14ac:dyDescent="0.15">
      <c r="A43" s="328"/>
      <c r="B43" s="328"/>
      <c r="C43" s="328"/>
      <c r="D43" s="328"/>
      <c r="E43" s="328"/>
    </row>
    <row r="44" spans="1:12" x14ac:dyDescent="0.15">
      <c r="A44" s="328"/>
      <c r="B44" s="328"/>
      <c r="C44" s="328"/>
      <c r="D44" s="328"/>
      <c r="E44" s="328"/>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18"/>
  <sheetViews>
    <sheetView workbookViewId="0">
      <pane xSplit="1" ySplit="3" topLeftCell="B4" activePane="bottomRight" state="frozen"/>
      <selection pane="topRight" activeCell="B1" sqref="B1"/>
      <selection pane="bottomLeft" activeCell="A4" sqref="A4"/>
      <selection pane="bottomRight" activeCell="M18" sqref="A1:M18"/>
    </sheetView>
  </sheetViews>
  <sheetFormatPr baseColWidth="10" defaultColWidth="13.1640625" defaultRowHeight="13" x14ac:dyDescent="0.15"/>
  <cols>
    <col min="1" max="1" width="32" style="7" bestFit="1" customWidth="1"/>
    <col min="2" max="2" width="7" style="7" bestFit="1" customWidth="1"/>
    <col min="3" max="11" width="7.1640625" style="7" bestFit="1" customWidth="1"/>
    <col min="12" max="12" width="8.1640625" style="7" bestFit="1" customWidth="1"/>
    <col min="13" max="16384" width="13.1640625" style="7"/>
  </cols>
  <sheetData>
    <row r="1" spans="1:13" ht="19" x14ac:dyDescent="0.2">
      <c r="A1" s="321" t="s">
        <v>265</v>
      </c>
      <c r="B1" s="322"/>
      <c r="C1" s="322"/>
      <c r="D1" s="322"/>
      <c r="E1" s="322"/>
      <c r="F1" s="322"/>
      <c r="G1" s="322"/>
      <c r="H1" s="322"/>
      <c r="I1" s="322"/>
      <c r="J1" s="322"/>
      <c r="K1" s="322"/>
      <c r="L1" s="323"/>
    </row>
    <row r="2" spans="1:13" s="6" customFormat="1" x14ac:dyDescent="0.15">
      <c r="A2" s="335" t="str">
        <f>'Balance Sheet'!A2</f>
        <v>HERO MOTOCORP LTD</v>
      </c>
      <c r="B2" s="336"/>
      <c r="C2" s="336"/>
      <c r="D2" s="336"/>
      <c r="E2" s="336"/>
      <c r="F2" s="336"/>
      <c r="G2" s="336"/>
      <c r="H2" s="336"/>
      <c r="I2" s="336"/>
      <c r="J2" s="336"/>
      <c r="K2" s="336"/>
      <c r="L2" s="337"/>
    </row>
    <row r="3" spans="1:13" s="6" customFormat="1" x14ac:dyDescent="0.15">
      <c r="A3" s="242" t="s">
        <v>179</v>
      </c>
      <c r="B3" s="103">
        <f>'Data Sheet'!B81</f>
        <v>42094</v>
      </c>
      <c r="C3" s="103">
        <f>'Data Sheet'!C81</f>
        <v>42460</v>
      </c>
      <c r="D3" s="103">
        <f>'Data Sheet'!D81</f>
        <v>42825</v>
      </c>
      <c r="E3" s="103">
        <f>'Data Sheet'!E81</f>
        <v>43190</v>
      </c>
      <c r="F3" s="103">
        <f>'Data Sheet'!F81</f>
        <v>43555</v>
      </c>
      <c r="G3" s="103">
        <f>'Data Sheet'!G81</f>
        <v>43921</v>
      </c>
      <c r="H3" s="103">
        <f>'Data Sheet'!H81</f>
        <v>44286</v>
      </c>
      <c r="I3" s="103">
        <f>'Data Sheet'!I81</f>
        <v>44651</v>
      </c>
      <c r="J3" s="103">
        <f>'Data Sheet'!J81</f>
        <v>45016</v>
      </c>
      <c r="K3" s="103">
        <f>'Data Sheet'!K81</f>
        <v>45382</v>
      </c>
      <c r="L3" s="198" t="s">
        <v>21</v>
      </c>
    </row>
    <row r="4" spans="1:13" s="6" customFormat="1" x14ac:dyDescent="0.15">
      <c r="A4" s="243" t="s">
        <v>93</v>
      </c>
      <c r="B4" s="108">
        <f>'Data Sheet'!B82</f>
        <v>2185.5100000000002</v>
      </c>
      <c r="C4" s="108">
        <f>'Data Sheet'!C82</f>
        <v>3722.37</v>
      </c>
      <c r="D4" s="108">
        <f>'Data Sheet'!D82</f>
        <v>4007.18</v>
      </c>
      <c r="E4" s="108">
        <f>'Data Sheet'!E82</f>
        <v>4017.21</v>
      </c>
      <c r="F4" s="108">
        <f>'Data Sheet'!F82</f>
        <v>1032.28</v>
      </c>
      <c r="G4" s="108">
        <f>'Data Sheet'!G82</f>
        <v>5518.13</v>
      </c>
      <c r="H4" s="108">
        <f>'Data Sheet'!H82</f>
        <v>4110.45</v>
      </c>
      <c r="I4" s="108">
        <f>'Data Sheet'!I82</f>
        <v>2103.6999999999998</v>
      </c>
      <c r="J4" s="108">
        <f>'Data Sheet'!J82</f>
        <v>2613.84</v>
      </c>
      <c r="K4" s="108">
        <f>'Data Sheet'!K82</f>
        <v>4923.07</v>
      </c>
      <c r="L4" s="244">
        <f>SUM(B4:K4)</f>
        <v>34233.740000000005</v>
      </c>
      <c r="M4" s="7"/>
    </row>
    <row r="5" spans="1:13" s="262" customFormat="1" x14ac:dyDescent="0.15">
      <c r="A5" s="245" t="s">
        <v>283</v>
      </c>
      <c r="B5" s="261"/>
      <c r="C5" s="107">
        <f>C4/B4-1</f>
        <v>0.70320428641369737</v>
      </c>
      <c r="D5" s="107">
        <f t="shared" ref="D5:K5" si="0">D4/C4-1</f>
        <v>7.6513081719442155E-2</v>
      </c>
      <c r="E5" s="107">
        <f t="shared" si="0"/>
        <v>2.5030071022515976E-3</v>
      </c>
      <c r="F5" s="107">
        <f t="shared" si="0"/>
        <v>-0.74303558937670666</v>
      </c>
      <c r="G5" s="107">
        <f t="shared" si="0"/>
        <v>4.345574844034565</v>
      </c>
      <c r="H5" s="107">
        <f t="shared" si="0"/>
        <v>-0.25510091280923075</v>
      </c>
      <c r="I5" s="107">
        <f t="shared" si="0"/>
        <v>-0.48820688732377238</v>
      </c>
      <c r="J5" s="107">
        <f t="shared" si="0"/>
        <v>0.24249655369111589</v>
      </c>
      <c r="K5" s="107">
        <f t="shared" si="0"/>
        <v>0.88346264499739835</v>
      </c>
      <c r="L5" s="248"/>
      <c r="M5" s="10"/>
    </row>
    <row r="6" spans="1:13" x14ac:dyDescent="0.15">
      <c r="A6" s="80" t="s">
        <v>28</v>
      </c>
      <c r="B6" s="24">
        <f>'Data Sheet'!B83</f>
        <v>31.38</v>
      </c>
      <c r="C6" s="24">
        <f>'Data Sheet'!C83</f>
        <v>-2300.1799999999998</v>
      </c>
      <c r="D6" s="24">
        <f>'Data Sheet'!D83</f>
        <v>-1971.95</v>
      </c>
      <c r="E6" s="24">
        <f>'Data Sheet'!E83</f>
        <v>-1858.21</v>
      </c>
      <c r="F6" s="24">
        <f>'Data Sheet'!F83</f>
        <v>1297.6300000000001</v>
      </c>
      <c r="G6" s="24">
        <f>'Data Sheet'!G83</f>
        <v>-2819.14</v>
      </c>
      <c r="H6" s="24">
        <f>'Data Sheet'!H83</f>
        <v>-2289.3200000000002</v>
      </c>
      <c r="I6" s="24">
        <f>'Data Sheet'!I83</f>
        <v>-221.97</v>
      </c>
      <c r="J6" s="24">
        <f>'Data Sheet'!J83</f>
        <v>-421.33</v>
      </c>
      <c r="K6" s="24">
        <f>'Data Sheet'!K83</f>
        <v>-1827.87</v>
      </c>
      <c r="L6" s="244">
        <f t="shared" ref="L6:L8" si="1">SUM(B6:K6)</f>
        <v>-12380.96</v>
      </c>
    </row>
    <row r="7" spans="1:13" x14ac:dyDescent="0.15">
      <c r="A7" s="80" t="s">
        <v>29</v>
      </c>
      <c r="B7" s="24">
        <f>'Data Sheet'!B84</f>
        <v>-2131.13</v>
      </c>
      <c r="C7" s="24">
        <f>'Data Sheet'!C84</f>
        <v>-1474.73</v>
      </c>
      <c r="D7" s="24">
        <f>'Data Sheet'!D84</f>
        <v>-2035.86</v>
      </c>
      <c r="E7" s="24">
        <f>'Data Sheet'!E84</f>
        <v>-2102.4499999999998</v>
      </c>
      <c r="F7" s="24">
        <f>'Data Sheet'!F84</f>
        <v>-2252.4</v>
      </c>
      <c r="G7" s="24">
        <f>'Data Sheet'!G84</f>
        <v>-2601.8000000000002</v>
      </c>
      <c r="H7" s="24">
        <f>'Data Sheet'!H84</f>
        <v>-1851.82</v>
      </c>
      <c r="I7" s="24">
        <f>'Data Sheet'!I84</f>
        <v>-1975.33</v>
      </c>
      <c r="J7" s="24">
        <f>'Data Sheet'!J84</f>
        <v>-2147.23</v>
      </c>
      <c r="K7" s="24">
        <f>'Data Sheet'!K84</f>
        <v>-2716.59</v>
      </c>
      <c r="L7" s="244">
        <f t="shared" si="1"/>
        <v>-21289.339999999997</v>
      </c>
    </row>
    <row r="8" spans="1:13" s="6" customFormat="1" x14ac:dyDescent="0.15">
      <c r="A8" s="243" t="s">
        <v>30</v>
      </c>
      <c r="B8" s="108">
        <f>'Data Sheet'!B85</f>
        <v>85.76</v>
      </c>
      <c r="C8" s="108">
        <f>'Data Sheet'!C85</f>
        <v>-52.54</v>
      </c>
      <c r="D8" s="108">
        <f>'Data Sheet'!D85</f>
        <v>-0.63</v>
      </c>
      <c r="E8" s="108">
        <f>'Data Sheet'!E85</f>
        <v>56.55</v>
      </c>
      <c r="F8" s="108">
        <f>'Data Sheet'!F85</f>
        <v>77.510000000000005</v>
      </c>
      <c r="G8" s="108">
        <f>'Data Sheet'!G85</f>
        <v>97.19</v>
      </c>
      <c r="H8" s="108">
        <f>'Data Sheet'!H85</f>
        <v>-30.69</v>
      </c>
      <c r="I8" s="108">
        <f>'Data Sheet'!I85</f>
        <v>-93.6</v>
      </c>
      <c r="J8" s="108">
        <f>'Data Sheet'!J85</f>
        <v>45.28</v>
      </c>
      <c r="K8" s="108">
        <f>'Data Sheet'!K85</f>
        <v>378.61</v>
      </c>
      <c r="L8" s="244">
        <f t="shared" si="1"/>
        <v>563.44000000000005</v>
      </c>
    </row>
    <row r="9" spans="1:13" s="10" customFormat="1" x14ac:dyDescent="0.15">
      <c r="A9" s="245" t="s">
        <v>94</v>
      </c>
      <c r="B9" s="107">
        <f>B4/'Profit &amp; Loss'!B4</f>
        <v>7.9363338626619276E-2</v>
      </c>
      <c r="C9" s="107">
        <f>C4/'Profit &amp; Loss'!C4</f>
        <v>0.13080627976408013</v>
      </c>
      <c r="D9" s="107">
        <f>D4/'Profit &amp; Loss'!D4</f>
        <v>0.14006011094555376</v>
      </c>
      <c r="E9" s="107">
        <f>E4/'Profit &amp; Loss'!E4</f>
        <v>0.1237649949766424</v>
      </c>
      <c r="F9" s="107">
        <f>F4/'Profit &amp; Loss'!F4</f>
        <v>3.0387255886081054E-2</v>
      </c>
      <c r="G9" s="107">
        <f>G4/'Profit &amp; Loss'!G4</f>
        <v>0.1886284152202248</v>
      </c>
      <c r="H9" s="107">
        <f>H4/'Profit &amp; Loss'!H4</f>
        <v>0.13276994650053828</v>
      </c>
      <c r="I9" s="107">
        <f>I4/'Profit &amp; Loss'!I4</f>
        <v>7.1188117739739196E-2</v>
      </c>
      <c r="J9" s="107">
        <f>J4/'Profit &amp; Loss'!J4</f>
        <v>7.6521193335281137E-2</v>
      </c>
      <c r="K9" s="107">
        <f>K4/'Profit &amp; Loss'!K4</f>
        <v>0.1302791687021119</v>
      </c>
      <c r="L9" s="246"/>
    </row>
    <row r="10" spans="1:13" s="10" customFormat="1" x14ac:dyDescent="0.15">
      <c r="A10" s="245" t="s">
        <v>95</v>
      </c>
      <c r="B10" s="107">
        <f>B4/'Profit &amp; Loss'!B23</f>
        <v>0.93059429169984664</v>
      </c>
      <c r="C10" s="107">
        <f>C4/'Profit &amp; Loss'!C23</f>
        <v>1.1960228641932453</v>
      </c>
      <c r="D10" s="107">
        <f>D4/'Profit &amp; Loss'!D23</f>
        <v>1.1299608042184812</v>
      </c>
      <c r="E10" s="107">
        <f>E4/'Profit &amp; Loss'!E23</f>
        <v>1.0792655896963328</v>
      </c>
      <c r="F10" s="107">
        <f>F4/'Profit &amp; Loss'!F23</f>
        <v>0.29780027983325386</v>
      </c>
      <c r="G10" s="107">
        <f>G4/'Profit &amp; Loss'!G23</f>
        <v>1.5079288737801992</v>
      </c>
      <c r="H10" s="107">
        <f>H4/'Profit &amp; Loss'!H23</f>
        <v>1.3999931881269057</v>
      </c>
      <c r="I10" s="107">
        <f>I4/'Profit &amp; Loss'!I23</f>
        <v>0.90324381185461855</v>
      </c>
      <c r="J10" s="107">
        <f>J4/'Profit &amp; Loss'!J23</f>
        <v>0.93354762670095526</v>
      </c>
      <c r="K10" s="107">
        <f>K4/'Profit &amp; Loss'!K23</f>
        <v>1.315569083096392</v>
      </c>
      <c r="L10" s="246"/>
    </row>
    <row r="11" spans="1:13" x14ac:dyDescent="0.15">
      <c r="A11" s="247" t="s">
        <v>230</v>
      </c>
      <c r="B11" s="109">
        <v>315.08</v>
      </c>
      <c r="C11" s="109">
        <v>211.57</v>
      </c>
      <c r="D11" s="109">
        <v>364.12</v>
      </c>
      <c r="E11" s="109">
        <v>565</v>
      </c>
      <c r="F11" s="109">
        <v>607</v>
      </c>
      <c r="G11" s="109">
        <v>937</v>
      </c>
      <c r="H11" s="109">
        <v>1156</v>
      </c>
      <c r="I11" s="109">
        <v>1638</v>
      </c>
      <c r="J11" s="109">
        <v>1238</v>
      </c>
      <c r="K11" s="109">
        <v>824.16</v>
      </c>
      <c r="L11" s="248"/>
    </row>
    <row r="12" spans="1:13" x14ac:dyDescent="0.15">
      <c r="A12" s="80" t="s">
        <v>130</v>
      </c>
      <c r="B12" s="110">
        <f t="shared" ref="B12:K12" si="2">B4-B11</f>
        <v>1870.4300000000003</v>
      </c>
      <c r="C12" s="110">
        <f t="shared" si="2"/>
        <v>3510.7999999999997</v>
      </c>
      <c r="D12" s="110">
        <f t="shared" si="2"/>
        <v>3643.06</v>
      </c>
      <c r="E12" s="110">
        <f t="shared" si="2"/>
        <v>3452.21</v>
      </c>
      <c r="F12" s="110">
        <f t="shared" si="2"/>
        <v>425.28</v>
      </c>
      <c r="G12" s="110">
        <f t="shared" si="2"/>
        <v>4581.13</v>
      </c>
      <c r="H12" s="110">
        <f t="shared" si="2"/>
        <v>2954.45</v>
      </c>
      <c r="I12" s="110">
        <f t="shared" si="2"/>
        <v>465.69999999999982</v>
      </c>
      <c r="J12" s="110">
        <f t="shared" si="2"/>
        <v>1375.8400000000001</v>
      </c>
      <c r="K12" s="110">
        <f t="shared" si="2"/>
        <v>4098.91</v>
      </c>
      <c r="L12" s="248">
        <f t="shared" ref="L12" si="3">SUM(B12:K12)</f>
        <v>26377.81</v>
      </c>
      <c r="M12" s="6"/>
    </row>
    <row r="13" spans="1:13" ht="14.5" customHeight="1" x14ac:dyDescent="0.15">
      <c r="A13" s="245" t="s">
        <v>131</v>
      </c>
      <c r="B13" s="332">
        <f>AVERAGE(I12:K12)</f>
        <v>1980.1499999999999</v>
      </c>
      <c r="C13" s="333"/>
      <c r="D13" s="333"/>
      <c r="E13" s="333"/>
      <c r="F13" s="333"/>
      <c r="G13" s="333"/>
      <c r="H13" s="333"/>
      <c r="I13" s="333"/>
      <c r="J13" s="333"/>
      <c r="K13" s="334"/>
      <c r="L13" s="249"/>
    </row>
    <row r="14" spans="1:13" ht="14.5" customHeight="1" x14ac:dyDescent="0.15">
      <c r="A14" s="245" t="s">
        <v>286</v>
      </c>
      <c r="B14" s="260"/>
      <c r="C14" s="263">
        <f>C12/B12-1</f>
        <v>0.87700154509925476</v>
      </c>
      <c r="D14" s="263">
        <f t="shared" ref="D14:K14" si="4">D12/C12-1</f>
        <v>3.7672325395921247E-2</v>
      </c>
      <c r="E14" s="263">
        <f t="shared" si="4"/>
        <v>-5.2387278826041772E-2</v>
      </c>
      <c r="F14" s="263">
        <f t="shared" si="4"/>
        <v>-0.87680934821462198</v>
      </c>
      <c r="G14" s="263">
        <f t="shared" si="4"/>
        <v>9.772032543265615</v>
      </c>
      <c r="H14" s="263">
        <f t="shared" si="4"/>
        <v>-0.35508269793697189</v>
      </c>
      <c r="I14" s="263">
        <f t="shared" si="4"/>
        <v>-0.84237336898576731</v>
      </c>
      <c r="J14" s="263">
        <f t="shared" si="4"/>
        <v>1.9543482928924214</v>
      </c>
      <c r="K14" s="263">
        <f t="shared" si="4"/>
        <v>1.9792054308640536</v>
      </c>
      <c r="L14" s="249"/>
    </row>
    <row r="15" spans="1:13" x14ac:dyDescent="0.15">
      <c r="A15" s="245" t="s">
        <v>174</v>
      </c>
      <c r="B15" s="107">
        <f>B12/'Data Sheet'!B17</f>
        <v>6.7921706817807972E-2</v>
      </c>
      <c r="C15" s="107">
        <f>C12/'Data Sheet'!C17</f>
        <v>0.1233715850374177</v>
      </c>
      <c r="D15" s="107">
        <f>D12/'Data Sheet'!D17</f>
        <v>0.12733328370108382</v>
      </c>
      <c r="E15" s="107">
        <f>E12/'Data Sheet'!E17</f>
        <v>0.10635808267636361</v>
      </c>
      <c r="F15" s="107">
        <f>F12/'Data Sheet'!F17</f>
        <v>1.2518979524191644E-2</v>
      </c>
      <c r="G15" s="107">
        <f>G12/'Data Sheet'!G17</f>
        <v>0.15659857448407857</v>
      </c>
      <c r="H15" s="107">
        <f>H12/'Data Sheet'!H17</f>
        <v>9.5430468303595792E-2</v>
      </c>
      <c r="I15" s="107">
        <f>I12/'Data Sheet'!I17</f>
        <v>1.5759046647048785E-2</v>
      </c>
      <c r="J15" s="107">
        <f>J12/'Data Sheet'!J17</f>
        <v>4.0278256755736083E-2</v>
      </c>
      <c r="K15" s="107">
        <f>K12/'Data Sheet'!K17</f>
        <v>0.10846942809766537</v>
      </c>
      <c r="L15" s="249"/>
    </row>
    <row r="16" spans="1:13" ht="14" thickBot="1" x14ac:dyDescent="0.2">
      <c r="A16" s="250" t="s">
        <v>175</v>
      </c>
      <c r="B16" s="251">
        <f>B12/'Data Sheet'!B30</f>
        <v>0.79097982830803082</v>
      </c>
      <c r="C16" s="251">
        <f>C12/'Data Sheet'!C30</f>
        <v>1.1173845791507264</v>
      </c>
      <c r="D16" s="251">
        <f>D12/'Data Sheet'!D30</f>
        <v>1.0164022241628001</v>
      </c>
      <c r="E16" s="251">
        <f>E12/'Data Sheet'!E30</f>
        <v>0.92791366519729057</v>
      </c>
      <c r="F16" s="251">
        <f>F12/'Data Sheet'!F30</f>
        <v>0.12348109369964198</v>
      </c>
      <c r="G16" s="251">
        <f>G12/'Data Sheet'!G30</f>
        <v>1.2592060163106669</v>
      </c>
      <c r="H16" s="251">
        <f>H12/'Data Sheet'!H30</f>
        <v>1.0125781852454803</v>
      </c>
      <c r="I16" s="251">
        <f>I12/'Data Sheet'!I30</f>
        <v>0.20100307309830454</v>
      </c>
      <c r="J16" s="251">
        <f>J12/'Data Sheet'!J30</f>
        <v>0.48962974561915479</v>
      </c>
      <c r="K16" s="251">
        <f>K12/'Data Sheet'!K30</f>
        <v>1.0945516885946758</v>
      </c>
      <c r="L16" s="252"/>
    </row>
    <row r="18" spans="1:1" ht="112" x14ac:dyDescent="0.15">
      <c r="A18" s="222" t="s">
        <v>251</v>
      </c>
    </row>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tabSelected="1" workbookViewId="0">
      <selection activeCell="L42" sqref="L42"/>
    </sheetView>
  </sheetViews>
  <sheetFormatPr baseColWidth="10" defaultColWidth="8.6640625" defaultRowHeight="13" x14ac:dyDescent="0.15"/>
  <cols>
    <col min="1" max="1" width="24.5" style="7" bestFit="1" customWidth="1"/>
    <col min="2" max="2" width="7" style="7" bestFit="1" customWidth="1"/>
    <col min="3" max="3" width="8" style="7" bestFit="1" customWidth="1"/>
    <col min="4" max="4" width="6.6640625" style="7" bestFit="1" customWidth="1"/>
    <col min="5" max="5" width="7" style="7" bestFit="1" customWidth="1"/>
    <col min="6" max="6" width="6.6640625" style="7" bestFit="1" customWidth="1"/>
    <col min="7" max="7" width="7" style="7" bestFit="1" customWidth="1"/>
    <col min="8" max="8" width="6.6640625" style="7" bestFit="1" customWidth="1"/>
    <col min="9" max="9" width="7" style="7" bestFit="1" customWidth="1"/>
    <col min="10" max="11" width="6.6640625" style="7" bestFit="1" customWidth="1"/>
    <col min="12" max="12" width="110.6640625" style="7" bestFit="1" customWidth="1"/>
    <col min="13" max="16384" width="8.6640625" style="7"/>
  </cols>
  <sheetData>
    <row r="1" spans="1:12" ht="19" x14ac:dyDescent="0.2">
      <c r="A1" s="338" t="s">
        <v>280</v>
      </c>
      <c r="B1" s="339"/>
      <c r="C1" s="339"/>
      <c r="D1" s="339"/>
      <c r="E1" s="339"/>
      <c r="F1" s="339"/>
      <c r="G1" s="339"/>
      <c r="H1" s="339"/>
      <c r="I1" s="339"/>
      <c r="J1" s="339"/>
      <c r="K1" s="340"/>
    </row>
    <row r="2" spans="1:12" x14ac:dyDescent="0.15">
      <c r="A2" s="341" t="str">
        <f>'Profit &amp; Loss'!A2:L2</f>
        <v>HERO MOTOCORP LTD</v>
      </c>
      <c r="B2" s="342"/>
      <c r="C2" s="342"/>
      <c r="D2" s="342"/>
      <c r="E2" s="342"/>
      <c r="F2" s="342"/>
      <c r="G2" s="342"/>
      <c r="H2" s="342"/>
      <c r="I2" s="342"/>
      <c r="J2" s="342"/>
      <c r="K2" s="343"/>
    </row>
    <row r="3" spans="1:12" x14ac:dyDescent="0.15">
      <c r="A3" s="270"/>
      <c r="B3" s="266">
        <f>'Profit &amp; Loss'!B3</f>
        <v>42094</v>
      </c>
      <c r="C3" s="266">
        <f>'Profit &amp; Loss'!C3</f>
        <v>42460</v>
      </c>
      <c r="D3" s="266">
        <f>'Profit &amp; Loss'!D3</f>
        <v>42825</v>
      </c>
      <c r="E3" s="266">
        <f>'Profit &amp; Loss'!E3</f>
        <v>43190</v>
      </c>
      <c r="F3" s="266">
        <f>'Profit &amp; Loss'!F3</f>
        <v>43555</v>
      </c>
      <c r="G3" s="266">
        <f>'Profit &amp; Loss'!G3</f>
        <v>43921</v>
      </c>
      <c r="H3" s="266">
        <f>'Profit &amp; Loss'!H3</f>
        <v>44286</v>
      </c>
      <c r="I3" s="266">
        <f>'Profit &amp; Loss'!I3</f>
        <v>44651</v>
      </c>
      <c r="J3" s="266">
        <f>'Profit &amp; Loss'!J3</f>
        <v>45016</v>
      </c>
      <c r="K3" s="271">
        <f>'Profit &amp; Loss'!K3</f>
        <v>45382</v>
      </c>
      <c r="L3" s="287" t="s">
        <v>315</v>
      </c>
    </row>
    <row r="4" spans="1:12" x14ac:dyDescent="0.15">
      <c r="A4" s="80" t="s">
        <v>17</v>
      </c>
      <c r="B4" s="267"/>
      <c r="C4" s="267">
        <f>'Profit &amp; Loss'!C5</f>
        <v>3.337529954030849E-2</v>
      </c>
      <c r="D4" s="267">
        <f>'Profit &amp; Loss'!D5</f>
        <v>5.3874039256256445E-3</v>
      </c>
      <c r="E4" s="267">
        <f>'Profit &amp; Loss'!E5</f>
        <v>0.1344943085441217</v>
      </c>
      <c r="F4" s="267">
        <f>'Profit &amp; Loss'!F5</f>
        <v>4.6596609749657736E-2</v>
      </c>
      <c r="G4" s="267">
        <f>'Profit &amp; Loss'!G5</f>
        <v>-0.138850048365038</v>
      </c>
      <c r="H4" s="267">
        <f>'Profit &amp; Loss'!H5</f>
        <v>5.8290208132434573E-2</v>
      </c>
      <c r="I4" s="267">
        <f>'Profit &amp; Loss'!I5</f>
        <v>-4.5476318986381714E-2</v>
      </c>
      <c r="J4" s="267">
        <f>'Profit &amp; Loss'!J5</f>
        <v>0.15590187633158359</v>
      </c>
      <c r="K4" s="272">
        <f>'Profit &amp; Loss'!K5</f>
        <v>0.10627670281787394</v>
      </c>
      <c r="L4" s="7" t="s">
        <v>298</v>
      </c>
    </row>
    <row r="5" spans="1:12" x14ac:dyDescent="0.15">
      <c r="A5" s="80" t="s">
        <v>180</v>
      </c>
      <c r="B5" s="267"/>
      <c r="C5" s="267">
        <f>'Profit &amp; Loss'!C20</f>
        <v>0.33264073682548179</v>
      </c>
      <c r="D5" s="267">
        <f>'Profit &amp; Loss'!D20</f>
        <v>0.11360838842033183</v>
      </c>
      <c r="E5" s="267">
        <f>'Profit &amp; Loss'!E20</f>
        <v>8.324804519589013E-2</v>
      </c>
      <c r="F5" s="267">
        <f>'Profit &amp; Loss'!F20</f>
        <v>-3.5486857769127633E-2</v>
      </c>
      <c r="G5" s="267">
        <f>'Profit &amp; Loss'!G20</f>
        <v>-9.662833297415907E-2</v>
      </c>
      <c r="H5" s="267">
        <f>'Profit &amp; Loss'!H20</f>
        <v>-0.1652020784718552</v>
      </c>
      <c r="I5" s="267">
        <f>'Profit &amp; Loss'!I20</f>
        <v>-0.20554539503081026</v>
      </c>
      <c r="J5" s="267">
        <f>'Profit &amp; Loss'!J20</f>
        <v>0.26340125109953338</v>
      </c>
      <c r="K5" s="272">
        <f>'Profit &amp; Loss'!K20</f>
        <v>0.3174691092809363</v>
      </c>
      <c r="L5" s="7" t="s">
        <v>298</v>
      </c>
    </row>
    <row r="6" spans="1:12" x14ac:dyDescent="0.15">
      <c r="A6" s="80" t="s">
        <v>278</v>
      </c>
      <c r="B6" s="267"/>
      <c r="C6" s="267">
        <f>'Profit &amp; Loss'!C24</f>
        <v>0.32521896862266408</v>
      </c>
      <c r="D6" s="267">
        <f>'Profit &amp; Loss'!D24</f>
        <v>0.13945037255525539</v>
      </c>
      <c r="E6" s="267">
        <f>'Profit &amp; Loss'!E24</f>
        <v>4.9592533062629007E-2</v>
      </c>
      <c r="F6" s="267">
        <f>'Profit &amp; Loss'!F24</f>
        <v>-6.872872544778974E-2</v>
      </c>
      <c r="G6" s="267">
        <f>'Profit &amp; Loss'!G24</f>
        <v>5.5695472182554884E-2</v>
      </c>
      <c r="H6" s="267">
        <f>'Profit &amp; Loss'!H24</f>
        <v>-0.19767120929330184</v>
      </c>
      <c r="I6" s="267">
        <f>'Profit &amp; Loss'!I24</f>
        <v>-0.20674034842730826</v>
      </c>
      <c r="J6" s="267">
        <f>'Profit &amp; Loss'!J24</f>
        <v>0.20216397243511053</v>
      </c>
      <c r="K6" s="272">
        <f>'Profit &amp; Loss'!K24</f>
        <v>0.33653344762313342</v>
      </c>
      <c r="L6" s="7" t="s">
        <v>298</v>
      </c>
    </row>
    <row r="7" spans="1:12" x14ac:dyDescent="0.15">
      <c r="A7" s="80" t="s">
        <v>292</v>
      </c>
      <c r="B7" s="267"/>
      <c r="C7" s="267">
        <f>'Data Sheet'!C31/'Data Sheet'!B31-1</f>
        <v>0.19999999999999996</v>
      </c>
      <c r="D7" s="267">
        <f>'Data Sheet'!D31/'Data Sheet'!C31-1</f>
        <v>0.18055555555555558</v>
      </c>
      <c r="E7" s="267">
        <f>'Data Sheet'!E31/'Data Sheet'!D31-1</f>
        <v>0.11764705882352944</v>
      </c>
      <c r="F7" s="267">
        <f>'Data Sheet'!F31/'Data Sheet'!E31-1</f>
        <v>-8.3983870542656214E-2</v>
      </c>
      <c r="G7" s="267">
        <f>'Data Sheet'!G31/'Data Sheet'!F31-1</f>
        <v>3.4485735001323459E-2</v>
      </c>
      <c r="H7" s="267">
        <f>'Data Sheet'!H31/'Data Sheet'!G31-1</f>
        <v>0.16695869837296629</v>
      </c>
      <c r="I7" s="267">
        <f>'Data Sheet'!I31/'Data Sheet'!H31-1</f>
        <v>-9.5238095238095344E-2</v>
      </c>
      <c r="J7" s="267">
        <f>'Data Sheet'!J31/'Data Sheet'!I31-1</f>
        <v>5.2895000263421421E-2</v>
      </c>
      <c r="K7" s="272">
        <f>'Data Sheet'!K31/'Data Sheet'!J31-1</f>
        <v>0.40035026269702279</v>
      </c>
      <c r="L7" s="7" t="s">
        <v>299</v>
      </c>
    </row>
    <row r="8" spans="1:12" x14ac:dyDescent="0.15">
      <c r="A8" s="80" t="s">
        <v>284</v>
      </c>
      <c r="B8" s="267"/>
      <c r="C8" s="267">
        <f>'Cash Flow'!C5</f>
        <v>0.70320428641369737</v>
      </c>
      <c r="D8" s="267">
        <f>'Cash Flow'!D5</f>
        <v>7.6513081719442155E-2</v>
      </c>
      <c r="E8" s="267">
        <f>'Cash Flow'!E5</f>
        <v>2.5030071022515976E-3</v>
      </c>
      <c r="F8" s="267">
        <f>'Cash Flow'!F5</f>
        <v>-0.74303558937670666</v>
      </c>
      <c r="G8" s="267">
        <f>'Cash Flow'!G5</f>
        <v>4.345574844034565</v>
      </c>
      <c r="H8" s="267">
        <f>'Cash Flow'!H5</f>
        <v>-0.25510091280923075</v>
      </c>
      <c r="I8" s="267">
        <f>'Cash Flow'!I5</f>
        <v>-0.48820688732377238</v>
      </c>
      <c r="J8" s="267">
        <f>'Cash Flow'!J5</f>
        <v>0.24249655369111589</v>
      </c>
      <c r="K8" s="272">
        <f>'Cash Flow'!K5</f>
        <v>0.88346264499739835</v>
      </c>
      <c r="L8" s="7" t="s">
        <v>298</v>
      </c>
    </row>
    <row r="9" spans="1:12" x14ac:dyDescent="0.15">
      <c r="A9" s="80" t="s">
        <v>285</v>
      </c>
      <c r="B9" s="267"/>
      <c r="C9" s="267">
        <f>'Cash Flow'!C14</f>
        <v>0.87700154509925476</v>
      </c>
      <c r="D9" s="267">
        <f>'Cash Flow'!D14</f>
        <v>3.7672325395921247E-2</v>
      </c>
      <c r="E9" s="267">
        <f>'Cash Flow'!E14</f>
        <v>-5.2387278826041772E-2</v>
      </c>
      <c r="F9" s="267">
        <f>'Cash Flow'!F14</f>
        <v>-0.87680934821462198</v>
      </c>
      <c r="G9" s="267">
        <f>'Cash Flow'!G14</f>
        <v>9.772032543265615</v>
      </c>
      <c r="H9" s="267">
        <f>'Cash Flow'!H14</f>
        <v>-0.35508269793697189</v>
      </c>
      <c r="I9" s="267">
        <f>'Cash Flow'!I14</f>
        <v>-0.84237336898576731</v>
      </c>
      <c r="J9" s="267">
        <f>'Cash Flow'!J14</f>
        <v>1.9543482928924214</v>
      </c>
      <c r="K9" s="272">
        <f>'Cash Flow'!K14</f>
        <v>1.9792054308640536</v>
      </c>
      <c r="L9" s="7" t="s">
        <v>298</v>
      </c>
    </row>
    <row r="10" spans="1:12" x14ac:dyDescent="0.15">
      <c r="A10" s="80"/>
      <c r="B10" s="12"/>
      <c r="C10" s="12"/>
      <c r="D10" s="12"/>
      <c r="E10" s="12"/>
      <c r="F10" s="12"/>
      <c r="G10" s="12"/>
      <c r="H10" s="12"/>
      <c r="I10" s="12"/>
      <c r="J10" s="12"/>
      <c r="K10" s="273"/>
    </row>
    <row r="11" spans="1:12" x14ac:dyDescent="0.15">
      <c r="A11" s="80" t="s">
        <v>277</v>
      </c>
      <c r="B11" s="268">
        <f>'Profit &amp; Loss'!B13</f>
        <v>0.12780761732048343</v>
      </c>
      <c r="C11" s="268">
        <f>'Profit &amp; Loss'!C13</f>
        <v>0.1554549441405175</v>
      </c>
      <c r="D11" s="268">
        <f>'Profit &amp; Loss'!D13</f>
        <v>0.16025798983098119</v>
      </c>
      <c r="E11" s="268">
        <f>'Profit &amp; Loss'!E13</f>
        <v>0.16434374246149766</v>
      </c>
      <c r="F11" s="268">
        <f>'Profit &amp; Loss'!F13</f>
        <v>0.14791812502612542</v>
      </c>
      <c r="G11" s="268">
        <f>'Profit &amp; Loss'!G13</f>
        <v>0.13911205897866175</v>
      </c>
      <c r="H11" s="268">
        <f>'Profit &amp; Loss'!H13</f>
        <v>0.13106350650646864</v>
      </c>
      <c r="I11" s="268">
        <f>'Profit &amp; Loss'!I13</f>
        <v>0.11017966057646236</v>
      </c>
      <c r="J11" s="268">
        <f>'Profit &amp; Loss'!J13</f>
        <v>0.11998812590058414</v>
      </c>
      <c r="K11" s="274">
        <f>'Profit &amp; Loss'!K13</f>
        <v>0.13853244707004395</v>
      </c>
      <c r="L11" s="7" t="s">
        <v>307</v>
      </c>
    </row>
    <row r="12" spans="1:12" x14ac:dyDescent="0.15">
      <c r="A12" s="80" t="s">
        <v>100</v>
      </c>
      <c r="B12" s="268">
        <f>'Profit &amp; Loss'!B21</f>
        <v>0.11954232020228001</v>
      </c>
      <c r="C12" s="268">
        <f>'Profit &amp; Loss'!C21</f>
        <v>0.15416177041106072</v>
      </c>
      <c r="D12" s="268">
        <f>'Profit &amp; Loss'!D21</f>
        <v>0.17075590964553836</v>
      </c>
      <c r="E12" s="268">
        <f>'Profit &amp; Loss'!E21</f>
        <v>0.16304269129965557</v>
      </c>
      <c r="F12" s="268">
        <f>'Profit &amp; Loss'!F21</f>
        <v>0.1502554250971864</v>
      </c>
      <c r="G12" s="268">
        <f>'Profit &amp; Loss'!G21</f>
        <v>0.15762236715221903</v>
      </c>
      <c r="H12" s="268">
        <f>'Profit &amp; Loss'!H21</f>
        <v>0.12433529430195037</v>
      </c>
      <c r="I12" s="268">
        <f>'Profit &amp; Loss'!I21</f>
        <v>0.10348485750871031</v>
      </c>
      <c r="J12" s="268">
        <f>'Profit &amp; Loss'!J21</f>
        <v>0.1131089940447994</v>
      </c>
      <c r="K12" s="274">
        <f>'Profit &amp; Loss'!K21</f>
        <v>0.13470192878173387</v>
      </c>
      <c r="L12" s="7" t="s">
        <v>307</v>
      </c>
    </row>
    <row r="13" spans="1:12" x14ac:dyDescent="0.15">
      <c r="A13" s="80" t="s">
        <v>279</v>
      </c>
      <c r="B13" s="268">
        <f>'Profit &amp; Loss'!B25</f>
        <v>8.5282425794437469E-2</v>
      </c>
      <c r="C13" s="268">
        <f>'Profit &amp; Loss'!C25</f>
        <v>0.10936770832747669</v>
      </c>
      <c r="D13" s="268">
        <f>'Profit &amp; Loss'!D25</f>
        <v>0.12395130027755612</v>
      </c>
      <c r="E13" s="268">
        <f>'Profit &amp; Loss'!E25</f>
        <v>0.11467519779951985</v>
      </c>
      <c r="F13" s="268">
        <f>'Profit &amp; Loss'!F25</f>
        <v>0.10203904409725763</v>
      </c>
      <c r="G13" s="268">
        <f>'Profit &amp; Loss'!G25</f>
        <v>0.12509105601735424</v>
      </c>
      <c r="H13" s="268">
        <f>'Profit &amp; Loss'!H25</f>
        <v>9.4836137508765531E-2</v>
      </c>
      <c r="I13" s="268">
        <f>'Profit &amp; Loss'!I25</f>
        <v>7.8813844950201842E-2</v>
      </c>
      <c r="J13" s="268">
        <f>'Profit &amp; Loss'!J25</f>
        <v>8.1968172963705982E-2</v>
      </c>
      <c r="K13" s="274">
        <f>'Profit &amp; Loss'!K25</f>
        <v>9.9028755217840825E-2</v>
      </c>
      <c r="L13" s="7" t="s">
        <v>307</v>
      </c>
    </row>
    <row r="14" spans="1:12" x14ac:dyDescent="0.15">
      <c r="A14" s="80"/>
      <c r="B14" s="12"/>
      <c r="C14" s="12"/>
      <c r="D14" s="12"/>
      <c r="E14" s="12"/>
      <c r="F14" s="12"/>
      <c r="G14" s="12"/>
      <c r="H14" s="12"/>
      <c r="I14" s="12"/>
      <c r="J14" s="12"/>
      <c r="K14" s="273"/>
    </row>
    <row r="15" spans="1:12" x14ac:dyDescent="0.15">
      <c r="A15" s="80" t="str">
        <f>'Balance Sheet'!A22</f>
        <v>Debtor Days</v>
      </c>
      <c r="B15" s="269">
        <f>'Balance Sheet'!B22</f>
        <v>18.182647778363233</v>
      </c>
      <c r="C15" s="269">
        <f>'Balance Sheet'!C22</f>
        <v>16.444234342758509</v>
      </c>
      <c r="D15" s="269">
        <f>'Balance Sheet'!D22</f>
        <v>19.796582924478937</v>
      </c>
      <c r="E15" s="269">
        <f>'Balance Sheet'!E22</f>
        <v>16.046525133578797</v>
      </c>
      <c r="F15" s="269">
        <f>'Balance Sheet'!F22</f>
        <v>29.494876779541972</v>
      </c>
      <c r="G15" s="269">
        <f>'Balance Sheet'!G22</f>
        <v>18.864008884947921</v>
      </c>
      <c r="H15" s="269">
        <f>'Balance Sheet'!H22</f>
        <v>26.817826952190931</v>
      </c>
      <c r="I15" s="269">
        <f>'Balance Sheet'!I22</f>
        <v>26.660396774691318</v>
      </c>
      <c r="J15" s="269">
        <f>'Balance Sheet'!J22</f>
        <v>29.058946882141367</v>
      </c>
      <c r="K15" s="275">
        <f>'Balance Sheet'!K22</f>
        <v>25.405275450651541</v>
      </c>
      <c r="L15" s="7" t="s">
        <v>309</v>
      </c>
    </row>
    <row r="16" spans="1:12" x14ac:dyDescent="0.15">
      <c r="A16" s="80" t="str">
        <f>'Balance Sheet'!A23</f>
        <v>Inventory Turnover</v>
      </c>
      <c r="B16" s="269">
        <f>'Balance Sheet'!B23</f>
        <v>31.96929381580933</v>
      </c>
      <c r="C16" s="269">
        <f>'Balance Sheet'!C23</f>
        <v>37.345791939526762</v>
      </c>
      <c r="D16" s="269">
        <f>'Balance Sheet'!D23</f>
        <v>40.377134550791723</v>
      </c>
      <c r="E16" s="269">
        <f>'Balance Sheet'!E23</f>
        <v>33.716676361823247</v>
      </c>
      <c r="F16" s="269">
        <f>'Balance Sheet'!F23</f>
        <v>27.186878266228103</v>
      </c>
      <c r="G16" s="269">
        <f>'Balance Sheet'!G23</f>
        <v>22.813314929190845</v>
      </c>
      <c r="H16" s="269">
        <f>'Balance Sheet'!H23</f>
        <v>17.302693277146545</v>
      </c>
      <c r="I16" s="269">
        <f>'Balance Sheet'!I23</f>
        <v>20.070007674492835</v>
      </c>
      <c r="J16" s="269">
        <f>'Balance Sheet'!J23</f>
        <v>19.448061079828509</v>
      </c>
      <c r="K16" s="275">
        <f>'Balance Sheet'!K23</f>
        <v>21.520940828065381</v>
      </c>
      <c r="L16" s="7" t="s">
        <v>308</v>
      </c>
    </row>
    <row r="17" spans="1:12" x14ac:dyDescent="0.15">
      <c r="A17" s="80" t="str">
        <f>'Balance Sheet'!A24</f>
        <v>Fixed Asset Turnover</v>
      </c>
      <c r="B17" s="269">
        <f>'Balance Sheet'!B24</f>
        <v>9.3277162057799394</v>
      </c>
      <c r="C17" s="269">
        <f>'Balance Sheet'!C24</f>
        <v>7.5209569443747011</v>
      </c>
      <c r="D17" s="269">
        <f>'Balance Sheet'!D24</f>
        <v>6.2212139991519617</v>
      </c>
      <c r="E17" s="269">
        <f>'Balance Sheet'!E24</f>
        <v>6.5427598690576012</v>
      </c>
      <c r="F17" s="269">
        <f>'Balance Sheet'!F24</f>
        <v>6.8595215210525895</v>
      </c>
      <c r="G17" s="269">
        <f>'Balance Sheet'!G24</f>
        <v>4.5194324672134565</v>
      </c>
      <c r="H17" s="269">
        <f>'Balance Sheet'!H24</f>
        <v>4.8522410072111573</v>
      </c>
      <c r="I17" s="269">
        <f>'Balance Sheet'!I24</f>
        <v>4.771306877811397</v>
      </c>
      <c r="J17" s="269">
        <f>'Balance Sheet'!J24</f>
        <v>5.5459118067281459</v>
      </c>
      <c r="K17" s="275">
        <f>'Balance Sheet'!K24</f>
        <v>6.0634478996181134</v>
      </c>
      <c r="L17" s="7" t="s">
        <v>308</v>
      </c>
    </row>
    <row r="18" spans="1:12" x14ac:dyDescent="0.15">
      <c r="A18" s="80" t="s">
        <v>98</v>
      </c>
      <c r="B18" s="269">
        <f>'Balance Sheet'!B25</f>
        <v>1.5290519877675841E-2</v>
      </c>
      <c r="C18" s="269">
        <f>'Balance Sheet'!C25</f>
        <v>2.6285613378144487E-2</v>
      </c>
      <c r="D18" s="269">
        <f>'Balance Sheet'!D25</f>
        <v>2.5263898731133994E-2</v>
      </c>
      <c r="E18" s="269">
        <f>'Balance Sheet'!E25</f>
        <v>1.9036107542438431E-2</v>
      </c>
      <c r="F18" s="269">
        <f>'Balance Sheet'!F25</f>
        <v>2.3741636122651656E-2</v>
      </c>
      <c r="G18" s="269">
        <f>'Balance Sheet'!G25</f>
        <v>3.1461973528211305E-2</v>
      </c>
      <c r="H18" s="269">
        <f>'Balance Sheet'!H25</f>
        <v>3.7882984506130479E-2</v>
      </c>
      <c r="I18" s="269">
        <f>'Balance Sheet'!I25</f>
        <v>3.8189144077770382E-2</v>
      </c>
      <c r="J18" s="269">
        <f>'Balance Sheet'!J25</f>
        <v>3.4075087193053133E-2</v>
      </c>
      <c r="K18" s="275">
        <f>'Balance Sheet'!K25</f>
        <v>3.426254257321916E-2</v>
      </c>
      <c r="L18" s="7" t="s">
        <v>310</v>
      </c>
    </row>
    <row r="19" spans="1:12" x14ac:dyDescent="0.15">
      <c r="A19" s="80" t="s">
        <v>287</v>
      </c>
      <c r="B19" s="267">
        <f>'Balance Sheet'!B6/'Balance Sheet'!B14</f>
        <v>9.3858377094801649E-3</v>
      </c>
      <c r="C19" s="267">
        <f>'Balance Sheet'!C6/'Balance Sheet'!C14</f>
        <v>1.8006623856896158E-2</v>
      </c>
      <c r="D19" s="267">
        <f>'Balance Sheet'!D6/'Balance Sheet'!D14</f>
        <v>1.7019984326018811E-2</v>
      </c>
      <c r="E19" s="267">
        <f>'Balance Sheet'!E6/'Balance Sheet'!E14</f>
        <v>1.3099588255953849E-2</v>
      </c>
      <c r="F19" s="267">
        <f>'Balance Sheet'!F6/'Balance Sheet'!F14</f>
        <v>1.6833870504032563E-2</v>
      </c>
      <c r="G19" s="267">
        <f>'Balance Sheet'!G6/'Balance Sheet'!G14</f>
        <v>2.3037937752585003E-2</v>
      </c>
      <c r="H19" s="267">
        <f>'Balance Sheet'!H6/'Balance Sheet'!H14</f>
        <v>2.5286531183416758E-2</v>
      </c>
      <c r="I19" s="267">
        <f>'Balance Sheet'!I6/'Balance Sheet'!I14</f>
        <v>2.6922301819658791E-2</v>
      </c>
      <c r="J19" s="267">
        <f>'Balance Sheet'!J6/'Balance Sheet'!J14</f>
        <v>2.3729534979886717E-2</v>
      </c>
      <c r="K19" s="272">
        <f>'Balance Sheet'!K6/'Balance Sheet'!K14</f>
        <v>2.3187201059619258E-2</v>
      </c>
      <c r="L19" s="7" t="s">
        <v>311</v>
      </c>
    </row>
    <row r="20" spans="1:12" x14ac:dyDescent="0.15">
      <c r="A20" s="80" t="s">
        <v>282</v>
      </c>
      <c r="B20" s="269">
        <f>'Profit &amp; Loss'!B18</f>
        <v>282.36410256410193</v>
      </c>
      <c r="C20" s="269">
        <f>'Profit &amp; Loss'!C18</f>
        <v>301.27378507871344</v>
      </c>
      <c r="D20" s="269">
        <f>'Profit &amp; Loss'!D18</f>
        <v>180.08357771260995</v>
      </c>
      <c r="E20" s="269">
        <f>'Profit &amp; Loss'!E18</f>
        <v>172.82142857142861</v>
      </c>
      <c r="F20" s="269">
        <f>'Profit &amp; Loss'!F18</f>
        <v>138.28617536309847</v>
      </c>
      <c r="G20" s="269">
        <f>'Profit &amp; Loss'!G18</f>
        <v>99.865351629502598</v>
      </c>
      <c r="H20" s="269">
        <f>'Profit &amp; Loss'!H18</f>
        <v>83.941607412195623</v>
      </c>
      <c r="I20" s="269">
        <f>'Profit &amp; Loss'!I18</f>
        <v>58.591525423728818</v>
      </c>
      <c r="J20" s="269">
        <f>'Profit &amp; Loss'!J18</f>
        <v>37.838482074752051</v>
      </c>
      <c r="K20" s="275">
        <f>'Profit &amp; Loss'!K18</f>
        <v>67.651826633494878</v>
      </c>
      <c r="L20" s="7" t="s">
        <v>312</v>
      </c>
    </row>
    <row r="21" spans="1:12" x14ac:dyDescent="0.15">
      <c r="A21" s="80" t="str">
        <f>'Balance Sheet'!A26</f>
        <v>Return on Equity</v>
      </c>
      <c r="B21" s="267">
        <f>'Balance Sheet'!B26</f>
        <v>0.3590993883792038</v>
      </c>
      <c r="C21" s="267">
        <f>'Balance Sheet'!C26</f>
        <v>0.35230374084090005</v>
      </c>
      <c r="D21" s="267">
        <f>'Balance Sheet'!D26</f>
        <v>0.34378329331269125</v>
      </c>
      <c r="E21" s="267">
        <f>'Balance Sheet'!E26</f>
        <v>0.31092030545981864</v>
      </c>
      <c r="F21" s="267">
        <f>'Balance Sheet'!F26</f>
        <v>0.26419524999599869</v>
      </c>
      <c r="G21" s="267">
        <f>'Balance Sheet'!G26</f>
        <v>0.25401491571731222</v>
      </c>
      <c r="H21" s="267">
        <f>'Balance Sheet'!H26</f>
        <v>0.19044953367902528</v>
      </c>
      <c r="I21" s="267">
        <f>'Balance Sheet'!I26</f>
        <v>0.14697428163050238</v>
      </c>
      <c r="J21" s="267">
        <f>'Balance Sheet'!J26</f>
        <v>0.16810592492481466</v>
      </c>
      <c r="K21" s="272">
        <f>'Balance Sheet'!K26</f>
        <v>0.21143437000675774</v>
      </c>
      <c r="L21" s="7" t="s">
        <v>313</v>
      </c>
    </row>
    <row r="22" spans="1:12" x14ac:dyDescent="0.15">
      <c r="A22" s="80" t="str">
        <f>'Balance Sheet'!A27</f>
        <v>Return on Capital Employed</v>
      </c>
      <c r="B22" s="267">
        <f>'Balance Sheet'!B27</f>
        <v>0.49753915662650489</v>
      </c>
      <c r="C22" s="267">
        <f>'Balance Sheet'!C27</f>
        <v>0.48549025403912538</v>
      </c>
      <c r="D22" s="267">
        <f>'Balance Sheet'!D27</f>
        <v>0.46450683237330881</v>
      </c>
      <c r="E22" s="267">
        <f>'Balance Sheet'!E27</f>
        <v>0.43632652559357682</v>
      </c>
      <c r="F22" s="267">
        <f>'Balance Sheet'!F27</f>
        <v>0.38278100433966589</v>
      </c>
      <c r="G22" s="267">
        <f>'Balance Sheet'!G27</f>
        <v>0.31345002163594682</v>
      </c>
      <c r="H22" s="267">
        <f>'Balance Sheet'!H27</f>
        <v>0.24347642939819147</v>
      </c>
      <c r="I22" s="267">
        <f>'Balance Sheet'!I27</f>
        <v>0.18911038413987027</v>
      </c>
      <c r="J22" s="267">
        <f>'Balance Sheet'!J27</f>
        <v>0.23041715462538384</v>
      </c>
      <c r="K22" s="272">
        <f>'Balance Sheet'!K27</f>
        <v>0.28224402400830823</v>
      </c>
      <c r="L22" s="7" t="s">
        <v>313</v>
      </c>
    </row>
    <row r="23" spans="1:12" ht="14" thickBot="1" x14ac:dyDescent="0.2">
      <c r="A23" s="276" t="s">
        <v>281</v>
      </c>
      <c r="B23" s="277">
        <f>'Cash Flow'!B12</f>
        <v>1870.4300000000003</v>
      </c>
      <c r="C23" s="277">
        <f>'Cash Flow'!C12</f>
        <v>3510.7999999999997</v>
      </c>
      <c r="D23" s="277">
        <f>'Cash Flow'!D12</f>
        <v>3643.06</v>
      </c>
      <c r="E23" s="277">
        <f>'Cash Flow'!E12</f>
        <v>3452.21</v>
      </c>
      <c r="F23" s="277">
        <f>'Cash Flow'!F12</f>
        <v>425.28</v>
      </c>
      <c r="G23" s="277">
        <f>'Cash Flow'!G12</f>
        <v>4581.13</v>
      </c>
      <c r="H23" s="277">
        <f>'Cash Flow'!H12</f>
        <v>2954.45</v>
      </c>
      <c r="I23" s="277">
        <f>'Cash Flow'!I12</f>
        <v>465.69999999999982</v>
      </c>
      <c r="J23" s="277">
        <f>'Cash Flow'!J12</f>
        <v>1375.8400000000001</v>
      </c>
      <c r="K23" s="278">
        <f>'Cash Flow'!K12</f>
        <v>4098.91</v>
      </c>
      <c r="L23" s="7"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baseColWidth="10" defaultColWidth="8.83203125" defaultRowHeight="15" x14ac:dyDescent="0.2"/>
  <cols>
    <col min="1" max="1" width="16" customWidth="1"/>
    <col min="2" max="11" width="7.83203125" bestFit="1" customWidth="1"/>
  </cols>
  <sheetData>
    <row r="2" spans="18:20" ht="16" thickBot="1" x14ac:dyDescent="0.25"/>
    <row r="3" spans="18:20" x14ac:dyDescent="0.2">
      <c r="R3" s="344" t="s">
        <v>300</v>
      </c>
      <c r="S3" s="345"/>
      <c r="T3" s="346"/>
    </row>
    <row r="4" spans="18:20" x14ac:dyDescent="0.2">
      <c r="R4" s="347"/>
      <c r="S4" s="348"/>
      <c r="T4" s="349"/>
    </row>
    <row r="5" spans="18:20" x14ac:dyDescent="0.2">
      <c r="R5" s="347"/>
      <c r="S5" s="348"/>
      <c r="T5" s="349"/>
    </row>
    <row r="6" spans="18:20" x14ac:dyDescent="0.2">
      <c r="R6" s="347"/>
      <c r="S6" s="348"/>
      <c r="T6" s="349"/>
    </row>
    <row r="7" spans="18:20" x14ac:dyDescent="0.2">
      <c r="R7" s="347"/>
      <c r="S7" s="348"/>
      <c r="T7" s="349"/>
    </row>
    <row r="8" spans="18:20" x14ac:dyDescent="0.2">
      <c r="R8" s="347"/>
      <c r="S8" s="348"/>
      <c r="T8" s="349"/>
    </row>
    <row r="9" spans="18:20" x14ac:dyDescent="0.2">
      <c r="R9" s="347"/>
      <c r="S9" s="348"/>
      <c r="T9" s="349"/>
    </row>
    <row r="10" spans="18:20" ht="16" thickBot="1" x14ac:dyDescent="0.25">
      <c r="R10" s="350"/>
      <c r="S10" s="351"/>
      <c r="T10" s="352"/>
    </row>
    <row r="47" spans="1:13" x14ac:dyDescent="0.2">
      <c r="A47" s="279"/>
      <c r="B47" s="279"/>
      <c r="C47" s="279"/>
      <c r="D47" s="279"/>
      <c r="E47" s="279"/>
      <c r="F47" s="279"/>
      <c r="G47" s="279"/>
      <c r="H47" s="279"/>
      <c r="I47" s="279"/>
      <c r="J47" s="279"/>
      <c r="K47" s="279"/>
      <c r="L47" s="279"/>
      <c r="M47" s="279"/>
    </row>
    <row r="48" spans="1:13" x14ac:dyDescent="0.2">
      <c r="A48" s="280" t="s">
        <v>304</v>
      </c>
      <c r="B48" s="279"/>
      <c r="C48" s="279"/>
      <c r="D48" s="279"/>
      <c r="E48" s="279"/>
      <c r="F48" s="279"/>
      <c r="G48" s="279"/>
      <c r="H48" s="279"/>
      <c r="I48" s="279"/>
      <c r="J48" s="279"/>
      <c r="K48" s="279"/>
      <c r="L48" s="279"/>
      <c r="M48" s="279"/>
    </row>
    <row r="49" spans="1:13" x14ac:dyDescent="0.2">
      <c r="A49" s="280" t="s">
        <v>288</v>
      </c>
      <c r="B49" s="281"/>
      <c r="C49" s="281"/>
      <c r="D49" s="281"/>
      <c r="E49" s="281"/>
      <c r="F49" s="281"/>
      <c r="G49" s="281"/>
      <c r="H49" s="281"/>
      <c r="I49" s="281"/>
      <c r="J49" s="281"/>
      <c r="K49" s="281"/>
      <c r="L49" s="279"/>
      <c r="M49" s="279"/>
    </row>
    <row r="50" spans="1:13" x14ac:dyDescent="0.2">
      <c r="A50" s="279"/>
      <c r="B50" s="282">
        <f>'Key Ratios'!B3</f>
        <v>42094</v>
      </c>
      <c r="C50" s="282">
        <f>'Key Ratios'!C3</f>
        <v>42460</v>
      </c>
      <c r="D50" s="282">
        <f>'Key Ratios'!D3</f>
        <v>42825</v>
      </c>
      <c r="E50" s="282">
        <f>'Key Ratios'!E3</f>
        <v>43190</v>
      </c>
      <c r="F50" s="282">
        <f>'Key Ratios'!F3</f>
        <v>43555</v>
      </c>
      <c r="G50" s="282">
        <f>'Key Ratios'!G3</f>
        <v>43921</v>
      </c>
      <c r="H50" s="282">
        <f>'Key Ratios'!H3</f>
        <v>44286</v>
      </c>
      <c r="I50" s="282">
        <f>'Key Ratios'!I3</f>
        <v>44651</v>
      </c>
      <c r="J50" s="282">
        <f>'Key Ratios'!J3</f>
        <v>45016</v>
      </c>
      <c r="K50" s="282">
        <f>'Key Ratios'!K3</f>
        <v>45382</v>
      </c>
      <c r="L50" s="279"/>
      <c r="M50" s="279"/>
    </row>
    <row r="51" spans="1:13" x14ac:dyDescent="0.2">
      <c r="A51" s="279" t="str">
        <f>'Key Ratios'!A11</f>
        <v>Operating Margin</v>
      </c>
      <c r="B51" s="283">
        <f>'Key Ratios'!B11</f>
        <v>0.12780761732048343</v>
      </c>
      <c r="C51" s="283">
        <f>'Key Ratios'!C11</f>
        <v>0.1554549441405175</v>
      </c>
      <c r="D51" s="283">
        <f>'Key Ratios'!D11</f>
        <v>0.16025798983098119</v>
      </c>
      <c r="E51" s="283">
        <f>'Key Ratios'!E11</f>
        <v>0.16434374246149766</v>
      </c>
      <c r="F51" s="283">
        <f>'Key Ratios'!F11</f>
        <v>0.14791812502612542</v>
      </c>
      <c r="G51" s="283">
        <f>'Key Ratios'!G11</f>
        <v>0.13911205897866175</v>
      </c>
      <c r="H51" s="283">
        <f>'Key Ratios'!H11</f>
        <v>0.13106350650646864</v>
      </c>
      <c r="I51" s="283">
        <f>'Key Ratios'!I11</f>
        <v>0.11017966057646236</v>
      </c>
      <c r="J51" s="283">
        <f>'Key Ratios'!J11</f>
        <v>0.11998812590058414</v>
      </c>
      <c r="K51" s="283">
        <f>'Key Ratios'!K11</f>
        <v>0.13853244707004395</v>
      </c>
      <c r="L51" s="279"/>
      <c r="M51" s="279"/>
    </row>
    <row r="52" spans="1:13" x14ac:dyDescent="0.2">
      <c r="A52" s="279" t="str">
        <f>'Key Ratios'!A12</f>
        <v>PBT Margin</v>
      </c>
      <c r="B52" s="283">
        <f>'Key Ratios'!B12</f>
        <v>0.11954232020228001</v>
      </c>
      <c r="C52" s="283">
        <f>'Key Ratios'!C12</f>
        <v>0.15416177041106072</v>
      </c>
      <c r="D52" s="283">
        <f>'Key Ratios'!D12</f>
        <v>0.17075590964553836</v>
      </c>
      <c r="E52" s="283">
        <f>'Key Ratios'!E12</f>
        <v>0.16304269129965557</v>
      </c>
      <c r="F52" s="283">
        <f>'Key Ratios'!F12</f>
        <v>0.1502554250971864</v>
      </c>
      <c r="G52" s="283">
        <f>'Key Ratios'!G12</f>
        <v>0.15762236715221903</v>
      </c>
      <c r="H52" s="283">
        <f>'Key Ratios'!H12</f>
        <v>0.12433529430195037</v>
      </c>
      <c r="I52" s="283">
        <f>'Key Ratios'!I12</f>
        <v>0.10348485750871031</v>
      </c>
      <c r="J52" s="283">
        <f>'Key Ratios'!J12</f>
        <v>0.1131089940447994</v>
      </c>
      <c r="K52" s="283">
        <f>'Key Ratios'!K12</f>
        <v>0.13470192878173387</v>
      </c>
      <c r="L52" s="279"/>
      <c r="M52" s="279"/>
    </row>
    <row r="53" spans="1:13" x14ac:dyDescent="0.2">
      <c r="A53" s="279" t="str">
        <f>'Key Ratios'!A13</f>
        <v>Net Margin</v>
      </c>
      <c r="B53" s="283">
        <f>'Key Ratios'!B13</f>
        <v>8.5282425794437469E-2</v>
      </c>
      <c r="C53" s="283">
        <f>'Key Ratios'!C13</f>
        <v>0.10936770832747669</v>
      </c>
      <c r="D53" s="283">
        <f>'Key Ratios'!D13</f>
        <v>0.12395130027755612</v>
      </c>
      <c r="E53" s="283">
        <f>'Key Ratios'!E13</f>
        <v>0.11467519779951985</v>
      </c>
      <c r="F53" s="283">
        <f>'Key Ratios'!F13</f>
        <v>0.10203904409725763</v>
      </c>
      <c r="G53" s="283">
        <f>'Key Ratios'!G13</f>
        <v>0.12509105601735424</v>
      </c>
      <c r="H53" s="283">
        <f>'Key Ratios'!H13</f>
        <v>9.4836137508765531E-2</v>
      </c>
      <c r="I53" s="283">
        <f>'Key Ratios'!I13</f>
        <v>7.8813844950201842E-2</v>
      </c>
      <c r="J53" s="283">
        <f>'Key Ratios'!J13</f>
        <v>8.1968172963705982E-2</v>
      </c>
      <c r="K53" s="283">
        <f>'Key Ratios'!K13</f>
        <v>9.9028755217840825E-2</v>
      </c>
      <c r="L53" s="279"/>
      <c r="M53" s="279"/>
    </row>
    <row r="54" spans="1:13" x14ac:dyDescent="0.2">
      <c r="A54" s="279"/>
      <c r="B54" s="279"/>
      <c r="C54" s="279"/>
      <c r="D54" s="279"/>
      <c r="E54" s="279"/>
      <c r="F54" s="279"/>
      <c r="G54" s="279"/>
      <c r="H54" s="279"/>
      <c r="I54" s="279"/>
      <c r="J54" s="279"/>
      <c r="K54" s="279"/>
      <c r="L54" s="279"/>
      <c r="M54" s="279"/>
    </row>
    <row r="55" spans="1:13" x14ac:dyDescent="0.2">
      <c r="A55" s="280" t="s">
        <v>289</v>
      </c>
      <c r="B55" s="279"/>
      <c r="C55" s="279"/>
      <c r="D55" s="279"/>
      <c r="E55" s="279"/>
      <c r="F55" s="279"/>
      <c r="G55" s="279"/>
      <c r="H55" s="279"/>
      <c r="I55" s="279"/>
      <c r="J55" s="279"/>
      <c r="K55" s="279"/>
      <c r="L55" s="279"/>
      <c r="M55" s="279"/>
    </row>
    <row r="56" spans="1:13" x14ac:dyDescent="0.2">
      <c r="A56" s="279"/>
      <c r="B56" s="282">
        <f>B50</f>
        <v>42094</v>
      </c>
      <c r="C56" s="282">
        <f t="shared" ref="C56:K56" si="0">C50</f>
        <v>42460</v>
      </c>
      <c r="D56" s="282">
        <f t="shared" si="0"/>
        <v>42825</v>
      </c>
      <c r="E56" s="282">
        <f t="shared" si="0"/>
        <v>43190</v>
      </c>
      <c r="F56" s="282">
        <f t="shared" si="0"/>
        <v>43555</v>
      </c>
      <c r="G56" s="282">
        <f t="shared" si="0"/>
        <v>43921</v>
      </c>
      <c r="H56" s="282">
        <f t="shared" si="0"/>
        <v>44286</v>
      </c>
      <c r="I56" s="282">
        <f t="shared" si="0"/>
        <v>44651</v>
      </c>
      <c r="J56" s="282">
        <f t="shared" si="0"/>
        <v>45016</v>
      </c>
      <c r="K56" s="282">
        <f t="shared" si="0"/>
        <v>45382</v>
      </c>
      <c r="L56" s="279"/>
      <c r="M56" s="279"/>
    </row>
    <row r="57" spans="1:13" x14ac:dyDescent="0.2">
      <c r="A57" s="279" t="s">
        <v>290</v>
      </c>
      <c r="B57" s="283">
        <f>'Key Ratios'!B21</f>
        <v>0.3590993883792038</v>
      </c>
      <c r="C57" s="283">
        <f>'Key Ratios'!C21</f>
        <v>0.35230374084090005</v>
      </c>
      <c r="D57" s="283">
        <f>'Key Ratios'!D21</f>
        <v>0.34378329331269125</v>
      </c>
      <c r="E57" s="283">
        <f>'Key Ratios'!E21</f>
        <v>0.31092030545981864</v>
      </c>
      <c r="F57" s="283">
        <f>'Key Ratios'!F21</f>
        <v>0.26419524999599869</v>
      </c>
      <c r="G57" s="283">
        <f>'Key Ratios'!G21</f>
        <v>0.25401491571731222</v>
      </c>
      <c r="H57" s="283">
        <f>'Key Ratios'!H21</f>
        <v>0.19044953367902528</v>
      </c>
      <c r="I57" s="283">
        <f>'Key Ratios'!I21</f>
        <v>0.14697428163050238</v>
      </c>
      <c r="J57" s="283">
        <f>'Key Ratios'!J21</f>
        <v>0.16810592492481466</v>
      </c>
      <c r="K57" s="283">
        <f>'Key Ratios'!K21</f>
        <v>0.21143437000675774</v>
      </c>
      <c r="L57" s="279"/>
      <c r="M57" s="279"/>
    </row>
    <row r="58" spans="1:13" x14ac:dyDescent="0.2">
      <c r="A58" s="279" t="s">
        <v>291</v>
      </c>
      <c r="B58" s="283">
        <f>'Key Ratios'!B22</f>
        <v>0.49753915662650489</v>
      </c>
      <c r="C58" s="283">
        <f>'Key Ratios'!C22</f>
        <v>0.48549025403912538</v>
      </c>
      <c r="D58" s="283">
        <f>'Key Ratios'!D22</f>
        <v>0.46450683237330881</v>
      </c>
      <c r="E58" s="283">
        <f>'Key Ratios'!E22</f>
        <v>0.43632652559357682</v>
      </c>
      <c r="F58" s="283">
        <f>'Key Ratios'!F22</f>
        <v>0.38278100433966589</v>
      </c>
      <c r="G58" s="283">
        <f>'Key Ratios'!G22</f>
        <v>0.31345002163594682</v>
      </c>
      <c r="H58" s="283">
        <f>'Key Ratios'!H22</f>
        <v>0.24347642939819147</v>
      </c>
      <c r="I58" s="283">
        <f>'Key Ratios'!I22</f>
        <v>0.18911038413987027</v>
      </c>
      <c r="J58" s="283">
        <f>'Key Ratios'!J22</f>
        <v>0.23041715462538384</v>
      </c>
      <c r="K58" s="283">
        <f>'Key Ratios'!K22</f>
        <v>0.28224402400830823</v>
      </c>
      <c r="L58" s="279"/>
      <c r="M58" s="279"/>
    </row>
    <row r="59" spans="1:13" x14ac:dyDescent="0.2">
      <c r="A59" s="279"/>
      <c r="B59" s="279"/>
      <c r="C59" s="279"/>
      <c r="D59" s="279"/>
      <c r="E59" s="279"/>
      <c r="F59" s="279"/>
      <c r="G59" s="279"/>
      <c r="H59" s="279"/>
      <c r="I59" s="279"/>
      <c r="J59" s="279"/>
      <c r="K59" s="279"/>
      <c r="L59" s="279"/>
      <c r="M59" s="279"/>
    </row>
    <row r="60" spans="1:13" x14ac:dyDescent="0.2">
      <c r="A60" s="280" t="s">
        <v>293</v>
      </c>
      <c r="B60" s="279"/>
      <c r="C60" s="279"/>
      <c r="D60" s="279"/>
      <c r="E60" s="279"/>
      <c r="F60" s="279"/>
      <c r="G60" s="279"/>
      <c r="H60" s="279"/>
      <c r="I60" s="279"/>
      <c r="J60" s="279"/>
      <c r="K60" s="279"/>
      <c r="L60" s="279"/>
      <c r="M60" s="279"/>
    </row>
    <row r="61" spans="1:13" x14ac:dyDescent="0.2">
      <c r="A61" s="279"/>
      <c r="B61" s="282">
        <f t="shared" ref="B61:J61" si="1">C56</f>
        <v>42460</v>
      </c>
      <c r="C61" s="282">
        <f t="shared" si="1"/>
        <v>42825</v>
      </c>
      <c r="D61" s="282">
        <f t="shared" si="1"/>
        <v>43190</v>
      </c>
      <c r="E61" s="282">
        <f t="shared" si="1"/>
        <v>43555</v>
      </c>
      <c r="F61" s="282">
        <f t="shared" si="1"/>
        <v>43921</v>
      </c>
      <c r="G61" s="282">
        <f t="shared" si="1"/>
        <v>44286</v>
      </c>
      <c r="H61" s="282">
        <f t="shared" si="1"/>
        <v>44651</v>
      </c>
      <c r="I61" s="282">
        <f t="shared" si="1"/>
        <v>45016</v>
      </c>
      <c r="J61" s="282">
        <f t="shared" si="1"/>
        <v>45382</v>
      </c>
      <c r="K61" s="279"/>
      <c r="L61" s="279"/>
      <c r="M61" s="279"/>
    </row>
    <row r="62" spans="1:13" x14ac:dyDescent="0.2">
      <c r="A62" s="279" t="s">
        <v>294</v>
      </c>
      <c r="B62" s="283">
        <f>'Key Ratios'!C4</f>
        <v>3.337529954030849E-2</v>
      </c>
      <c r="C62" s="283">
        <f>'Key Ratios'!D4</f>
        <v>5.3874039256256445E-3</v>
      </c>
      <c r="D62" s="283">
        <f>'Key Ratios'!E4</f>
        <v>0.1344943085441217</v>
      </c>
      <c r="E62" s="283">
        <f>'Key Ratios'!F4</f>
        <v>4.6596609749657736E-2</v>
      </c>
      <c r="F62" s="283">
        <f>'Key Ratios'!G4</f>
        <v>-0.138850048365038</v>
      </c>
      <c r="G62" s="283">
        <f>'Key Ratios'!H4</f>
        <v>5.8290208132434573E-2</v>
      </c>
      <c r="H62" s="283">
        <f>'Key Ratios'!I4</f>
        <v>-4.5476318986381714E-2</v>
      </c>
      <c r="I62" s="283">
        <f>'Key Ratios'!J4</f>
        <v>0.15590187633158359</v>
      </c>
      <c r="J62" s="283">
        <f>'Key Ratios'!K4</f>
        <v>0.10627670281787394</v>
      </c>
      <c r="K62" s="279"/>
      <c r="L62" s="279"/>
      <c r="M62" s="279"/>
    </row>
    <row r="63" spans="1:13" x14ac:dyDescent="0.2">
      <c r="A63" s="279" t="s">
        <v>180</v>
      </c>
      <c r="B63" s="283">
        <f>'Key Ratios'!C5</f>
        <v>0.33264073682548179</v>
      </c>
      <c r="C63" s="283">
        <f>'Key Ratios'!D5</f>
        <v>0.11360838842033183</v>
      </c>
      <c r="D63" s="283">
        <f>'Key Ratios'!E5</f>
        <v>8.324804519589013E-2</v>
      </c>
      <c r="E63" s="283">
        <f>'Key Ratios'!F5</f>
        <v>-3.5486857769127633E-2</v>
      </c>
      <c r="F63" s="283">
        <f>'Key Ratios'!G5</f>
        <v>-9.662833297415907E-2</v>
      </c>
      <c r="G63" s="283">
        <f>'Key Ratios'!H5</f>
        <v>-0.1652020784718552</v>
      </c>
      <c r="H63" s="283">
        <f>'Key Ratios'!I5</f>
        <v>-0.20554539503081026</v>
      </c>
      <c r="I63" s="283">
        <f>'Key Ratios'!J5</f>
        <v>0.26340125109953338</v>
      </c>
      <c r="J63" s="283">
        <f>'Key Ratios'!K5</f>
        <v>0.3174691092809363</v>
      </c>
      <c r="K63" s="279"/>
      <c r="L63" s="279"/>
      <c r="M63" s="279"/>
    </row>
    <row r="64" spans="1:13" x14ac:dyDescent="0.2">
      <c r="A64" s="279" t="s">
        <v>278</v>
      </c>
      <c r="B64" s="283">
        <f>'Key Ratios'!C6</f>
        <v>0.32521896862266408</v>
      </c>
      <c r="C64" s="283">
        <f>'Key Ratios'!D6</f>
        <v>0.13945037255525539</v>
      </c>
      <c r="D64" s="283">
        <f>'Key Ratios'!E6</f>
        <v>4.9592533062629007E-2</v>
      </c>
      <c r="E64" s="283">
        <f>'Key Ratios'!F6</f>
        <v>-6.872872544778974E-2</v>
      </c>
      <c r="F64" s="283">
        <f>'Key Ratios'!G6</f>
        <v>5.5695472182554884E-2</v>
      </c>
      <c r="G64" s="283">
        <f>'Key Ratios'!H6</f>
        <v>-0.19767120929330184</v>
      </c>
      <c r="H64" s="283">
        <f>'Key Ratios'!I6</f>
        <v>-0.20674034842730826</v>
      </c>
      <c r="I64" s="283">
        <f>'Key Ratios'!J6</f>
        <v>0.20216397243511053</v>
      </c>
      <c r="J64" s="283">
        <f>'Key Ratios'!K6</f>
        <v>0.33653344762313342</v>
      </c>
      <c r="K64" s="279"/>
      <c r="L64" s="279"/>
      <c r="M64" s="279"/>
    </row>
    <row r="65" spans="1:13" x14ac:dyDescent="0.2">
      <c r="A65" s="279"/>
      <c r="B65" s="279"/>
      <c r="C65" s="279"/>
      <c r="D65" s="279"/>
      <c r="E65" s="279"/>
      <c r="F65" s="279"/>
      <c r="G65" s="279"/>
      <c r="H65" s="279"/>
      <c r="I65" s="279"/>
      <c r="J65" s="279"/>
      <c r="K65" s="279"/>
      <c r="L65" s="279"/>
      <c r="M65" s="279"/>
    </row>
    <row r="66" spans="1:13" x14ac:dyDescent="0.2">
      <c r="A66" s="280" t="s">
        <v>295</v>
      </c>
      <c r="B66" s="281"/>
      <c r="C66" s="281"/>
      <c r="D66" s="281"/>
      <c r="E66" s="281"/>
      <c r="F66" s="281"/>
      <c r="G66" s="281"/>
      <c r="H66" s="281"/>
      <c r="I66" s="281"/>
      <c r="J66" s="281"/>
      <c r="K66" s="281"/>
      <c r="L66" s="279"/>
      <c r="M66" s="279"/>
    </row>
    <row r="67" spans="1:13" x14ac:dyDescent="0.2">
      <c r="A67" s="279"/>
      <c r="B67" s="282">
        <f>B56</f>
        <v>42094</v>
      </c>
      <c r="C67" s="282">
        <f t="shared" ref="C67:K67" si="2">C56</f>
        <v>42460</v>
      </c>
      <c r="D67" s="282">
        <f t="shared" si="2"/>
        <v>42825</v>
      </c>
      <c r="E67" s="282">
        <f t="shared" si="2"/>
        <v>43190</v>
      </c>
      <c r="F67" s="282">
        <f t="shared" si="2"/>
        <v>43555</v>
      </c>
      <c r="G67" s="282">
        <f t="shared" si="2"/>
        <v>43921</v>
      </c>
      <c r="H67" s="282">
        <f t="shared" si="2"/>
        <v>44286</v>
      </c>
      <c r="I67" s="282">
        <f t="shared" si="2"/>
        <v>44651</v>
      </c>
      <c r="J67" s="282">
        <f t="shared" si="2"/>
        <v>45016</v>
      </c>
      <c r="K67" s="282">
        <f t="shared" si="2"/>
        <v>45382</v>
      </c>
      <c r="L67" s="279"/>
      <c r="M67" s="279"/>
    </row>
    <row r="68" spans="1:13" x14ac:dyDescent="0.2">
      <c r="A68" s="279" t="s">
        <v>296</v>
      </c>
      <c r="B68" s="284">
        <f>'Profit &amp; Loss'!B4</f>
        <v>27538.03</v>
      </c>
      <c r="C68" s="284">
        <f>'Profit &amp; Loss'!C4</f>
        <v>28457.119999999999</v>
      </c>
      <c r="D68" s="284">
        <f>'Profit &amp; Loss'!D4</f>
        <v>28610.43</v>
      </c>
      <c r="E68" s="284">
        <f>'Profit &amp; Loss'!E4</f>
        <v>32458.37</v>
      </c>
      <c r="F68" s="284">
        <f>'Profit &amp; Loss'!F4</f>
        <v>33970.82</v>
      </c>
      <c r="G68" s="284">
        <f>'Profit &amp; Loss'!G4</f>
        <v>29253.97</v>
      </c>
      <c r="H68" s="284">
        <f>'Profit &amp; Loss'!H4</f>
        <v>30959.19</v>
      </c>
      <c r="I68" s="284">
        <f>'Profit &amp; Loss'!I4</f>
        <v>29551.279999999999</v>
      </c>
      <c r="J68" s="284">
        <f>'Profit &amp; Loss'!J4</f>
        <v>34158.379999999997</v>
      </c>
      <c r="K68" s="284">
        <f>'Profit &amp; Loss'!K4</f>
        <v>37788.620000000003</v>
      </c>
      <c r="L68" s="279"/>
      <c r="M68" s="279"/>
    </row>
    <row r="69" spans="1:13" x14ac:dyDescent="0.2">
      <c r="A69" s="279" t="s">
        <v>132</v>
      </c>
      <c r="B69" s="284">
        <f>'Profit &amp; Loss'!B19</f>
        <v>3291.9599999999928</v>
      </c>
      <c r="C69" s="284">
        <f>'Profit &amp; Loss'!C19</f>
        <v>4387.0000000000036</v>
      </c>
      <c r="D69" s="284">
        <f>'Profit &amp; Loss'!D19</f>
        <v>4885.3999999999996</v>
      </c>
      <c r="E69" s="284">
        <f>'Profit &amp; Loss'!E19</f>
        <v>5292.1000000000013</v>
      </c>
      <c r="F69" s="284">
        <f>'Profit &amp; Loss'!F19</f>
        <v>5104.3000000000011</v>
      </c>
      <c r="G69" s="284">
        <f>'Profit &amp; Loss'!G19</f>
        <v>4611.0800000000008</v>
      </c>
      <c r="H69" s="284">
        <f>'Profit &amp; Loss'!H19</f>
        <v>3849.3199999999988</v>
      </c>
      <c r="I69" s="284">
        <f>'Profit &amp; Loss'!I19</f>
        <v>3058.1100000000006</v>
      </c>
      <c r="J69" s="284">
        <f>'Profit &amp; Loss'!J19</f>
        <v>3863.6199999999949</v>
      </c>
      <c r="K69" s="284">
        <f>'Profit &amp; Loss'!K19</f>
        <v>5090.2000000000044</v>
      </c>
      <c r="L69" s="279"/>
      <c r="M69" s="279"/>
    </row>
    <row r="70" spans="1:13" x14ac:dyDescent="0.2">
      <c r="A70" s="279" t="s">
        <v>173</v>
      </c>
      <c r="B70" s="284">
        <f>'Profit &amp; Loss'!B23</f>
        <v>2348.5099999999929</v>
      </c>
      <c r="C70" s="284">
        <f>'Profit &amp; Loss'!C23</f>
        <v>3112.2900000000036</v>
      </c>
      <c r="D70" s="284">
        <f>'Profit &amp; Loss'!D23</f>
        <v>3546.2999999999997</v>
      </c>
      <c r="E70" s="284">
        <f>'Profit &amp; Loss'!E23</f>
        <v>3722.170000000001</v>
      </c>
      <c r="F70" s="284">
        <f>'Profit &amp; Loss'!F23</f>
        <v>3466.3500000000013</v>
      </c>
      <c r="G70" s="284">
        <f>'Profit &amp; Loss'!G23</f>
        <v>3659.4100000000008</v>
      </c>
      <c r="H70" s="284">
        <f>'Profit &amp; Loss'!H23</f>
        <v>2936.0499999999988</v>
      </c>
      <c r="I70" s="284">
        <f>'Profit &amp; Loss'!I23</f>
        <v>2329.0500000000006</v>
      </c>
      <c r="J70" s="284">
        <f>'Profit &amp; Loss'!J23</f>
        <v>2799.8999999999951</v>
      </c>
      <c r="K70" s="284">
        <f>'Profit &amp; Loss'!K23</f>
        <v>3742.1600000000044</v>
      </c>
      <c r="L70" s="279"/>
      <c r="M70" s="279"/>
    </row>
    <row r="71" spans="1:13" x14ac:dyDescent="0.2">
      <c r="A71" s="279"/>
      <c r="B71" s="279"/>
      <c r="C71" s="279"/>
      <c r="D71" s="279"/>
      <c r="E71" s="279"/>
      <c r="F71" s="279"/>
      <c r="G71" s="279"/>
      <c r="H71" s="279"/>
      <c r="I71" s="279"/>
      <c r="J71" s="279"/>
      <c r="K71" s="279"/>
      <c r="L71" s="279"/>
      <c r="M71" s="279"/>
    </row>
    <row r="72" spans="1:13" x14ac:dyDescent="0.2">
      <c r="A72" s="280" t="s">
        <v>301</v>
      </c>
      <c r="B72" s="281"/>
      <c r="C72" s="281"/>
      <c r="D72" s="281"/>
      <c r="E72" s="281"/>
      <c r="F72" s="281"/>
      <c r="G72" s="281"/>
      <c r="H72" s="281"/>
      <c r="I72" s="281"/>
      <c r="J72" s="281"/>
      <c r="K72" s="281"/>
      <c r="L72" s="279"/>
      <c r="M72" s="279"/>
    </row>
    <row r="73" spans="1:13" x14ac:dyDescent="0.2">
      <c r="A73" s="279"/>
      <c r="B73" s="282">
        <f>B67</f>
        <v>42094</v>
      </c>
      <c r="C73" s="282">
        <f t="shared" ref="C73:K73" si="3">C67</f>
        <v>42460</v>
      </c>
      <c r="D73" s="282">
        <f t="shared" si="3"/>
        <v>42825</v>
      </c>
      <c r="E73" s="282">
        <f t="shared" si="3"/>
        <v>43190</v>
      </c>
      <c r="F73" s="282">
        <f t="shared" si="3"/>
        <v>43555</v>
      </c>
      <c r="G73" s="282">
        <f t="shared" si="3"/>
        <v>43921</v>
      </c>
      <c r="H73" s="282">
        <f t="shared" si="3"/>
        <v>44286</v>
      </c>
      <c r="I73" s="282">
        <f t="shared" si="3"/>
        <v>44651</v>
      </c>
      <c r="J73" s="282">
        <f t="shared" si="3"/>
        <v>45016</v>
      </c>
      <c r="K73" s="282">
        <f t="shared" si="3"/>
        <v>45382</v>
      </c>
      <c r="L73" s="279"/>
      <c r="M73" s="279"/>
    </row>
    <row r="74" spans="1:13" x14ac:dyDescent="0.2">
      <c r="A74" s="279" t="s">
        <v>302</v>
      </c>
      <c r="B74" s="284">
        <f>'Cash Flow'!B4</f>
        <v>2185.5100000000002</v>
      </c>
      <c r="C74" s="284">
        <f>'Cash Flow'!C4</f>
        <v>3722.37</v>
      </c>
      <c r="D74" s="284">
        <f>'Cash Flow'!D4</f>
        <v>4007.18</v>
      </c>
      <c r="E74" s="284">
        <f>'Cash Flow'!E4</f>
        <v>4017.21</v>
      </c>
      <c r="F74" s="284">
        <f>'Cash Flow'!F4</f>
        <v>1032.28</v>
      </c>
      <c r="G74" s="284">
        <f>'Cash Flow'!G4</f>
        <v>5518.13</v>
      </c>
      <c r="H74" s="284">
        <f>'Cash Flow'!H4</f>
        <v>4110.45</v>
      </c>
      <c r="I74" s="284">
        <f>'Cash Flow'!I4</f>
        <v>2103.6999999999998</v>
      </c>
      <c r="J74" s="284">
        <f>'Cash Flow'!J4</f>
        <v>2613.84</v>
      </c>
      <c r="K74" s="284">
        <f>'Cash Flow'!K4</f>
        <v>4923.07</v>
      </c>
      <c r="L74" s="279"/>
      <c r="M74" s="279"/>
    </row>
    <row r="75" spans="1:13" x14ac:dyDescent="0.2">
      <c r="A75" s="279" t="s">
        <v>303</v>
      </c>
      <c r="B75" s="284">
        <f>'Cash Flow'!B12</f>
        <v>1870.4300000000003</v>
      </c>
      <c r="C75" s="284">
        <f>'Cash Flow'!C12</f>
        <v>3510.7999999999997</v>
      </c>
      <c r="D75" s="284">
        <f>'Cash Flow'!D12</f>
        <v>3643.06</v>
      </c>
      <c r="E75" s="284">
        <f>'Cash Flow'!E12</f>
        <v>3452.21</v>
      </c>
      <c r="F75" s="284">
        <f>'Cash Flow'!F12</f>
        <v>425.28</v>
      </c>
      <c r="G75" s="284">
        <f>'Cash Flow'!G12</f>
        <v>4581.13</v>
      </c>
      <c r="H75" s="284">
        <f>'Cash Flow'!H12</f>
        <v>2954.45</v>
      </c>
      <c r="I75" s="284">
        <f>'Cash Flow'!I12</f>
        <v>465.69999999999982</v>
      </c>
      <c r="J75" s="284">
        <f>'Cash Flow'!J12</f>
        <v>1375.8400000000001</v>
      </c>
      <c r="K75" s="284">
        <f>'Cash Flow'!K12</f>
        <v>4098.91</v>
      </c>
      <c r="L75" s="279"/>
      <c r="M75" s="279"/>
    </row>
    <row r="76" spans="1:13" x14ac:dyDescent="0.2">
      <c r="A76" s="279"/>
      <c r="B76" s="284"/>
      <c r="C76" s="284"/>
      <c r="D76" s="284"/>
      <c r="E76" s="284"/>
      <c r="F76" s="284"/>
      <c r="G76" s="284"/>
      <c r="H76" s="284"/>
      <c r="I76" s="284"/>
      <c r="J76" s="284"/>
      <c r="K76" s="284"/>
      <c r="L76" s="279"/>
      <c r="M76" s="279"/>
    </row>
    <row r="77" spans="1:13" x14ac:dyDescent="0.2">
      <c r="A77" s="279"/>
      <c r="B77" s="279"/>
      <c r="C77" s="279"/>
      <c r="D77" s="279"/>
      <c r="E77" s="279"/>
      <c r="F77" s="279"/>
      <c r="G77" s="279"/>
      <c r="H77" s="279"/>
      <c r="I77" s="279"/>
      <c r="J77" s="279"/>
      <c r="K77" s="279"/>
      <c r="L77" s="279"/>
      <c r="M77" s="279"/>
    </row>
    <row r="78" spans="1:13" x14ac:dyDescent="0.2">
      <c r="A78" s="279"/>
      <c r="B78" s="279"/>
      <c r="C78" s="279"/>
      <c r="D78" s="279"/>
      <c r="E78" s="279"/>
      <c r="F78" s="279"/>
      <c r="G78" s="279"/>
      <c r="H78" s="279"/>
      <c r="I78" s="279"/>
      <c r="J78" s="279"/>
      <c r="K78" s="279"/>
      <c r="L78" s="279"/>
      <c r="M78" s="279"/>
    </row>
    <row r="79" spans="1:13" x14ac:dyDescent="0.2">
      <c r="A79" s="279"/>
      <c r="B79" s="279"/>
      <c r="C79" s="279"/>
      <c r="D79" s="279"/>
      <c r="E79" s="279"/>
      <c r="F79" s="279"/>
      <c r="G79" s="279"/>
      <c r="H79" s="279"/>
      <c r="I79" s="279"/>
      <c r="J79" s="279"/>
      <c r="K79" s="279"/>
      <c r="L79" s="279"/>
      <c r="M79" s="279"/>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baseColWidth="10" defaultColWidth="8.6640625" defaultRowHeight="13" x14ac:dyDescent="0.15"/>
  <cols>
    <col min="1" max="1" width="21.1640625" style="7" bestFit="1" customWidth="1"/>
    <col min="2" max="11" width="6.6640625" style="7" bestFit="1" customWidth="1"/>
    <col min="12" max="16384" width="8.6640625" style="7"/>
  </cols>
  <sheetData>
    <row r="1" spans="1:17" ht="17" thickBot="1" x14ac:dyDescent="0.25">
      <c r="A1" s="353" t="s">
        <v>168</v>
      </c>
      <c r="B1" s="354"/>
      <c r="C1" s="354"/>
      <c r="D1" s="354"/>
      <c r="E1" s="354"/>
      <c r="F1" s="354"/>
      <c r="G1" s="354"/>
      <c r="H1" s="354"/>
      <c r="I1" s="354"/>
      <c r="J1" s="354"/>
      <c r="K1" s="355"/>
    </row>
    <row r="2" spans="1:17" x14ac:dyDescent="0.15">
      <c r="A2" s="197" t="s">
        <v>179</v>
      </c>
      <c r="B2" s="103">
        <v>39538</v>
      </c>
      <c r="C2" s="103">
        <v>39903</v>
      </c>
      <c r="D2" s="103">
        <v>40268</v>
      </c>
      <c r="E2" s="103">
        <v>40633</v>
      </c>
      <c r="F2" s="103">
        <v>40999</v>
      </c>
      <c r="G2" s="103">
        <v>41364</v>
      </c>
      <c r="H2" s="103">
        <v>41729</v>
      </c>
      <c r="I2" s="103">
        <v>42094</v>
      </c>
      <c r="J2" s="103">
        <v>42460</v>
      </c>
      <c r="K2" s="198">
        <v>42825</v>
      </c>
      <c r="M2" s="344" t="s">
        <v>257</v>
      </c>
      <c r="N2" s="356"/>
      <c r="O2" s="356"/>
      <c r="P2" s="356"/>
      <c r="Q2" s="357"/>
    </row>
    <row r="3" spans="1:17" x14ac:dyDescent="0.15">
      <c r="A3" s="199" t="s">
        <v>4</v>
      </c>
      <c r="B3" s="105">
        <v>1</v>
      </c>
      <c r="C3" s="105">
        <v>1</v>
      </c>
      <c r="D3" s="105">
        <v>1</v>
      </c>
      <c r="E3" s="105">
        <v>1</v>
      </c>
      <c r="F3" s="105">
        <v>1</v>
      </c>
      <c r="G3" s="105">
        <v>1</v>
      </c>
      <c r="H3" s="105">
        <v>1</v>
      </c>
      <c r="I3" s="105">
        <v>1</v>
      </c>
      <c r="J3" s="105">
        <v>1</v>
      </c>
      <c r="K3" s="206">
        <v>1</v>
      </c>
      <c r="M3" s="358"/>
      <c r="N3" s="359"/>
      <c r="O3" s="359"/>
      <c r="P3" s="359"/>
      <c r="Q3" s="360"/>
    </row>
    <row r="4" spans="1:17" x14ac:dyDescent="0.15">
      <c r="A4" s="199" t="s">
        <v>74</v>
      </c>
      <c r="B4" s="32">
        <f>'Data Sheet'!B18/'Data Sheet'!B$17</f>
        <v>0.71865707169321846</v>
      </c>
      <c r="C4" s="32">
        <f>'Data Sheet'!C18/'Data Sheet'!C$17</f>
        <v>0.68025014477923273</v>
      </c>
      <c r="D4" s="32">
        <f>'Data Sheet'!D18/'Data Sheet'!D$17</f>
        <v>0.66476945645346819</v>
      </c>
      <c r="E4" s="32">
        <f>'Data Sheet'!E18/'Data Sheet'!E$17</f>
        <v>0.67766619211007817</v>
      </c>
      <c r="F4" s="32">
        <f>'Data Sheet'!F18/'Data Sheet'!F$17</f>
        <v>0.69187202428437111</v>
      </c>
      <c r="G4" s="32">
        <f>'Data Sheet'!G18/'Data Sheet'!G$17</f>
        <v>0.68381453867628905</v>
      </c>
      <c r="H4" s="32">
        <f>'Data Sheet'!H18/'Data Sheet'!H$17</f>
        <v>0.71058642038115338</v>
      </c>
      <c r="I4" s="32">
        <f>'Data Sheet'!I18/'Data Sheet'!I$17</f>
        <v>0.7069639623055245</v>
      </c>
      <c r="J4" s="32">
        <f>'Data Sheet'!J18/'Data Sheet'!J$17</f>
        <v>0.7057629782208642</v>
      </c>
      <c r="K4" s="200">
        <f>'Data Sheet'!K18/'Data Sheet'!K$17</f>
        <v>0.67007183644176471</v>
      </c>
      <c r="M4" s="358"/>
      <c r="N4" s="359"/>
      <c r="O4" s="359"/>
      <c r="P4" s="359"/>
      <c r="Q4" s="360"/>
    </row>
    <row r="5" spans="1:17" x14ac:dyDescent="0.15">
      <c r="A5" s="199" t="s">
        <v>75</v>
      </c>
      <c r="B5" s="32">
        <f>'Data Sheet'!B19/'Data Sheet'!B$17</f>
        <v>2.7271377073813923E-3</v>
      </c>
      <c r="C5" s="32">
        <f>'Data Sheet'!C19/'Data Sheet'!C$17</f>
        <v>1.7521098410520812E-3</v>
      </c>
      <c r="D5" s="32">
        <f>'Data Sheet'!D19/'Data Sheet'!D$17</f>
        <v>-3.3812843777601383E-3</v>
      </c>
      <c r="E5" s="32">
        <f>'Data Sheet'!E19/'Data Sheet'!E$17</f>
        <v>3.3926534203658413E-3</v>
      </c>
      <c r="F5" s="32">
        <f>'Data Sheet'!F19/'Data Sheet'!F$17</f>
        <v>1.7379621687083208E-3</v>
      </c>
      <c r="G5" s="32">
        <f>'Data Sheet'!G19/'Data Sheet'!G$17</f>
        <v>5.9253496192140757E-3</v>
      </c>
      <c r="H5" s="32">
        <f>'Data Sheet'!H19/'Data Sheet'!H$17</f>
        <v>8.255060936671792E-3</v>
      </c>
      <c r="I5" s="32">
        <f>'Data Sheet'!I19/'Data Sheet'!I$17</f>
        <v>-9.7017794153078998E-4</v>
      </c>
      <c r="J5" s="32">
        <f>'Data Sheet'!J19/'Data Sheet'!J$17</f>
        <v>4.7920890861920269E-3</v>
      </c>
      <c r="K5" s="200">
        <f>'Data Sheet'!K19/'Data Sheet'!K$17</f>
        <v>-4.9843047986404369E-3</v>
      </c>
      <c r="M5" s="358"/>
      <c r="N5" s="359"/>
      <c r="O5" s="359"/>
      <c r="P5" s="359"/>
      <c r="Q5" s="360"/>
    </row>
    <row r="6" spans="1:17" x14ac:dyDescent="0.15">
      <c r="A6" s="199" t="s">
        <v>76</v>
      </c>
      <c r="B6" s="32">
        <f>'Data Sheet'!B20/'Data Sheet'!B$17</f>
        <v>5.7553136517027549E-3</v>
      </c>
      <c r="C6" s="32">
        <f>'Data Sheet'!C20/'Data Sheet'!C$17</f>
        <v>4.2941801559679971E-3</v>
      </c>
      <c r="D6" s="32">
        <f>'Data Sheet'!D20/'Data Sheet'!D$17</f>
        <v>3.9440162206579909E-3</v>
      </c>
      <c r="E6" s="32">
        <f>'Data Sheet'!E20/'Data Sheet'!E$17</f>
        <v>4.3082878160548418E-3</v>
      </c>
      <c r="F6" s="32">
        <f>'Data Sheet'!F20/'Data Sheet'!F$17</f>
        <v>4.6545829626720818E-3</v>
      </c>
      <c r="G6" s="32">
        <f>'Data Sheet'!G20/'Data Sheet'!G$17</f>
        <v>4.5450241454407731E-3</v>
      </c>
      <c r="H6" s="32">
        <f>'Data Sheet'!H20/'Data Sheet'!H$17</f>
        <v>3.678713816479049E-3</v>
      </c>
      <c r="I6" s="32">
        <f>'Data Sheet'!I20/'Data Sheet'!I$17</f>
        <v>3.712867936684976E-3</v>
      </c>
      <c r="J6" s="32">
        <f>'Data Sheet'!J20/'Data Sheet'!J$17</f>
        <v>3.3537890262945727E-3</v>
      </c>
      <c r="K6" s="200">
        <f>'Data Sheet'!K20/'Data Sheet'!K$17</f>
        <v>3.1803225415482227E-3</v>
      </c>
      <c r="M6" s="358"/>
      <c r="N6" s="359"/>
      <c r="O6" s="359"/>
      <c r="P6" s="359"/>
      <c r="Q6" s="360"/>
    </row>
    <row r="7" spans="1:17" x14ac:dyDescent="0.15">
      <c r="A7" s="199" t="s">
        <v>77</v>
      </c>
      <c r="B7" s="32">
        <f>'Data Sheet'!B21/'Data Sheet'!B$17</f>
        <v>8.9232962561228962E-3</v>
      </c>
      <c r="C7" s="32">
        <f>'Data Sheet'!C21/'Data Sheet'!C$17</f>
        <v>7.3869035236172886E-3</v>
      </c>
      <c r="D7" s="32">
        <f>'Data Sheet'!D21/'Data Sheet'!D$17</f>
        <v>7.188637150857222E-3</v>
      </c>
      <c r="E7" s="32">
        <f>'Data Sheet'!E21/'Data Sheet'!E$17</f>
        <v>7.4270519437667389E-3</v>
      </c>
      <c r="F7" s="32">
        <f>'Data Sheet'!F21/'Data Sheet'!F$17</f>
        <v>7.3945815850191424E-3</v>
      </c>
      <c r="G7" s="32">
        <f>'Data Sheet'!G21/'Data Sheet'!G$17</f>
        <v>7.9274710406826831E-3</v>
      </c>
      <c r="H7" s="32">
        <f>'Data Sheet'!H21/'Data Sheet'!H$17</f>
        <v>7.0298996840679612E-3</v>
      </c>
      <c r="I7" s="32">
        <f>'Data Sheet'!I21/'Data Sheet'!I$17</f>
        <v>7.6842695138755416E-3</v>
      </c>
      <c r="J7" s="32">
        <f>'Data Sheet'!J21/'Data Sheet'!J$17</f>
        <v>7.001795752608877E-3</v>
      </c>
      <c r="K7" s="200">
        <f>'Data Sheet'!K21/'Data Sheet'!K$17</f>
        <v>7.6089044797084402E-3</v>
      </c>
      <c r="M7" s="358"/>
      <c r="N7" s="359"/>
      <c r="O7" s="359"/>
      <c r="P7" s="359"/>
      <c r="Q7" s="360"/>
    </row>
    <row r="8" spans="1:17" x14ac:dyDescent="0.15">
      <c r="A8" s="199" t="s">
        <v>78</v>
      </c>
      <c r="B8" s="32">
        <f>'Data Sheet'!B22/'Data Sheet'!B$17</f>
        <v>4.2803352309515243E-2</v>
      </c>
      <c r="C8" s="32">
        <f>'Data Sheet'!C22/'Data Sheet'!C$17</f>
        <v>4.7069415316799451E-2</v>
      </c>
      <c r="D8" s="32">
        <f>'Data Sheet'!D22/'Data Sheet'!D$17</f>
        <v>5.0068803579673568E-2</v>
      </c>
      <c r="E8" s="32">
        <f>'Data Sheet'!E22/'Data Sheet'!E$17</f>
        <v>4.8792037308096496E-2</v>
      </c>
      <c r="F8" s="32">
        <f>'Data Sheet'!F22/'Data Sheet'!F$17</f>
        <v>5.2339919966606634E-2</v>
      </c>
      <c r="G8" s="32">
        <f>'Data Sheet'!G22/'Data Sheet'!G$17</f>
        <v>6.4583371077498189E-2</v>
      </c>
      <c r="H8" s="32">
        <f>'Data Sheet'!H22/'Data Sheet'!H$17</f>
        <v>6.3019090615742859E-2</v>
      </c>
      <c r="I8" s="32">
        <f>'Data Sheet'!I22/'Data Sheet'!I$17</f>
        <v>6.7536160870189044E-2</v>
      </c>
      <c r="J8" s="32">
        <f>'Data Sheet'!J22/'Data Sheet'!J$17</f>
        <v>6.5871098102427583E-2</v>
      </c>
      <c r="K8" s="200">
        <f>'Data Sheet'!K22/'Data Sheet'!K$17</f>
        <v>6.9638425536576884E-2</v>
      </c>
      <c r="M8" s="358"/>
      <c r="N8" s="359"/>
      <c r="O8" s="359"/>
      <c r="P8" s="359"/>
      <c r="Q8" s="360"/>
    </row>
    <row r="9" spans="1:17" x14ac:dyDescent="0.15">
      <c r="A9" s="199" t="s">
        <v>101</v>
      </c>
      <c r="B9" s="32">
        <f>'Data Sheet'!B23/'Data Sheet'!B$17</f>
        <v>7.0547166954208415E-2</v>
      </c>
      <c r="C9" s="32">
        <f>'Data Sheet'!C23/'Data Sheet'!C$17</f>
        <v>7.3222799777349218E-2</v>
      </c>
      <c r="D9" s="32">
        <f>'Data Sheet'!D23/'Data Sheet'!D$17</f>
        <v>7.3310327737122441E-2</v>
      </c>
      <c r="E9" s="32">
        <f>'Data Sheet'!E23/'Data Sheet'!E$17</f>
        <v>6.718205504466182E-2</v>
      </c>
      <c r="F9" s="32">
        <f>'Data Sheet'!F23/'Data Sheet'!F$17</f>
        <v>6.4276929435321248E-2</v>
      </c>
      <c r="G9" s="32">
        <f>'Data Sheet'!G23/'Data Sheet'!G$17</f>
        <v>6.1115465695767097E-2</v>
      </c>
      <c r="H9" s="32">
        <f>'Data Sheet'!H23/'Data Sheet'!H$17</f>
        <v>5.4898077113774618E-2</v>
      </c>
      <c r="I9" s="32">
        <f>'Data Sheet'!I23/'Data Sheet'!I$17</f>
        <v>6.2111015157380663E-2</v>
      </c>
      <c r="J9" s="32">
        <f>'Data Sheet'!J23/'Data Sheet'!J$17</f>
        <v>5.8756884840557431E-2</v>
      </c>
      <c r="K9" s="200">
        <f>'Data Sheet'!K23/'Data Sheet'!K$17</f>
        <v>5.826251395261324E-2</v>
      </c>
      <c r="M9" s="358"/>
      <c r="N9" s="359"/>
      <c r="O9" s="359"/>
      <c r="P9" s="359"/>
      <c r="Q9" s="360"/>
    </row>
    <row r="10" spans="1:17" ht="14" thickBot="1" x14ac:dyDescent="0.2">
      <c r="A10" s="199" t="s">
        <v>80</v>
      </c>
      <c r="B10" s="32">
        <f>'Data Sheet'!B24/'Data Sheet'!B$17</f>
        <v>2.8233319522129943E-2</v>
      </c>
      <c r="C10" s="32">
        <f>'Data Sheet'!C24/'Data Sheet'!C$17</f>
        <v>3.4073722147567993E-2</v>
      </c>
      <c r="D10" s="32">
        <f>'Data Sheet'!D24/'Data Sheet'!D$17</f>
        <v>3.7079484649479223E-2</v>
      </c>
      <c r="E10" s="32">
        <f>'Data Sheet'!E24/'Data Sheet'!E$17</f>
        <v>3.367328673621011E-2</v>
      </c>
      <c r="F10" s="32">
        <f>'Data Sheet'!F24/'Data Sheet'!F$17</f>
        <v>3.3281798908592723E-2</v>
      </c>
      <c r="G10" s="32">
        <f>'Data Sheet'!G24/'Data Sheet'!G$17</f>
        <v>4.4827420004874552E-2</v>
      </c>
      <c r="H10" s="32">
        <f>'Data Sheet'!H24/'Data Sheet'!H$17</f>
        <v>3.7979352818985249E-2</v>
      </c>
      <c r="I10" s="32">
        <f>'Data Sheet'!I24/'Data Sheet'!I$17</f>
        <v>4.0841885698352155E-2</v>
      </c>
      <c r="J10" s="32">
        <f>'Data Sheet'!J24/'Data Sheet'!J$17</f>
        <v>4.4057417242855196E-2</v>
      </c>
      <c r="K10" s="200">
        <f>'Data Sheet'!K24/'Data Sheet'!K$17</f>
        <v>4.7721245179104178E-2</v>
      </c>
      <c r="M10" s="361"/>
      <c r="N10" s="362"/>
      <c r="O10" s="362"/>
      <c r="P10" s="362"/>
      <c r="Q10" s="363"/>
    </row>
    <row r="11" spans="1:17" x14ac:dyDescent="0.15">
      <c r="A11" s="207" t="s">
        <v>6</v>
      </c>
      <c r="B11" s="106">
        <f>('Data Sheet'!B17-'Data Sheet'!B18-'Data Sheet'!B19-'Data Sheet'!B20-'Data Sheet'!B21-'Data Sheet'!B22-'Data Sheet'!B23-'Data Sheet'!B24)/'Data Sheet'!B$17</f>
        <v>0.12235334190572082</v>
      </c>
      <c r="C11" s="106">
        <f>('Data Sheet'!C17-'Data Sheet'!C18-'Data Sheet'!C19-'Data Sheet'!C20-'Data Sheet'!C21-'Data Sheet'!C22-'Data Sheet'!C23-'Data Sheet'!C24)/'Data Sheet'!C$17</f>
        <v>0.15195072445841318</v>
      </c>
      <c r="D11" s="106">
        <f>('Data Sheet'!D17-'Data Sheet'!D18-'Data Sheet'!D19-'Data Sheet'!D20-'Data Sheet'!D21-'Data Sheet'!D22-'Data Sheet'!D23-'Data Sheet'!D24)/'Data Sheet'!D$17</f>
        <v>0.16702055858650147</v>
      </c>
      <c r="E11" s="106">
        <f>('Data Sheet'!E17-'Data Sheet'!E18-'Data Sheet'!E19-'Data Sheet'!E20-'Data Sheet'!E21-'Data Sheet'!E22-'Data Sheet'!E23-'Data Sheet'!E24)/'Data Sheet'!E$17</f>
        <v>0.15755843562076588</v>
      </c>
      <c r="F11" s="106">
        <f>('Data Sheet'!F17-'Data Sheet'!F18-'Data Sheet'!F19-'Data Sheet'!F20-'Data Sheet'!F21-'Data Sheet'!F22-'Data Sheet'!F23-'Data Sheet'!F24)/'Data Sheet'!F$17</f>
        <v>0.14444220068870867</v>
      </c>
      <c r="G11" s="106">
        <f>('Data Sheet'!G17-'Data Sheet'!G18-'Data Sheet'!G19-'Data Sheet'!G20-'Data Sheet'!G21-'Data Sheet'!G22-'Data Sheet'!G23-'Data Sheet'!G24)/'Data Sheet'!G$17</f>
        <v>0.12726135974023359</v>
      </c>
      <c r="H11" s="106">
        <f>('Data Sheet'!H17-'Data Sheet'!H18-'Data Sheet'!H19-'Data Sheet'!H20-'Data Sheet'!H21-'Data Sheet'!H22-'Data Sheet'!H23-'Data Sheet'!H24)/'Data Sheet'!H$17</f>
        <v>0.11455338463312507</v>
      </c>
      <c r="I11" s="106">
        <f>('Data Sheet'!I17-'Data Sheet'!I18-'Data Sheet'!I19-'Data Sheet'!I20-'Data Sheet'!I21-'Data Sheet'!I22-'Data Sheet'!I23-'Data Sheet'!I24)/'Data Sheet'!I$17</f>
        <v>0.11212001645952395</v>
      </c>
      <c r="J11" s="106">
        <f>('Data Sheet'!J17-'Data Sheet'!J18-'Data Sheet'!J19-'Data Sheet'!J20-'Data Sheet'!J21-'Data Sheet'!J22-'Data Sheet'!J23-'Data Sheet'!J24)/'Data Sheet'!J$17</f>
        <v>0.11040394772820011</v>
      </c>
      <c r="K11" s="208">
        <f>('Data Sheet'!K17-'Data Sheet'!K18-'Data Sheet'!K19-'Data Sheet'!K20-'Data Sheet'!K21-'Data Sheet'!K22-'Data Sheet'!K23-'Data Sheet'!K24)/'Data Sheet'!K$17</f>
        <v>0.14850105666732474</v>
      </c>
    </row>
    <row r="12" spans="1:17" x14ac:dyDescent="0.15">
      <c r="A12" s="199" t="s">
        <v>7</v>
      </c>
      <c r="B12" s="32">
        <f>'Data Sheet'!B25/'Data Sheet'!B$17</f>
        <v>1.1785156745054023E-2</v>
      </c>
      <c r="C12" s="32">
        <f>'Data Sheet'!C25/'Data Sheet'!C$17</f>
        <v>1.4796297025138173E-2</v>
      </c>
      <c r="D12" s="32">
        <f>'Data Sheet'!D25/'Data Sheet'!D$17</f>
        <v>2.9006205079755879E-2</v>
      </c>
      <c r="E12" s="32">
        <f>'Data Sheet'!E25/'Data Sheet'!E$17</f>
        <v>1.7362239693490461E-2</v>
      </c>
      <c r="F12" s="32">
        <f>'Data Sheet'!F25/'Data Sheet'!F$17</f>
        <v>2.1813426935234415E-2</v>
      </c>
      <c r="G12" s="32">
        <f>'Data Sheet'!G25/'Data Sheet'!G$17</f>
        <v>4.901556951073649E-2</v>
      </c>
      <c r="H12" s="32">
        <f>'Data Sheet'!H25/'Data Sheet'!H$17</f>
        <v>1.7869653566517731E-2</v>
      </c>
      <c r="I12" s="32">
        <f>'Data Sheet'!I25/'Data Sheet'!I$17</f>
        <v>1.8435072863172086E-2</v>
      </c>
      <c r="J12" s="32">
        <f>'Data Sheet'!J25/'Data Sheet'!J$17</f>
        <v>1.6607637715840153E-2</v>
      </c>
      <c r="K12" s="200">
        <f>'Data Sheet'!K25/'Data Sheet'!K$17</f>
        <v>1.8232473162555288E-2</v>
      </c>
    </row>
    <row r="13" spans="1:17" x14ac:dyDescent="0.15">
      <c r="A13" s="199" t="s">
        <v>8</v>
      </c>
      <c r="B13" s="32">
        <f>'Data Sheet'!B26/'Data Sheet'!B$17</f>
        <v>1.9625586870230007E-2</v>
      </c>
      <c r="C13" s="32">
        <f>'Data Sheet'!C26/'Data Sheet'!C$17</f>
        <v>1.557606672776444E-2</v>
      </c>
      <c r="D13" s="32">
        <f>'Data Sheet'!D26/'Data Sheet'!D$17</f>
        <v>1.7554786838226477E-2</v>
      </c>
      <c r="E13" s="32">
        <f>'Data Sheet'!E26/'Data Sheet'!E$17</f>
        <v>1.771438306975982E-2</v>
      </c>
      <c r="F13" s="32">
        <f>'Data Sheet'!F26/'Data Sheet'!F$17</f>
        <v>1.838165814072195E-2</v>
      </c>
      <c r="G13" s="32">
        <f>'Data Sheet'!G26/'Data Sheet'!G$17</f>
        <v>2.891094781323697E-2</v>
      </c>
      <c r="H13" s="32">
        <f>'Data Sheet'!H26/'Data Sheet'!H$17</f>
        <v>2.3098795543423457E-2</v>
      </c>
      <c r="I13" s="32">
        <f>'Data Sheet'!I26/'Data Sheet'!I$17</f>
        <v>2.3332999450446815E-2</v>
      </c>
      <c r="J13" s="32">
        <f>'Data Sheet'!J26/'Data Sheet'!J$17</f>
        <v>2.0416366349926433E-2</v>
      </c>
      <c r="K13" s="200">
        <f>'Data Sheet'!K26/'Data Sheet'!K$17</f>
        <v>2.0042012648252304E-2</v>
      </c>
    </row>
    <row r="14" spans="1:17" x14ac:dyDescent="0.15">
      <c r="A14" s="199" t="s">
        <v>9</v>
      </c>
      <c r="B14" s="32">
        <f>'Data Sheet'!B27/'Data Sheet'!B$17</f>
        <v>4.2486699302746059E-4</v>
      </c>
      <c r="C14" s="32">
        <f>'Data Sheet'!C27/'Data Sheet'!C$17</f>
        <v>5.1340402683054361E-4</v>
      </c>
      <c r="D14" s="32">
        <f>'Data Sheet'!D27/'Data Sheet'!D$17</f>
        <v>9.5349842697226158E-4</v>
      </c>
      <c r="E14" s="32">
        <f>'Data Sheet'!E27/'Data Sheet'!E$17</f>
        <v>9.4890778557271986E-4</v>
      </c>
      <c r="F14" s="32">
        <f>'Data Sheet'!F27/'Data Sheet'!F$17</f>
        <v>1.0944687234514798E-3</v>
      </c>
      <c r="G14" s="32">
        <f>'Data Sheet'!G27/'Data Sheet'!G$17</f>
        <v>1.5943135239422205E-3</v>
      </c>
      <c r="H14" s="32">
        <f>'Data Sheet'!H27/'Data Sheet'!H$17</f>
        <v>1.4990702276125442E-3</v>
      </c>
      <c r="I14" s="32">
        <f>'Data Sheet'!I27/'Data Sheet'!I$17</f>
        <v>1.7968764804773263E-3</v>
      </c>
      <c r="J14" s="32">
        <f>'Data Sheet'!J27/'Data Sheet'!J$17</f>
        <v>3.0704032216984532E-3</v>
      </c>
      <c r="K14" s="200">
        <f>'Data Sheet'!K27/'Data Sheet'!K$17</f>
        <v>2.0209788026130616E-3</v>
      </c>
    </row>
    <row r="15" spans="1:17" x14ac:dyDescent="0.15">
      <c r="A15" s="207" t="s">
        <v>172</v>
      </c>
      <c r="B15" s="106">
        <f>'Data Sheet'!B28/'Data Sheet'!B$17</f>
        <v>0.11954232020228027</v>
      </c>
      <c r="C15" s="106">
        <f>'Data Sheet'!C28/'Data Sheet'!C$17</f>
        <v>0.15416177041106058</v>
      </c>
      <c r="D15" s="106">
        <f>'Data Sheet'!D28/'Data Sheet'!D$17</f>
        <v>0.17075590964553836</v>
      </c>
      <c r="E15" s="106">
        <f>'Data Sheet'!E28/'Data Sheet'!E$17</f>
        <v>0.16304269129965554</v>
      </c>
      <c r="F15" s="106">
        <f>'Data Sheet'!F28/'Data Sheet'!F$17</f>
        <v>0.15025542509718637</v>
      </c>
      <c r="G15" s="106">
        <f>'Data Sheet'!G28/'Data Sheet'!G$17</f>
        <v>0.157622367152219</v>
      </c>
      <c r="H15" s="106">
        <f>'Data Sheet'!H28/'Data Sheet'!H$17</f>
        <v>0.12433529430195042</v>
      </c>
      <c r="I15" s="106">
        <f>'Data Sheet'!I28/'Data Sheet'!I$17</f>
        <v>0.1034848575087103</v>
      </c>
      <c r="J15" s="106">
        <f>'Data Sheet'!J28/'Data Sheet'!J$17</f>
        <v>0.11310899404479956</v>
      </c>
      <c r="K15" s="208">
        <f>'Data Sheet'!K28/'Data Sheet'!K$17</f>
        <v>0.13470192878173376</v>
      </c>
    </row>
    <row r="16" spans="1:17" x14ac:dyDescent="0.15">
      <c r="A16" s="199" t="s">
        <v>11</v>
      </c>
      <c r="B16" s="32">
        <f>'Data Sheet'!B29/'Data Sheet'!B$17</f>
        <v>3.4259894407842537E-2</v>
      </c>
      <c r="C16" s="32">
        <f>'Data Sheet'!C29/'Data Sheet'!C$17</f>
        <v>4.4794062083584003E-2</v>
      </c>
      <c r="D16" s="32">
        <f>'Data Sheet'!D29/'Data Sheet'!D$17</f>
        <v>4.6804609367982232E-2</v>
      </c>
      <c r="E16" s="32">
        <f>'Data Sheet'!E29/'Data Sheet'!E$17</f>
        <v>4.8367493500135715E-2</v>
      </c>
      <c r="F16" s="32">
        <f>'Data Sheet'!F29/'Data Sheet'!F$17</f>
        <v>4.8216380999928761E-2</v>
      </c>
      <c r="G16" s="32">
        <f>'Data Sheet'!G29/'Data Sheet'!G$17</f>
        <v>3.2531311134864772E-2</v>
      </c>
      <c r="H16" s="32">
        <f>'Data Sheet'!H29/'Data Sheet'!H$17</f>
        <v>2.9499156793184836E-2</v>
      </c>
      <c r="I16" s="32">
        <f>'Data Sheet'!I29/'Data Sheet'!I$17</f>
        <v>2.4671012558508464E-2</v>
      </c>
      <c r="J16" s="32">
        <f>'Data Sheet'!J29/'Data Sheet'!J$17</f>
        <v>3.1140821081093426E-2</v>
      </c>
      <c r="K16" s="200">
        <f>'Data Sheet'!K29/'Data Sheet'!K$17</f>
        <v>3.5673173563893039E-2</v>
      </c>
    </row>
    <row r="17" spans="1:11" x14ac:dyDescent="0.15">
      <c r="A17" s="207" t="s">
        <v>173</v>
      </c>
      <c r="B17" s="106">
        <f>'Data Sheet'!B30/'Data Sheet'!B$17</f>
        <v>8.587034003521675E-2</v>
      </c>
      <c r="C17" s="106">
        <f>'Data Sheet'!C30/'Data Sheet'!C$17</f>
        <v>0.11041103245866062</v>
      </c>
      <c r="D17" s="106">
        <f>'Data Sheet'!D30/'Data Sheet'!D$17</f>
        <v>0.12527843866729721</v>
      </c>
      <c r="E17" s="106">
        <f>'Data Sheet'!E30/'Data Sheet'!E$17</f>
        <v>0.11462066641054373</v>
      </c>
      <c r="F17" s="106">
        <f>'Data Sheet'!F30/'Data Sheet'!F$17</f>
        <v>0.10138377584055965</v>
      </c>
      <c r="G17" s="106">
        <f>'Data Sheet'!G30/'Data Sheet'!G$17</f>
        <v>0.12436294971246638</v>
      </c>
      <c r="H17" s="106">
        <f>'Data Sheet'!H30/'Data Sheet'!H$17</f>
        <v>9.4245036772602903E-2</v>
      </c>
      <c r="I17" s="106">
        <f>'Data Sheet'!I30/'Data Sheet'!I$17</f>
        <v>7.8402018457406922E-2</v>
      </c>
      <c r="J17" s="106">
        <f>'Data Sheet'!J30/'Data Sheet'!J$17</f>
        <v>8.2262683417656232E-2</v>
      </c>
      <c r="K17" s="208">
        <f>'Data Sheet'!K30/'Data Sheet'!K$17</f>
        <v>9.9099411410101756E-2</v>
      </c>
    </row>
    <row r="18" spans="1:11" ht="14" thickBot="1" x14ac:dyDescent="0.2">
      <c r="A18" s="209" t="s">
        <v>64</v>
      </c>
      <c r="B18" s="210">
        <f>'Data Sheet'!B31/'Data Sheet'!B$17</f>
        <v>4.3510737696196865E-2</v>
      </c>
      <c r="C18" s="210">
        <f>'Data Sheet'!C31/'Data Sheet'!C$17</f>
        <v>5.0526546607667956E-2</v>
      </c>
      <c r="D18" s="210">
        <f>'Data Sheet'!D31/'Data Sheet'!D$17</f>
        <v>5.9329761908506792E-2</v>
      </c>
      <c r="E18" s="210">
        <f>'Data Sheet'!E31/'Data Sheet'!E$17</f>
        <v>5.8448714461015759E-2</v>
      </c>
      <c r="F18" s="210">
        <f>'Data Sheet'!F31/'Data Sheet'!F$17</f>
        <v>5.1156257046488719E-2</v>
      </c>
      <c r="G18" s="210">
        <f>'Data Sheet'!G31/'Data Sheet'!G$17</f>
        <v>6.1453197634372361E-2</v>
      </c>
      <c r="H18" s="210">
        <f>'Data Sheet'!H31/'Data Sheet'!H$17</f>
        <v>6.7763400786648498E-2</v>
      </c>
      <c r="I18" s="210">
        <f>'Data Sheet'!I31/'Data Sheet'!I$17</f>
        <v>6.4230720293672564E-2</v>
      </c>
      <c r="J18" s="210">
        <f>'Data Sheet'!J31/'Data Sheet'!J$17</f>
        <v>5.8506872984023253E-2</v>
      </c>
      <c r="K18" s="211">
        <f>'Data Sheet'!K31/'Data Sheet'!K$17</f>
        <v>7.4059333206663802E-2</v>
      </c>
    </row>
    <row r="19" spans="1:11" ht="14" thickBot="1" x14ac:dyDescent="0.2"/>
    <row r="20" spans="1:11" ht="16" x14ac:dyDescent="0.2">
      <c r="A20" s="353" t="s">
        <v>169</v>
      </c>
      <c r="B20" s="354"/>
      <c r="C20" s="354"/>
      <c r="D20" s="354"/>
      <c r="E20" s="354"/>
      <c r="F20" s="354"/>
      <c r="G20" s="354"/>
      <c r="H20" s="354"/>
      <c r="I20" s="354"/>
      <c r="J20" s="354"/>
      <c r="K20" s="355"/>
    </row>
    <row r="21" spans="1:11" x14ac:dyDescent="0.15">
      <c r="A21" s="197" t="s">
        <v>179</v>
      </c>
      <c r="B21" s="103">
        <v>39538</v>
      </c>
      <c r="C21" s="103">
        <v>39903</v>
      </c>
      <c r="D21" s="103">
        <v>40268</v>
      </c>
      <c r="E21" s="103">
        <v>40633</v>
      </c>
      <c r="F21" s="103">
        <v>40999</v>
      </c>
      <c r="G21" s="103">
        <v>41364</v>
      </c>
      <c r="H21" s="103">
        <v>41729</v>
      </c>
      <c r="I21" s="103">
        <v>42094</v>
      </c>
      <c r="J21" s="103">
        <v>42460</v>
      </c>
      <c r="K21" s="198">
        <v>42825</v>
      </c>
    </row>
    <row r="22" spans="1:11" x14ac:dyDescent="0.15">
      <c r="A22" s="199" t="s">
        <v>19</v>
      </c>
      <c r="B22" s="32">
        <f>'Data Sheet'!B57/'Data Sheet'!B$61</f>
        <v>3.7487035811663775E-3</v>
      </c>
      <c r="C22" s="32">
        <f>'Data Sheet'!C57/'Data Sheet'!C$61</f>
        <v>3.0971299980381223E-3</v>
      </c>
      <c r="D22" s="32">
        <f>'Data Sheet'!D57/'Data Sheet'!D$61</f>
        <v>2.6084117032392894E-3</v>
      </c>
      <c r="E22" s="32">
        <f>'Data Sheet'!E57/'Data Sheet'!E$61</f>
        <v>2.2958337572635775E-3</v>
      </c>
      <c r="F22" s="32">
        <f>'Data Sheet'!F57/'Data Sheet'!F$61</f>
        <v>2.1589506473069049E-3</v>
      </c>
      <c r="G22" s="32">
        <f>'Data Sheet'!G57/'Data Sheet'!G$61</f>
        <v>2.0305915349493014E-3</v>
      </c>
      <c r="H22" s="32">
        <f>'Data Sheet'!H57/'Data Sheet'!H$61</f>
        <v>1.7301629842973421E-3</v>
      </c>
      <c r="I22" s="32">
        <f>'Data Sheet'!I57/'Data Sheet'!I$61</f>
        <v>1.7777073891857913E-3</v>
      </c>
      <c r="J22" s="32">
        <f>'Data Sheet'!J57/'Data Sheet'!J$61</f>
        <v>1.6711941240195793E-3</v>
      </c>
      <c r="K22" s="200">
        <f>'Data Sheet'!K57/'Data Sheet'!K$61</f>
        <v>1.5287087916814992E-3</v>
      </c>
    </row>
    <row r="23" spans="1:11" x14ac:dyDescent="0.15">
      <c r="A23" s="199" t="s">
        <v>20</v>
      </c>
      <c r="B23" s="32">
        <f>'Data Sheet'!B58/'Data Sheet'!B$61</f>
        <v>0.61008508261883643</v>
      </c>
      <c r="C23" s="32">
        <f>'Data Sheet'!C58/'Data Sheet'!C$61</f>
        <v>0.68194010302571151</v>
      </c>
      <c r="D23" s="32">
        <f>'Data Sheet'!D58/'Data Sheet'!D$61</f>
        <v>0.6710795454545454</v>
      </c>
      <c r="E23" s="32">
        <f>'Data Sheet'!E58/'Data Sheet'!E$61</f>
        <v>0.68584843243529103</v>
      </c>
      <c r="F23" s="32">
        <f>'Data Sheet'!F58/'Data Sheet'!F$61</f>
        <v>0.70688529622207952</v>
      </c>
      <c r="G23" s="32">
        <f>'Data Sheet'!G58/'Data Sheet'!G$61</f>
        <v>0.73021647274814006</v>
      </c>
      <c r="H23" s="32">
        <f>'Data Sheet'!H58/'Data Sheet'!H$61</f>
        <v>0.6657603083465643</v>
      </c>
      <c r="I23" s="32">
        <f>'Data Sheet'!I58/'Data Sheet'!I$61</f>
        <v>0.70319493522445342</v>
      </c>
      <c r="J23" s="32">
        <f>'Data Sheet'!J58/'Data Sheet'!J$61</f>
        <v>0.69471836595095626</v>
      </c>
      <c r="K23" s="200">
        <f>'Data Sheet'!K58/'Data Sheet'!K$61</f>
        <v>0.6752220317602825</v>
      </c>
    </row>
    <row r="24" spans="1:11" x14ac:dyDescent="0.15">
      <c r="A24" s="199" t="s">
        <v>65</v>
      </c>
      <c r="B24" s="32">
        <f>'Data Sheet'!B59/'Data Sheet'!B$61</f>
        <v>9.3858377094801649E-3</v>
      </c>
      <c r="C24" s="32">
        <f>'Data Sheet'!C59/'Data Sheet'!C$61</f>
        <v>1.8006623856896158E-2</v>
      </c>
      <c r="D24" s="32">
        <f>'Data Sheet'!D59/'Data Sheet'!D$61</f>
        <v>1.7019984326018811E-2</v>
      </c>
      <c r="E24" s="32">
        <f>'Data Sheet'!E59/'Data Sheet'!E$61</f>
        <v>1.3099588255953849E-2</v>
      </c>
      <c r="F24" s="32">
        <f>'Data Sheet'!F59/'Data Sheet'!F$61</f>
        <v>1.6833870504032563E-2</v>
      </c>
      <c r="G24" s="32">
        <f>'Data Sheet'!G59/'Data Sheet'!G$61</f>
        <v>2.3037937752585003E-2</v>
      </c>
      <c r="H24" s="32">
        <f>'Data Sheet'!H59/'Data Sheet'!H$61</f>
        <v>2.5286531183416758E-2</v>
      </c>
      <c r="I24" s="32">
        <f>'Data Sheet'!I59/'Data Sheet'!I$61</f>
        <v>2.6922301819658791E-2</v>
      </c>
      <c r="J24" s="32">
        <f>'Data Sheet'!J59/'Data Sheet'!J$61</f>
        <v>2.3729534979886717E-2</v>
      </c>
      <c r="K24" s="200">
        <f>'Data Sheet'!K59/'Data Sheet'!K$61</f>
        <v>2.3187201059619258E-2</v>
      </c>
    </row>
    <row r="25" spans="1:11" x14ac:dyDescent="0.15">
      <c r="A25" s="199" t="s">
        <v>66</v>
      </c>
      <c r="B25" s="32">
        <f>'Data Sheet'!B60/'Data Sheet'!B$61</f>
        <v>0.37678037609051701</v>
      </c>
      <c r="C25" s="32">
        <f>'Data Sheet'!C60/'Data Sheet'!C$61</f>
        <v>0.29695614311935425</v>
      </c>
      <c r="D25" s="32">
        <f>'Data Sheet'!D60/'Data Sheet'!D$61</f>
        <v>0.30929205851619646</v>
      </c>
      <c r="E25" s="32">
        <f>'Data Sheet'!E60/'Data Sheet'!E$61</f>
        <v>0.2987561455514916</v>
      </c>
      <c r="F25" s="32">
        <f>'Data Sheet'!F60/'Data Sheet'!F$61</f>
        <v>0.27412188262658094</v>
      </c>
      <c r="G25" s="32">
        <f>'Data Sheet'!G60/'Data Sheet'!G$61</f>
        <v>0.24471499796432564</v>
      </c>
      <c r="H25" s="32">
        <f>'Data Sheet'!H60/'Data Sheet'!H$61</f>
        <v>0.30722299748572157</v>
      </c>
      <c r="I25" s="32">
        <f>'Data Sheet'!I60/'Data Sheet'!I$61</f>
        <v>0.26810505556670206</v>
      </c>
      <c r="J25" s="32">
        <f>'Data Sheet'!J60/'Data Sheet'!J$61</f>
        <v>0.27988090494513745</v>
      </c>
      <c r="K25" s="200">
        <f>'Data Sheet'!K60/'Data Sheet'!K$61</f>
        <v>0.30006205838841665</v>
      </c>
    </row>
    <row r="26" spans="1:11" x14ac:dyDescent="0.15">
      <c r="A26" s="201" t="s">
        <v>170</v>
      </c>
      <c r="B26" s="104">
        <v>1</v>
      </c>
      <c r="C26" s="104">
        <v>1</v>
      </c>
      <c r="D26" s="104">
        <v>1</v>
      </c>
      <c r="E26" s="104">
        <v>1</v>
      </c>
      <c r="F26" s="104">
        <v>1</v>
      </c>
      <c r="G26" s="104">
        <v>1</v>
      </c>
      <c r="H26" s="104">
        <v>1</v>
      </c>
      <c r="I26" s="104">
        <v>1</v>
      </c>
      <c r="J26" s="104">
        <v>1</v>
      </c>
      <c r="K26" s="202">
        <v>1</v>
      </c>
    </row>
    <row r="27" spans="1:11" x14ac:dyDescent="0.15">
      <c r="A27" s="199" t="s">
        <v>22</v>
      </c>
      <c r="B27" s="32">
        <f>'Data Sheet'!B62/'Data Sheet'!B$66</f>
        <v>0.27709620952944103</v>
      </c>
      <c r="C27" s="32">
        <f>'Data Sheet'!C62/'Data Sheet'!C$66</f>
        <v>0.29340615285119742</v>
      </c>
      <c r="D27" s="32">
        <f>'Data Sheet'!D62/'Data Sheet'!D$66</f>
        <v>0.300342868338558</v>
      </c>
      <c r="E27" s="32">
        <f>'Data Sheet'!E62/'Data Sheet'!E$66</f>
        <v>0.28516623526375362</v>
      </c>
      <c r="F27" s="32">
        <f>'Data Sheet'!F62/'Data Sheet'!F$66</f>
        <v>0.26763206076838103</v>
      </c>
      <c r="G27" s="32">
        <f>'Data Sheet'!G62/'Data Sheet'!G$66</f>
        <v>0.32900818183527863</v>
      </c>
      <c r="H27" s="32">
        <f>'Data Sheet'!H62/'Data Sheet'!H$66</f>
        <v>0.27625411920372672</v>
      </c>
      <c r="I27" s="32">
        <f>'Data Sheet'!I62/'Data Sheet'!I$66</f>
        <v>0.27553307865910326</v>
      </c>
      <c r="J27" s="32">
        <f>'Data Sheet'!J62/'Data Sheet'!J$66</f>
        <v>0.25752361392698009</v>
      </c>
      <c r="K27" s="200">
        <f>'Data Sheet'!K62/'Data Sheet'!K$66</f>
        <v>0.23829962309948574</v>
      </c>
    </row>
    <row r="28" spans="1:11" x14ac:dyDescent="0.15">
      <c r="A28" s="199" t="s">
        <v>23</v>
      </c>
      <c r="B28" s="32">
        <f>'Data Sheet'!B63/'Data Sheet'!B$66</f>
        <v>6.7502944806581353E-2</v>
      </c>
      <c r="C28" s="32">
        <f>'Data Sheet'!C63/'Data Sheet'!C$66</f>
        <v>5.0665293610870507E-2</v>
      </c>
      <c r="D28" s="32">
        <f>'Data Sheet'!D63/'Data Sheet'!D$66</f>
        <v>3.7941483803552771E-2</v>
      </c>
      <c r="E28" s="32">
        <f>'Data Sheet'!E63/'Data Sheet'!E$66</f>
        <v>2.0433725188584294E-2</v>
      </c>
      <c r="F28" s="32">
        <f>'Data Sheet'!F63/'Data Sheet'!F$66</f>
        <v>3.0955947679357731E-2</v>
      </c>
      <c r="G28" s="32">
        <f>'Data Sheet'!G63/'Data Sheet'!G$66</f>
        <v>1.9890647944223031E-2</v>
      </c>
      <c r="H28" s="32">
        <f>'Data Sheet'!H63/'Data Sheet'!H$66</f>
        <v>2.143782778816674E-2</v>
      </c>
      <c r="I28" s="32">
        <f>'Data Sheet'!I63/'Data Sheet'!I$66</f>
        <v>2.3009655050917795E-2</v>
      </c>
      <c r="J28" s="32">
        <f>'Data Sheet'!J63/'Data Sheet'!J$66</f>
        <v>1.8970164773803436E-2</v>
      </c>
      <c r="K28" s="200">
        <f>'Data Sheet'!K63/'Data Sheet'!K$66</f>
        <v>1.8508923904485906E-2</v>
      </c>
    </row>
    <row r="29" spans="1:11" x14ac:dyDescent="0.15">
      <c r="A29" s="199" t="s">
        <v>24</v>
      </c>
      <c r="B29" s="32">
        <f>'Data Sheet'!B64/'Data Sheet'!B$66</f>
        <v>0.29269734897013894</v>
      </c>
      <c r="C29" s="32">
        <f>'Data Sheet'!C64/'Data Sheet'!C$66</f>
        <v>0.34903429873734182</v>
      </c>
      <c r="D29" s="32">
        <f>'Data Sheet'!D64/'Data Sheet'!D$66</f>
        <v>0.39618403866248691</v>
      </c>
      <c r="E29" s="32">
        <f>'Data Sheet'!E64/'Data Sheet'!E$66</f>
        <v>0.44084376776555134</v>
      </c>
      <c r="F29" s="32">
        <f>'Data Sheet'!F64/'Data Sheet'!F$66</f>
        <v>0.33039943018834478</v>
      </c>
      <c r="G29" s="32">
        <f>'Data Sheet'!G64/'Data Sheet'!G$66</f>
        <v>0.42485566026755012</v>
      </c>
      <c r="H29" s="32">
        <f>'Data Sheet'!H64/'Data Sheet'!H$66</f>
        <v>0.45815633728479588</v>
      </c>
      <c r="I29" s="32">
        <f>'Data Sheet'!I64/'Data Sheet'!I$66</f>
        <v>0.4683551624471326</v>
      </c>
      <c r="J29" s="32">
        <f>'Data Sheet'!J64/'Data Sheet'!J$66</f>
        <v>0.45536297776103474</v>
      </c>
      <c r="K29" s="200">
        <f>'Data Sheet'!K64/'Data Sheet'!K$66</f>
        <v>0.48756710087145577</v>
      </c>
    </row>
    <row r="30" spans="1:11" x14ac:dyDescent="0.15">
      <c r="A30" s="199" t="s">
        <v>67</v>
      </c>
      <c r="B30" s="32">
        <f>'Data Sheet'!B65/'Data Sheet'!B$66</f>
        <v>0.36270349669383867</v>
      </c>
      <c r="C30" s="32">
        <f>'Data Sheet'!C65/'Data Sheet'!C$66</f>
        <v>0.30689425480059029</v>
      </c>
      <c r="D30" s="32">
        <f>'Data Sheet'!D65/'Data Sheet'!D$66</f>
        <v>0.26553160919540231</v>
      </c>
      <c r="E30" s="32">
        <f>'Data Sheet'!E65/'Data Sheet'!E$66</f>
        <v>0.25355627178211082</v>
      </c>
      <c r="F30" s="32">
        <f>'Data Sheet'!F65/'Data Sheet'!F$66</f>
        <v>0.37101256136391642</v>
      </c>
      <c r="G30" s="32">
        <f>'Data Sheet'!G65/'Data Sheet'!G$66</f>
        <v>0.22624550995294823</v>
      </c>
      <c r="H30" s="32">
        <f>'Data Sheet'!H65/'Data Sheet'!H$66</f>
        <v>0.24415171572331074</v>
      </c>
      <c r="I30" s="32">
        <f>'Data Sheet'!I65/'Data Sheet'!I$66</f>
        <v>0.23310210384284641</v>
      </c>
      <c r="J30" s="32">
        <f>'Data Sheet'!J65/'Data Sheet'!J$66</f>
        <v>0.26814324353818181</v>
      </c>
      <c r="K30" s="200">
        <f>'Data Sheet'!K65/'Data Sheet'!K$66</f>
        <v>0.25562435212457257</v>
      </c>
    </row>
    <row r="31" spans="1:11" x14ac:dyDescent="0.15">
      <c r="A31" s="201" t="s">
        <v>171</v>
      </c>
      <c r="B31" s="104">
        <v>1</v>
      </c>
      <c r="C31" s="104">
        <v>1</v>
      </c>
      <c r="D31" s="104">
        <v>1</v>
      </c>
      <c r="E31" s="104">
        <v>1</v>
      </c>
      <c r="F31" s="104">
        <v>1</v>
      </c>
      <c r="G31" s="104">
        <v>1</v>
      </c>
      <c r="H31" s="104">
        <v>1</v>
      </c>
      <c r="I31" s="104">
        <v>1</v>
      </c>
      <c r="J31" s="104">
        <v>1</v>
      </c>
      <c r="K31" s="202">
        <v>1</v>
      </c>
    </row>
    <row r="32" spans="1:11" x14ac:dyDescent="0.15">
      <c r="A32" s="199" t="s">
        <v>72</v>
      </c>
      <c r="B32" s="32">
        <f>'Data Sheet'!B67/'Data Sheet'!B$66</f>
        <v>0.12875679886619079</v>
      </c>
      <c r="C32" s="32">
        <f>'Data Sheet'!C67/'Data Sheet'!C$66</f>
        <v>9.9417562758756531E-2</v>
      </c>
      <c r="D32" s="32">
        <f>'Data Sheet'!D67/'Data Sheet'!D$66</f>
        <v>0.10134208463949844</v>
      </c>
      <c r="E32" s="32">
        <f>'Data Sheet'!E67/'Data Sheet'!E$66</f>
        <v>8.2025185192849459E-2</v>
      </c>
      <c r="F32" s="32">
        <f>'Data Sheet'!F67/'Data Sheet'!F$66</f>
        <v>0.1483493619882017</v>
      </c>
      <c r="G32" s="32">
        <f>'Data Sheet'!G67/'Data Sheet'!G$66</f>
        <v>7.6847851003884818E-2</v>
      </c>
      <c r="H32" s="32">
        <f>'Data Sheet'!H67/'Data Sheet'!H$66</f>
        <v>9.8487666094131079E-2</v>
      </c>
      <c r="I32" s="32">
        <f>'Data Sheet'!I67/'Data Sheet'!I$66</f>
        <v>9.6025115677768724E-2</v>
      </c>
      <c r="J32" s="32">
        <f>'Data Sheet'!J67/'Data Sheet'!J$66</f>
        <v>0.11370433536271017</v>
      </c>
      <c r="K32" s="200">
        <f>'Data Sheet'!K67/'Data Sheet'!K$66</f>
        <v>0.10057129659971267</v>
      </c>
    </row>
    <row r="33" spans="1:11" x14ac:dyDescent="0.15">
      <c r="A33" s="199" t="s">
        <v>40</v>
      </c>
      <c r="B33" s="32">
        <f>'Data Sheet'!B68/'Data Sheet'!B$66</f>
        <v>8.0848667445691191E-2</v>
      </c>
      <c r="C33" s="32">
        <f>'Data Sheet'!C68/'Data Sheet'!C$66</f>
        <v>5.9088184456811944E-2</v>
      </c>
      <c r="D33" s="32">
        <f>'Data Sheet'!D68/'Data Sheet'!D$66</f>
        <v>4.6276123301985377E-2</v>
      </c>
      <c r="E33" s="32">
        <f>'Data Sheet'!E68/'Data Sheet'!E$66</f>
        <v>5.5336836290498272E-2</v>
      </c>
      <c r="F33" s="32">
        <f>'Data Sheet'!F68/'Data Sheet'!F$66</f>
        <v>6.7526247868070002E-2</v>
      </c>
      <c r="G33" s="32">
        <f>'Data Sheet'!G68/'Data Sheet'!G$66</f>
        <v>6.5178176147589181E-2</v>
      </c>
      <c r="H33" s="32">
        <f>'Data Sheet'!H68/'Data Sheet'!H$66</f>
        <v>7.7470688761604234E-2</v>
      </c>
      <c r="I33" s="32">
        <f>'Data Sheet'!I68/'Data Sheet'!I$66</f>
        <v>6.5503356779555835E-2</v>
      </c>
      <c r="J33" s="32">
        <f>'Data Sheet'!J68/'Data Sheet'!J$66</f>
        <v>7.3436793782505616E-2</v>
      </c>
      <c r="K33" s="200">
        <f>'Data Sheet'!K68/'Data Sheet'!K$66</f>
        <v>6.7140064214946088E-2</v>
      </c>
    </row>
    <row r="34" spans="1:11" x14ac:dyDescent="0.15">
      <c r="A34" s="199" t="s">
        <v>81</v>
      </c>
      <c r="B34" s="32">
        <f>'Data Sheet'!B69/'Data Sheet'!B$66</f>
        <v>2.02527606095163E-2</v>
      </c>
      <c r="C34" s="32">
        <f>'Data Sheet'!C69/'Data Sheet'!C$66</f>
        <v>1.3887456468418814E-2</v>
      </c>
      <c r="D34" s="32">
        <f>'Data Sheet'!D69/'Data Sheet'!D$66</f>
        <v>1.2760579937304074E-2</v>
      </c>
      <c r="E34" s="32">
        <f>'Data Sheet'!E69/'Data Sheet'!E$66</f>
        <v>1.3656014664824941E-2</v>
      </c>
      <c r="F34" s="32">
        <f>'Data Sheet'!F69/'Data Sheet'!F$66</f>
        <v>1.6423156488524864E-2</v>
      </c>
      <c r="G34" s="32">
        <f>'Data Sheet'!G69/'Data Sheet'!G$66</f>
        <v>2.2131160456377356E-2</v>
      </c>
      <c r="H34" s="32">
        <f>'Data Sheet'!H69/'Data Sheet'!H$66</f>
        <v>1.7156150673122594E-2</v>
      </c>
      <c r="I34" s="32">
        <f>'Data Sheet'!I69/'Data Sheet'!I$66</f>
        <v>1.3334584905769498E-2</v>
      </c>
      <c r="J34" s="32">
        <f>'Data Sheet'!J69/'Data Sheet'!J$66</f>
        <v>1.7677780226056497E-2</v>
      </c>
      <c r="K34" s="200">
        <f>'Data Sheet'!K69/'Data Sheet'!K$66</f>
        <v>2.6630810708914803E-2</v>
      </c>
    </row>
    <row r="35" spans="1:11" ht="14" thickBot="1" x14ac:dyDescent="0.2">
      <c r="A35" s="203"/>
      <c r="B35" s="204"/>
      <c r="C35" s="204"/>
      <c r="D35" s="204"/>
      <c r="E35" s="204"/>
      <c r="F35" s="204"/>
      <c r="G35" s="204"/>
      <c r="H35" s="204"/>
      <c r="I35" s="204"/>
      <c r="J35" s="204"/>
      <c r="K35" s="205"/>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Tanishq Jain</cp:lastModifiedBy>
  <cp:lastPrinted>2012-12-06T18:14:13Z</cp:lastPrinted>
  <dcterms:created xsi:type="dcterms:W3CDTF">2012-08-17T09:55:37Z</dcterms:created>
  <dcterms:modified xsi:type="dcterms:W3CDTF">2024-10-29T13:58:02Z</dcterms:modified>
</cp:coreProperties>
</file>