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mc:AlternateContent xmlns:mc="http://schemas.openxmlformats.org/markup-compatibility/2006">
    <mc:Choice Requires="x15">
      <x15ac:absPath xmlns:x15ac="http://schemas.microsoft.com/office/spreadsheetml/2010/11/ac" url="C:\Users\Vishal\Desktop\"/>
    </mc:Choice>
  </mc:AlternateContent>
  <xr:revisionPtr revIDLastSave="0" documentId="13_ncr:1_{F010197A-42CB-4CDA-B050-235350E9B91B}" xr6:coauthVersionLast="36" xr6:coauthVersionMax="36" xr10:uidLastSave="{00000000-0000-0000-0000-000000000000}"/>
  <bookViews>
    <workbookView xWindow="0" yWindow="0" windowWidth="19200" windowHeight="6940"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75" i="18" l="1"/>
  <c r="J75" i="18"/>
  <c r="I75" i="18"/>
  <c r="H75" i="18"/>
  <c r="G75" i="18"/>
  <c r="F75" i="18"/>
  <c r="E75" i="18"/>
  <c r="D75" i="18"/>
  <c r="C75" i="18"/>
  <c r="K74" i="18"/>
  <c r="J74" i="18"/>
  <c r="I74" i="18"/>
  <c r="H74" i="18"/>
  <c r="G74" i="18"/>
  <c r="F74" i="18"/>
  <c r="E74" i="18"/>
  <c r="D74" i="18"/>
  <c r="C74" i="18"/>
  <c r="B75" i="18"/>
  <c r="B74" i="18"/>
  <c r="K73" i="18"/>
  <c r="J73" i="18"/>
  <c r="I73" i="18"/>
  <c r="H73" i="18"/>
  <c r="G73" i="18"/>
  <c r="F73" i="18"/>
  <c r="E73" i="18"/>
  <c r="D73" i="18"/>
  <c r="C73" i="18"/>
  <c r="B73" i="18"/>
  <c r="K19" i="2"/>
  <c r="J19" i="2"/>
  <c r="I19" i="2"/>
  <c r="H19" i="2"/>
  <c r="G19" i="2"/>
  <c r="F19" i="2"/>
  <c r="E19" i="2"/>
  <c r="D19" i="2"/>
  <c r="K70" i="18" l="1"/>
  <c r="J70" i="18"/>
  <c r="I70" i="18"/>
  <c r="H70" i="18"/>
  <c r="G70" i="18"/>
  <c r="F70" i="18"/>
  <c r="E70" i="18"/>
  <c r="D70" i="18"/>
  <c r="C70" i="18"/>
  <c r="B70" i="18"/>
  <c r="K69" i="18" l="1"/>
  <c r="J69" i="18"/>
  <c r="I69" i="18"/>
  <c r="H69" i="18"/>
  <c r="G69" i="18"/>
  <c r="F69" i="18"/>
  <c r="E69" i="18"/>
  <c r="D69" i="18"/>
  <c r="C69" i="18"/>
  <c r="B69" i="18"/>
  <c r="K68" i="18"/>
  <c r="J68" i="18"/>
  <c r="I68" i="18"/>
  <c r="H68" i="18"/>
  <c r="G68" i="18"/>
  <c r="F68" i="18"/>
  <c r="E68" i="18"/>
  <c r="D68" i="18"/>
  <c r="C68" i="18"/>
  <c r="B68" i="18"/>
  <c r="J64" i="18"/>
  <c r="I64" i="18"/>
  <c r="H64" i="18"/>
  <c r="G64" i="18"/>
  <c r="F64" i="18"/>
  <c r="E64" i="18"/>
  <c r="D64" i="18"/>
  <c r="C64" i="18"/>
  <c r="B64" i="18"/>
  <c r="J63" i="18"/>
  <c r="I63" i="18"/>
  <c r="H63" i="18"/>
  <c r="G63" i="18"/>
  <c r="F63" i="18"/>
  <c r="E63" i="18"/>
  <c r="D63" i="18"/>
  <c r="C63" i="18"/>
  <c r="B63" i="18"/>
  <c r="J62" i="18"/>
  <c r="I62" i="18"/>
  <c r="H62" i="18"/>
  <c r="G62" i="18"/>
  <c r="F62" i="18"/>
  <c r="E62" i="18"/>
  <c r="D62" i="18"/>
  <c r="C62" i="18"/>
  <c r="B62" i="18"/>
  <c r="K7" i="17"/>
  <c r="J7" i="17"/>
  <c r="I7" i="17"/>
  <c r="H7" i="17"/>
  <c r="G7" i="17"/>
  <c r="F7" i="17"/>
  <c r="E7" i="17"/>
  <c r="D7" i="17"/>
  <c r="C7" i="17"/>
  <c r="K22" i="17"/>
  <c r="K58" i="18" s="1"/>
  <c r="J22" i="17"/>
  <c r="J58" i="18" s="1"/>
  <c r="I22" i="17"/>
  <c r="I58" i="18" s="1"/>
  <c r="H22" i="17"/>
  <c r="H58" i="18" s="1"/>
  <c r="G22" i="17"/>
  <c r="G58" i="18" s="1"/>
  <c r="F22" i="17"/>
  <c r="F58" i="18" s="1"/>
  <c r="E22" i="17"/>
  <c r="E58" i="18" s="1"/>
  <c r="D22" i="17"/>
  <c r="D58" i="18" s="1"/>
  <c r="C22" i="17"/>
  <c r="C58" i="18" s="1"/>
  <c r="B22" i="17"/>
  <c r="B58" i="18" s="1"/>
  <c r="C27" i="2"/>
  <c r="D27" i="2"/>
  <c r="E27" i="2"/>
  <c r="F27" i="2"/>
  <c r="G27" i="2"/>
  <c r="H27" i="2"/>
  <c r="I27" i="2"/>
  <c r="J27" i="2"/>
  <c r="K27" i="2"/>
  <c r="B27" i="2"/>
  <c r="A53" i="18"/>
  <c r="A52" i="18"/>
  <c r="A51" i="18"/>
  <c r="C19" i="17"/>
  <c r="D19" i="17"/>
  <c r="E19" i="17"/>
  <c r="F19" i="17"/>
  <c r="G19" i="17"/>
  <c r="H19" i="17"/>
  <c r="I19" i="17"/>
  <c r="J19" i="17"/>
  <c r="K19" i="17"/>
  <c r="B19" i="17"/>
  <c r="B6" i="4"/>
  <c r="L6" i="4" s="1"/>
  <c r="C6" i="4"/>
  <c r="D6" i="4"/>
  <c r="E6" i="4"/>
  <c r="F6" i="4"/>
  <c r="G6" i="4"/>
  <c r="H6" i="4"/>
  <c r="I6" i="4"/>
  <c r="J6" i="4"/>
  <c r="K6" i="4"/>
  <c r="K3" i="17" l="1"/>
  <c r="K50" i="18" s="1"/>
  <c r="K56" i="18" s="1"/>
  <c r="A2" i="17"/>
  <c r="K20" i="17"/>
  <c r="J20" i="17"/>
  <c r="I20" i="17"/>
  <c r="H20" i="17"/>
  <c r="G20" i="17"/>
  <c r="F20" i="17"/>
  <c r="E20" i="17"/>
  <c r="D20" i="17"/>
  <c r="C20" i="17"/>
  <c r="B20" i="17"/>
  <c r="A22" i="17"/>
  <c r="K21" i="17"/>
  <c r="K57" i="18" s="1"/>
  <c r="J21" i="17"/>
  <c r="J57" i="18" s="1"/>
  <c r="I21" i="17"/>
  <c r="I57" i="18" s="1"/>
  <c r="H21" i="17"/>
  <c r="H57" i="18" s="1"/>
  <c r="G21" i="17"/>
  <c r="G57" i="18" s="1"/>
  <c r="F21" i="17"/>
  <c r="F57" i="18" s="1"/>
  <c r="E21" i="17"/>
  <c r="E57" i="18" s="1"/>
  <c r="D21" i="17"/>
  <c r="D57" i="18" s="1"/>
  <c r="C21" i="17"/>
  <c r="C57" i="18" s="1"/>
  <c r="B21" i="17"/>
  <c r="B57" i="18" s="1"/>
  <c r="A21" i="17"/>
  <c r="K18" i="17"/>
  <c r="J18" i="17"/>
  <c r="I18" i="17"/>
  <c r="H18" i="17"/>
  <c r="G18" i="17"/>
  <c r="F18" i="17"/>
  <c r="E18" i="17"/>
  <c r="D18" i="17"/>
  <c r="C18" i="17"/>
  <c r="B18" i="17"/>
  <c r="K17" i="17"/>
  <c r="J17" i="17"/>
  <c r="I17" i="17"/>
  <c r="H17" i="17"/>
  <c r="G17" i="17"/>
  <c r="F17" i="17"/>
  <c r="E17" i="17"/>
  <c r="D17" i="17"/>
  <c r="C17" i="17"/>
  <c r="B17" i="17"/>
  <c r="A17" i="17"/>
  <c r="K16" i="17"/>
  <c r="J16" i="17"/>
  <c r="I16" i="17"/>
  <c r="H16" i="17"/>
  <c r="G16" i="17"/>
  <c r="F16" i="17"/>
  <c r="E16" i="17"/>
  <c r="D16" i="17"/>
  <c r="C16" i="17"/>
  <c r="B16" i="17"/>
  <c r="A16" i="17"/>
  <c r="K15" i="17"/>
  <c r="J15" i="17"/>
  <c r="I15" i="17"/>
  <c r="H15" i="17"/>
  <c r="G15" i="17"/>
  <c r="F15" i="17"/>
  <c r="E15" i="17"/>
  <c r="D15" i="17"/>
  <c r="C15" i="17"/>
  <c r="B15" i="17"/>
  <c r="A15" i="17"/>
  <c r="K13" i="17"/>
  <c r="K53" i="18" s="1"/>
  <c r="J13" i="17"/>
  <c r="J53" i="18" s="1"/>
  <c r="I13" i="17"/>
  <c r="I53" i="18" s="1"/>
  <c r="H13" i="17"/>
  <c r="H53" i="18" s="1"/>
  <c r="G13" i="17"/>
  <c r="G53" i="18" s="1"/>
  <c r="F13" i="17"/>
  <c r="F53" i="18" s="1"/>
  <c r="E13" i="17"/>
  <c r="E53" i="18" s="1"/>
  <c r="D13" i="17"/>
  <c r="D53" i="18" s="1"/>
  <c r="C13" i="17"/>
  <c r="C53" i="18" s="1"/>
  <c r="K12" i="17"/>
  <c r="K52" i="18" s="1"/>
  <c r="J12" i="17"/>
  <c r="J52" i="18" s="1"/>
  <c r="I12" i="17"/>
  <c r="I52" i="18" s="1"/>
  <c r="H12" i="17"/>
  <c r="H52" i="18" s="1"/>
  <c r="G12" i="17"/>
  <c r="G52" i="18" s="1"/>
  <c r="F12" i="17"/>
  <c r="F52" i="18" s="1"/>
  <c r="E12" i="17"/>
  <c r="E52" i="18" s="1"/>
  <c r="D12" i="17"/>
  <c r="D52" i="18" s="1"/>
  <c r="C12" i="17"/>
  <c r="C52" i="18" s="1"/>
  <c r="K11" i="17"/>
  <c r="K51" i="18" s="1"/>
  <c r="J11" i="17"/>
  <c r="J51" i="18" s="1"/>
  <c r="I11" i="17"/>
  <c r="I51" i="18" s="1"/>
  <c r="H11" i="17"/>
  <c r="H51" i="18" s="1"/>
  <c r="G11" i="17"/>
  <c r="G51" i="18" s="1"/>
  <c r="F11" i="17"/>
  <c r="F51" i="18" s="1"/>
  <c r="E11" i="17"/>
  <c r="E51" i="18" s="1"/>
  <c r="D11" i="17"/>
  <c r="D51" i="18" s="1"/>
  <c r="C11" i="17"/>
  <c r="C51" i="18" s="1"/>
  <c r="B13" i="17"/>
  <c r="B53" i="18" s="1"/>
  <c r="B12" i="17"/>
  <c r="B52" i="18" s="1"/>
  <c r="B11" i="17"/>
  <c r="B51" i="18" s="1"/>
  <c r="C5" i="17"/>
  <c r="D5" i="17"/>
  <c r="E5" i="17"/>
  <c r="F5" i="17"/>
  <c r="G5" i="17"/>
  <c r="H5" i="17"/>
  <c r="I5" i="17"/>
  <c r="J5" i="17"/>
  <c r="K5" i="17"/>
  <c r="C6" i="17"/>
  <c r="D6" i="17"/>
  <c r="E6" i="17"/>
  <c r="F6" i="17"/>
  <c r="G6" i="17"/>
  <c r="H6" i="17"/>
  <c r="I6" i="17"/>
  <c r="J6" i="17"/>
  <c r="K6" i="17"/>
  <c r="K4" i="17"/>
  <c r="J4" i="17"/>
  <c r="I4" i="17"/>
  <c r="H4" i="17"/>
  <c r="G4" i="17"/>
  <c r="F4" i="17"/>
  <c r="E4" i="17"/>
  <c r="D4" i="17"/>
  <c r="C4" i="17"/>
  <c r="C3" i="17"/>
  <c r="C50" i="18" s="1"/>
  <c r="C56" i="18" s="1"/>
  <c r="D3" i="17"/>
  <c r="D50" i="18" s="1"/>
  <c r="D56" i="18" s="1"/>
  <c r="E3" i="17"/>
  <c r="E50" i="18" s="1"/>
  <c r="E56" i="18" s="1"/>
  <c r="F3" i="17"/>
  <c r="F50" i="18" s="1"/>
  <c r="F56" i="18" s="1"/>
  <c r="G3" i="17"/>
  <c r="G50" i="18" s="1"/>
  <c r="G56" i="18" s="1"/>
  <c r="H3" i="17"/>
  <c r="H50" i="18" s="1"/>
  <c r="H56" i="18" s="1"/>
  <c r="I3" i="17"/>
  <c r="I50" i="18" s="1"/>
  <c r="I56" i="18" s="1"/>
  <c r="J3" i="17"/>
  <c r="J50" i="18" s="1"/>
  <c r="J56" i="18" s="1"/>
  <c r="B3" i="17"/>
  <c r="B50" i="18" s="1"/>
  <c r="B56" i="18" s="1"/>
  <c r="B67" i="18" s="1"/>
  <c r="B6" i="12"/>
  <c r="C6" i="12"/>
  <c r="D6" i="12"/>
  <c r="E6" i="12"/>
  <c r="F6" i="12"/>
  <c r="G6" i="12"/>
  <c r="H6" i="12"/>
  <c r="I6" i="12"/>
  <c r="J6" i="12"/>
  <c r="K6" i="12"/>
  <c r="I67" i="18" l="1"/>
  <c r="H61" i="18"/>
  <c r="C61" i="18"/>
  <c r="D67" i="18"/>
  <c r="G67" i="18"/>
  <c r="F61" i="18"/>
  <c r="K67" i="18"/>
  <c r="J61" i="18"/>
  <c r="E67" i="18"/>
  <c r="D61" i="18"/>
  <c r="G61" i="18"/>
  <c r="H67" i="18"/>
  <c r="C67" i="18"/>
  <c r="B61" i="18"/>
  <c r="J67" i="18"/>
  <c r="I61" i="18"/>
  <c r="F67" i="18"/>
  <c r="E61" i="18"/>
  <c r="B14" i="12"/>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D6" i="2"/>
  <c r="E6" i="2"/>
  <c r="F6" i="2"/>
  <c r="G6" i="2"/>
  <c r="H6" i="2"/>
  <c r="I6" i="2"/>
  <c r="J6" i="2"/>
  <c r="K6" i="2"/>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D4" i="4"/>
  <c r="E4" i="4"/>
  <c r="F4" i="4"/>
  <c r="G4" i="4"/>
  <c r="G5" i="4" s="1"/>
  <c r="G8" i="17" s="1"/>
  <c r="H4" i="4"/>
  <c r="I4" i="4"/>
  <c r="J4" i="4"/>
  <c r="K4" i="4"/>
  <c r="K5" i="4" s="1"/>
  <c r="K8" i="17" s="1"/>
  <c r="C7" i="4"/>
  <c r="D7" i="4"/>
  <c r="E7" i="4"/>
  <c r="F7" i="4"/>
  <c r="G7" i="4"/>
  <c r="H7" i="4"/>
  <c r="I7" i="4"/>
  <c r="J7" i="4"/>
  <c r="K7" i="4"/>
  <c r="C8" i="4"/>
  <c r="D8" i="4"/>
  <c r="E8" i="4"/>
  <c r="F8" i="4"/>
  <c r="G8" i="4"/>
  <c r="H8" i="4"/>
  <c r="I8" i="4"/>
  <c r="J8" i="4"/>
  <c r="K8" i="4"/>
  <c r="C4" i="3"/>
  <c r="D4" i="3"/>
  <c r="E4" i="3"/>
  <c r="F4" i="3"/>
  <c r="G4" i="3"/>
  <c r="G5" i="3" s="1"/>
  <c r="H4" i="3"/>
  <c r="H5" i="3" s="1"/>
  <c r="I4" i="3"/>
  <c r="I5" i="3" s="1"/>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C12" i="3" s="1"/>
  <c r="D11" i="3"/>
  <c r="D12" i="3" s="1"/>
  <c r="E11" i="3"/>
  <c r="F11" i="3"/>
  <c r="F12" i="3" s="1"/>
  <c r="G11" i="3"/>
  <c r="G12" i="3" s="1"/>
  <c r="H11" i="3"/>
  <c r="I11" i="3"/>
  <c r="J11" i="3"/>
  <c r="K11" i="3"/>
  <c r="C15" i="3"/>
  <c r="D15" i="3"/>
  <c r="E15" i="3"/>
  <c r="F15" i="3"/>
  <c r="G15" i="3"/>
  <c r="G16" i="3" s="1"/>
  <c r="H15" i="3"/>
  <c r="H16" i="3" s="1"/>
  <c r="I15" i="3"/>
  <c r="I16" i="3" s="1"/>
  <c r="J15" i="3"/>
  <c r="J16" i="3" s="1"/>
  <c r="K15" i="3"/>
  <c r="K16" i="3" s="1"/>
  <c r="B6" i="3"/>
  <c r="C30" i="1"/>
  <c r="D30" i="1"/>
  <c r="E30" i="1"/>
  <c r="F30" i="1"/>
  <c r="G30" i="1"/>
  <c r="H30" i="1"/>
  <c r="I30" i="1"/>
  <c r="J30" i="1"/>
  <c r="K30" i="1"/>
  <c r="B30" i="1"/>
  <c r="C4" i="1"/>
  <c r="C12" i="1" s="1"/>
  <c r="D4" i="1"/>
  <c r="D12" i="1" s="1"/>
  <c r="E4" i="1"/>
  <c r="E12" i="1" s="1"/>
  <c r="F4" i="1"/>
  <c r="F12" i="1" s="1"/>
  <c r="G4" i="1"/>
  <c r="G12" i="1" s="1"/>
  <c r="H4" i="1"/>
  <c r="H12" i="1" s="1"/>
  <c r="I4" i="1"/>
  <c r="I12" i="1" s="1"/>
  <c r="J4" i="1"/>
  <c r="J12" i="1" s="1"/>
  <c r="K4" i="1"/>
  <c r="K12" i="1" s="1"/>
  <c r="C14" i="1"/>
  <c r="D14" i="1"/>
  <c r="D15" i="1" s="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B12" i="1" s="1"/>
  <c r="A2" i="1"/>
  <c r="A2" i="2" s="1"/>
  <c r="E1" i="6"/>
  <c r="C12" i="4" l="1"/>
  <c r="J12" i="4"/>
  <c r="J5" i="4"/>
  <c r="J8" i="17" s="1"/>
  <c r="F12" i="4"/>
  <c r="F5" i="4"/>
  <c r="F8" i="17" s="1"/>
  <c r="I12" i="4"/>
  <c r="I5" i="4"/>
  <c r="I8" i="17" s="1"/>
  <c r="E12" i="4"/>
  <c r="E5" i="4"/>
  <c r="E8" i="17" s="1"/>
  <c r="H12" i="4"/>
  <c r="H5" i="4"/>
  <c r="H8" i="17" s="1"/>
  <c r="D12" i="4"/>
  <c r="D5" i="4"/>
  <c r="D8" i="17" s="1"/>
  <c r="D16" i="4"/>
  <c r="C16" i="4"/>
  <c r="H15" i="4"/>
  <c r="I19" i="1"/>
  <c r="E19" i="1"/>
  <c r="E23" i="1" s="1"/>
  <c r="K15" i="1"/>
  <c r="G15" i="1"/>
  <c r="C15" i="1"/>
  <c r="I23" i="1"/>
  <c r="I32" i="1" s="1"/>
  <c r="H25" i="2"/>
  <c r="D25" i="2"/>
  <c r="K25" i="2"/>
  <c r="B11" i="11"/>
  <c r="G25" i="2"/>
  <c r="C25" i="2"/>
  <c r="H19" i="1"/>
  <c r="H23" i="1" s="1"/>
  <c r="H32" i="1" s="1"/>
  <c r="D19" i="1"/>
  <c r="D23" i="1" s="1"/>
  <c r="D32" i="1" s="1"/>
  <c r="B15" i="1"/>
  <c r="I18" i="1"/>
  <c r="K19" i="1"/>
  <c r="K23" i="1" s="1"/>
  <c r="K25" i="1" s="1"/>
  <c r="G19" i="1"/>
  <c r="G23" i="1" s="1"/>
  <c r="G32" i="1" s="1"/>
  <c r="C19" i="1"/>
  <c r="C23" i="1" s="1"/>
  <c r="C25" i="1" s="1"/>
  <c r="I15" i="1"/>
  <c r="E15" i="1"/>
  <c r="J19" i="1"/>
  <c r="J23" i="1" s="1"/>
  <c r="J32" i="1" s="1"/>
  <c r="F19" i="1"/>
  <c r="F23" i="1" s="1"/>
  <c r="F32" i="1" s="1"/>
  <c r="C18" i="1"/>
  <c r="C37" i="1"/>
  <c r="D37" i="1"/>
  <c r="E37" i="1"/>
  <c r="B37" i="1"/>
  <c r="B17" i="15" s="1"/>
  <c r="F13" i="9"/>
  <c r="K12" i="4"/>
  <c r="K23" i="17" s="1"/>
  <c r="K13" i="3"/>
  <c r="K12" i="3"/>
  <c r="H13" i="3"/>
  <c r="H12" i="3"/>
  <c r="J13" i="3"/>
  <c r="J12" i="3"/>
  <c r="J25" i="2"/>
  <c r="F25" i="2"/>
  <c r="I13" i="3"/>
  <c r="I12" i="3"/>
  <c r="E12" i="3"/>
  <c r="I25" i="2"/>
  <c r="E25" i="2"/>
  <c r="J18" i="1"/>
  <c r="D18" i="1"/>
  <c r="G13" i="3"/>
  <c r="D10" i="4"/>
  <c r="F5" i="1"/>
  <c r="F9" i="4"/>
  <c r="F24" i="2"/>
  <c r="I24" i="2"/>
  <c r="I9" i="4"/>
  <c r="E24" i="2"/>
  <c r="E9" i="4"/>
  <c r="J10" i="4"/>
  <c r="H24" i="2"/>
  <c r="H9" i="4"/>
  <c r="D5" i="1"/>
  <c r="D24" i="2"/>
  <c r="D9" i="4"/>
  <c r="J24" i="2"/>
  <c r="J9" i="4"/>
  <c r="K24" i="2"/>
  <c r="K9" i="4"/>
  <c r="G24" i="2"/>
  <c r="G9" i="4"/>
  <c r="C24" i="2"/>
  <c r="C9" i="4"/>
  <c r="E5" i="1"/>
  <c r="E21" i="1"/>
  <c r="I5" i="1"/>
  <c r="H5" i="1"/>
  <c r="J5" i="1"/>
  <c r="K5" i="1"/>
  <c r="G5" i="1"/>
  <c r="C5" i="1"/>
  <c r="H25" i="1"/>
  <c r="G25" i="1"/>
  <c r="C26" i="1"/>
  <c r="D25" i="1"/>
  <c r="K26" i="1"/>
  <c r="J25" i="1"/>
  <c r="I21" i="1"/>
  <c r="B3" i="8"/>
  <c r="E3" i="8" s="1"/>
  <c r="E1" i="3"/>
  <c r="H16" i="2"/>
  <c r="D16" i="2"/>
  <c r="G16" i="2"/>
  <c r="I16" i="2"/>
  <c r="E16" i="2"/>
  <c r="K16" i="2"/>
  <c r="C16" i="2"/>
  <c r="G26" i="2"/>
  <c r="J16" i="2"/>
  <c r="F16" i="2"/>
  <c r="D26" i="2"/>
  <c r="D23" i="17" l="1"/>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26" i="1"/>
  <c r="E26" i="2"/>
  <c r="E10" i="4"/>
  <c r="E24" i="1"/>
  <c r="E25" i="1"/>
  <c r="K18" i="1"/>
  <c r="I10" i="4"/>
  <c r="K26" i="2"/>
  <c r="I24" i="1"/>
  <c r="E18" i="1"/>
  <c r="K20" i="1"/>
  <c r="F15" i="9"/>
  <c r="K16" i="4"/>
  <c r="K15" i="4"/>
  <c r="B13" i="4"/>
  <c r="B4" i="11" s="1"/>
  <c r="B14" i="11" s="1"/>
  <c r="I26" i="2"/>
  <c r="K21" i="1"/>
  <c r="H26" i="1"/>
  <c r="H18" i="1"/>
  <c r="K10" i="4"/>
  <c r="K32" i="1"/>
  <c r="H26" i="2"/>
  <c r="H21" i="1"/>
  <c r="I25" i="1"/>
  <c r="I20" i="1"/>
  <c r="J24" i="1"/>
  <c r="I26" i="1"/>
  <c r="I28" i="1" s="1"/>
  <c r="C38" i="1"/>
  <c r="H10" i="4"/>
  <c r="E38" i="1"/>
  <c r="C26" i="2"/>
  <c r="D20" i="1"/>
  <c r="C32" i="1"/>
  <c r="G21" i="1"/>
  <c r="J21" i="1"/>
  <c r="J26" i="1"/>
  <c r="K27" i="1" s="1"/>
  <c r="D26" i="1"/>
  <c r="E27" i="1" s="1"/>
  <c r="G26" i="1"/>
  <c r="G28" i="1" s="1"/>
  <c r="D21" i="1"/>
  <c r="J20" i="1"/>
  <c r="H24" i="1"/>
  <c r="D24" i="1"/>
  <c r="H20" i="1"/>
  <c r="B6" i="8"/>
  <c r="E6" i="8" s="1"/>
  <c r="D38" i="1"/>
  <c r="C10" i="4"/>
  <c r="F20" i="1"/>
  <c r="J26" i="2"/>
  <c r="C21" i="1"/>
  <c r="E20" i="1"/>
  <c r="K24" i="1"/>
  <c r="G10" i="4"/>
  <c r="B20" i="15"/>
  <c r="F26" i="2"/>
  <c r="F25" i="1"/>
  <c r="F21" i="1"/>
  <c r="F10" i="4"/>
  <c r="F14" i="9"/>
  <c r="B8" i="8"/>
  <c r="F26" i="1"/>
  <c r="G20" i="1"/>
  <c r="F24" i="1"/>
  <c r="E8" i="8"/>
  <c r="G24" i="1"/>
  <c r="F18" i="1"/>
  <c r="G18" i="1"/>
  <c r="D39" i="1"/>
  <c r="B13" i="1"/>
  <c r="J28" i="1"/>
  <c r="E28" i="1"/>
  <c r="F28" i="1"/>
  <c r="F27" i="1"/>
  <c r="K28" i="1"/>
  <c r="C28" i="1"/>
  <c r="H28" i="1"/>
  <c r="I27" i="1"/>
  <c r="H13" i="1"/>
  <c r="C13" i="1"/>
  <c r="E13" i="1"/>
  <c r="I13" i="1"/>
  <c r="F13" i="1"/>
  <c r="J13" i="1"/>
  <c r="G13" i="1"/>
  <c r="D13" i="1"/>
  <c r="K13" i="1"/>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C39" i="1" l="1"/>
  <c r="E39" i="1"/>
  <c r="D14" i="11"/>
  <c r="B15" i="11"/>
  <c r="E10" i="8"/>
  <c r="H27" i="1"/>
  <c r="G27" i="1"/>
  <c r="J27" i="1"/>
  <c r="B10" i="8"/>
  <c r="B5" i="10" s="1"/>
  <c r="D27" i="1"/>
  <c r="B21" i="15"/>
  <c r="D28" i="1"/>
  <c r="B22" i="15"/>
  <c r="C5" i="10"/>
  <c r="E40" i="1"/>
  <c r="D40" i="1"/>
  <c r="C40" i="1"/>
  <c r="J8" i="9"/>
  <c r="C8" i="9"/>
  <c r="B4" i="8"/>
  <c r="E4" i="8" s="1"/>
  <c r="B8" i="4"/>
  <c r="L8" i="4" s="1"/>
  <c r="B7" i="4"/>
  <c r="L7" i="4" s="1"/>
  <c r="B4" i="4"/>
  <c r="C5" i="4" s="1"/>
  <c r="C8" i="17" s="1"/>
  <c r="B3" i="4"/>
  <c r="K23" i="2"/>
  <c r="J23" i="2"/>
  <c r="I23" i="2"/>
  <c r="H23" i="2"/>
  <c r="G23" i="2"/>
  <c r="F23" i="2"/>
  <c r="E23" i="2"/>
  <c r="D23" i="2"/>
  <c r="C23" i="2"/>
  <c r="B18" i="2"/>
  <c r="B23" i="2" s="1"/>
  <c r="B13" i="2"/>
  <c r="B12" i="2"/>
  <c r="B11" i="2"/>
  <c r="B10" i="2"/>
  <c r="B24" i="2" s="1"/>
  <c r="B8" i="2"/>
  <c r="B7" i="2"/>
  <c r="B6" i="2"/>
  <c r="B25" i="2" s="1"/>
  <c r="B3" i="2"/>
  <c r="J17" i="3"/>
  <c r="H17" i="3"/>
  <c r="F17" i="3"/>
  <c r="D17" i="3"/>
  <c r="B15" i="3"/>
  <c r="F16" i="3" s="1"/>
  <c r="B11" i="3"/>
  <c r="B10" i="3"/>
  <c r="B9" i="3"/>
  <c r="B8" i="3"/>
  <c r="B4" i="3"/>
  <c r="F5" i="3" s="1"/>
  <c r="B3" i="3"/>
  <c r="L29" i="1"/>
  <c r="B22" i="1"/>
  <c r="B17" i="1"/>
  <c r="B16" i="1"/>
  <c r="B19" i="1" s="1"/>
  <c r="B22" i="2"/>
  <c r="B3" i="1"/>
  <c r="B9" i="4" l="1"/>
  <c r="L4" i="4"/>
  <c r="B12" i="4"/>
  <c r="D15" i="11"/>
  <c r="B16" i="11"/>
  <c r="B23" i="1"/>
  <c r="B32" i="1" s="1"/>
  <c r="B33" i="1" s="1"/>
  <c r="B38" i="1"/>
  <c r="B18" i="15" s="1"/>
  <c r="B10" i="4"/>
  <c r="C9" i="9"/>
  <c r="D9" i="9" s="1"/>
  <c r="D8" i="9"/>
  <c r="J9" i="9"/>
  <c r="K9" i="9" s="1"/>
  <c r="K8" i="9"/>
  <c r="F13" i="3"/>
  <c r="B12" i="3"/>
  <c r="B18" i="1"/>
  <c r="B25" i="1"/>
  <c r="C24" i="1"/>
  <c r="B21" i="1"/>
  <c r="B39" i="1" s="1"/>
  <c r="C20" i="1"/>
  <c r="B26" i="1"/>
  <c r="B26" i="2"/>
  <c r="B16" i="2"/>
  <c r="B17" i="3"/>
  <c r="E17" i="3"/>
  <c r="I17" i="3"/>
  <c r="C17" i="3"/>
  <c r="G17" i="3"/>
  <c r="K17" i="3"/>
  <c r="G22" i="2"/>
  <c r="I22" i="2"/>
  <c r="K22" i="2"/>
  <c r="D22" i="2"/>
  <c r="F22" i="2"/>
  <c r="H22" i="2"/>
  <c r="J22" i="2"/>
  <c r="C22" i="2"/>
  <c r="E22" i="2"/>
  <c r="L22" i="1"/>
  <c r="L17" i="1"/>
  <c r="L16" i="1"/>
  <c r="L14" i="1"/>
  <c r="L4" i="1"/>
  <c r="A1" i="3"/>
  <c r="A2" i="4"/>
  <c r="B23" i="17" l="1"/>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charset val="1"/>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<sst xmlns="http://schemas.openxmlformats.org/spreadsheetml/2006/main" count="458" uniqueCount="318">
  <si>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</si>
  <si>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</si>
  <si>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</si>
  <si>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</si>
  <si>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</si>
  <si>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</si>
  <si>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</si>
  <si>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</si>
  <si>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</si>
  <si>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</si>
  <si>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</si>
  <si>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</si>
  <si>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</si>
  <si>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</si>
  <si>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</si>
  <si>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</si>
  <si>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</si>
  <si>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</si>
  <si>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</si>
  <si>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</si>
  <si>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</si>
  <si>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</si>
  <si>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</si>
  <si>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</si>
  <si>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</si>
  <si>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</si>
  <si>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</si>
  <si>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</si>
  <si>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</si>
  <si>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</si>
  <si>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</si>
  <si>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</si>
  <si>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</si>
  <si>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</si>
  <si>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</si>
  <si>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</si>
  <si>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</si>
  <si>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</si>
  <si>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</si>
  <si>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</si>
  <si>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</si>
  <si>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</si>
  <si>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</si>
  <si>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</si>
  <si>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</si>
  <si>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</si>
  <si>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</si>
  <si>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</si>
  <si>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</si>
  <si>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</si>
  <si>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</si>
  <si>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</si>
  <si>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</si>
  <si>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</si>
  <si>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</si>
  <si>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</si>
  <si>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</si>
  <si>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</si>
  <si>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TATA MOTORS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</si>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</sst>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3" formatCode="_(* #,##0.00_);_(* \(#,##0.00\);_(* &quot;-&quot;??_);_(@_)"/>
    <numFmt numFmtId="164" formatCode="_ * #,##0.00_ ;_ * \-#,##0.00_ ;_ * &quot;-&quot;??_ ;_ @_ "/>
    <numFmt numFmtId="165" formatCode="[$-409]mmm\-yy;@"/>
    <numFmt numFmtId="166" formatCode="_(* #,##0_);_(* \(#,##0\);_(* &quot;-&quot;??_);_(@_)"/>
    <numFmt numFmtId="167" formatCode="_(* #,##0.0_);_(* \(#,##0.0\);_(* &quot;-&quot;??_);_(@_)"/>
    <numFmt numFmtId="168" formatCode="[$-409]mmm/yy;@"/>
    <numFmt numFmtId="169" formatCode="_ * #,##0.0_ ;_ * \-#,##0.0_ ;_ * &quot;-&quot;??_ ;_ @_ "/>
    <numFmt numFmtId="170" formatCode="_ * #,##0_ ;_ * \-#,##0_ ;_ * &quot;-&quot;??_ ;_ @_ "/>
    <numFmt numFmtId="171" formatCode="0.0%"/>
    <numFmt numFmtId="172" formatCode="#,##0.000_);[Red]\(#,##0.000\)"/>
    <numFmt numFmtId="173" formatCode="0.0000%"/>
  </numFmts>
  <fonts count="5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b/>
      <sz val="9"/>
      <color indexed="81"/>
      <name val="Tahoma"/>
      <charset val="1"/>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29">
    <xf numFmtId="0" fontId="0" fillId="0" borderId="0" xfId="0"/>
    <xf numFmtId="0" fontId="1" fillId="0" borderId="0" xfId="0" applyFont="1" applyBorder="1"/>
    <xf numFmtId="0" fontId="0" fillId="0" borderId="0" xfId="0" applyBorder="1"/>
    <xf numFmtId="0" fontId="6" fillId="0" borderId="0" xfId="0" applyFont="1" applyBorder="1"/>
    <xf numFmtId="0" fontId="0" fillId="0" borderId="0" xfId="0" applyBorder="1"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applyBorder="1"/>
    <xf numFmtId="0" fontId="9" fillId="0" borderId="0" xfId="0" applyFont="1"/>
    <xf numFmtId="165" fontId="10" fillId="3" borderId="0" xfId="0" applyNumberFormat="1" applyFont="1" applyFill="1" applyBorder="1" applyAlignment="1">
      <alignment horizontal="center"/>
    </xf>
    <xf numFmtId="0" fontId="8" fillId="0" borderId="0" xfId="0" applyFont="1" applyFill="1" applyBorder="1"/>
    <xf numFmtId="164" fontId="8" fillId="0" borderId="0" xfId="1" applyFont="1" applyBorder="1"/>
    <xf numFmtId="0" fontId="11" fillId="0" borderId="0" xfId="0" applyFont="1" applyBorder="1"/>
    <xf numFmtId="0" fontId="9" fillId="0" borderId="0" xfId="0" applyFont="1" applyBorder="1"/>
    <xf numFmtId="164" fontId="9" fillId="0" borderId="0" xfId="1" applyFont="1" applyBorder="1"/>
    <xf numFmtId="0" fontId="9" fillId="0" borderId="1" xfId="0" applyFont="1" applyBorder="1"/>
    <xf numFmtId="0" fontId="9" fillId="5" borderId="1" xfId="0" applyFont="1" applyFill="1" applyBorder="1" applyAlignment="1">
      <alignment horizontal="right"/>
    </xf>
    <xf numFmtId="168" fontId="9" fillId="5" borderId="1" xfId="0" applyNumberFormat="1" applyFont="1" applyFill="1" applyBorder="1" applyAlignment="1">
      <alignment horizontal="right"/>
    </xf>
    <xf numFmtId="0" fontId="9" fillId="5" borderId="0" xfId="0" applyFont="1" applyFill="1" applyAlignment="1">
      <alignment horizontal="right"/>
    </xf>
    <xf numFmtId="167" fontId="9" fillId="5" borderId="1" xfId="1" applyNumberFormat="1" applyFont="1" applyFill="1" applyBorder="1" applyAlignment="1">
      <alignment horizontal="right"/>
    </xf>
    <xf numFmtId="0" fontId="8" fillId="0" borderId="0" xfId="0" applyFont="1"/>
    <xf numFmtId="166" fontId="9" fillId="0" borderId="0" xfId="1" applyNumberFormat="1" applyFont="1"/>
    <xf numFmtId="0" fontId="9" fillId="0" borderId="0" xfId="0" applyFont="1" applyAlignment="1">
      <alignment horizontal="right"/>
    </xf>
    <xf numFmtId="9" fontId="9" fillId="0" borderId="0" xfId="4" applyFont="1"/>
    <xf numFmtId="0" fontId="8" fillId="0" borderId="0" xfId="0" applyFont="1" applyFill="1" applyBorder="1" applyAlignment="1"/>
    <xf numFmtId="0" fontId="9" fillId="0" borderId="0" xfId="0" applyFont="1" applyFill="1" applyBorder="1"/>
    <xf numFmtId="0" fontId="13" fillId="0" borderId="0" xfId="0" applyFont="1" applyFill="1" applyBorder="1"/>
    <xf numFmtId="165" fontId="10" fillId="3" borderId="0" xfId="1" applyNumberFormat="1" applyFont="1" applyFill="1" applyBorder="1"/>
    <xf numFmtId="165" fontId="13" fillId="0" borderId="0" xfId="1" applyNumberFormat="1" applyFont="1" applyFill="1" applyBorder="1"/>
    <xf numFmtId="43" fontId="9" fillId="0" borderId="0" xfId="1" applyNumberFormat="1" applyFont="1" applyBorder="1"/>
    <xf numFmtId="170" fontId="9" fillId="0" borderId="1" xfId="1" applyNumberFormat="1" applyFont="1" applyBorder="1"/>
    <xf numFmtId="166" fontId="9" fillId="7" borderId="1" xfId="1" applyNumberFormat="1" applyFont="1" applyFill="1" applyBorder="1" applyAlignment="1">
      <alignment horizontal="right"/>
    </xf>
    <xf numFmtId="167"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6" fontId="18" fillId="0" borderId="1" xfId="1" applyNumberFormat="1" applyFont="1" applyBorder="1" applyAlignment="1">
      <alignment horizontal="right"/>
    </xf>
    <xf numFmtId="166" fontId="9" fillId="0" borderId="1" xfId="1" applyNumberFormat="1" applyFont="1" applyBorder="1" applyAlignment="1">
      <alignment horizontal="right"/>
    </xf>
    <xf numFmtId="166"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6" fontId="10" fillId="4" borderId="1" xfId="1" applyNumberFormat="1" applyFont="1" applyFill="1" applyBorder="1" applyAlignment="1">
      <alignment horizontal="right"/>
    </xf>
    <xf numFmtId="170" fontId="10" fillId="4" borderId="1" xfId="1" applyNumberFormat="1" applyFont="1" applyFill="1" applyBorder="1" applyAlignment="1">
      <alignment horizontal="right"/>
    </xf>
    <xf numFmtId="166" fontId="9" fillId="7" borderId="1" xfId="1" applyNumberFormat="1" applyFont="1" applyFill="1" applyBorder="1"/>
    <xf numFmtId="166" fontId="20" fillId="7" borderId="1" xfId="1" applyNumberFormat="1" applyFont="1" applyFill="1" applyBorder="1"/>
    <xf numFmtId="0" fontId="24" fillId="0" borderId="0" xfId="0" applyFont="1" applyBorder="1" applyAlignment="1">
      <alignment horizontal="center"/>
    </xf>
    <xf numFmtId="166"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Border="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13" fillId="0" borderId="0" xfId="0" applyFont="1"/>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6" fontId="13" fillId="0" borderId="25" xfId="0" applyNumberFormat="1" applyFont="1" applyBorder="1" applyAlignment="1">
      <alignment horizontal="center"/>
    </xf>
    <xf numFmtId="166"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6" fontId="13" fillId="0" borderId="12" xfId="0" applyNumberFormat="1" applyFont="1" applyBorder="1" applyAlignment="1">
      <alignment horizontal="center"/>
    </xf>
    <xf numFmtId="0" fontId="13" fillId="0" borderId="0" xfId="0" applyFont="1" applyBorder="1" applyAlignment="1">
      <alignment horizontal="center"/>
    </xf>
    <xf numFmtId="172" fontId="13" fillId="0" borderId="0" xfId="0" applyNumberFormat="1" applyFont="1" applyBorder="1" applyAlignment="1">
      <alignment horizontal="center"/>
    </xf>
    <xf numFmtId="9" fontId="13" fillId="0" borderId="0" xfId="0" applyNumberFormat="1" applyFont="1" applyBorder="1" applyAlignment="1">
      <alignment horizontal="center"/>
    </xf>
    <xf numFmtId="6" fontId="13" fillId="0" borderId="0" xfId="0" applyNumberFormat="1" applyFont="1" applyBorder="1" applyAlignment="1">
      <alignment horizontal="center"/>
    </xf>
    <xf numFmtId="0" fontId="13" fillId="0" borderId="24" xfId="0" applyFont="1" applyBorder="1" applyAlignment="1">
      <alignment horizontal="left"/>
    </xf>
    <xf numFmtId="9" fontId="13" fillId="0" borderId="0" xfId="0" applyNumberFormat="1" applyFont="1" applyAlignment="1">
      <alignment horizontal="center"/>
    </xf>
    <xf numFmtId="172" fontId="13" fillId="0" borderId="0" xfId="0" applyNumberFormat="1" applyFont="1" applyAlignment="1">
      <alignment horizontal="center"/>
    </xf>
    <xf numFmtId="0" fontId="13" fillId="0" borderId="24" xfId="0" quotePrefix="1" applyFont="1" applyBorder="1" applyAlignment="1">
      <alignment horizontal="left"/>
    </xf>
    <xf numFmtId="0" fontId="8" fillId="9" borderId="29" xfId="0" applyFont="1" applyFill="1" applyBorder="1"/>
    <xf numFmtId="168"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Border="1" applyAlignment="1">
      <alignment wrapText="1"/>
    </xf>
    <xf numFmtId="9" fontId="9" fillId="0" borderId="0" xfId="4" applyFont="1" applyBorder="1" applyAlignment="1">
      <alignment horizontal="right" wrapText="1"/>
    </xf>
    <xf numFmtId="166" fontId="9" fillId="0" borderId="0" xfId="1" applyNumberFormat="1" applyFont="1" applyAlignment="1">
      <alignment wrapText="1"/>
    </xf>
    <xf numFmtId="9" fontId="9" fillId="0" borderId="0" xfId="4" applyNumberFormat="1" applyFont="1"/>
    <xf numFmtId="0" fontId="9" fillId="0" borderId="7" xfId="0" applyFont="1" applyBorder="1"/>
    <xf numFmtId="0" fontId="9" fillId="0" borderId="24" xfId="0" applyFont="1" applyBorder="1"/>
    <xf numFmtId="166" fontId="9" fillId="5" borderId="25" xfId="1" applyNumberFormat="1" applyFont="1" applyFill="1" applyBorder="1"/>
    <xf numFmtId="173"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0" fontId="9" fillId="0" borderId="1" xfId="1" applyNumberFormat="1" applyFont="1" applyBorder="1" applyAlignment="1">
      <alignment horizontal="right" wrapText="1"/>
    </xf>
    <xf numFmtId="9" fontId="9" fillId="5" borderId="25" xfId="4" applyFont="1" applyFill="1" applyBorder="1"/>
    <xf numFmtId="9" fontId="9" fillId="0" borderId="1" xfId="4" applyNumberFormat="1" applyFont="1" applyFill="1" applyBorder="1" applyAlignment="1">
      <alignment horizontal="center"/>
    </xf>
    <xf numFmtId="9" fontId="9" fillId="0" borderId="25" xfId="4" applyNumberFormat="1" applyFont="1" applyFill="1" applyBorder="1" applyAlignment="1">
      <alignment horizontal="center"/>
    </xf>
    <xf numFmtId="9" fontId="11" fillId="0" borderId="1" xfId="4" applyNumberFormat="1" applyFont="1" applyFill="1" applyBorder="1" applyAlignment="1">
      <alignment horizontal="center"/>
    </xf>
    <xf numFmtId="9" fontId="11" fillId="0" borderId="25" xfId="4" applyNumberFormat="1" applyFont="1" applyFill="1" applyBorder="1" applyAlignment="1">
      <alignment horizontal="center"/>
    </xf>
    <xf numFmtId="9" fontId="11" fillId="0" borderId="11" xfId="4" applyNumberFormat="1" applyFont="1" applyFill="1" applyBorder="1" applyAlignment="1">
      <alignment horizontal="center"/>
    </xf>
    <xf numFmtId="9" fontId="11" fillId="0" borderId="12" xfId="4" applyNumberFormat="1" applyFont="1" applyFill="1" applyBorder="1" applyAlignment="1">
      <alignment horizontal="center"/>
    </xf>
    <xf numFmtId="167" fontId="9" fillId="5" borderId="25" xfId="1" applyNumberFormat="1" applyFont="1" applyFill="1" applyBorder="1"/>
    <xf numFmtId="9" fontId="12" fillId="4" borderId="9" xfId="0" applyNumberFormat="1" applyFont="1" applyFill="1" applyBorder="1"/>
    <xf numFmtId="167"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5"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0" fontId="8" fillId="0" borderId="1" xfId="1" applyNumberFormat="1" applyFont="1" applyBorder="1"/>
    <xf numFmtId="170" fontId="21" fillId="4" borderId="1" xfId="1" applyNumberFormat="1" applyFont="1" applyFill="1" applyBorder="1"/>
    <xf numFmtId="170" fontId="11" fillId="0" borderId="1" xfId="0" applyNumberFormat="1" applyFont="1" applyBorder="1"/>
    <xf numFmtId="166" fontId="8" fillId="9" borderId="1" xfId="1" applyNumberFormat="1" applyFont="1" applyFill="1" applyBorder="1" applyAlignment="1">
      <alignment horizontal="right"/>
    </xf>
    <xf numFmtId="166" fontId="8" fillId="9" borderId="1" xfId="1" applyNumberFormat="1" applyFont="1" applyFill="1" applyBorder="1"/>
    <xf numFmtId="166" fontId="9" fillId="9" borderId="25" xfId="1" applyNumberFormat="1" applyFont="1" applyFill="1" applyBorder="1"/>
    <xf numFmtId="0" fontId="10" fillId="3" borderId="33" xfId="0" applyFont="1" applyFill="1" applyBorder="1"/>
    <xf numFmtId="165" fontId="10" fillId="3" borderId="30" xfId="0" applyNumberFormat="1" applyFont="1" applyFill="1" applyBorder="1" applyAlignment="1">
      <alignment horizontal="center"/>
    </xf>
    <xf numFmtId="165" fontId="10" fillId="3" borderId="2" xfId="0" applyNumberFormat="1" applyFont="1" applyFill="1" applyBorder="1" applyAlignment="1">
      <alignment horizontal="center"/>
    </xf>
    <xf numFmtId="0" fontId="8" fillId="0" borderId="6" xfId="0" applyFont="1" applyBorder="1"/>
    <xf numFmtId="170" fontId="8" fillId="0" borderId="4" xfId="1" applyNumberFormat="1" applyFont="1" applyBorder="1"/>
    <xf numFmtId="0" fontId="11" fillId="0" borderId="6" xfId="0" applyFont="1" applyBorder="1"/>
    <xf numFmtId="164" fontId="11" fillId="0" borderId="1" xfId="1" applyFont="1" applyBorder="1"/>
    <xf numFmtId="9" fontId="11" fillId="0" borderId="4" xfId="4" applyFont="1" applyBorder="1"/>
    <xf numFmtId="0" fontId="9" fillId="0" borderId="6" xfId="0" applyFont="1" applyBorder="1"/>
    <xf numFmtId="170" fontId="9" fillId="0" borderId="4" xfId="1" applyNumberFormat="1" applyFont="1" applyBorder="1"/>
    <xf numFmtId="0" fontId="11" fillId="0" borderId="34" xfId="0" applyFont="1" applyFill="1" applyBorder="1"/>
    <xf numFmtId="9" fontId="11" fillId="0" borderId="35" xfId="4" applyFont="1" applyBorder="1"/>
    <xf numFmtId="9" fontId="11" fillId="0" borderId="36" xfId="4" applyFont="1" applyBorder="1"/>
    <xf numFmtId="0" fontId="11" fillId="0" borderId="0" xfId="0" applyFont="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applyBorder="1"/>
    <xf numFmtId="0" fontId="32" fillId="0" borderId="0" xfId="0" applyFont="1" applyBorder="1"/>
    <xf numFmtId="0" fontId="33" fillId="3" borderId="7" xfId="0" applyFont="1" applyFill="1" applyBorder="1"/>
    <xf numFmtId="165"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0" xfId="0" applyFont="1" applyFill="1" applyBorder="1"/>
    <xf numFmtId="0" fontId="32" fillId="0" borderId="24" xfId="0" applyFont="1" applyBorder="1"/>
    <xf numFmtId="170" fontId="32" fillId="0" borderId="1" xfId="1" applyNumberFormat="1" applyFont="1" applyBorder="1"/>
    <xf numFmtId="170" fontId="32" fillId="0" borderId="25" xfId="1" applyNumberFormat="1" applyFont="1" applyBorder="1"/>
    <xf numFmtId="0" fontId="34" fillId="9" borderId="24" xfId="0" applyFont="1" applyFill="1" applyBorder="1"/>
    <xf numFmtId="164"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0" fontId="31" fillId="0" borderId="1" xfId="1" applyNumberFormat="1" applyFont="1" applyBorder="1"/>
    <xf numFmtId="170" fontId="31" fillId="0" borderId="25" xfId="1" applyNumberFormat="1" applyFont="1" applyBorder="1"/>
    <xf numFmtId="164" fontId="34" fillId="0" borderId="24" xfId="1" applyFont="1" applyBorder="1" applyAlignment="1">
      <alignment horizontal="left" indent="1"/>
    </xf>
    <xf numFmtId="9" fontId="34" fillId="0" borderId="1" xfId="4" applyFont="1" applyBorder="1"/>
    <xf numFmtId="9" fontId="34" fillId="0" borderId="25" xfId="4" applyFont="1" applyBorder="1"/>
    <xf numFmtId="171" fontId="34" fillId="9" borderId="1" xfId="1" applyNumberFormat="1" applyFont="1" applyFill="1" applyBorder="1"/>
    <xf numFmtId="171" fontId="34" fillId="9" borderId="25" xfId="1" applyNumberFormat="1" applyFont="1" applyFill="1" applyBorder="1"/>
    <xf numFmtId="170" fontId="34" fillId="9" borderId="1" xfId="1" applyNumberFormat="1" applyFont="1" applyFill="1" applyBorder="1"/>
    <xf numFmtId="170" fontId="34" fillId="9" borderId="25" xfId="1" applyNumberFormat="1" applyFont="1" applyFill="1" applyBorder="1"/>
    <xf numFmtId="169" fontId="31" fillId="0" borderId="1" xfId="1" applyNumberFormat="1" applyFont="1" applyBorder="1"/>
    <xf numFmtId="169" fontId="31" fillId="0" borderId="25" xfId="1" applyNumberFormat="1" applyFont="1" applyBorder="1"/>
    <xf numFmtId="0" fontId="31" fillId="9" borderId="24" xfId="0" applyFont="1" applyFill="1" applyBorder="1"/>
    <xf numFmtId="169" fontId="31" fillId="9" borderId="1" xfId="1" applyNumberFormat="1" applyFont="1" applyFill="1" applyBorder="1"/>
    <xf numFmtId="169" fontId="31" fillId="9" borderId="25" xfId="1" applyNumberFormat="1" applyFont="1" applyFill="1" applyBorder="1"/>
    <xf numFmtId="171" fontId="31" fillId="0" borderId="1" xfId="0" applyNumberFormat="1" applyFont="1" applyBorder="1"/>
    <xf numFmtId="10" fontId="31" fillId="0" borderId="25" xfId="0" applyNumberFormat="1" applyFont="1" applyBorder="1"/>
    <xf numFmtId="0" fontId="31" fillId="0" borderId="10" xfId="0" applyFont="1" applyBorder="1"/>
    <xf numFmtId="169" fontId="31" fillId="0" borderId="11" xfId="1" applyNumberFormat="1" applyFont="1" applyBorder="1"/>
    <xf numFmtId="171" fontId="31" fillId="0" borderId="11" xfId="0" applyNumberFormat="1" applyFont="1" applyBorder="1"/>
    <xf numFmtId="10" fontId="31" fillId="0" borderId="12" xfId="0" applyNumberFormat="1" applyFont="1" applyBorder="1"/>
    <xf numFmtId="10" fontId="31" fillId="0" borderId="0" xfId="0" applyNumberFormat="1" applyFont="1" applyBorder="1"/>
    <xf numFmtId="170" fontId="31" fillId="0" borderId="0" xfId="0" applyNumberFormat="1" applyFont="1" applyBorder="1"/>
    <xf numFmtId="165" fontId="33" fillId="3" borderId="1" xfId="0" applyNumberFormat="1" applyFont="1" applyFill="1" applyBorder="1" applyAlignment="1">
      <alignment horizontal="center"/>
    </xf>
    <xf numFmtId="0" fontId="31" fillId="0" borderId="1" xfId="0" applyFont="1" applyBorder="1"/>
    <xf numFmtId="171" fontId="31" fillId="9" borderId="1" xfId="0" applyNumberFormat="1" applyFont="1" applyFill="1" applyBorder="1"/>
    <xf numFmtId="0" fontId="38" fillId="0" borderId="0" xfId="0" applyFont="1"/>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170" fontId="38"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6" fontId="9" fillId="0" borderId="25" xfId="1" applyNumberFormat="1" applyFont="1" applyFill="1" applyBorder="1" applyAlignment="1">
      <alignment horizontal="left"/>
    </xf>
    <xf numFmtId="167" fontId="9" fillId="0" borderId="25" xfId="1" applyNumberFormat="1" applyFont="1" applyFill="1" applyBorder="1" applyAlignment="1">
      <alignment horizontal="left"/>
    </xf>
    <xf numFmtId="171" fontId="9" fillId="0" borderId="25" xfId="4" applyNumberFormat="1" applyFont="1" applyFill="1" applyBorder="1" applyAlignment="1">
      <alignment horizontal="right"/>
    </xf>
    <xf numFmtId="167" fontId="9" fillId="0" borderId="25" xfId="1" applyNumberFormat="1" applyFont="1" applyFill="1" applyBorder="1" applyAlignment="1">
      <alignment horizontal="left" indent="1"/>
    </xf>
    <xf numFmtId="171" fontId="9" fillId="0" borderId="25" xfId="4" applyNumberFormat="1" applyFont="1" applyFill="1" applyBorder="1" applyAlignment="1"/>
    <xf numFmtId="169" fontId="9" fillId="0" borderId="25" xfId="1" applyNumberFormat="1" applyFont="1" applyFill="1" applyBorder="1" applyAlignment="1"/>
    <xf numFmtId="0" fontId="13" fillId="0" borderId="10" xfId="0" applyFont="1" applyBorder="1" applyAlignment="1">
      <alignment horizontal="left"/>
    </xf>
    <xf numFmtId="169" fontId="9" fillId="0" borderId="12" xfId="1" applyNumberFormat="1" applyFont="1" applyFill="1" applyBorder="1" applyAlignment="1"/>
    <xf numFmtId="0" fontId="18" fillId="0" borderId="0" xfId="0" applyFont="1" applyAlignment="1">
      <alignment horizontal="left"/>
    </xf>
    <xf numFmtId="165" fontId="10" fillId="3" borderId="24" xfId="1" applyNumberFormat="1" applyFont="1" applyFill="1" applyBorder="1"/>
    <xf numFmtId="165"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40" fillId="0" borderId="0" xfId="0" applyFont="1" applyBorder="1"/>
    <xf numFmtId="0" fontId="41" fillId="0" borderId="0" xfId="0" applyFont="1" applyBorder="1"/>
    <xf numFmtId="0" fontId="41" fillId="0" borderId="0" xfId="0" applyFont="1" applyFill="1" applyBorder="1"/>
    <xf numFmtId="170" fontId="41" fillId="0" borderId="1" xfId="1" applyNumberFormat="1" applyFont="1" applyBorder="1" applyAlignment="1">
      <alignment horizontal="center"/>
    </xf>
    <xf numFmtId="170" fontId="40" fillId="0" borderId="1" xfId="1" applyNumberFormat="1" applyFont="1" applyBorder="1" applyAlignment="1">
      <alignment horizontal="center"/>
    </xf>
    <xf numFmtId="170" fontId="41" fillId="0" borderId="1" xfId="1" applyNumberFormat="1" applyFont="1" applyBorder="1"/>
    <xf numFmtId="170" fontId="41" fillId="0" borderId="0" xfId="1" applyNumberFormat="1" applyFont="1" applyBorder="1"/>
    <xf numFmtId="170" fontId="44" fillId="9" borderId="1" xfId="1" applyNumberFormat="1" applyFont="1" applyFill="1" applyBorder="1"/>
    <xf numFmtId="169" fontId="44" fillId="9" borderId="1" xfId="1" applyNumberFormat="1" applyFont="1" applyFill="1" applyBorder="1"/>
    <xf numFmtId="9" fontId="44" fillId="9" borderId="1" xfId="4" applyFont="1" applyFill="1" applyBorder="1"/>
    <xf numFmtId="0" fontId="45" fillId="0" borderId="0" xfId="0" applyFont="1" applyBorder="1"/>
    <xf numFmtId="0" fontId="45" fillId="0" borderId="0" xfId="0" applyFont="1" applyBorder="1" applyAlignment="1">
      <alignment wrapText="1"/>
    </xf>
    <xf numFmtId="165" fontId="42" fillId="3" borderId="30" xfId="0" applyNumberFormat="1" applyFont="1" applyFill="1" applyBorder="1" applyAlignment="1">
      <alignment horizontal="center"/>
    </xf>
    <xf numFmtId="0" fontId="42" fillId="3" borderId="29" xfId="0" applyFont="1" applyFill="1" applyBorder="1"/>
    <xf numFmtId="165" fontId="42" fillId="3" borderId="31" xfId="0" applyNumberFormat="1" applyFont="1" applyFill="1" applyBorder="1" applyAlignment="1">
      <alignment horizontal="center"/>
    </xf>
    <xf numFmtId="0" fontId="41" fillId="0" borderId="24" xfId="0" applyFont="1" applyBorder="1"/>
    <xf numFmtId="170" fontId="41" fillId="0" borderId="25" xfId="1" applyNumberFormat="1" applyFont="1" applyBorder="1" applyAlignment="1">
      <alignment horizontal="center"/>
    </xf>
    <xf numFmtId="0" fontId="40" fillId="0" borderId="24" xfId="0" applyFont="1" applyBorder="1"/>
    <xf numFmtId="170" fontId="40" fillId="0" borderId="25" xfId="1" applyNumberFormat="1" applyFont="1" applyBorder="1" applyAlignment="1">
      <alignment horizontal="center"/>
    </xf>
    <xf numFmtId="170" fontId="41" fillId="0" borderId="25" xfId="1" applyNumberFormat="1" applyFont="1" applyBorder="1"/>
    <xf numFmtId="0" fontId="41" fillId="0" borderId="24" xfId="0" applyFont="1" applyFill="1" applyBorder="1"/>
    <xf numFmtId="0" fontId="43" fillId="4" borderId="10" xfId="0" applyFont="1" applyFill="1" applyBorder="1"/>
    <xf numFmtId="170" fontId="43" fillId="4" borderId="11" xfId="1" applyNumberFormat="1" applyFont="1" applyFill="1" applyBorder="1"/>
    <xf numFmtId="170" fontId="43" fillId="4" borderId="12" xfId="1" applyNumberFormat="1" applyFont="1" applyFill="1" applyBorder="1"/>
    <xf numFmtId="0" fontId="44" fillId="9" borderId="7" xfId="0" applyFont="1" applyFill="1" applyBorder="1"/>
    <xf numFmtId="170" fontId="44" fillId="9" borderId="8" xfId="1" applyNumberFormat="1" applyFont="1" applyFill="1" applyBorder="1"/>
    <xf numFmtId="170" fontId="44" fillId="9" borderId="9" xfId="1" applyNumberFormat="1" applyFont="1" applyFill="1" applyBorder="1"/>
    <xf numFmtId="0" fontId="44" fillId="9" borderId="24" xfId="0" applyFont="1" applyFill="1" applyBorder="1"/>
    <xf numFmtId="170" fontId="44" fillId="9" borderId="25" xfId="1" applyNumberFormat="1" applyFont="1" applyFill="1" applyBorder="1"/>
    <xf numFmtId="169" fontId="44" fillId="9" borderId="25" xfId="1" applyNumberFormat="1" applyFont="1" applyFill="1" applyBorder="1"/>
    <xf numFmtId="9" fontId="44" fillId="9" borderId="25" xfId="4" applyFont="1" applyFill="1" applyBorder="1"/>
    <xf numFmtId="0" fontId="44" fillId="9" borderId="10" xfId="0" applyFont="1" applyFill="1" applyBorder="1"/>
    <xf numFmtId="0" fontId="10" fillId="3" borderId="24" xfId="0" applyFont="1" applyFill="1" applyBorder="1"/>
    <xf numFmtId="0" fontId="8" fillId="0" borderId="24" xfId="0" applyFont="1" applyBorder="1"/>
    <xf numFmtId="170" fontId="8" fillId="0" borderId="23" xfId="1" applyNumberFormat="1" applyFont="1" applyBorder="1"/>
    <xf numFmtId="0" fontId="11" fillId="0" borderId="24" xfId="0" applyFont="1" applyFill="1" applyBorder="1"/>
    <xf numFmtId="170" fontId="11" fillId="0" borderId="23" xfId="1" applyNumberFormat="1" applyFont="1" applyBorder="1"/>
    <xf numFmtId="0" fontId="21" fillId="4" borderId="24" xfId="0" applyFont="1" applyFill="1" applyBorder="1"/>
    <xf numFmtId="170" fontId="26" fillId="0" borderId="23" xfId="1" applyNumberFormat="1" applyFont="1" applyBorder="1"/>
    <xf numFmtId="0" fontId="11" fillId="0" borderId="24" xfId="0" applyFont="1" applyBorder="1"/>
    <xf numFmtId="170" fontId="9" fillId="0" borderId="23" xfId="1" applyNumberFormat="1" applyFont="1" applyBorder="1"/>
    <xf numFmtId="0" fontId="11" fillId="0" borderId="10" xfId="0" applyFont="1" applyBorder="1"/>
    <xf numFmtId="9" fontId="11" fillId="0" borderId="11" xfId="4" applyFont="1" applyBorder="1"/>
    <xf numFmtId="170" fontId="9" fillId="0" borderId="28" xfId="1" applyNumberFormat="1" applyFont="1" applyBorder="1"/>
    <xf numFmtId="0" fontId="47" fillId="0" borderId="0" xfId="0" applyFont="1" applyAlignment="1">
      <alignment wrapText="1"/>
    </xf>
    <xf numFmtId="0" fontId="48" fillId="0" borderId="0" xfId="2" applyFont="1" applyFill="1" applyBorder="1" applyAlignment="1" applyProtection="1">
      <alignment horizontal="center" wrapText="1"/>
    </xf>
    <xf numFmtId="0" fontId="47" fillId="0" borderId="0" xfId="0" applyFont="1" applyFill="1" applyBorder="1" applyAlignment="1">
      <alignment wrapText="1"/>
    </xf>
    <xf numFmtId="0" fontId="47" fillId="0" borderId="0" xfId="0" applyFont="1" applyFill="1" applyAlignment="1">
      <alignment wrapText="1"/>
    </xf>
    <xf numFmtId="0" fontId="49" fillId="8" borderId="40" xfId="0" applyFont="1" applyFill="1" applyBorder="1" applyAlignment="1">
      <alignment horizontal="center" wrapText="1"/>
    </xf>
    <xf numFmtId="0" fontId="47" fillId="0" borderId="41" xfId="0" applyFont="1" applyBorder="1" applyAlignment="1">
      <alignment wrapText="1"/>
    </xf>
    <xf numFmtId="0" fontId="47" fillId="0" borderId="42" xfId="0" applyFont="1" applyBorder="1" applyAlignment="1">
      <alignment wrapText="1"/>
    </xf>
    <xf numFmtId="0" fontId="51" fillId="0" borderId="0" xfId="0" applyFont="1" applyAlignment="1">
      <alignment wrapText="1"/>
    </xf>
    <xf numFmtId="0" fontId="0" fillId="0" borderId="41" xfId="0" applyFont="1" applyBorder="1" applyAlignment="1">
      <alignment wrapText="1"/>
    </xf>
    <xf numFmtId="170" fontId="11" fillId="0" borderId="4" xfId="0" applyNumberFormat="1" applyFont="1" applyBorder="1" applyAlignment="1">
      <alignment horizontal="center"/>
    </xf>
    <xf numFmtId="170" fontId="26" fillId="0" borderId="1" xfId="1" applyNumberFormat="1" applyFont="1" applyBorder="1"/>
    <xf numFmtId="0" fontId="26" fillId="0" borderId="0" xfId="0" applyFont="1" applyBorder="1"/>
    <xf numFmtId="9" fontId="11" fillId="0" borderId="5" xfId="4" applyFont="1" applyBorder="1" applyAlignment="1">
      <alignment horizontal="center"/>
    </xf>
    <xf numFmtId="9" fontId="41" fillId="9" borderId="11" xfId="4" applyFont="1" applyFill="1" applyBorder="1"/>
    <xf numFmtId="9" fontId="41" fillId="9" borderId="12" xfId="4" applyFont="1" applyFill="1" applyBorder="1"/>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9" fillId="9" borderId="18" xfId="0" applyFont="1" applyFill="1" applyBorder="1" applyAlignment="1">
      <alignment horizontal="center" vertical="center" wrapText="1"/>
    </xf>
    <xf numFmtId="0" fontId="39" fillId="9" borderId="20" xfId="0" applyFont="1" applyFill="1" applyBorder="1" applyAlignment="1">
      <alignment horizontal="center" vertical="center" wrapText="1"/>
    </xf>
    <xf numFmtId="0" fontId="39" fillId="9" borderId="22" xfId="0" applyFont="1" applyFill="1" applyBorder="1" applyAlignment="1">
      <alignment horizontal="center" vertical="center" wrapText="1"/>
    </xf>
    <xf numFmtId="0" fontId="39" fillId="9" borderId="23" xfId="0" applyFont="1" applyFill="1" applyBorder="1" applyAlignment="1">
      <alignment horizontal="center" vertical="center" wrapText="1"/>
    </xf>
    <xf numFmtId="0" fontId="39" fillId="9" borderId="26" xfId="0" applyFont="1" applyFill="1" applyBorder="1" applyAlignment="1">
      <alignment horizontal="center" vertical="center" wrapText="1"/>
    </xf>
    <xf numFmtId="0" fontId="39" fillId="9" borderId="28" xfId="0" applyFont="1" applyFill="1" applyBorder="1" applyAlignment="1">
      <alignment horizontal="center" vertical="center" wrapText="1"/>
    </xf>
    <xf numFmtId="0" fontId="46" fillId="0" borderId="0" xfId="2" applyFont="1" applyAlignment="1" applyProtection="1">
      <alignment horizontal="center"/>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40" fillId="9" borderId="26" xfId="0" applyFont="1" applyFill="1" applyBorder="1" applyAlignment="1">
      <alignment horizontal="center"/>
    </xf>
    <xf numFmtId="0" fontId="40" fillId="9" borderId="27" xfId="0" applyFont="1" applyFill="1" applyBorder="1" applyAlignment="1">
      <alignment horizontal="center"/>
    </xf>
    <xf numFmtId="0" fontId="40" fillId="9" borderId="28" xfId="0" applyFont="1" applyFill="1" applyBorder="1" applyAlignment="1">
      <alignment horizontal="center"/>
    </xf>
    <xf numFmtId="0" fontId="31" fillId="9" borderId="0" xfId="0" applyFont="1" applyFill="1" applyBorder="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64" fontId="14" fillId="0" borderId="0" xfId="2" applyNumberFormat="1" applyFont="1" applyBorder="1" applyAlignment="1" applyProtection="1">
      <alignment horizontal="center"/>
    </xf>
    <xf numFmtId="164" fontId="10" fillId="2" borderId="0" xfId="3" applyNumberFormat="1" applyFont="1" applyBorder="1" applyAlignment="1">
      <alignment horizontal="center"/>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170" fontId="11" fillId="0" borderId="4" xfId="0" applyNumberFormat="1" applyFont="1" applyBorder="1" applyAlignment="1">
      <alignment horizontal="center"/>
    </xf>
    <xf numFmtId="170" fontId="11" fillId="0" borderId="5" xfId="0" applyNumberFormat="1" applyFont="1" applyBorder="1" applyAlignment="1">
      <alignment horizontal="center"/>
    </xf>
    <xf numFmtId="170"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Border="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7" fillId="9" borderId="4" xfId="0" applyFont="1" applyFill="1" applyBorder="1" applyAlignment="1">
      <alignment horizontal="center"/>
    </xf>
    <xf numFmtId="0" fontId="37" fillId="9" borderId="5" xfId="0" applyFont="1" applyFill="1" applyBorder="1" applyAlignment="1">
      <alignment horizontal="center"/>
    </xf>
    <xf numFmtId="0" fontId="37" fillId="9" borderId="6" xfId="0" applyFont="1" applyFill="1" applyBorder="1" applyAlignment="1">
      <alignment horizontal="center"/>
    </xf>
    <xf numFmtId="0" fontId="37" fillId="9" borderId="19" xfId="0" applyFont="1" applyFill="1" applyBorder="1" applyAlignment="1">
      <alignment horizontal="center" vertical="center" wrapText="1"/>
    </xf>
    <xf numFmtId="0" fontId="37" fillId="9" borderId="20" xfId="0" applyFont="1" applyFill="1" applyBorder="1" applyAlignment="1">
      <alignment horizontal="center" vertical="center" wrapText="1"/>
    </xf>
    <xf numFmtId="0" fontId="37" fillId="9" borderId="22"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23" xfId="0" applyFont="1" applyFill="1" applyBorder="1" applyAlignment="1">
      <alignment horizontal="center" vertical="center" wrapText="1"/>
    </xf>
    <xf numFmtId="0" fontId="37" fillId="9" borderId="26" xfId="0" applyFont="1" applyFill="1" applyBorder="1" applyAlignment="1">
      <alignment horizontal="center" vertical="center" wrapText="1"/>
    </xf>
    <xf numFmtId="0" fontId="37" fillId="9" borderId="27" xfId="0" applyFont="1" applyFill="1" applyBorder="1" applyAlignment="1">
      <alignment horizontal="center" vertical="center" wrapText="1"/>
    </xf>
    <xf numFmtId="0" fontId="37" fillId="9" borderId="28" xfId="0" applyFont="1" applyFill="1" applyBorder="1" applyAlignment="1">
      <alignment horizontal="center" vertical="center" wrapText="1"/>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10" fillId="3" borderId="1" xfId="0" applyFont="1" applyFill="1" applyBorder="1" applyAlignment="1">
      <alignment horizontal="center"/>
    </xf>
    <xf numFmtId="168" fontId="10" fillId="3" borderId="1" xfId="0" applyNumberFormat="1" applyFont="1" applyFill="1" applyBorder="1"/>
    <xf numFmtId="171" fontId="9" fillId="0" borderId="1" xfId="4" applyNumberFormat="1" applyFont="1" applyBorder="1"/>
    <xf numFmtId="171" fontId="9" fillId="0" borderId="1" xfId="0" applyNumberFormat="1" applyFont="1" applyBorder="1"/>
    <xf numFmtId="169" fontId="9" fillId="0" borderId="1" xfId="1" applyNumberFormat="1" applyFont="1" applyBorder="1"/>
    <xf numFmtId="0" fontId="10" fillId="3" borderId="24" xfId="0" applyFont="1" applyFill="1" applyBorder="1" applyAlignment="1">
      <alignment horizontal="center"/>
    </xf>
    <xf numFmtId="0" fontId="10" fillId="3" borderId="25" xfId="0" applyFont="1" applyFill="1" applyBorder="1" applyAlignment="1">
      <alignment horizontal="center"/>
    </xf>
    <xf numFmtId="0" fontId="12" fillId="3" borderId="24" xfId="0" applyFont="1" applyFill="1" applyBorder="1"/>
    <xf numFmtId="168" fontId="10" fillId="3" borderId="25" xfId="0" applyNumberFormat="1" applyFont="1" applyFill="1" applyBorder="1"/>
    <xf numFmtId="171" fontId="9" fillId="0" borderId="25" xfId="4" applyNumberFormat="1" applyFont="1" applyBorder="1"/>
    <xf numFmtId="0" fontId="9" fillId="0" borderId="25" xfId="0" applyFont="1" applyBorder="1"/>
    <xf numFmtId="171" fontId="9" fillId="0" borderId="25" xfId="0" applyNumberFormat="1" applyFont="1" applyBorder="1"/>
    <xf numFmtId="169" fontId="9" fillId="0" borderId="25" xfId="1" applyNumberFormat="1" applyFont="1" applyBorder="1"/>
    <xf numFmtId="0" fontId="9" fillId="0" borderId="10" xfId="0" applyFont="1" applyBorder="1"/>
    <xf numFmtId="170" fontId="9" fillId="0" borderId="11" xfId="1" applyNumberFormat="1" applyFont="1" applyBorder="1"/>
    <xf numFmtId="170" fontId="9" fillId="0" borderId="12" xfId="1" applyNumberFormat="1" applyFont="1" applyBorder="1"/>
    <xf numFmtId="0" fontId="53" fillId="0" borderId="0" xfId="0" applyFont="1"/>
    <xf numFmtId="0" fontId="54" fillId="0" borderId="0" xfId="0" applyFont="1"/>
    <xf numFmtId="168" fontId="53" fillId="0" borderId="0" xfId="0" applyNumberFormat="1" applyFont="1"/>
    <xf numFmtId="168" fontId="54" fillId="0" borderId="0" xfId="0" applyNumberFormat="1" applyFont="1"/>
    <xf numFmtId="9" fontId="53" fillId="0" borderId="0" xfId="4" applyFont="1"/>
    <xf numFmtId="170" fontId="53" fillId="0" borderId="0" xfId="1" applyNumberFormat="1" applyFont="1"/>
    <xf numFmtId="0" fontId="55" fillId="0" borderId="1" xfId="2" applyFont="1" applyBorder="1" applyAlignment="1" applyProtection="1"/>
    <xf numFmtId="0" fontId="8" fillId="7" borderId="1" xfId="0" applyFont="1" applyFill="1" applyBorder="1"/>
    <xf numFmtId="170" fontId="8" fillId="7" borderId="4" xfId="1" applyNumberFormat="1" applyFont="1" applyFill="1" applyBorder="1" applyAlignment="1">
      <alignment horizontal="right"/>
    </xf>
    <xf numFmtId="170" fontId="8" fillId="7" borderId="6" xfId="1" applyNumberFormat="1" applyFont="1" applyFill="1" applyBorder="1" applyAlignment="1">
      <alignment horizontal="right"/>
    </xf>
    <xf numFmtId="0" fontId="56" fillId="0" borderId="0" xfId="0" applyFont="1"/>
    <xf numFmtId="0" fontId="7" fillId="8" borderId="40" xfId="0" applyFont="1" applyFill="1" applyBorder="1" applyAlignment="1">
      <alignment horizontal="center" wrapText="1"/>
    </xf>
    <xf numFmtId="0" fontId="46" fillId="8" borderId="21" xfId="2" applyFont="1" applyFill="1" applyBorder="1" applyAlignment="1" applyProtection="1">
      <alignment horizontal="center" wrapText="1"/>
    </xf>
    <xf numFmtId="0" fontId="9" fillId="0" borderId="41" xfId="0" applyFont="1" applyBorder="1" applyAlignment="1">
      <alignment wrapText="1"/>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cellXfs>
  <cellStyles count="5">
    <cellStyle name="Accent6" xfId="3" builtinId="49"/>
    <cellStyle name="Comma" xfId="1" builtinId="3"/>
    <cellStyle name="Hyperlink" xfId="2" builtinId="8"/>
    <cellStyle name="Normal" xfId="0" builtinId="0"/>
    <cellStyle name="Percent" xfId="4" builtinId="5"/>
  </cellStyles>
  <dxfs count="65">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5" formatCode="[$-409]mmm\-yy;@"/>
    </dxf>
    <dxf>
      <font>
        <b/>
        <i val="0"/>
        <strike val="0"/>
        <condense val="0"/>
        <extend val="0"/>
        <outline val="0"/>
        <shadow val="0"/>
        <u val="none"/>
        <vertAlign val="baseline"/>
        <sz val="10"/>
        <color theme="0"/>
        <name val="Arial"/>
        <family val="2"/>
        <scheme val="none"/>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color theme="0"/>
      </font>
      <fill>
        <patternFill>
          <bgColor theme="5"/>
        </patternFill>
      </fill>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1"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Charts!$B$51:$K$51</c:f>
              <c:numCache>
                <c:formatCode>0%</c:formatCode>
                <c:ptCount val="10"/>
                <c:pt idx="0">
                  <c:v>0.13672648695686057</c:v>
                </c:pt>
                <c:pt idx="1">
                  <c:v>0.16892623386710909</c:v>
                </c:pt>
                <c:pt idx="2">
                  <c:v>0.13056496234392032</c:v>
                </c:pt>
                <c:pt idx="3">
                  <c:v>0.15347450679692926</c:v>
                </c:pt>
                <c:pt idx="4">
                  <c:v>0.13818852235200876</c:v>
                </c:pt>
                <c:pt idx="5">
                  <c:v>0.14005911660594247</c:v>
                </c:pt>
                <c:pt idx="6">
                  <c:v>0.12278786165095176</c:v>
                </c:pt>
                <c:pt idx="7">
                  <c:v>0.15662964486493902</c:v>
                </c:pt>
                <c:pt idx="8">
                  <c:v>0.16262228749992122</c:v>
                </c:pt>
                <c:pt idx="9">
                  <c:v>0.16382593004326035</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Charts!$B$52:$K$52</c:f>
              <c:numCache>
                <c:formatCode>0%</c:formatCode>
                <c:ptCount val="10"/>
                <c:pt idx="0">
                  <c:v>0.14460935521368409</c:v>
                </c:pt>
                <c:pt idx="1">
                  <c:v>0.17969905154021601</c:v>
                </c:pt>
                <c:pt idx="2">
                  <c:v>0.12396992875012963</c:v>
                </c:pt>
                <c:pt idx="3">
                  <c:v>0.12149397155014431</c:v>
                </c:pt>
                <c:pt idx="4">
                  <c:v>0.1064114900175068</c:v>
                </c:pt>
                <c:pt idx="5">
                  <c:v>0.11344002703016012</c:v>
                </c:pt>
                <c:pt idx="6">
                  <c:v>0.12067369214762931</c:v>
                </c:pt>
                <c:pt idx="7">
                  <c:v>0.1559229609003365</c:v>
                </c:pt>
                <c:pt idx="8">
                  <c:v>0.16345209866788135</c:v>
                </c:pt>
                <c:pt idx="9">
                  <c:v>0.16270804446348788</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Charts!$B$53:$K$53</c:f>
              <c:numCache>
                <c:formatCode>0%</c:formatCode>
                <c:ptCount val="10"/>
                <c:pt idx="0">
                  <c:v>0.10404639292416992</c:v>
                </c:pt>
                <c:pt idx="1">
                  <c:v>0.14162993442136093</c:v>
                </c:pt>
                <c:pt idx="2">
                  <c:v>9.9386893343774402E-2</c:v>
                </c:pt>
                <c:pt idx="3">
                  <c:v>0.10085783851159269</c:v>
                </c:pt>
                <c:pt idx="4">
                  <c:v>8.9117729596505713E-2</c:v>
                </c:pt>
                <c:pt idx="5">
                  <c:v>8.3443750007418313E-2</c:v>
                </c:pt>
                <c:pt idx="6">
                  <c:v>8.6482293105385799E-2</c:v>
                </c:pt>
                <c:pt idx="7">
                  <c:v>0.11110724368642923</c:v>
                </c:pt>
                <c:pt idx="8">
                  <c:v>0.11849352606940398</c:v>
                </c:pt>
                <c:pt idx="9">
                  <c:v>0.11471622057250763</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Charts!$B$57:$K$57</c:f>
              <c:numCache>
                <c:formatCode>0%</c:formatCode>
                <c:ptCount val="10"/>
                <c:pt idx="0">
                  <c:v>0.33723870288758806</c:v>
                </c:pt>
                <c:pt idx="1">
                  <c:v>0.64410306434017739</c:v>
                </c:pt>
                <c:pt idx="2">
                  <c:v>0.65218567958701856</c:v>
                </c:pt>
                <c:pt idx="3">
                  <c:v>0.55436462517162666</c:v>
                </c:pt>
                <c:pt idx="4">
                  <c:v>0.42310396625012059</c:v>
                </c:pt>
                <c:pt idx="5">
                  <c:v>0.37663017177184493</c:v>
                </c:pt>
                <c:pt idx="6">
                  <c:v>0.36470259106328512</c:v>
                </c:pt>
                <c:pt idx="7">
                  <c:v>0.35771375790799842</c:v>
                </c:pt>
                <c:pt idx="8">
                  <c:v>0.33399496997910305</c:v>
                </c:pt>
                <c:pt idx="9">
                  <c:v>0.31416413456505643</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Charts!$B$58:$K$58</c:f>
              <c:numCache>
                <c:formatCode>0%</c:formatCode>
                <c:ptCount val="10"/>
                <c:pt idx="0">
                  <c:v>0.45988131695899204</c:v>
                </c:pt>
                <c:pt idx="1">
                  <c:v>0.80254598490534013</c:v>
                </c:pt>
                <c:pt idx="2">
                  <c:v>0.66310170685124503</c:v>
                </c:pt>
                <c:pt idx="3">
                  <c:v>0.57613384784609312</c:v>
                </c:pt>
                <c:pt idx="4">
                  <c:v>0.44992758267791882</c:v>
                </c:pt>
                <c:pt idx="5">
                  <c:v>0.48929408425714616</c:v>
                </c:pt>
                <c:pt idx="6">
                  <c:v>0.51058576772613506</c:v>
                </c:pt>
                <c:pt idx="7">
                  <c:v>0.50255308503906893</c:v>
                </c:pt>
                <c:pt idx="8">
                  <c:v>0.46131700307280332</c:v>
                </c:pt>
                <c:pt idx="9">
                  <c:v>0.44612656429498826</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Charts!$B$62:$J$62</c:f>
              <c:numCache>
                <c:formatCode>0%</c:formatCode>
                <c:ptCount val="9"/>
                <c:pt idx="0">
                  <c:v>0.27916442083525439</c:v>
                </c:pt>
                <c:pt idx="1">
                  <c:v>0.23097527760185499</c:v>
                </c:pt>
                <c:pt idx="2">
                  <c:v>0.21554361728287486</c:v>
                </c:pt>
                <c:pt idx="3">
                  <c:v>8.0189897548796907E-3</c:v>
                </c:pt>
                <c:pt idx="4">
                  <c:v>6.3419430489003892E-2</c:v>
                </c:pt>
                <c:pt idx="5">
                  <c:v>9.1386233371723469E-2</c:v>
                </c:pt>
                <c:pt idx="6">
                  <c:v>3.1081771813248338E-2</c:v>
                </c:pt>
                <c:pt idx="7">
                  <c:v>2.0307495420617272E-3</c:v>
                </c:pt>
                <c:pt idx="8">
                  <c:v>0.13087613322732339</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Charts!$B$63:$J$63</c:f>
              <c:numCache>
                <c:formatCode>0%</c:formatCode>
                <c:ptCount val="9"/>
                <c:pt idx="0">
                  <c:v>0.58955575763699497</c:v>
                </c:pt>
                <c:pt idx="1">
                  <c:v>-0.15078061820865662</c:v>
                </c:pt>
                <c:pt idx="2">
                  <c:v>0.19126648813187042</c:v>
                </c:pt>
                <c:pt idx="3">
                  <c:v>-0.11711831215026858</c:v>
                </c:pt>
                <c:pt idx="4">
                  <c:v>0.13365886446307029</c:v>
                </c:pt>
                <c:pt idx="5">
                  <c:v>0.16098003313279174</c:v>
                </c:pt>
                <c:pt idx="6">
                  <c:v>0.33226488665653364</c:v>
                </c:pt>
                <c:pt idx="7">
                  <c:v>5.0416359442329695E-2</c:v>
                </c:pt>
                <c:pt idx="8">
                  <c:v>0.12572824495648671</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40268</c:v>
                </c:pt>
                <c:pt idx="1">
                  <c:v>40633</c:v>
                </c:pt>
                <c:pt idx="2">
                  <c:v>40999</c:v>
                </c:pt>
                <c:pt idx="3">
                  <c:v>41364</c:v>
                </c:pt>
                <c:pt idx="4">
                  <c:v>41729</c:v>
                </c:pt>
                <c:pt idx="5">
                  <c:v>42094</c:v>
                </c:pt>
                <c:pt idx="6">
                  <c:v>42460</c:v>
                </c:pt>
                <c:pt idx="7">
                  <c:v>42825</c:v>
                </c:pt>
                <c:pt idx="8">
                  <c:v>43190</c:v>
                </c:pt>
              </c:numCache>
            </c:numRef>
          </c:cat>
          <c:val>
            <c:numRef>
              <c:f>Charts!$B$64:$J$64</c:f>
              <c:numCache>
                <c:formatCode>0%</c:formatCode>
                <c:ptCount val="9"/>
                <c:pt idx="0">
                  <c:v>0.74122300586693357</c:v>
                </c:pt>
                <c:pt idx="1">
                  <c:v>-0.13617972695052905</c:v>
                </c:pt>
                <c:pt idx="2">
                  <c:v>0.23353389698635652</c:v>
                </c:pt>
                <c:pt idx="3">
                  <c:v>-0.10931698435325055</c:v>
                </c:pt>
                <c:pt idx="4">
                  <c:v>-4.2867394342269716E-3</c:v>
                </c:pt>
                <c:pt idx="5">
                  <c:v>0.13112826445653902</c:v>
                </c:pt>
                <c:pt idx="6">
                  <c:v>0.32467178618735515</c:v>
                </c:pt>
                <c:pt idx="7">
                  <c:v>6.8644606811617326E-2</c:v>
                </c:pt>
                <c:pt idx="8">
                  <c:v>9.4826360922915187E-2</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Charts!$B$68:$K$68</c:f>
              <c:numCache>
                <c:formatCode>_ * #,##0_ ;_ * \-#,##0_ ;_ * "-"??_ ;_ @_ </c:formatCode>
                <c:ptCount val="10"/>
                <c:pt idx="0">
                  <c:v>12319.12</c:v>
                </c:pt>
                <c:pt idx="1">
                  <c:v>15758.18</c:v>
                </c:pt>
                <c:pt idx="2">
                  <c:v>19397.93</c:v>
                </c:pt>
                <c:pt idx="3">
                  <c:v>23579.03</c:v>
                </c:pt>
                <c:pt idx="4">
                  <c:v>23768.11</c:v>
                </c:pt>
                <c:pt idx="5">
                  <c:v>25275.47</c:v>
                </c:pt>
                <c:pt idx="6">
                  <c:v>27585.3</c:v>
                </c:pt>
                <c:pt idx="7">
                  <c:v>28442.7</c:v>
                </c:pt>
                <c:pt idx="8">
                  <c:v>28500.46</c:v>
                </c:pt>
                <c:pt idx="9">
                  <c:v>32230.49</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Charts!$B$69:$K$69</c:f>
              <c:numCache>
                <c:formatCode>_ * #,##0_ ;_ * \-#,##0_ ;_ * "-"??_ ;_ @_ </c:formatCode>
                <c:ptCount val="10"/>
                <c:pt idx="0">
                  <c:v>1781.4600000000003</c:v>
                </c:pt>
                <c:pt idx="1">
                  <c:v>2831.7300000000014</c:v>
                </c:pt>
                <c:pt idx="2">
                  <c:v>2404.760000000002</c:v>
                </c:pt>
                <c:pt idx="3">
                  <c:v>2864.7099999999991</c:v>
                </c:pt>
                <c:pt idx="4">
                  <c:v>2529.2000000000035</c:v>
                </c:pt>
                <c:pt idx="5">
                  <c:v>2867.2500000000014</c:v>
                </c:pt>
                <c:pt idx="6">
                  <c:v>3328.8199999999988</c:v>
                </c:pt>
                <c:pt idx="7">
                  <c:v>4434.8700000000008</c:v>
                </c:pt>
                <c:pt idx="8">
                  <c:v>4658.4600000000055</c:v>
                </c:pt>
                <c:pt idx="9">
                  <c:v>5244.1600000000017</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Charts!$B$70:$K$70</c:f>
              <c:numCache>
                <c:formatCode>_ * #,##0_ ;_ * \-#,##0_ ;_ * "-"??_ ;_ @_ </c:formatCode>
                <c:ptCount val="10"/>
                <c:pt idx="0">
                  <c:v>1281.7600000000002</c:v>
                </c:pt>
                <c:pt idx="1">
                  <c:v>2231.8300000000013</c:v>
                </c:pt>
                <c:pt idx="2">
                  <c:v>1927.9000000000019</c:v>
                </c:pt>
                <c:pt idx="3">
                  <c:v>2378.1299999999992</c:v>
                </c:pt>
                <c:pt idx="4">
                  <c:v>2118.1600000000035</c:v>
                </c:pt>
                <c:pt idx="5">
                  <c:v>2109.0800000000013</c:v>
                </c:pt>
                <c:pt idx="6">
                  <c:v>2385.639999999999</c:v>
                </c:pt>
                <c:pt idx="7">
                  <c:v>3160.1900000000005</c:v>
                </c:pt>
                <c:pt idx="8">
                  <c:v>3377.1200000000053</c:v>
                </c:pt>
                <c:pt idx="9">
                  <c:v>3697.3600000000015</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Charts!$B$74:$K$74</c:f>
              <c:numCache>
                <c:formatCode>_ * #,##0_ ;_ * \-#,##0_ ;_ * "-"??_ ;_ @_ </c:formatCode>
                <c:ptCount val="10"/>
                <c:pt idx="0">
                  <c:v>1359.03</c:v>
                </c:pt>
                <c:pt idx="1">
                  <c:v>2686.64</c:v>
                </c:pt>
                <c:pt idx="2">
                  <c:v>2254.16</c:v>
                </c:pt>
                <c:pt idx="3">
                  <c:v>2359.7800000000002</c:v>
                </c:pt>
                <c:pt idx="4">
                  <c:v>1890.43</c:v>
                </c:pt>
                <c:pt idx="5">
                  <c:v>2963.41</c:v>
                </c:pt>
                <c:pt idx="6">
                  <c:v>2250</c:v>
                </c:pt>
                <c:pt idx="7">
                  <c:v>3849.14</c:v>
                </c:pt>
                <c:pt idx="8">
                  <c:v>4028.02</c:v>
                </c:pt>
                <c:pt idx="9">
                  <c:v>3980.85</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39903</c:v>
                </c:pt>
                <c:pt idx="1">
                  <c:v>40268</c:v>
                </c:pt>
                <c:pt idx="2">
                  <c:v>40633</c:v>
                </c:pt>
                <c:pt idx="3">
                  <c:v>40999</c:v>
                </c:pt>
                <c:pt idx="4">
                  <c:v>41364</c:v>
                </c:pt>
                <c:pt idx="5">
                  <c:v>41729</c:v>
                </c:pt>
                <c:pt idx="6">
                  <c:v>42094</c:v>
                </c:pt>
                <c:pt idx="7">
                  <c:v>42460</c:v>
                </c:pt>
                <c:pt idx="8">
                  <c:v>42825</c:v>
                </c:pt>
                <c:pt idx="9">
                  <c:v>43190</c:v>
                </c:pt>
              </c:numCache>
            </c:numRef>
          </c:cat>
          <c:val>
            <c:numRef>
              <c:f>Charts!$B$75:$K$75</c:f>
              <c:numCache>
                <c:formatCode>_ * #,##0_ ;_ * \-#,##0_ ;_ * "-"??_ ;_ @_ </c:formatCode>
                <c:ptCount val="10"/>
                <c:pt idx="0">
                  <c:v>1043.95</c:v>
                </c:pt>
                <c:pt idx="1">
                  <c:v>2475.0699999999997</c:v>
                </c:pt>
                <c:pt idx="2">
                  <c:v>1890.04</c:v>
                </c:pt>
                <c:pt idx="3">
                  <c:v>1794.7800000000002</c:v>
                </c:pt>
                <c:pt idx="4">
                  <c:v>1283.43</c:v>
                </c:pt>
                <c:pt idx="5">
                  <c:v>2026.4099999999999</c:v>
                </c:pt>
                <c:pt idx="6">
                  <c:v>1094</c:v>
                </c:pt>
                <c:pt idx="7">
                  <c:v>2211.14</c:v>
                </c:pt>
                <c:pt idx="8">
                  <c:v>2790.02</c:v>
                </c:pt>
                <c:pt idx="9">
                  <c:v>3156.69</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5" dataDxfId="24" tableBorderDxfId="23" totalsRowBorderDxfId="22">
  <tableColumns count="11">
    <tableColumn id="1" xr3:uid="{00000000-0010-0000-0100-000001000000}" name="Column1" headerRowDxfId="21" dataDxfId="20"/>
    <tableColumn id="2" xr3:uid="{00000000-0010-0000-0100-000002000000}" name="Column2" headerRowDxfId="19" dataDxfId="18"/>
    <tableColumn id="3" xr3:uid="{00000000-0010-0000-0100-000003000000}" name="Column3" headerRowDxfId="17" dataDxfId="16"/>
    <tableColumn id="4" xr3:uid="{00000000-0010-0000-0100-000004000000}" name="Column4" headerRowDxfId="15" dataDxfId="14"/>
    <tableColumn id="5" xr3:uid="{00000000-0010-0000-0100-000005000000}" name="Column5" headerRowDxfId="13" dataDxfId="12"/>
    <tableColumn id="6" xr3:uid="{00000000-0010-0000-0100-000006000000}" name="Column6" headerRowDxfId="11" dataDxfId="10"/>
    <tableColumn id="7" xr3:uid="{00000000-0010-0000-0100-000007000000}" name="Column7" headerRowDxfId="9" dataDxfId="8"/>
    <tableColumn id="8" xr3:uid="{00000000-0010-0000-0100-000008000000}" name="Column8" headerRowDxfId="7" dataDxfId="6"/>
    <tableColumn id="9" xr3:uid="{00000000-0010-0000-0100-000009000000}" name="Column9" headerRowDxfId="5" dataDxfId="4"/>
    <tableColumn id="10" xr3:uid="{00000000-0010-0000-0100-00000A000000}" name="Column10" headerRowDxfId="3" dataDxfId="2"/>
    <tableColumn id="11" xr3:uid="{00000000-0010-0000-0100-00000B000000}" name="Column11" headerRowDxfId="1" dataDxfId="0"/>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B23"/>
  <sheetViews>
    <sheetView tabSelected="1" workbookViewId="0"/>
  </sheetViews>
  <sheetFormatPr defaultRowHeight="12.5" x14ac:dyDescent="0.25"/>
  <cols>
    <col min="1" max="1" width="151.453125" style="268" customWidth="1"/>
    <col min="2" max="16384" width="8.7265625" style="268"/>
  </cols>
  <sheetData>
    <row r="1" spans="1:2" ht="19" x14ac:dyDescent="0.4">
      <c r="A1" s="423" t="s">
        <v>316</v>
      </c>
    </row>
    <row r="2" spans="1:2" ht="16" thickBot="1" x14ac:dyDescent="0.4">
      <c r="A2" s="424" t="s">
        <v>212</v>
      </c>
    </row>
    <row r="3" spans="1:2" s="271" customFormat="1" ht="16" thickBot="1" x14ac:dyDescent="0.4">
      <c r="A3" s="269"/>
      <c r="B3" s="270"/>
    </row>
    <row r="4" spans="1:2" ht="15.5" x14ac:dyDescent="0.35">
      <c r="A4" s="272" t="s">
        <v>247</v>
      </c>
    </row>
    <row r="5" spans="1:2" ht="14.5" x14ac:dyDescent="0.35">
      <c r="A5" s="273" t="s">
        <v>272</v>
      </c>
    </row>
    <row r="6" spans="1:2" ht="14.5" x14ac:dyDescent="0.35">
      <c r="A6" s="276" t="s">
        <v>273</v>
      </c>
    </row>
    <row r="7" spans="1:2" ht="25.5" x14ac:dyDescent="0.25">
      <c r="A7" s="273" t="s">
        <v>274</v>
      </c>
    </row>
    <row r="8" spans="1:2" ht="25.5" x14ac:dyDescent="0.25">
      <c r="A8" s="425" t="s">
        <v>317</v>
      </c>
    </row>
    <row r="9" spans="1:2" ht="13.5" thickBot="1" x14ac:dyDescent="0.35">
      <c r="A9" s="274" t="s">
        <v>275</v>
      </c>
    </row>
    <row r="11" spans="1:2" ht="13" thickBot="1" x14ac:dyDescent="0.3"/>
    <row r="12" spans="1:2" ht="15.5" x14ac:dyDescent="0.35">
      <c r="A12" s="272" t="s">
        <v>248</v>
      </c>
    </row>
    <row r="13" spans="1:2" ht="25" x14ac:dyDescent="0.25">
      <c r="A13" s="273" t="s">
        <v>255</v>
      </c>
    </row>
    <row r="14" spans="1:2" ht="25" x14ac:dyDescent="0.25">
      <c r="A14" s="273" t="s">
        <v>249</v>
      </c>
    </row>
    <row r="15" spans="1:2" ht="25" x14ac:dyDescent="0.25">
      <c r="A15" s="273" t="s">
        <v>263</v>
      </c>
    </row>
    <row r="16" spans="1:2" ht="25" x14ac:dyDescent="0.25">
      <c r="A16" s="273" t="s">
        <v>262</v>
      </c>
    </row>
    <row r="17" spans="1:1" x14ac:dyDescent="0.25">
      <c r="A17" s="273" t="s">
        <v>252</v>
      </c>
    </row>
    <row r="18" spans="1:1" ht="25" x14ac:dyDescent="0.25">
      <c r="A18" s="273" t="s">
        <v>256</v>
      </c>
    </row>
    <row r="19" spans="1:1" x14ac:dyDescent="0.25">
      <c r="A19" s="273" t="s">
        <v>253</v>
      </c>
    </row>
    <row r="20" spans="1:1" ht="25" x14ac:dyDescent="0.25">
      <c r="A20" s="273" t="s">
        <v>254</v>
      </c>
    </row>
    <row r="21" spans="1:1" ht="13" thickBot="1" x14ac:dyDescent="0.3">
      <c r="A21" s="274" t="s">
        <v>271</v>
      </c>
    </row>
    <row r="23" spans="1:1" ht="13" x14ac:dyDescent="0.3">
      <c r="A23" s="275"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defaultRowHeight="12.5" x14ac:dyDescent="0.25"/>
  <cols>
    <col min="1" max="1" width="4.7265625" style="8" bestFit="1" customWidth="1"/>
    <col min="2" max="2" width="9.36328125" style="8" customWidth="1"/>
    <col min="3" max="3" width="10.90625" style="8" bestFit="1" customWidth="1"/>
    <col min="4" max="4" width="16.1796875" style="8" bestFit="1" customWidth="1"/>
    <col min="5" max="5" width="13" style="8" bestFit="1" customWidth="1"/>
    <col min="6" max="6" width="6.81640625" style="8" customWidth="1"/>
    <col min="7" max="7" width="8.7265625" style="8"/>
    <col min="8" max="8" width="4.7265625" style="8" bestFit="1" customWidth="1"/>
    <col min="9" max="9" width="8.453125" style="8" customWidth="1"/>
    <col min="10" max="10" width="10.90625" style="8" bestFit="1" customWidth="1"/>
    <col min="11" max="11" width="16.1796875" style="8" bestFit="1" customWidth="1"/>
    <col min="12" max="12" width="13" style="8" bestFit="1" customWidth="1"/>
    <col min="13" max="13" width="7" style="8" customWidth="1"/>
    <col min="14" max="16384" width="8.7265625" style="8"/>
  </cols>
  <sheetData>
    <row r="1" spans="1:13" ht="19" x14ac:dyDescent="0.4">
      <c r="A1" s="335" t="s">
        <v>241</v>
      </c>
      <c r="B1" s="336"/>
      <c r="C1" s="336"/>
      <c r="D1" s="336"/>
      <c r="E1" s="336"/>
      <c r="F1" s="336"/>
      <c r="G1" s="336"/>
      <c r="H1" s="336"/>
      <c r="I1" s="336"/>
      <c r="J1" s="336"/>
      <c r="K1" s="336"/>
      <c r="L1" s="336"/>
      <c r="M1" s="337"/>
    </row>
    <row r="2" spans="1:13" ht="13.5" thickBot="1" x14ac:dyDescent="0.35">
      <c r="A2" s="338" t="s">
        <v>242</v>
      </c>
      <c r="B2" s="339"/>
      <c r="C2" s="339"/>
      <c r="D2" s="339"/>
      <c r="E2" s="339"/>
      <c r="F2" s="339"/>
      <c r="G2" s="339"/>
      <c r="H2" s="339"/>
      <c r="I2" s="339"/>
      <c r="J2" s="339"/>
      <c r="K2" s="339"/>
      <c r="L2" s="339"/>
      <c r="M2" s="340"/>
    </row>
    <row r="4" spans="1:13" ht="13" x14ac:dyDescent="0.3">
      <c r="A4" s="344" t="str">
        <f>'Data Sheet'!B1</f>
      </c>
      <c r="B4" s="344"/>
      <c r="C4" s="344"/>
      <c r="D4" s="344"/>
      <c r="H4" s="344" t="str">
        <f>A4</f>
      </c>
      <c r="I4" s="344"/>
      <c r="J4" s="344"/>
      <c r="K4" s="344"/>
    </row>
    <row r="5" spans="1:13" ht="13" x14ac:dyDescent="0.3">
      <c r="A5" s="344" t="s">
        <v>243</v>
      </c>
      <c r="B5" s="344"/>
      <c r="C5" s="344"/>
      <c r="D5" s="344"/>
      <c r="E5" s="342"/>
      <c r="F5" s="343"/>
      <c r="H5" s="344" t="s">
        <v>244</v>
      </c>
      <c r="I5" s="344"/>
      <c r="J5" s="344"/>
      <c r="K5" s="344"/>
      <c r="L5" s="342"/>
      <c r="M5" s="343"/>
    </row>
    <row r="6" spans="1:13" ht="13" x14ac:dyDescent="0.3">
      <c r="A6" s="39" t="s">
        <v>109</v>
      </c>
      <c r="B6" s="40"/>
      <c r="C6" s="41" t="s">
        <v>110</v>
      </c>
      <c r="D6" s="40" t="s">
        <v>111</v>
      </c>
      <c r="E6" s="341" t="s">
        <v>112</v>
      </c>
      <c r="F6" s="341"/>
      <c r="H6" s="39" t="s">
        <v>109</v>
      </c>
      <c r="I6" s="40"/>
      <c r="J6" s="41" t="s">
        <v>110</v>
      </c>
      <c r="K6" s="40" t="s">
        <v>111</v>
      </c>
      <c r="L6" s="341" t="s">
        <v>112</v>
      </c>
      <c r="M6" s="341"/>
    </row>
    <row r="7" spans="1:13" ht="13" x14ac:dyDescent="0.3">
      <c r="A7" s="34">
        <v>0</v>
      </c>
      <c r="B7" s="15" t="s">
        <v>129</v>
      </c>
      <c r="C7" s="35"/>
      <c r="D7" s="37">
        <f>'Balance Sheet'!K19</f>
      </c>
      <c r="E7" s="33" t="s">
        <v>113</v>
      </c>
      <c r="F7" s="42">
        <v>0.15</v>
      </c>
      <c r="H7" s="34">
        <v>0</v>
      </c>
      <c r="I7" s="15" t="s">
        <v>129</v>
      </c>
      <c r="J7" s="35"/>
      <c r="K7" s="37">
        <f>D7</f>
      </c>
      <c r="L7" s="33" t="s">
        <v>113</v>
      </c>
      <c r="M7" s="42">
        <v>0.2</v>
      </c>
    </row>
    <row r="8" spans="1:13" ht="13" x14ac:dyDescent="0.3">
      <c r="A8" s="34">
        <v>1</v>
      </c>
      <c r="B8" s="15" t="s">
        <v>114</v>
      </c>
      <c r="C8" s="36">
        <f>'Cash Flow'!B13*(1+$F$7)</f>
      </c>
      <c r="D8" s="37">
        <f>C8/((1+$F$10)^A8)</f>
      </c>
      <c r="E8" s="33" t="s">
        <v>115</v>
      </c>
      <c r="F8" s="42">
        <v>0.1</v>
      </c>
      <c r="H8" s="34">
        <v>1</v>
      </c>
      <c r="I8" s="15" t="s">
        <v>114</v>
      </c>
      <c r="J8" s="36">
        <f>'Cash Flow'!B13*(1+$M$7)</f>
      </c>
      <c r="K8" s="37">
        <f>J8/((1+$M$10)^H8)</f>
      </c>
      <c r="L8" s="33" t="s">
        <v>115</v>
      </c>
      <c r="M8" s="42">
        <v>0.15</v>
      </c>
    </row>
    <row r="9" spans="1:13" ht="13" x14ac:dyDescent="0.3">
      <c r="A9" s="34">
        <v>2</v>
      </c>
      <c r="B9" s="15" t="s">
        <v>116</v>
      </c>
      <c r="C9" s="36">
        <f>C8*(1+$F$7)</f>
      </c>
      <c r="D9" s="37">
        <f t="shared" ref="D9:D18" si="0">C9/((1+$F$10)^A9)</f>
      </c>
      <c r="E9" s="33" t="s">
        <v>117</v>
      </c>
      <c r="F9" s="42">
        <v>0.05</v>
      </c>
      <c r="H9" s="34">
        <v>2</v>
      </c>
      <c r="I9" s="15" t="s">
        <v>116</v>
      </c>
      <c r="J9" s="36">
        <f>J8*(1+$M$7)</f>
      </c>
      <c r="K9" s="37">
        <f t="shared" ref="K9:K18" si="1">J9/((1+$M$10)^H9)</f>
      </c>
      <c r="L9" s="33" t="s">
        <v>117</v>
      </c>
      <c r="M9" s="42">
        <v>0.1</v>
      </c>
    </row>
    <row r="10" spans="1:13" ht="13" x14ac:dyDescent="0.3">
      <c r="A10" s="34">
        <v>3</v>
      </c>
      <c r="B10" s="15" t="s">
        <v>118</v>
      </c>
      <c r="C10" s="36">
        <f>C9*(1+$F$7)</f>
      </c>
      <c r="D10" s="37">
        <f t="shared" si="0"/>
      </c>
      <c r="E10" s="33" t="s">
        <v>120</v>
      </c>
      <c r="F10" s="42">
        <v>0.12</v>
      </c>
      <c r="H10" s="34">
        <v>3</v>
      </c>
      <c r="I10" s="15" t="s">
        <v>118</v>
      </c>
      <c r="J10" s="36">
        <f>J9*(1+$M$7)</f>
      </c>
      <c r="K10" s="37">
        <f t="shared" si="1"/>
      </c>
      <c r="L10" s="33" t="s">
        <v>120</v>
      </c>
      <c r="M10" s="42">
        <v>0.12</v>
      </c>
    </row>
    <row r="11" spans="1:13" x14ac:dyDescent="0.25">
      <c r="A11" s="34">
        <v>4</v>
      </c>
      <c r="B11" s="15" t="s">
        <v>119</v>
      </c>
      <c r="C11" s="36">
        <f>C10*(1+$F$8)</f>
      </c>
      <c r="D11" s="37">
        <f t="shared" si="0"/>
      </c>
      <c r="H11" s="34">
        <v>4</v>
      </c>
      <c r="I11" s="15" t="s">
        <v>119</v>
      </c>
      <c r="J11" s="36">
        <f>J10*(1+$M$8)</f>
      </c>
      <c r="K11" s="37">
        <f t="shared" si="1"/>
      </c>
    </row>
    <row r="12" spans="1:13" ht="13" x14ac:dyDescent="0.3">
      <c r="A12" s="34">
        <v>5</v>
      </c>
      <c r="B12" s="15" t="s">
        <v>121</v>
      </c>
      <c r="C12" s="36">
        <f t="shared" ref="C12:C13" si="2">C11*(1+$F$8)</f>
      </c>
      <c r="D12" s="37">
        <f t="shared" si="0"/>
      </c>
      <c r="E12" s="345" t="s">
        <v>258</v>
      </c>
      <c r="F12" s="345"/>
      <c r="G12" s="13"/>
      <c r="H12" s="34">
        <v>5</v>
      </c>
      <c r="I12" s="15" t="s">
        <v>121</v>
      </c>
      <c r="J12" s="36">
        <f t="shared" ref="J12:J13" si="3">J11*(1+$M$8)</f>
      </c>
      <c r="K12" s="37">
        <f t="shared" si="1"/>
      </c>
    </row>
    <row r="13" spans="1:13" ht="13" x14ac:dyDescent="0.3">
      <c r="A13" s="34">
        <v>6</v>
      </c>
      <c r="B13" s="15" t="s">
        <v>122</v>
      </c>
      <c r="C13" s="36">
        <f t="shared" si="2"/>
      </c>
      <c r="D13" s="37">
        <f t="shared" si="0"/>
      </c>
      <c r="E13" s="111" t="s">
        <v>4</v>
      </c>
      <c r="F13" s="117">
        <f>('Profit &amp; Loss'!K4/'Profit &amp; Loss'!F4)^(1/5)-1</f>
      </c>
      <c r="H13" s="34">
        <v>6</v>
      </c>
      <c r="I13" s="15" t="s">
        <v>122</v>
      </c>
      <c r="J13" s="36">
        <f t="shared" si="3"/>
      </c>
      <c r="K13" s="37">
        <f t="shared" si="1"/>
      </c>
    </row>
    <row r="14" spans="1:13" ht="13" x14ac:dyDescent="0.3">
      <c r="A14" s="34">
        <v>7</v>
      </c>
      <c r="B14" s="15" t="s">
        <v>123</v>
      </c>
      <c r="C14" s="36">
        <f>C13*(1+$F$9)</f>
      </c>
      <c r="D14" s="37">
        <f t="shared" si="0"/>
      </c>
      <c r="E14" s="111" t="s">
        <v>132</v>
      </c>
      <c r="F14" s="117">
        <f>('Profit &amp; Loss'!K19/'Profit &amp; Loss'!F19)^(1/5)-1</f>
      </c>
      <c r="H14" s="34">
        <v>7</v>
      </c>
      <c r="I14" s="15" t="s">
        <v>123</v>
      </c>
      <c r="J14" s="36">
        <f>J13*(1+$M$9)</f>
      </c>
      <c r="K14" s="37">
        <f t="shared" si="1"/>
      </c>
    </row>
    <row r="15" spans="1:13" ht="13" x14ac:dyDescent="0.3">
      <c r="A15" s="34">
        <v>8</v>
      </c>
      <c r="B15" s="15" t="s">
        <v>124</v>
      </c>
      <c r="C15" s="36">
        <f t="shared" ref="C15:C17" si="4">C14*(1+$F$9)</f>
      </c>
      <c r="D15" s="37">
        <f t="shared" si="0"/>
      </c>
      <c r="E15" s="111" t="s">
        <v>130</v>
      </c>
      <c r="F15" s="117">
        <f>('Cash Flow'!K12/'Cash Flow'!F12)^(1/5)-1</f>
      </c>
      <c r="H15" s="34">
        <v>8</v>
      </c>
      <c r="I15" s="15" t="s">
        <v>124</v>
      </c>
      <c r="J15" s="36">
        <f t="shared" ref="J15:J17" si="5">J14*(1+$M$9)</f>
      </c>
      <c r="K15" s="37">
        <f t="shared" si="1"/>
      </c>
    </row>
    <row r="16" spans="1:13" x14ac:dyDescent="0.25">
      <c r="A16" s="34">
        <v>9</v>
      </c>
      <c r="B16" s="15" t="s">
        <v>125</v>
      </c>
      <c r="C16" s="36">
        <f t="shared" si="4"/>
      </c>
      <c r="D16" s="37">
        <f t="shared" si="0"/>
      </c>
      <c r="H16" s="34">
        <v>9</v>
      </c>
      <c r="I16" s="15" t="s">
        <v>125</v>
      </c>
      <c r="J16" s="36">
        <f t="shared" si="5"/>
      </c>
      <c r="K16" s="37">
        <f t="shared" si="1"/>
      </c>
    </row>
    <row r="17" spans="1:11" x14ac:dyDescent="0.25">
      <c r="A17" s="34">
        <v>10</v>
      </c>
      <c r="B17" s="15" t="s">
        <v>126</v>
      </c>
      <c r="C17" s="36">
        <f t="shared" si="4"/>
      </c>
      <c r="D17" s="37">
        <f t="shared" si="0"/>
      </c>
      <c r="H17" s="34">
        <v>10</v>
      </c>
      <c r="I17" s="15" t="s">
        <v>126</v>
      </c>
      <c r="J17" s="36">
        <f t="shared" si="5"/>
      </c>
      <c r="K17" s="37">
        <f t="shared" si="1"/>
      </c>
    </row>
    <row r="18" spans="1:11" ht="13" x14ac:dyDescent="0.3">
      <c r="A18" s="34">
        <v>10</v>
      </c>
      <c r="B18" s="15"/>
      <c r="C18" s="44">
        <f>C17*10</f>
      </c>
      <c r="D18" s="37">
        <f t="shared" si="0"/>
      </c>
      <c r="H18" s="34">
        <v>10</v>
      </c>
      <c r="I18" s="15"/>
      <c r="J18" s="43">
        <f>J17*15</f>
      </c>
      <c r="K18" s="37">
        <f t="shared" si="1"/>
      </c>
    </row>
    <row r="19" spans="1:11" x14ac:dyDescent="0.25">
      <c r="A19" s="346" t="s">
        <v>133</v>
      </c>
      <c r="B19" s="347"/>
      <c r="C19" s="348"/>
      <c r="D19" s="45">
        <f>SUM(D7:D18)</f>
      </c>
      <c r="H19" s="346" t="s">
        <v>133</v>
      </c>
      <c r="I19" s="347"/>
      <c r="J19" s="348"/>
      <c r="K19" s="45">
        <f>SUM(K7:K18)</f>
      </c>
    </row>
    <row r="20" spans="1:11" x14ac:dyDescent="0.25">
      <c r="A20" s="346" t="s">
        <v>127</v>
      </c>
      <c r="B20" s="347"/>
      <c r="C20" s="348"/>
      <c r="D20" s="46">
        <f>'Data Sheet'!B9</f>
      </c>
      <c r="H20" s="346" t="s">
        <v>127</v>
      </c>
      <c r="I20" s="347"/>
      <c r="J20" s="348"/>
      <c r="K20" s="46">
        <f>D20</f>
      </c>
    </row>
    <row r="21" spans="1:11" x14ac:dyDescent="0.25">
      <c r="A21" s="346" t="s">
        <v>128</v>
      </c>
      <c r="B21" s="347"/>
      <c r="C21" s="348"/>
      <c r="D21" s="38">
        <f>D20/D19-1</f>
      </c>
      <c r="H21" s="346" t="s">
        <v>128</v>
      </c>
      <c r="I21" s="347"/>
      <c r="J21" s="348"/>
      <c r="K21" s="38">
        <f>K20/K19-1</f>
      </c>
    </row>
    <row r="23" spans="1:11" ht="13" x14ac:dyDescent="0.3">
      <c r="A23" s="150" t="s">
        <v>185</v>
      </c>
    </row>
    <row r="24" spans="1:11" ht="13" thickBot="1" x14ac:dyDescent="0.3"/>
    <row r="25" spans="1:11" ht="13" customHeight="1" x14ac:dyDescent="0.25">
      <c r="A25" s="320" t="s">
        <v>270</v>
      </c>
      <c r="B25" s="349"/>
      <c r="C25" s="349"/>
      <c r="D25" s="349"/>
      <c r="E25" s="349"/>
      <c r="F25" s="349"/>
      <c r="G25" s="349"/>
      <c r="H25" s="349"/>
      <c r="I25" s="349"/>
      <c r="J25" s="349"/>
      <c r="K25" s="350"/>
    </row>
    <row r="26" spans="1:11" x14ac:dyDescent="0.25">
      <c r="A26" s="351"/>
      <c r="B26" s="352"/>
      <c r="C26" s="352"/>
      <c r="D26" s="352"/>
      <c r="E26" s="352"/>
      <c r="F26" s="352"/>
      <c r="G26" s="352"/>
      <c r="H26" s="352"/>
      <c r="I26" s="352"/>
      <c r="J26" s="352"/>
      <c r="K26" s="353"/>
    </row>
    <row r="27" spans="1:11" ht="13" thickBot="1" x14ac:dyDescent="0.3">
      <c r="A27" s="354"/>
      <c r="B27" s="355"/>
      <c r="C27" s="355"/>
      <c r="D27" s="355"/>
      <c r="E27" s="355"/>
      <c r="F27" s="355"/>
      <c r="G27" s="355"/>
      <c r="H27" s="355"/>
      <c r="I27" s="355"/>
      <c r="J27" s="355"/>
      <c r="K27" s="356"/>
    </row>
  </sheetData>
  <mergeCells count="18">
    <mergeCell ref="E12:F12"/>
    <mergeCell ref="A19:C19"/>
    <mergeCell ref="A20:C20"/>
    <mergeCell ref="A25:K27"/>
    <mergeCell ref="A21:C21"/>
    <mergeCell ref="H19:J19"/>
    <mergeCell ref="H20:J20"/>
    <mergeCell ref="H21:J21"/>
    <mergeCell ref="A1:M1"/>
    <mergeCell ref="A2:M2"/>
    <mergeCell ref="L6:M6"/>
    <mergeCell ref="E5:F5"/>
    <mergeCell ref="L5:M5"/>
    <mergeCell ref="A4:D4"/>
    <mergeCell ref="H4:K4"/>
    <mergeCell ref="A5:D5"/>
    <mergeCell ref="H5:K5"/>
    <mergeCell ref="E6:F6"/>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defaultRowHeight="12.5" x14ac:dyDescent="0.25"/>
  <cols>
    <col min="1" max="1" width="26.36328125" style="8" bestFit="1" customWidth="1"/>
    <col min="2" max="2" width="21.36328125" style="8" bestFit="1" customWidth="1"/>
    <col min="3" max="3" width="8.7265625" style="8"/>
    <col min="4" max="4" width="26.1796875" style="8" bestFit="1" customWidth="1"/>
    <col min="5" max="5" width="21.36328125" style="8" bestFit="1" customWidth="1"/>
    <col min="6" max="6" width="8.7265625" style="8"/>
    <col min="7" max="8" width="4.81640625" style="8" bestFit="1" customWidth="1"/>
    <col min="9" max="9" width="26.36328125" style="8" bestFit="1" customWidth="1"/>
    <col min="10" max="10" width="8.7265625" style="8"/>
    <col min="11" max="11" width="6.90625" style="8" bestFit="1" customWidth="1"/>
    <col min="12" max="16384" width="8.7265625" style="8"/>
  </cols>
  <sheetData>
    <row r="1" spans="1:9" ht="19.5" thickBot="1" x14ac:dyDescent="0.45">
      <c r="A1" s="357" t="s">
        <v>260</v>
      </c>
      <c r="B1" s="358"/>
      <c r="D1" s="357" t="s">
        <v>261</v>
      </c>
      <c r="E1" s="358"/>
    </row>
    <row r="3" spans="1:9" x14ac:dyDescent="0.25">
      <c r="A3" s="15" t="s">
        <v>89</v>
      </c>
      <c r="B3" s="16" t="str">
        <f>'Profit &amp; Loss'!A2</f>
      </c>
      <c r="D3" s="15" t="s">
        <v>89</v>
      </c>
      <c r="E3" s="16" t="str">
        <f>B3</f>
      </c>
    </row>
    <row r="4" spans="1:9" x14ac:dyDescent="0.25">
      <c r="A4" s="15" t="s">
        <v>88</v>
      </c>
      <c r="B4" s="17">
        <f>'Profit &amp; Loss'!K3</f>
      </c>
      <c r="D4" s="15" t="s">
        <v>88</v>
      </c>
      <c r="E4" s="17">
        <f>B4</f>
      </c>
    </row>
    <row r="5" spans="1:9" x14ac:dyDescent="0.25">
      <c r="B5" s="18"/>
      <c r="E5" s="18"/>
    </row>
    <row r="6" spans="1:9" x14ac:dyDescent="0.25">
      <c r="A6" s="15" t="s">
        <v>108</v>
      </c>
      <c r="B6" s="19">
        <f>AVERAGE('Profit &amp; Loss'!G23:K23)</f>
      </c>
      <c r="D6" s="15" t="s">
        <v>108</v>
      </c>
      <c r="E6" s="19">
        <f>B6</f>
      </c>
    </row>
    <row r="7" spans="1:9" x14ac:dyDescent="0.25">
      <c r="A7" s="15" t="s">
        <v>87</v>
      </c>
      <c r="B7" s="19">
        <v>8.5</v>
      </c>
      <c r="D7" s="15" t="s">
        <v>87</v>
      </c>
      <c r="E7" s="19">
        <f>B7</f>
      </c>
    </row>
    <row r="8" spans="1:9" x14ac:dyDescent="0.25">
      <c r="A8" s="15" t="s">
        <v>105</v>
      </c>
      <c r="B8" s="32">
        <f>(('Profit &amp; Loss'!K23/'Profit &amp; Loss'!F23)^(1/5)-1)*100*50%</f>
      </c>
      <c r="D8" s="15" t="s">
        <v>105</v>
      </c>
      <c r="E8" s="32">
        <f>(('Profit &amp; Loss'!K23/'Profit &amp; Loss'!F23)^(1/5)-1)*100</f>
      </c>
    </row>
    <row r="9" spans="1:9" x14ac:dyDescent="0.25">
      <c r="B9" s="22"/>
      <c r="E9" s="22"/>
      <c r="H9" s="23"/>
      <c r="I9" s="21"/>
    </row>
    <row r="10" spans="1:9" x14ac:dyDescent="0.25">
      <c r="A10" s="15" t="s">
        <v>107</v>
      </c>
      <c r="B10" s="31">
        <f>B6*(B7+2*B8)</f>
      </c>
      <c r="D10" s="15" t="s">
        <v>107</v>
      </c>
      <c r="E10" s="31">
        <f>E6*(E7+2*E8)</f>
      </c>
    </row>
    <row r="11" spans="1:9" x14ac:dyDescent="0.25">
      <c r="A11" s="15" t="s">
        <v>106</v>
      </c>
      <c r="B11" s="31">
        <f>'Data Sheet'!B9</f>
      </c>
      <c r="D11" s="15" t="s">
        <v>106</v>
      </c>
      <c r="E11" s="31">
        <f>B11</f>
      </c>
      <c r="F11" s="23"/>
    </row>
    <row r="12" spans="1:9" x14ac:dyDescent="0.25">
      <c r="B12" s="22"/>
    </row>
    <row r="13" spans="1:9" ht="13" x14ac:dyDescent="0.3">
      <c r="A13" s="54" t="s">
        <v>259</v>
      </c>
      <c r="B13" s="22"/>
    </row>
    <row r="14" spans="1:9" ht="13" x14ac:dyDescent="0.3">
      <c r="A14" s="20" t="s">
        <v>231</v>
      </c>
    </row>
    <row r="15" spans="1:9" ht="13" x14ac:dyDescent="0.3">
      <c r="A15" s="137" t="s">
        <v>232</v>
      </c>
    </row>
    <row r="17" spans="1:1" ht="13" x14ac:dyDescent="0.3">
      <c r="A17" s="20" t="s">
        <v>233</v>
      </c>
    </row>
    <row r="18" spans="1:1" ht="13" x14ac:dyDescent="0.3">
      <c r="A18" s="137" t="s">
        <v>234</v>
      </c>
    </row>
    <row r="20" spans="1:1" ht="13" x14ac:dyDescent="0.3">
      <c r="A20" s="20"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defaultColWidth="12.81640625" defaultRowHeight="12.5" x14ac:dyDescent="0.25"/>
  <cols>
    <col min="1" max="1" width="32.453125" style="8" bestFit="1" customWidth="1"/>
    <col min="2" max="2" width="7.6328125" style="8" bestFit="1" customWidth="1"/>
    <col min="3" max="3" width="7.1796875" style="8" bestFit="1" customWidth="1"/>
    <col min="4" max="4" width="12.7265625" style="8" bestFit="1" customWidth="1"/>
    <col min="5" max="5" width="7.6328125" style="8" bestFit="1" customWidth="1"/>
    <col min="6" max="6" width="33.453125" style="8" bestFit="1" customWidth="1"/>
    <col min="7" max="9" width="12.81640625" style="8"/>
    <col min="10" max="10" width="12.81640625" style="8" customWidth="1"/>
    <col min="11" max="16384" width="12.81640625" style="8"/>
  </cols>
  <sheetData>
    <row r="1" spans="1:6" ht="19" x14ac:dyDescent="0.4">
      <c r="A1" s="361" t="s">
        <v>161</v>
      </c>
      <c r="B1" s="362"/>
      <c r="C1" s="362"/>
      <c r="D1" s="362"/>
      <c r="E1" s="362"/>
      <c r="F1" s="363"/>
    </row>
    <row r="2" spans="1:6" ht="13.5" thickBot="1" x14ac:dyDescent="0.3">
      <c r="A2" s="364" t="str">
        <f>'Data Sheet'!B1</f>
      </c>
      <c r="B2" s="365"/>
      <c r="C2" s="365"/>
      <c r="D2" s="365"/>
      <c r="E2" s="365"/>
      <c r="F2" s="366"/>
    </row>
    <row r="3" spans="1:6" ht="13.5" thickBot="1" x14ac:dyDescent="0.35">
      <c r="A3" s="47"/>
      <c r="B3" s="47"/>
      <c r="C3" s="47"/>
    </row>
    <row r="4" spans="1:6" ht="13.5" thickBot="1" x14ac:dyDescent="0.35">
      <c r="A4" s="8" t="s">
        <v>162</v>
      </c>
      <c r="B4" s="48">
        <f>'Cash Flow'!B13</f>
      </c>
      <c r="E4" s="121">
        <f>B29</f>
      </c>
      <c r="F4" s="112" t="s">
        <v>165</v>
      </c>
    </row>
    <row r="5" spans="1:6" ht="13.5" thickBot="1" x14ac:dyDescent="0.35">
      <c r="E5" s="122">
        <f>'Data Sheet'!B9</f>
      </c>
      <c r="F5" s="112" t="s">
        <v>160</v>
      </c>
    </row>
    <row r="6" spans="1:6" ht="13.5" thickBot="1" x14ac:dyDescent="0.35">
      <c r="A6" s="49" t="s">
        <v>136</v>
      </c>
      <c r="B6" s="50" t="s">
        <v>137</v>
      </c>
      <c r="C6" s="51" t="s">
        <v>138</v>
      </c>
      <c r="D6" s="52"/>
      <c r="E6" s="114">
        <f>E4/E5</f>
      </c>
      <c r="F6" s="112" t="s">
        <v>266</v>
      </c>
    </row>
    <row r="7" spans="1:6" ht="13.5" thickBot="1" x14ac:dyDescent="0.35">
      <c r="A7" s="8" t="s">
        <v>139</v>
      </c>
      <c r="B7" s="107">
        <v>0.15</v>
      </c>
      <c r="C7" s="108">
        <v>0.12</v>
      </c>
      <c r="D7" s="53"/>
    </row>
    <row r="8" spans="1:6" ht="13.5" thickBot="1" x14ac:dyDescent="0.35">
      <c r="A8" s="8" t="s">
        <v>120</v>
      </c>
      <c r="B8" s="109">
        <v>0.12</v>
      </c>
      <c r="C8" s="54"/>
    </row>
    <row r="9" spans="1:6" ht="13.5" thickBot="1" x14ac:dyDescent="0.35">
      <c r="A9" s="8" t="s">
        <v>140</v>
      </c>
      <c r="B9" s="110">
        <v>0.02</v>
      </c>
      <c r="C9" s="54"/>
      <c r="F9" s="55"/>
    </row>
    <row r="10" spans="1:6" ht="13.5" thickBot="1" x14ac:dyDescent="0.35">
      <c r="B10" s="56"/>
      <c r="C10" s="54"/>
      <c r="F10" s="55"/>
    </row>
    <row r="11" spans="1:6" ht="13.5" thickBot="1" x14ac:dyDescent="0.35">
      <c r="A11" s="57" t="s">
        <v>163</v>
      </c>
      <c r="B11" s="48">
        <f>'Balance Sheet'!K6-'Balance Sheet'!K19</f>
      </c>
      <c r="C11" s="54"/>
      <c r="D11" s="21"/>
    </row>
    <row r="12" spans="1:6" ht="13" thickBot="1" x14ac:dyDescent="0.3"/>
    <row r="13" spans="1:6" ht="13" x14ac:dyDescent="0.3">
      <c r="A13" s="58" t="s">
        <v>109</v>
      </c>
      <c r="B13" s="59" t="s">
        <v>130</v>
      </c>
      <c r="C13" s="59" t="s">
        <v>141</v>
      </c>
      <c r="D13" s="60" t="s">
        <v>142</v>
      </c>
    </row>
    <row r="14" spans="1:6" x14ac:dyDescent="0.25">
      <c r="A14" s="61">
        <v>1</v>
      </c>
      <c r="B14" s="62">
        <f>(B4*C14)+B4</f>
      </c>
      <c r="C14" s="63">
        <f>$B$7</f>
      </c>
      <c r="D14" s="64">
        <f t="shared" ref="D14:D23" si="0">B14/((1+$B$8)^A14)</f>
      </c>
    </row>
    <row r="15" spans="1:6" x14ac:dyDescent="0.25">
      <c r="A15" s="61">
        <v>2</v>
      </c>
      <c r="B15" s="62">
        <f t="shared" ref="B15:B23" si="1">(B14*C15)+B14</f>
      </c>
      <c r="C15" s="63">
        <f>$B$7</f>
      </c>
      <c r="D15" s="64">
        <f t="shared" si="0"/>
      </c>
    </row>
    <row r="16" spans="1:6" x14ac:dyDescent="0.25">
      <c r="A16" s="61">
        <v>3</v>
      </c>
      <c r="B16" s="62">
        <f t="shared" si="1"/>
      </c>
      <c r="C16" s="63">
        <f>$B$7</f>
      </c>
      <c r="D16" s="64">
        <f t="shared" si="0"/>
      </c>
      <c r="F16" s="65"/>
    </row>
    <row r="17" spans="1:6" x14ac:dyDescent="0.25">
      <c r="A17" s="61">
        <v>4</v>
      </c>
      <c r="B17" s="62">
        <f t="shared" si="1"/>
      </c>
      <c r="C17" s="63">
        <f>$B$7</f>
      </c>
      <c r="D17" s="64">
        <f t="shared" si="0"/>
      </c>
      <c r="F17" s="55"/>
    </row>
    <row r="18" spans="1:6" x14ac:dyDescent="0.25">
      <c r="A18" s="61">
        <v>5</v>
      </c>
      <c r="B18" s="62">
        <f t="shared" si="1"/>
      </c>
      <c r="C18" s="63">
        <f>$B$7</f>
      </c>
      <c r="D18" s="64">
        <f t="shared" si="0"/>
      </c>
      <c r="F18" s="55"/>
    </row>
    <row r="19" spans="1:6" x14ac:dyDescent="0.25">
      <c r="A19" s="61">
        <v>6</v>
      </c>
      <c r="B19" s="62">
        <f t="shared" si="1"/>
      </c>
      <c r="C19" s="63">
        <f>$C$7</f>
      </c>
      <c r="D19" s="64">
        <f t="shared" si="0"/>
      </c>
      <c r="F19" s="55"/>
    </row>
    <row r="20" spans="1:6" x14ac:dyDescent="0.25">
      <c r="A20" s="61">
        <v>7</v>
      </c>
      <c r="B20" s="62">
        <f t="shared" si="1"/>
      </c>
      <c r="C20" s="63">
        <f>$C$7</f>
      </c>
      <c r="D20" s="64">
        <f t="shared" si="0"/>
      </c>
      <c r="F20" s="55"/>
    </row>
    <row r="21" spans="1:6" x14ac:dyDescent="0.25">
      <c r="A21" s="61">
        <v>8</v>
      </c>
      <c r="B21" s="62">
        <f t="shared" si="1"/>
      </c>
      <c r="C21" s="63">
        <f>$C$7</f>
      </c>
      <c r="D21" s="64">
        <f t="shared" si="0"/>
      </c>
    </row>
    <row r="22" spans="1:6" x14ac:dyDescent="0.25">
      <c r="A22" s="61">
        <v>9</v>
      </c>
      <c r="B22" s="62">
        <f t="shared" si="1"/>
      </c>
      <c r="C22" s="63">
        <f>$C$7</f>
      </c>
      <c r="D22" s="64">
        <f t="shared" si="0"/>
      </c>
    </row>
    <row r="23" spans="1:6" ht="13" thickBot="1" x14ac:dyDescent="0.3">
      <c r="A23" s="66">
        <v>10</v>
      </c>
      <c r="B23" s="67">
        <f t="shared" si="1"/>
      </c>
      <c r="C23" s="68">
        <f>$C$7</f>
      </c>
      <c r="D23" s="69">
        <f t="shared" si="0"/>
      </c>
    </row>
    <row r="24" spans="1:6" ht="13" thickBot="1" x14ac:dyDescent="0.3">
      <c r="A24" s="70"/>
      <c r="B24" s="71"/>
      <c r="C24" s="72"/>
      <c r="D24" s="73"/>
    </row>
    <row r="25" spans="1:6" ht="13" x14ac:dyDescent="0.3">
      <c r="A25" s="359" t="s">
        <v>143</v>
      </c>
      <c r="B25" s="360"/>
      <c r="C25" s="72"/>
      <c r="D25" s="73"/>
    </row>
    <row r="26" spans="1:6" x14ac:dyDescent="0.25">
      <c r="A26" s="74" t="s">
        <v>144</v>
      </c>
      <c r="B26" s="64">
        <f>(B23*B9)+B23</f>
      </c>
      <c r="C26" s="75"/>
      <c r="D26" s="76"/>
    </row>
    <row r="27" spans="1:6" x14ac:dyDescent="0.25">
      <c r="A27" s="77" t="s">
        <v>145</v>
      </c>
      <c r="B27" s="64">
        <f>SUM(D14:D23)</f>
      </c>
      <c r="C27" s="57"/>
    </row>
    <row r="28" spans="1:6" x14ac:dyDescent="0.25">
      <c r="A28" s="74" t="s">
        <v>146</v>
      </c>
      <c r="B28" s="64">
        <f>((B26)/($B$8-$B$9))/(1+$B$8)^A23</f>
      </c>
      <c r="C28" s="57"/>
    </row>
    <row r="29" spans="1:6" x14ac:dyDescent="0.25">
      <c r="A29" s="74" t="s">
        <v>147</v>
      </c>
      <c r="B29" s="64">
        <f>B27+B28</f>
      </c>
      <c r="C29" s="57"/>
    </row>
    <row r="30" spans="1:6" x14ac:dyDescent="0.25">
      <c r="A30" s="74" t="s">
        <v>157</v>
      </c>
      <c r="B30" s="64">
        <f>'Data Sheet'!B9</f>
      </c>
      <c r="C30" s="57"/>
    </row>
    <row r="32" spans="1:6" ht="13" x14ac:dyDescent="0.3">
      <c r="A32" s="151" t="s">
        <v>236</v>
      </c>
      <c r="D32" s="21"/>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defaultColWidth="9.1796875" defaultRowHeight="13" x14ac:dyDescent="0.3"/>
  <cols>
    <col min="1" max="1" width="40.453125" style="93" bestFit="1" customWidth="1"/>
    <col min="2" max="2" width="8.6328125" style="93" bestFit="1" customWidth="1"/>
    <col min="3" max="11" width="6.7265625" style="93" bestFit="1" customWidth="1"/>
    <col min="12" max="13" width="11.36328125" style="93" bestFit="1" customWidth="1"/>
    <col min="14" max="16384" width="9.1796875" style="93"/>
  </cols>
  <sheetData>
    <row r="1" spans="1:13" ht="19" x14ac:dyDescent="0.4">
      <c r="A1" s="367" t="s">
        <v>166</v>
      </c>
      <c r="B1" s="368"/>
      <c r="C1" s="368"/>
      <c r="D1" s="368"/>
      <c r="E1" s="368"/>
      <c r="F1" s="368"/>
      <c r="G1" s="368"/>
      <c r="H1" s="368"/>
      <c r="I1" s="368"/>
      <c r="J1" s="368"/>
      <c r="K1" s="368"/>
      <c r="L1" s="368"/>
      <c r="M1" s="369"/>
    </row>
    <row r="2" spans="1:13" x14ac:dyDescent="0.3">
      <c r="A2" s="370" t="str">
        <f>'Data Sheet'!B1</f>
      </c>
      <c r="B2" s="371"/>
      <c r="C2" s="371"/>
      <c r="D2" s="371"/>
      <c r="E2" s="371"/>
      <c r="F2" s="371"/>
      <c r="G2" s="371"/>
      <c r="H2" s="371"/>
      <c r="I2" s="371"/>
      <c r="J2" s="371"/>
      <c r="K2" s="371"/>
      <c r="L2" s="371"/>
      <c r="M2" s="372"/>
    </row>
    <row r="3" spans="1:13" x14ac:dyDescent="0.3">
      <c r="A3" s="78" t="s">
        <v>148</v>
      </c>
      <c r="B3" s="79">
        <f>'Data Sheet'!B16</f>
      </c>
      <c r="C3" s="79">
        <f>'Data Sheet'!C16</f>
      </c>
      <c r="D3" s="79">
        <f>'Data Sheet'!D16</f>
      </c>
      <c r="E3" s="79">
        <f>'Data Sheet'!E16</f>
      </c>
      <c r="F3" s="79">
        <f>'Data Sheet'!F16</f>
      </c>
      <c r="G3" s="79">
        <f>'Data Sheet'!G16</f>
      </c>
      <c r="H3" s="79">
        <f>'Data Sheet'!H16</f>
      </c>
      <c r="I3" s="79">
        <f>'Data Sheet'!I16</f>
      </c>
      <c r="J3" s="79">
        <f>'Data Sheet'!J16</f>
      </c>
      <c r="K3" s="79">
        <f>'Data Sheet'!K16</f>
      </c>
      <c r="L3" s="94" t="s">
        <v>152</v>
      </c>
      <c r="M3" s="95" t="s">
        <v>149</v>
      </c>
    </row>
    <row r="4" spans="1:13" x14ac:dyDescent="0.3">
      <c r="A4" s="80" t="s">
        <v>155</v>
      </c>
      <c r="B4" s="96">
        <f>'Data Sheet'!B30</f>
      </c>
      <c r="C4" s="96">
        <f>'Data Sheet'!C30</f>
      </c>
      <c r="D4" s="96">
        <f>'Data Sheet'!D30</f>
      </c>
      <c r="E4" s="96">
        <f>'Data Sheet'!E30</f>
      </c>
      <c r="F4" s="96">
        <f>'Data Sheet'!F30</f>
      </c>
      <c r="G4" s="96">
        <f>'Data Sheet'!G30</f>
      </c>
      <c r="H4" s="96">
        <f>'Data Sheet'!H30</f>
      </c>
      <c r="I4" s="96">
        <f>'Data Sheet'!I30</f>
      </c>
      <c r="J4" s="96">
        <f>'Data Sheet'!J30</f>
      </c>
      <c r="K4" s="96">
        <f>'Data Sheet'!K30</f>
      </c>
      <c r="L4" s="98">
        <f>(K4/B4)^(1/9)-1</f>
      </c>
      <c r="M4" s="99">
        <f>(K4/F4)^(1/5)-1</f>
      </c>
    </row>
    <row r="5" spans="1:13" x14ac:dyDescent="0.3">
      <c r="A5" s="81" t="s">
        <v>91</v>
      </c>
      <c r="B5" s="82">
        <f>B4/'Data Sheet'!B17</f>
      </c>
      <c r="C5" s="82">
        <f>C4/'Data Sheet'!C17</f>
      </c>
      <c r="D5" s="82">
        <f>D4/'Data Sheet'!D17</f>
      </c>
      <c r="E5" s="82">
        <f>E4/'Data Sheet'!E17</f>
      </c>
      <c r="F5" s="82">
        <f>F4/'Data Sheet'!F17</f>
      </c>
      <c r="G5" s="82">
        <f>G4/'Data Sheet'!G17</f>
      </c>
      <c r="H5" s="82">
        <f>H4/'Data Sheet'!H17</f>
      </c>
      <c r="I5" s="82">
        <f>I4/'Data Sheet'!I17</f>
      </c>
      <c r="J5" s="82">
        <f>J4/'Data Sheet'!J17</f>
      </c>
      <c r="K5" s="82">
        <f>K4/'Data Sheet'!K17</f>
      </c>
      <c r="L5" s="100"/>
      <c r="M5" s="101"/>
    </row>
    <row r="6" spans="1:13" ht="13.5" thickBot="1" x14ac:dyDescent="0.35">
      <c r="A6" s="83" t="s">
        <v>55</v>
      </c>
      <c r="B6" s="84">
        <f>'Balance Sheet'!B26</f>
      </c>
      <c r="C6" s="84">
        <f>'Balance Sheet'!C26</f>
      </c>
      <c r="D6" s="84">
        <f>'Balance Sheet'!D26</f>
      </c>
      <c r="E6" s="84">
        <f>'Balance Sheet'!E26</f>
      </c>
      <c r="F6" s="84">
        <f>'Balance Sheet'!F26</f>
      </c>
      <c r="G6" s="84">
        <f>'Balance Sheet'!G26</f>
      </c>
      <c r="H6" s="84">
        <f>'Balance Sheet'!H26</f>
      </c>
      <c r="I6" s="84">
        <f>'Balance Sheet'!I26</f>
      </c>
      <c r="J6" s="84">
        <f>'Balance Sheet'!J26</f>
      </c>
      <c r="K6" s="84">
        <f>'Balance Sheet'!K26</f>
      </c>
      <c r="L6" s="102"/>
      <c r="M6" s="103"/>
    </row>
    <row r="7" spans="1:13" x14ac:dyDescent="0.3">
      <c r="A7" s="85"/>
      <c r="B7" s="86"/>
      <c r="C7" s="86"/>
      <c r="D7" s="86"/>
      <c r="E7" s="86"/>
      <c r="F7" s="86"/>
      <c r="G7" s="86"/>
      <c r="H7" s="86"/>
      <c r="I7" s="86"/>
      <c r="J7" s="86"/>
      <c r="K7" s="86"/>
      <c r="L7" s="86"/>
      <c r="M7" s="86"/>
    </row>
    <row r="8" spans="1:13" ht="13.5" thickBot="1" x14ac:dyDescent="0.35">
      <c r="A8" s="20" t="s">
        <v>159</v>
      </c>
      <c r="B8" s="87"/>
      <c r="C8" s="87"/>
      <c r="D8" s="87"/>
      <c r="E8" s="87"/>
      <c r="F8" s="87"/>
      <c r="G8" s="87"/>
      <c r="H8" s="87"/>
      <c r="I8" s="87"/>
      <c r="J8" s="87"/>
      <c r="K8" s="87"/>
      <c r="L8" s="88"/>
      <c r="M8" s="88"/>
    </row>
    <row r="9" spans="1:13" x14ac:dyDescent="0.3">
      <c r="A9" s="89" t="s">
        <v>153</v>
      </c>
      <c r="B9" s="105">
        <v>0.12</v>
      </c>
      <c r="C9" s="8"/>
      <c r="D9" s="8"/>
      <c r="E9" s="8"/>
      <c r="F9" s="8"/>
      <c r="G9" s="8"/>
      <c r="H9" s="8"/>
      <c r="I9" s="8"/>
      <c r="J9" s="8"/>
      <c r="K9" s="8"/>
      <c r="L9" s="8"/>
      <c r="M9" s="8"/>
    </row>
    <row r="10" spans="1:13" x14ac:dyDescent="0.3">
      <c r="A10" s="90" t="s">
        <v>154</v>
      </c>
      <c r="B10" s="91">
        <f>K4*(1+B9)^10</f>
      </c>
      <c r="C10" s="92"/>
      <c r="D10" s="8"/>
      <c r="E10" s="8"/>
      <c r="F10" s="8"/>
      <c r="G10" s="8"/>
      <c r="H10" s="8"/>
      <c r="I10" s="8"/>
      <c r="J10" s="8"/>
      <c r="K10" s="8"/>
      <c r="L10" s="8"/>
      <c r="M10" s="8"/>
    </row>
    <row r="11" spans="1:13" x14ac:dyDescent="0.3">
      <c r="A11" s="90" t="s">
        <v>150</v>
      </c>
      <c r="B11" s="104">
        <f>'Data Sheet'!B9/'Data Sheet'!K30</f>
      </c>
      <c r="C11" s="8"/>
      <c r="D11" s="8"/>
      <c r="E11" s="8"/>
      <c r="F11" s="8"/>
      <c r="G11" s="8"/>
      <c r="H11" s="8"/>
      <c r="I11" s="8"/>
      <c r="J11" s="8"/>
      <c r="K11" s="8"/>
      <c r="L11" s="8"/>
      <c r="M11" s="8"/>
    </row>
    <row r="12" spans="1:13" x14ac:dyDescent="0.3">
      <c r="A12" s="90" t="s">
        <v>151</v>
      </c>
      <c r="B12" s="106">
        <v>20</v>
      </c>
      <c r="C12" s="8"/>
      <c r="D12" s="8"/>
      <c r="E12" s="8"/>
      <c r="F12" s="8"/>
      <c r="G12" s="8"/>
      <c r="H12" s="8"/>
      <c r="I12" s="8"/>
      <c r="J12" s="8"/>
      <c r="K12" s="8"/>
      <c r="L12" s="8"/>
      <c r="M12" s="8"/>
    </row>
    <row r="13" spans="1:13" x14ac:dyDescent="0.3">
      <c r="A13" s="90" t="s">
        <v>156</v>
      </c>
      <c r="B13" s="91">
        <f>B10*B12</f>
      </c>
      <c r="C13" s="8"/>
      <c r="D13" s="8"/>
      <c r="E13" s="8"/>
      <c r="F13" s="8"/>
      <c r="G13" s="8"/>
      <c r="H13" s="8"/>
      <c r="I13" s="8"/>
      <c r="J13" s="8"/>
      <c r="K13" s="8"/>
      <c r="L13" s="8"/>
      <c r="M13" s="8"/>
    </row>
    <row r="14" spans="1:13" x14ac:dyDescent="0.3">
      <c r="A14" s="90" t="s">
        <v>178</v>
      </c>
      <c r="B14" s="97">
        <f>DCF!B8</f>
      </c>
      <c r="C14" s="8"/>
      <c r="D14" s="8"/>
      <c r="E14" s="8"/>
      <c r="F14" s="8"/>
      <c r="G14" s="8"/>
      <c r="H14" s="8"/>
      <c r="I14" s="8"/>
      <c r="J14" s="8"/>
      <c r="K14" s="8"/>
      <c r="L14" s="8"/>
      <c r="M14" s="8"/>
    </row>
    <row r="15" spans="1:13" x14ac:dyDescent="0.3">
      <c r="A15" s="90" t="s">
        <v>158</v>
      </c>
      <c r="B15" s="123">
        <f>B13/(1+B14)^10</f>
      </c>
      <c r="C15" s="8"/>
      <c r="D15" s="8"/>
      <c r="E15" s="8"/>
      <c r="F15" s="8"/>
      <c r="G15" s="8"/>
      <c r="H15" s="8"/>
      <c r="I15" s="8"/>
      <c r="J15" s="8"/>
      <c r="K15" s="8"/>
      <c r="L15" s="8"/>
      <c r="M15" s="8"/>
    </row>
    <row r="16" spans="1:13" x14ac:dyDescent="0.3">
      <c r="A16" s="90" t="s">
        <v>157</v>
      </c>
      <c r="B16" s="123">
        <f>'Data Sheet'!B9</f>
      </c>
      <c r="C16" s="8"/>
      <c r="D16" s="8"/>
      <c r="E16" s="8"/>
      <c r="F16" s="8"/>
      <c r="G16" s="8"/>
      <c r="H16" s="8"/>
      <c r="I16" s="8"/>
      <c r="J16" s="8"/>
      <c r="K16" s="8"/>
      <c r="L16" s="8"/>
      <c r="M16" s="8"/>
    </row>
    <row r="17" spans="1:13" x14ac:dyDescent="0.3">
      <c r="A17" s="8"/>
      <c r="B17" s="8"/>
      <c r="C17" s="8"/>
      <c r="D17" s="8"/>
      <c r="E17" s="8"/>
      <c r="F17" s="8"/>
      <c r="G17" s="8"/>
      <c r="H17" s="8"/>
      <c r="I17" s="8"/>
      <c r="J17" s="8"/>
      <c r="K17" s="8"/>
      <c r="L17" s="8"/>
      <c r="M17" s="8"/>
    </row>
    <row r="18" spans="1:13" x14ac:dyDescent="0.3">
      <c r="A18" s="150"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defaultRowHeight="12.5" x14ac:dyDescent="0.25"/>
  <cols>
    <col min="1" max="1" width="18.453125" style="191" bestFit="1" customWidth="1"/>
    <col min="2" max="2" width="8" style="191" bestFit="1" customWidth="1"/>
    <col min="3" max="3" width="7.453125" style="191" bestFit="1" customWidth="1"/>
    <col min="4" max="8" width="8.7265625" style="191"/>
    <col min="9" max="9" width="31.453125" style="191" customWidth="1"/>
    <col min="10" max="16384" width="8.7265625" style="191"/>
  </cols>
  <sheetData>
    <row r="1" spans="1:9" ht="19" x14ac:dyDescent="0.4">
      <c r="A1" s="373" t="s">
        <v>238</v>
      </c>
      <c r="B1" s="374"/>
      <c r="C1" s="375"/>
      <c r="F1" s="283" t="s">
        <v>306</v>
      </c>
      <c r="G1" s="379"/>
      <c r="H1" s="379"/>
      <c r="I1" s="380"/>
    </row>
    <row r="2" spans="1:9" ht="13" x14ac:dyDescent="0.3">
      <c r="A2" s="376" t="str">
        <f>'Data Sheet'!B1</f>
      </c>
      <c r="B2" s="377"/>
      <c r="C2" s="378"/>
      <c r="F2" s="381"/>
      <c r="G2" s="382"/>
      <c r="H2" s="382"/>
      <c r="I2" s="383"/>
    </row>
    <row r="3" spans="1:9" ht="13" x14ac:dyDescent="0.3">
      <c r="A3" s="192"/>
      <c r="B3" s="193" t="s">
        <v>176</v>
      </c>
      <c r="C3" s="194" t="s">
        <v>177</v>
      </c>
      <c r="F3" s="381"/>
      <c r="G3" s="382"/>
      <c r="H3" s="382"/>
      <c r="I3" s="383"/>
    </row>
    <row r="4" spans="1:9" x14ac:dyDescent="0.25">
      <c r="A4" s="418" t="s">
        <v>134</v>
      </c>
      <c r="B4" s="195">
        <f>'Dhandho IV'!D19</f>
      </c>
      <c r="C4" s="195">
        <f>'Dhandho IV'!K19</f>
      </c>
      <c r="F4" s="381"/>
      <c r="G4" s="382"/>
      <c r="H4" s="382"/>
      <c r="I4" s="383"/>
    </row>
    <row r="5" spans="1:9" x14ac:dyDescent="0.25">
      <c r="A5" s="418" t="s">
        <v>135</v>
      </c>
      <c r="B5" s="195">
        <f>'Ben Graham Formula'!B10</f>
      </c>
      <c r="C5" s="195">
        <f>'Ben Graham Formula'!E10</f>
      </c>
      <c r="F5" s="381"/>
      <c r="G5" s="382"/>
      <c r="H5" s="382"/>
      <c r="I5" s="383"/>
    </row>
    <row r="6" spans="1:9" x14ac:dyDescent="0.25">
      <c r="A6" s="418" t="s">
        <v>164</v>
      </c>
      <c r="B6" s="195">
        <f>DCF!B29</f>
      </c>
      <c r="C6" s="195"/>
      <c r="F6" s="381"/>
      <c r="G6" s="382"/>
      <c r="H6" s="382"/>
      <c r="I6" s="383"/>
    </row>
    <row r="7" spans="1:9" x14ac:dyDescent="0.25">
      <c r="A7" s="418" t="s">
        <v>167</v>
      </c>
      <c r="B7" s="195">
        <f>'Expected Returns'!B15</f>
      </c>
      <c r="C7" s="195"/>
      <c r="F7" s="381"/>
      <c r="G7" s="382"/>
      <c r="H7" s="382"/>
      <c r="I7" s="383"/>
    </row>
    <row r="8" spans="1:9" ht="13" x14ac:dyDescent="0.3">
      <c r="A8" s="419" t="s">
        <v>269</v>
      </c>
      <c r="B8" s="420">
        <f>'Data Sheet'!B9</f>
      </c>
      <c r="C8" s="421"/>
      <c r="F8" s="381"/>
      <c r="G8" s="382"/>
      <c r="H8" s="382"/>
      <c r="I8" s="383"/>
    </row>
    <row r="9" spans="1:9" ht="13" thickBot="1" x14ac:dyDescent="0.3">
      <c r="F9" s="381"/>
      <c r="G9" s="382"/>
      <c r="H9" s="382"/>
      <c r="I9" s="383"/>
    </row>
    <row r="10" spans="1:9" ht="12.5" customHeight="1" x14ac:dyDescent="0.25">
      <c r="A10" s="320" t="s">
        <v>305</v>
      </c>
      <c r="B10" s="349"/>
      <c r="C10" s="350"/>
      <c r="F10" s="381"/>
      <c r="G10" s="382"/>
      <c r="H10" s="382"/>
      <c r="I10" s="383"/>
    </row>
    <row r="11" spans="1:9" x14ac:dyDescent="0.25">
      <c r="A11" s="351"/>
      <c r="B11" s="352"/>
      <c r="C11" s="353"/>
      <c r="F11" s="381"/>
      <c r="G11" s="382"/>
      <c r="H11" s="382"/>
      <c r="I11" s="383"/>
    </row>
    <row r="12" spans="1:9" x14ac:dyDescent="0.25">
      <c r="A12" s="351"/>
      <c r="B12" s="352"/>
      <c r="C12" s="353"/>
      <c r="F12" s="381"/>
      <c r="G12" s="382"/>
      <c r="H12" s="382"/>
      <c r="I12" s="383"/>
    </row>
    <row r="13" spans="1:9" x14ac:dyDescent="0.25">
      <c r="A13" s="351"/>
      <c r="B13" s="352"/>
      <c r="C13" s="353"/>
      <c r="F13" s="381"/>
      <c r="G13" s="382"/>
      <c r="H13" s="382"/>
      <c r="I13" s="383"/>
    </row>
    <row r="14" spans="1:9" x14ac:dyDescent="0.25">
      <c r="A14" s="351"/>
      <c r="B14" s="352"/>
      <c r="C14" s="353"/>
      <c r="F14" s="381"/>
      <c r="G14" s="382"/>
      <c r="H14" s="382"/>
      <c r="I14" s="383"/>
    </row>
    <row r="15" spans="1:9" x14ac:dyDescent="0.25">
      <c r="A15" s="351"/>
      <c r="B15" s="352"/>
      <c r="C15" s="353"/>
      <c r="F15" s="381"/>
      <c r="G15" s="382"/>
      <c r="H15" s="382"/>
      <c r="I15" s="383"/>
    </row>
    <row r="16" spans="1:9" x14ac:dyDescent="0.25">
      <c r="A16" s="351"/>
      <c r="B16" s="352"/>
      <c r="C16" s="353"/>
      <c r="F16" s="381"/>
      <c r="G16" s="382"/>
      <c r="H16" s="382"/>
      <c r="I16" s="383"/>
    </row>
    <row r="17" spans="1:9" ht="13" thickBot="1" x14ac:dyDescent="0.3">
      <c r="A17" s="351"/>
      <c r="B17" s="352"/>
      <c r="C17" s="353"/>
      <c r="F17" s="384"/>
      <c r="G17" s="385"/>
      <c r="H17" s="385"/>
      <c r="I17" s="386"/>
    </row>
    <row r="18" spans="1:9" x14ac:dyDescent="0.25">
      <c r="A18" s="351"/>
      <c r="B18" s="352"/>
      <c r="C18" s="353"/>
    </row>
    <row r="19" spans="1:9" x14ac:dyDescent="0.25">
      <c r="A19" s="351"/>
      <c r="B19" s="352"/>
      <c r="C19" s="353"/>
    </row>
    <row r="20" spans="1:9" x14ac:dyDescent="0.25">
      <c r="A20" s="351"/>
      <c r="B20" s="352"/>
      <c r="C20" s="353"/>
    </row>
    <row r="21" spans="1:9" ht="13" thickBot="1" x14ac:dyDescent="0.3">
      <c r="A21" s="354"/>
      <c r="B21" s="355"/>
      <c r="C21" s="356"/>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defaultColWidth="9.1796875" defaultRowHeight="12.5" x14ac:dyDescent="0.25"/>
  <cols>
    <col min="1" max="1" width="21.7265625" style="13" bestFit="1" customWidth="1"/>
    <col min="2" max="2" width="6.7265625" style="13" bestFit="1" customWidth="1"/>
    <col min="3" max="3" width="6.6328125" style="13" bestFit="1" customWidth="1"/>
    <col min="4" max="6" width="6.7265625" style="13" bestFit="1" customWidth="1"/>
    <col min="7" max="7" width="6.6328125" style="13" bestFit="1" customWidth="1"/>
    <col min="8" max="10" width="6.7265625" style="13" bestFit="1" customWidth="1"/>
    <col min="11" max="11" width="6.6328125" style="13" bestFit="1" customWidth="1"/>
    <col min="12" max="16384" width="9.1796875" style="13"/>
  </cols>
  <sheetData>
    <row r="1" spans="1:11" s="7" customFormat="1" ht="13" x14ac:dyDescent="0.3">
      <c r="A1" s="7" t="str">
        <f>'Profit &amp; Loss'!A2</f>
      </c>
      <c r="E1" s="8" t="str">
        <f>UPDATE</f>
      </c>
      <c r="K1" s="24"/>
    </row>
    <row r="2" spans="1:11" ht="13" x14ac:dyDescent="0.3">
      <c r="A2" s="24" t="s">
        <v>1</v>
      </c>
    </row>
    <row r="3" spans="1:11" s="10" customFormat="1" ht="13" x14ac:dyDescent="0.3">
      <c r="A3" s="124" t="s">
        <v>2</v>
      </c>
      <c r="B3" s="125">
        <f>'Data Sheet'!B41</f>
      </c>
      <c r="C3" s="125">
        <f>'Data Sheet'!C41</f>
      </c>
      <c r="D3" s="125">
        <f>'Data Sheet'!D41</f>
      </c>
      <c r="E3" s="125">
        <f>'Data Sheet'!E41</f>
      </c>
      <c r="F3" s="125">
        <f>'Data Sheet'!F41</f>
      </c>
      <c r="G3" s="125">
        <f>'Data Sheet'!G41</f>
      </c>
      <c r="H3" s="125">
        <f>'Data Sheet'!H41</f>
      </c>
      <c r="I3" s="125">
        <f>'Data Sheet'!I41</f>
      </c>
      <c r="J3" s="125">
        <f>'Data Sheet'!J41</f>
      </c>
      <c r="K3" s="126">
        <f>'Data Sheet'!K41</f>
      </c>
    </row>
    <row r="4" spans="1:11" s="7" customFormat="1" ht="13" x14ac:dyDescent="0.3">
      <c r="A4" s="127" t="s">
        <v>4</v>
      </c>
      <c r="B4" s="118">
        <f>'Data Sheet'!B42</f>
      </c>
      <c r="C4" s="118">
        <f>'Data Sheet'!C42</f>
      </c>
      <c r="D4" s="118">
        <f>'Data Sheet'!D42</f>
      </c>
      <c r="E4" s="118">
        <f>'Data Sheet'!E42</f>
      </c>
      <c r="F4" s="118">
        <f>'Data Sheet'!F42</f>
      </c>
      <c r="G4" s="118">
        <f>'Data Sheet'!G42</f>
      </c>
      <c r="H4" s="118">
        <f>'Data Sheet'!H42</f>
      </c>
      <c r="I4" s="118">
        <f>'Data Sheet'!I42</f>
      </c>
      <c r="J4" s="118">
        <f>'Data Sheet'!J42</f>
      </c>
      <c r="K4" s="128">
        <f>'Data Sheet'!K42</f>
      </c>
    </row>
    <row r="5" spans="1:11" s="12" customFormat="1" ht="13" x14ac:dyDescent="0.3">
      <c r="A5" s="129" t="s">
        <v>92</v>
      </c>
      <c r="B5" s="130"/>
      <c r="C5" s="130"/>
      <c r="D5" s="130"/>
      <c r="E5" s="130"/>
      <c r="F5" s="117">
        <f>F4/B4-1</f>
      </c>
      <c r="G5" s="117">
        <f t="shared" ref="G5:K5" si="0">G4/C4-1</f>
      </c>
      <c r="H5" s="117">
        <f t="shared" si="0"/>
      </c>
      <c r="I5" s="117">
        <f t="shared" si="0"/>
      </c>
      <c r="J5" s="117">
        <f t="shared" si="0"/>
      </c>
      <c r="K5" s="131">
        <f t="shared" si="0"/>
      </c>
    </row>
    <row r="6" spans="1:11" x14ac:dyDescent="0.25">
      <c r="A6" s="132" t="s">
        <v>5</v>
      </c>
      <c r="B6" s="30">
        <f>'Data Sheet'!B43</f>
      </c>
      <c r="C6" s="30">
        <f>'Data Sheet'!C43</f>
      </c>
      <c r="D6" s="30">
        <f>'Data Sheet'!D43</f>
      </c>
      <c r="E6" s="30">
        <f>'Data Sheet'!E43</f>
      </c>
      <c r="F6" s="30">
        <f>'Data Sheet'!F43</f>
      </c>
      <c r="G6" s="30">
        <f>'Data Sheet'!G43</f>
      </c>
      <c r="H6" s="30">
        <f>'Data Sheet'!H43</f>
      </c>
      <c r="I6" s="30">
        <f>'Data Sheet'!I43</f>
      </c>
      <c r="J6" s="30">
        <f>'Data Sheet'!J43</f>
      </c>
      <c r="K6" s="133">
        <f>'Data Sheet'!K43</f>
      </c>
    </row>
    <row r="7" spans="1:11" s="7" customFormat="1" ht="13" x14ac:dyDescent="0.3">
      <c r="A7" s="127" t="s">
        <v>6</v>
      </c>
      <c r="B7" s="118">
        <f>'Data Sheet'!B50</f>
      </c>
      <c r="C7" s="118">
        <f>'Data Sheet'!C50</f>
      </c>
      <c r="D7" s="118">
        <f>'Data Sheet'!D50</f>
      </c>
      <c r="E7" s="118">
        <f>'Data Sheet'!E50</f>
      </c>
      <c r="F7" s="118">
        <f>'Data Sheet'!F50</f>
      </c>
      <c r="G7" s="118">
        <f>'Data Sheet'!G50</f>
      </c>
      <c r="H7" s="118">
        <f>'Data Sheet'!H50</f>
      </c>
      <c r="I7" s="118">
        <f>'Data Sheet'!I50</f>
      </c>
      <c r="J7" s="118">
        <f>'Data Sheet'!J50</f>
      </c>
      <c r="K7" s="128">
        <f>'Data Sheet'!K50</f>
      </c>
    </row>
    <row r="8" spans="1:11" x14ac:dyDescent="0.25">
      <c r="A8" s="132" t="s">
        <v>7</v>
      </c>
      <c r="B8" s="30">
        <f>'Data Sheet'!B44</f>
      </c>
      <c r="C8" s="30">
        <f>'Data Sheet'!C44</f>
      </c>
      <c r="D8" s="30">
        <f>'Data Sheet'!D44</f>
      </c>
      <c r="E8" s="30">
        <f>'Data Sheet'!E44</f>
      </c>
      <c r="F8" s="30">
        <f>'Data Sheet'!F44</f>
      </c>
      <c r="G8" s="30">
        <f>'Data Sheet'!G44</f>
      </c>
      <c r="H8" s="30">
        <f>'Data Sheet'!H44</f>
      </c>
      <c r="I8" s="30">
        <f>'Data Sheet'!I44</f>
      </c>
      <c r="J8" s="30">
        <f>'Data Sheet'!J44</f>
      </c>
      <c r="K8" s="133">
        <f>'Data Sheet'!K44</f>
      </c>
    </row>
    <row r="9" spans="1:11" x14ac:dyDescent="0.25">
      <c r="A9" s="132" t="s">
        <v>8</v>
      </c>
      <c r="B9" s="30">
        <f>'Data Sheet'!B45</f>
      </c>
      <c r="C9" s="30">
        <f>'Data Sheet'!C45</f>
      </c>
      <c r="D9" s="30">
        <f>'Data Sheet'!D45</f>
      </c>
      <c r="E9" s="30">
        <f>'Data Sheet'!E45</f>
      </c>
      <c r="F9" s="30">
        <f>'Data Sheet'!F45</f>
      </c>
      <c r="G9" s="30">
        <f>'Data Sheet'!G45</f>
      </c>
      <c r="H9" s="30">
        <f>'Data Sheet'!H45</f>
      </c>
      <c r="I9" s="30">
        <f>'Data Sheet'!I45</f>
      </c>
      <c r="J9" s="30">
        <f>'Data Sheet'!J45</f>
      </c>
      <c r="K9" s="133">
        <f>'Data Sheet'!K45</f>
      </c>
    </row>
    <row r="10" spans="1:11" x14ac:dyDescent="0.25">
      <c r="A10" s="132" t="s">
        <v>9</v>
      </c>
      <c r="B10" s="30">
        <f>'Data Sheet'!B46</f>
      </c>
      <c r="C10" s="30">
        <f>'Data Sheet'!C46</f>
      </c>
      <c r="D10" s="30">
        <f>'Data Sheet'!D46</f>
      </c>
      <c r="E10" s="30">
        <f>'Data Sheet'!E46</f>
      </c>
      <c r="F10" s="30">
        <f>'Data Sheet'!F46</f>
      </c>
      <c r="G10" s="30">
        <f>'Data Sheet'!G46</f>
      </c>
      <c r="H10" s="30">
        <f>'Data Sheet'!H46</f>
      </c>
      <c r="I10" s="30">
        <f>'Data Sheet'!I46</f>
      </c>
      <c r="J10" s="30">
        <f>'Data Sheet'!J46</f>
      </c>
      <c r="K10" s="133">
        <f>'Data Sheet'!K46</f>
      </c>
    </row>
    <row r="11" spans="1:11" x14ac:dyDescent="0.25">
      <c r="A11" s="132" t="s">
        <v>10</v>
      </c>
      <c r="B11" s="30">
        <f>'Data Sheet'!B47</f>
      </c>
      <c r="C11" s="30">
        <f>'Data Sheet'!C47</f>
      </c>
      <c r="D11" s="30">
        <f>'Data Sheet'!D47</f>
      </c>
      <c r="E11" s="30">
        <f>'Data Sheet'!E47</f>
      </c>
      <c r="F11" s="30">
        <f>'Data Sheet'!F47</f>
      </c>
      <c r="G11" s="30">
        <f>'Data Sheet'!G47</f>
      </c>
      <c r="H11" s="30">
        <f>'Data Sheet'!H47</f>
      </c>
      <c r="I11" s="30">
        <f>'Data Sheet'!I47</f>
      </c>
      <c r="J11" s="30">
        <f>'Data Sheet'!J47</f>
      </c>
      <c r="K11" s="133">
        <f>'Data Sheet'!K47</f>
      </c>
    </row>
    <row r="12" spans="1:11" ht="13" x14ac:dyDescent="0.3">
      <c r="A12" s="129" t="s">
        <v>100</v>
      </c>
      <c r="B12" s="117">
        <f>B11/B4</f>
      </c>
      <c r="C12" s="117">
        <f t="shared" ref="C12:K12" si="1">C11/C4</f>
      </c>
      <c r="D12" s="117">
        <f t="shared" si="1"/>
      </c>
      <c r="E12" s="117">
        <f t="shared" si="1"/>
      </c>
      <c r="F12" s="117">
        <f t="shared" si="1"/>
      </c>
      <c r="G12" s="117">
        <f t="shared" si="1"/>
      </c>
      <c r="H12" s="117">
        <f t="shared" si="1"/>
      </c>
      <c r="I12" s="117">
        <f t="shared" si="1"/>
      </c>
      <c r="J12" s="117">
        <f t="shared" si="1"/>
      </c>
      <c r="K12" s="131">
        <f t="shared" si="1"/>
      </c>
    </row>
    <row r="13" spans="1:11" s="12" customFormat="1" ht="13" x14ac:dyDescent="0.3">
      <c r="A13" s="129" t="s">
        <v>92</v>
      </c>
      <c r="B13" s="130"/>
      <c r="C13" s="130"/>
      <c r="D13" s="130"/>
      <c r="E13" s="130"/>
      <c r="F13" s="117">
        <f>F11/B11-1</f>
      </c>
      <c r="G13" s="117">
        <f>G11/C11-1</f>
      </c>
      <c r="H13" s="117">
        <f>H11/D11-1</f>
      </c>
      <c r="I13" s="117">
        <f>I11/E11-1</f>
      </c>
      <c r="J13" s="117">
        <f>J11/F11-1</f>
      </c>
      <c r="K13" s="131">
        <f t="shared" ref="K13" si="2">K11/G11-1</f>
      </c>
    </row>
    <row r="14" spans="1:11" x14ac:dyDescent="0.25">
      <c r="A14" s="132" t="s">
        <v>11</v>
      </c>
      <c r="B14" s="30">
        <f>'Data Sheet'!B48</f>
      </c>
      <c r="C14" s="30">
        <f>'Data Sheet'!C48</f>
      </c>
      <c r="D14" s="30">
        <f>'Data Sheet'!D48</f>
      </c>
      <c r="E14" s="30">
        <f>'Data Sheet'!E48</f>
      </c>
      <c r="F14" s="30">
        <f>'Data Sheet'!F48</f>
      </c>
      <c r="G14" s="30">
        <f>'Data Sheet'!G48</f>
      </c>
      <c r="H14" s="30">
        <f>'Data Sheet'!H48</f>
      </c>
      <c r="I14" s="30">
        <f>'Data Sheet'!I48</f>
      </c>
      <c r="J14" s="30">
        <f>'Data Sheet'!J48</f>
      </c>
      <c r="K14" s="133">
        <f>'Data Sheet'!K48</f>
      </c>
    </row>
    <row r="15" spans="1:11" s="7" customFormat="1" ht="13" x14ac:dyDescent="0.3">
      <c r="A15" s="127" t="s">
        <v>12</v>
      </c>
      <c r="B15" s="118">
        <f>'Data Sheet'!B49</f>
      </c>
      <c r="C15" s="118">
        <f>'Data Sheet'!C49</f>
      </c>
      <c r="D15" s="118">
        <f>'Data Sheet'!D49</f>
      </c>
      <c r="E15" s="118">
        <f>'Data Sheet'!E49</f>
      </c>
      <c r="F15" s="118">
        <f>'Data Sheet'!F49</f>
      </c>
      <c r="G15" s="118">
        <f>'Data Sheet'!G49</f>
      </c>
      <c r="H15" s="118">
        <f>'Data Sheet'!H49</f>
      </c>
      <c r="I15" s="118">
        <f>'Data Sheet'!I49</f>
      </c>
      <c r="J15" s="118">
        <f>'Data Sheet'!J49</f>
      </c>
      <c r="K15" s="128">
        <f>'Data Sheet'!K49</f>
      </c>
    </row>
    <row r="16" spans="1:11" s="12" customFormat="1" ht="13" x14ac:dyDescent="0.3">
      <c r="A16" s="129" t="s">
        <v>92</v>
      </c>
      <c r="B16" s="130"/>
      <c r="C16" s="130"/>
      <c r="D16" s="130"/>
      <c r="E16" s="130"/>
      <c r="F16" s="117">
        <f>F15/B15-1</f>
      </c>
      <c r="G16" s="117">
        <f t="shared" ref="G16" si="3">G15/C15-1</f>
      </c>
      <c r="H16" s="117">
        <f t="shared" ref="H16" si="4">H15/D15-1</f>
      </c>
      <c r="I16" s="117">
        <f t="shared" ref="I16" si="5">I15/E15-1</f>
      </c>
      <c r="J16" s="117">
        <f t="shared" ref="J16" si="6">J15/F15-1</f>
      </c>
      <c r="K16" s="131">
        <f t="shared" ref="K16" si="7">K15/G15-1</f>
      </c>
    </row>
    <row r="17" spans="1:12" s="7" customFormat="1" ht="13" x14ac:dyDescent="0.3">
      <c r="A17" s="134" t="s">
        <v>15</v>
      </c>
      <c r="B17" s="135">
        <f t="shared" ref="B17:K17" si="8">IF(B4&gt;0,B7/B4,"")</f>
      </c>
      <c r="C17" s="135">
        <f t="shared" si="8"/>
      </c>
      <c r="D17" s="135">
        <f t="shared" si="8"/>
      </c>
      <c r="E17" s="135">
        <f t="shared" si="8"/>
      </c>
      <c r="F17" s="135">
        <f t="shared" si="8"/>
      </c>
      <c r="G17" s="135">
        <f t="shared" si="8"/>
      </c>
      <c r="H17" s="135">
        <f t="shared" si="8"/>
      </c>
      <c r="I17" s="135">
        <f t="shared" si="8"/>
      </c>
      <c r="J17" s="135">
        <f t="shared" si="8"/>
      </c>
      <c r="K17" s="136">
        <f t="shared" si="8"/>
      </c>
      <c r="L17" s="12"/>
    </row>
    <row r="25" spans="1:12" s="26" customFormat="1" x14ac:dyDescent="0.2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defaultColWidth="9.1796875" defaultRowHeight="12.5" x14ac:dyDescent="0.25"/>
  <cols>
    <col min="1" max="1" width="25.1796875" style="14" bestFit="1" customWidth="1"/>
    <col min="2" max="2" width="13.90625" style="14" bestFit="1" customWidth="1"/>
    <col min="3" max="8" width="9.81640625" style="14" bestFit="1" customWidth="1"/>
    <col min="9" max="11" width="10.81640625" style="14" bestFit="1" customWidth="1"/>
    <col min="12" max="16384" width="9.1796875" style="14"/>
  </cols>
  <sheetData>
    <row r="1" spans="1:11" s="11" customFormat="1" ht="13" x14ac:dyDescent="0.3">
      <c r="A1" s="11" t="s">
        <v>0</v>
      </c>
      <c r="B1" s="11" t="s">
        <v>58</v>
      </c>
      <c r="E1" s="315" t="str">
        <f>IF(B2&lt;&gt;B3, "A NEW VERSION OF THE WORKSHEET IS AVAILABLE", "")</f>
      </c>
      <c r="F1" s="315"/>
      <c r="G1" s="315"/>
      <c r="H1" s="315"/>
      <c r="I1" s="315"/>
      <c r="J1" s="315"/>
      <c r="K1" s="315"/>
    </row>
    <row r="2" spans="1:11" ht="13" x14ac:dyDescent="0.3">
      <c r="A2" s="11" t="s">
        <v>56</v>
      </c>
      <c r="B2" s="14">
        <v>2.1</v>
      </c>
      <c r="E2" s="316" t="s">
        <v>31</v>
      </c>
      <c r="F2" s="316"/>
      <c r="G2" s="316"/>
      <c r="H2" s="316"/>
      <c r="I2" s="316"/>
      <c r="J2" s="316"/>
      <c r="K2" s="316"/>
    </row>
    <row r="3" spans="1:11" ht="13" x14ac:dyDescent="0.3">
      <c r="A3" s="11" t="s">
        <v>57</v>
      </c>
      <c r="B3" s="14">
        <v>2.1</v>
      </c>
    </row>
    <row r="4" spans="1:11" ht="13" x14ac:dyDescent="0.3">
      <c r="A4" s="11"/>
    </row>
    <row r="5" spans="1:11" ht="13" x14ac:dyDescent="0.3">
      <c r="A5" s="11" t="s">
        <v>59</v>
      </c>
    </row>
    <row r="6" spans="1:11" x14ac:dyDescent="0.25">
      <c r="A6" s="14" t="s">
        <v>37</v>
      </c>
      <c r="B6" s="14">
        <f>IF(B9&gt;0, B9/B8, 0)</f>
      </c>
    </row>
    <row r="7" spans="1:11" x14ac:dyDescent="0.25">
      <c r="A7" s="14" t="s">
        <v>26</v>
      </c>
      <c r="B7" s="8">
        <v>2.00</v>
      </c>
    </row>
    <row r="8" spans="1:11" x14ac:dyDescent="0.25">
      <c r="A8" s="14" t="s">
        <v>38</v>
      </c>
      <c r="B8" s="8">
        <v>842.75</v>
      </c>
    </row>
    <row r="9" spans="1:11" x14ac:dyDescent="0.25">
      <c r="A9" s="14" t="s">
        <v>73</v>
      </c>
      <c r="B9" s="8">
        <v>310127.32</v>
      </c>
    </row>
    <row r="15" spans="1:11" ht="13" x14ac:dyDescent="0.3">
      <c r="A15" s="11" t="s">
        <v>32</v>
      </c>
    </row>
    <row r="16" spans="1:11" s="28" customFormat="1" ht="13" x14ac:dyDescent="0.3">
      <c r="A16" s="27" t="s">
        <v>33</v>
      </c>
      <c r="B16" s="9">
        <v>42094.0</v>
      </c>
      <c r="C16" s="9">
        <v>42460.0</v>
      </c>
      <c r="D16" s="9">
        <v>42825.0</v>
      </c>
      <c r="E16" s="9">
        <v>43190.0</v>
      </c>
      <c r="F16" s="9">
        <v>43555.0</v>
      </c>
      <c r="G16" s="9">
        <v>43921.0</v>
      </c>
      <c r="H16" s="9">
        <v>44286.0</v>
      </c>
      <c r="I16" s="9">
        <v>44651.0</v>
      </c>
      <c r="J16" s="9">
        <v>45016.0</v>
      </c>
      <c r="K16" s="9">
        <v>45382.0</v>
      </c>
    </row>
    <row r="17" spans="1:11" x14ac:dyDescent="0.25">
      <c r="A17" s="14" t="s">
        <v>4</v>
      </c>
      <c r="B17" s="8">
        <v>263158.98</v>
      </c>
      <c r="C17" s="8">
        <v>273045.6</v>
      </c>
      <c r="D17" s="8">
        <v>269692.51</v>
      </c>
      <c r="E17" s="8">
        <v>291550.48</v>
      </c>
      <c r="F17" s="8">
        <v>301938.4</v>
      </c>
      <c r="G17" s="8">
        <v>261067.97</v>
      </c>
      <c r="H17" s="8">
        <v>249794.75</v>
      </c>
      <c r="I17" s="8">
        <v>278453.62</v>
      </c>
      <c r="J17" s="8">
        <v>345966.97</v>
      </c>
      <c r="K17" s="8">
        <v>437927.77</v>
      </c>
    </row>
    <row r="18" spans="1:11" ht="14.5" x14ac:dyDescent="0.35">
      <c r="A18" s="14" t="s">
        <v>74</v>
      </c>
      <c r="B18">
        <v>163250.36</v>
      </c>
      <c r="C18">
        <v>166134.01</v>
      </c>
      <c r="D18">
        <v>173294.08</v>
      </c>
      <c r="E18">
        <v>187896.58</v>
      </c>
      <c r="F18">
        <v>194267.91</v>
      </c>
      <c r="G18">
        <v>164899.82</v>
      </c>
      <c r="H18">
        <v>153607.36</v>
      </c>
      <c r="I18">
        <v>179295.33</v>
      </c>
      <c r="J18">
        <v>231251.26</v>
      </c>
      <c r="K18">
        <v>274321.23</v>
      </c>
    </row>
    <row r="19" spans="1:11" ht="14.5" x14ac:dyDescent="0.35">
      <c r="A19" s="14" t="s">
        <v>75</v>
      </c>
      <c r="B19">
        <v>3330.35</v>
      </c>
      <c r="C19">
        <v>2750.99</v>
      </c>
      <c r="D19">
        <v>7399.92</v>
      </c>
      <c r="E19">
        <v>2046.58</v>
      </c>
      <c r="F19">
        <v>-2053.28</v>
      </c>
      <c r="G19">
        <v>-2231.19</v>
      </c>
      <c r="H19">
        <v>-4684.16</v>
      </c>
      <c r="I19">
        <v>-1590.49</v>
      </c>
      <c r="J19">
        <v>4781.62</v>
      </c>
      <c r="K19">
        <v>1565.53</v>
      </c>
    </row>
    <row r="20" spans="1:11" x14ac:dyDescent="0.25">
      <c r="A20" s="14" t="s">
        <v>76</v>
      </c>
      <c r="B20" s="8">
        <v>1121.75</v>
      </c>
      <c r="C20" s="8">
        <v>1143.63</v>
      </c>
      <c r="D20" s="8">
        <v>1159.82</v>
      </c>
      <c r="E20" s="8">
        <v>1308.08</v>
      </c>
      <c r="F20" s="8">
        <v>1585.93</v>
      </c>
      <c r="G20" s="8">
        <v>1264.95</v>
      </c>
      <c r="H20" s="8">
        <v>1112.87</v>
      </c>
      <c r="I20" s="8">
        <v>2178.29</v>
      </c>
      <c r="J20" s="8">
        <v>2513.33</v>
      </c>
      <c r="K20" s="8">
        <v>2195.12</v>
      </c>
    </row>
    <row r="21" spans="1:11" x14ac:dyDescent="0.25">
      <c r="A21" s="14" t="s">
        <v>77</v>
      </c>
      <c r="B21" s="8">
        <v>16173.17</v>
      </c>
      <c r="C21" s="8">
        <v>12101.53</v>
      </c>
      <c r="D21" s="8">
        <v>10067.37</v>
      </c>
      <c r="E21" s="8">
        <v>10971.66</v>
      </c>
      <c r="F21" s="8">
        <v>11694.54</v>
      </c>
      <c r="G21" s="8">
        <v>11541.51</v>
      </c>
      <c r="H21" s="8">
        <v>8273.17</v>
      </c>
      <c r="I21" s="8">
        <v>9427.38</v>
      </c>
      <c r="J21" s="8">
        <v>11765.97</v>
      </c>
      <c r="K21" s="8">
        <v>17114.33</v>
      </c>
    </row>
    <row r="22" spans="1:11" x14ac:dyDescent="0.25">
      <c r="A22" s="14" t="s">
        <v>78</v>
      </c>
      <c r="B22" s="8">
        <v>25641.95</v>
      </c>
      <c r="C22" s="8">
        <v>28880.89</v>
      </c>
      <c r="D22" s="8">
        <v>28332.89</v>
      </c>
      <c r="E22" s="8">
        <v>30300.09</v>
      </c>
      <c r="F22" s="8">
        <v>33243.87</v>
      </c>
      <c r="G22" s="8">
        <v>30438.6</v>
      </c>
      <c r="H22" s="8">
        <v>27648.48</v>
      </c>
      <c r="I22" s="8">
        <v>30808.52</v>
      </c>
      <c r="J22" s="8">
        <v>33654.7</v>
      </c>
      <c r="K22" s="8">
        <v>42486.64</v>
      </c>
    </row>
    <row r="23" spans="1:11" x14ac:dyDescent="0.25">
      <c r="A23" s="14" t="s">
        <v>79</v>
      </c>
      <c r="B23" s="8">
        <v>23603.01</v>
      </c>
      <c r="C23" s="8">
        <v>21991.9</v>
      </c>
      <c r="D23" s="8">
        <v>30039.38</v>
      </c>
      <c r="E23" s="8">
        <v>31004.58</v>
      </c>
      <c r="F23" s="8">
        <v>32719.8</v>
      </c>
      <c r="G23" s="8">
        <v>29248.32</v>
      </c>
      <c r="H23" s="8">
        <v>23015.79</v>
      </c>
      <c r="I23" s="8">
        <v>29205.4</v>
      </c>
      <c r="J23" s="8">
        <v>34839.19</v>
      </c>
      <c r="K23" s="8">
        <v>42765.33</v>
      </c>
    </row>
    <row r="24" spans="1:11" x14ac:dyDescent="0.25">
      <c r="A24" s="14" t="s">
        <v>80</v>
      </c>
      <c r="B24" s="8">
        <v>-2539.56</v>
      </c>
      <c r="C24" s="8">
        <v>7149.38</v>
      </c>
      <c r="D24" s="8">
        <v>4610.2</v>
      </c>
      <c r="E24" s="8">
        <v>658.39</v>
      </c>
      <c r="F24" s="8">
        <v>1708.74</v>
      </c>
      <c r="G24" s="8">
        <v>3456.51</v>
      </c>
      <c r="H24" s="8">
        <v>-834.51</v>
      </c>
      <c r="I24" s="8">
        <v>1228.12</v>
      </c>
      <c r="J24" s="8">
        <v>4908.34</v>
      </c>
      <c r="K24" s="8">
        <v>1072.31</v>
      </c>
    </row>
    <row r="25" spans="1:11" x14ac:dyDescent="0.25">
      <c r="A25" s="14" t="s">
        <v>7</v>
      </c>
      <c r="B25" s="8">
        <v>714.03</v>
      </c>
      <c r="C25" s="8">
        <v>-2669.62</v>
      </c>
      <c r="D25" s="8">
        <v>1869.1</v>
      </c>
      <c r="E25" s="8">
        <v>5932.73</v>
      </c>
      <c r="F25" s="8">
        <v>-26686.25</v>
      </c>
      <c r="G25" s="8">
        <v>101.71</v>
      </c>
      <c r="H25" s="8">
        <v>-11117.83</v>
      </c>
      <c r="I25" s="8">
        <v>2424.05</v>
      </c>
      <c r="J25" s="8">
        <v>6663.97</v>
      </c>
      <c r="K25" s="8">
        <v>5672.66</v>
      </c>
    </row>
    <row r="26" spans="1:11" x14ac:dyDescent="0.25">
      <c r="A26" s="14" t="s">
        <v>8</v>
      </c>
      <c r="B26" s="8">
        <v>13388.63</v>
      </c>
      <c r="C26" s="8">
        <v>16710.78</v>
      </c>
      <c r="D26" s="8">
        <v>17904.99</v>
      </c>
      <c r="E26" s="8">
        <v>21553.59</v>
      </c>
      <c r="F26" s="8">
        <v>23590.63</v>
      </c>
      <c r="G26" s="8">
        <v>21425.43</v>
      </c>
      <c r="H26" s="8">
        <v>23546.71</v>
      </c>
      <c r="I26" s="8">
        <v>24835.69</v>
      </c>
      <c r="J26" s="8">
        <v>24860.36</v>
      </c>
      <c r="K26" s="8">
        <v>27270.13</v>
      </c>
    </row>
    <row r="27" spans="1:11" ht="14.5" x14ac:dyDescent="0.35">
      <c r="A27" s="14" t="s">
        <v>9</v>
      </c>
      <c r="B27" s="8">
        <v>4861.49</v>
      </c>
      <c r="C27" s="8">
        <v>4889.08</v>
      </c>
      <c r="D27" s="8">
        <v>4238.01</v>
      </c>
      <c r="E27" s="8">
        <v>4681.79</v>
      </c>
      <c r="F27" s="8">
        <v>5758.6</v>
      </c>
      <c r="G27" s="8">
        <v>7243.33</v>
      </c>
      <c r="H27" s="8">
        <v>8097.17</v>
      </c>
      <c r="I27" s="8">
        <v>9311.86</v>
      </c>
      <c r="J27">
        <v>10225.48</v>
      </c>
      <c r="K27">
        <v>9985.76</v>
      </c>
    </row>
    <row r="28" spans="1:11" x14ac:dyDescent="0.25">
      <c r="A28" s="14" t="s">
        <v>10</v>
      </c>
      <c r="B28" s="8">
        <v>21702.56</v>
      </c>
      <c r="C28" s="8">
        <v>14125.77</v>
      </c>
      <c r="D28" s="8">
        <v>9314.79</v>
      </c>
      <c r="E28" s="8">
        <v>11155.03</v>
      </c>
      <c r="F28" s="8">
        <v>-31371.15</v>
      </c>
      <c r="G28" s="8">
        <v>-10579.98</v>
      </c>
      <c r="H28" s="8">
        <v>-10474.28</v>
      </c>
      <c r="I28" s="8">
        <v>-7003.41</v>
      </c>
      <c r="J28" s="8">
        <v>3393.93</v>
      </c>
      <c r="K28" s="8">
        <v>27955.11</v>
      </c>
    </row>
    <row r="29" spans="1:11" x14ac:dyDescent="0.25">
      <c r="A29" s="14" t="s">
        <v>11</v>
      </c>
      <c r="B29" s="8">
        <v>7642.91</v>
      </c>
      <c r="C29" s="8">
        <v>3025.05</v>
      </c>
      <c r="D29" s="8">
        <v>3251.23</v>
      </c>
      <c r="E29" s="8">
        <v>4341.93</v>
      </c>
      <c r="F29" s="8">
        <v>-2437.45</v>
      </c>
      <c r="G29" s="8">
        <v>395.25</v>
      </c>
      <c r="H29" s="8">
        <v>2541.86</v>
      </c>
      <c r="I29" s="8">
        <v>4231.29</v>
      </c>
      <c r="J29" s="8">
        <v>704.06</v>
      </c>
      <c r="K29" s="8">
        <v>-3851.64</v>
      </c>
    </row>
    <row r="30" spans="1:11" x14ac:dyDescent="0.25">
      <c r="A30" s="14" t="s">
        <v>12</v>
      </c>
      <c r="B30" s="8">
        <v>13986.29</v>
      </c>
      <c r="C30" s="8">
        <v>11579.31</v>
      </c>
      <c r="D30" s="8">
        <v>7454.36</v>
      </c>
      <c r="E30" s="8">
        <v>8988.91</v>
      </c>
      <c r="F30" s="8">
        <v>-28826.23</v>
      </c>
      <c r="G30" s="8">
        <v>-12070.85</v>
      </c>
      <c r="H30" s="8">
        <v>-13451.39</v>
      </c>
      <c r="I30" s="8">
        <v>-11441.47</v>
      </c>
      <c r="J30" s="8">
        <v>2414.29</v>
      </c>
      <c r="K30" s="8">
        <v>31399.09</v>
      </c>
    </row>
    <row r="31" spans="1:11" x14ac:dyDescent="0.25">
      <c r="A31" s="14" t="s">
        <v>64</v>
      </c>
      <c r="B31" s="8"/>
      <c r="C31" s="8">
        <v>67.92</v>
      </c>
      <c r="D31" s="8"/>
      <c r="E31" s="8"/>
      <c r="F31" s="8"/>
      <c r="G31" s="8"/>
      <c r="H31" s="8"/>
      <c r="I31" s="8"/>
      <c r="J31" s="8">
        <v>766.02</v>
      </c>
      <c r="K31" s="8">
        <v>2299.5</v>
      </c>
    </row>
    <row r="40" spans="1:11" ht="13" x14ac:dyDescent="0.3">
      <c r="A40" s="11" t="s">
        <v>34</v>
      </c>
    </row>
    <row r="41" spans="1:11" s="28" customFormat="1" ht="13" x14ac:dyDescent="0.3">
      <c r="A41" s="27" t="s">
        <v>33</v>
      </c>
      <c r="B41" s="9">
        <v>44651.0</v>
      </c>
      <c r="C41" s="9">
        <v>44742.0</v>
      </c>
      <c r="D41" s="9">
        <v>44834.0</v>
      </c>
      <c r="E41" s="9">
        <v>44926.0</v>
      </c>
      <c r="F41" s="9">
        <v>45016.0</v>
      </c>
      <c r="G41" s="9">
        <v>45107.0</v>
      </c>
      <c r="H41" s="9">
        <v>45199.0</v>
      </c>
      <c r="I41" s="9">
        <v>45291.0</v>
      </c>
      <c r="J41" s="9">
        <v>45382.0</v>
      </c>
      <c r="K41" s="9">
        <v>45473.0</v>
      </c>
    </row>
    <row r="42" spans="1:11" x14ac:dyDescent="0.25">
      <c r="A42" s="14" t="s">
        <v>4</v>
      </c>
      <c r="B42" s="8">
        <v>78439.06</v>
      </c>
      <c r="C42" s="8">
        <v>71934.66</v>
      </c>
      <c r="D42" s="8">
        <v>79611.37</v>
      </c>
      <c r="E42" s="8">
        <v>88488.59</v>
      </c>
      <c r="F42" s="8">
        <v>105932.35</v>
      </c>
      <c r="G42" s="8">
        <v>102236.0</v>
      </c>
      <c r="H42" s="8">
        <v>105128.24</v>
      </c>
      <c r="I42" s="8">
        <v>110577.14</v>
      </c>
      <c r="J42" s="8">
        <v>119986.0</v>
      </c>
      <c r="K42" s="8">
        <v>108048.0</v>
      </c>
    </row>
    <row r="43" spans="1:11" x14ac:dyDescent="0.25">
      <c r="A43" s="14" t="s">
        <v>5</v>
      </c>
      <c r="B43" s="8">
        <v>70156.27</v>
      </c>
      <c r="C43" s="8">
        <v>69521.93</v>
      </c>
      <c r="D43" s="8">
        <v>74039.06</v>
      </c>
      <c r="E43" s="8">
        <v>77668.35</v>
      </c>
      <c r="F43" s="8">
        <v>92817.95</v>
      </c>
      <c r="G43" s="8">
        <v>89019.0</v>
      </c>
      <c r="H43" s="8">
        <v>91361.3</v>
      </c>
      <c r="I43" s="8">
        <v>95158.77</v>
      </c>
      <c r="J43" s="8">
        <v>102851.0</v>
      </c>
      <c r="K43" s="8">
        <v>92263.0</v>
      </c>
    </row>
    <row r="44" spans="1:11" x14ac:dyDescent="0.25">
      <c r="A44" s="14" t="s">
        <v>7</v>
      </c>
      <c r="B44" s="8">
        <v>188.74</v>
      </c>
      <c r="C44" s="8">
        <v>2380.98</v>
      </c>
      <c r="D44" s="8">
        <v>1351.14</v>
      </c>
      <c r="E44" s="8">
        <v>1129.98</v>
      </c>
      <c r="F44" s="8">
        <v>1452.86</v>
      </c>
      <c r="G44" s="8">
        <v>895.0</v>
      </c>
      <c r="H44" s="8">
        <v>1507.05</v>
      </c>
      <c r="I44" s="8">
        <v>1603.76</v>
      </c>
      <c r="J44" s="8">
        <v>1619.0</v>
      </c>
      <c r="K44" s="8">
        <v>1747.0</v>
      </c>
    </row>
    <row r="45" spans="1:11" x14ac:dyDescent="0.25">
      <c r="A45" s="14" t="s">
        <v>8</v>
      </c>
      <c r="B45" s="8">
        <v>6432.11</v>
      </c>
      <c r="C45" s="8">
        <v>5841.04</v>
      </c>
      <c r="D45" s="8">
        <v>5897.34</v>
      </c>
      <c r="E45" s="8">
        <v>6071.78</v>
      </c>
      <c r="F45" s="8">
        <v>7050.2</v>
      </c>
      <c r="G45" s="8">
        <v>6633.0</v>
      </c>
      <c r="H45" s="8">
        <v>6636.42</v>
      </c>
      <c r="I45" s="8">
        <v>6850.0</v>
      </c>
      <c r="J45" s="8">
        <v>7151.0</v>
      </c>
      <c r="K45" s="8">
        <v>6574.0</v>
      </c>
    </row>
    <row r="46" spans="1:11" ht="14.5" x14ac:dyDescent="0.35">
      <c r="A46" s="14" t="s">
        <v>9</v>
      </c>
      <c r="B46">
        <v>2380.52</v>
      </c>
      <c r="C46">
        <v>2420.72</v>
      </c>
      <c r="D46">
        <v>2487.26</v>
      </c>
      <c r="E46">
        <v>2675.83</v>
      </c>
      <c r="F46">
        <v>2641.67</v>
      </c>
      <c r="G46">
        <v>2615.0</v>
      </c>
      <c r="H46">
        <v>2651.69</v>
      </c>
      <c r="I46">
        <v>2484.91</v>
      </c>
      <c r="J46">
        <v>2234.0</v>
      </c>
      <c r="K46">
        <v>2088.0</v>
      </c>
    </row>
    <row r="47" spans="1:11" x14ac:dyDescent="0.25">
      <c r="A47" s="14" t="s">
        <v>10</v>
      </c>
      <c r="B47" s="8">
        <v>-341.1</v>
      </c>
      <c r="C47" s="8">
        <v>-3468.05</v>
      </c>
      <c r="D47" s="8">
        <v>-1461.15</v>
      </c>
      <c r="E47" s="8">
        <v>3202.61</v>
      </c>
      <c r="F47" s="8">
        <v>4875.39</v>
      </c>
      <c r="G47" s="8">
        <v>4864.0</v>
      </c>
      <c r="H47" s="8">
        <v>5985.88</v>
      </c>
      <c r="I47" s="8">
        <v>7687.22</v>
      </c>
      <c r="J47" s="8">
        <v>9369.0</v>
      </c>
      <c r="K47" s="8">
        <v>8870.0</v>
      </c>
    </row>
    <row r="48" spans="1:11" x14ac:dyDescent="0.25">
      <c r="A48" s="14" t="s">
        <v>11</v>
      </c>
      <c r="B48" s="8">
        <v>758.22</v>
      </c>
      <c r="C48" s="8">
        <v>1518.96</v>
      </c>
      <c r="D48" s="8">
        <v>-457.08</v>
      </c>
      <c r="E48" s="8">
        <v>262.83</v>
      </c>
      <c r="F48" s="8">
        <v>-620.65</v>
      </c>
      <c r="G48" s="8">
        <v>1563.0</v>
      </c>
      <c r="H48" s="8">
        <v>2202.84</v>
      </c>
      <c r="I48" s="8">
        <v>541.79</v>
      </c>
      <c r="J48" s="8">
        <v>-8160.0</v>
      </c>
      <c r="K48" s="8">
        <v>3178.0</v>
      </c>
    </row>
    <row r="49" spans="1:11" x14ac:dyDescent="0.25">
      <c r="A49" s="14" t="s">
        <v>12</v>
      </c>
      <c r="B49" s="8">
        <v>-1032.84</v>
      </c>
      <c r="C49" s="8">
        <v>-5006.6</v>
      </c>
      <c r="D49" s="8">
        <v>-944.61</v>
      </c>
      <c r="E49" s="8">
        <v>2957.71</v>
      </c>
      <c r="F49" s="8">
        <v>5407.79</v>
      </c>
      <c r="G49" s="8">
        <v>3203.0</v>
      </c>
      <c r="H49" s="8">
        <v>3764.0</v>
      </c>
      <c r="I49" s="8">
        <v>7025.11</v>
      </c>
      <c r="J49" s="8">
        <v>17407.0</v>
      </c>
      <c r="K49" s="8">
        <v>5566.0</v>
      </c>
    </row>
    <row r="50" spans="1:11" x14ac:dyDescent="0.25">
      <c r="A50" s="14" t="s">
        <v>6</v>
      </c>
      <c r="B50" s="8">
        <v>8282.79</v>
      </c>
      <c r="C50" s="8">
        <v>2412.73</v>
      </c>
      <c r="D50" s="8">
        <v>5572.31</v>
      </c>
      <c r="E50" s="8">
        <v>10820.24</v>
      </c>
      <c r="F50" s="8">
        <v>13114.4</v>
      </c>
      <c r="G50" s="8">
        <v>13217.0</v>
      </c>
      <c r="H50" s="8">
        <v>13766.94</v>
      </c>
      <c r="I50" s="8">
        <v>15418.37</v>
      </c>
      <c r="J50" s="8">
        <v>17135.0</v>
      </c>
      <c r="K50" s="8">
        <v>15785.0</v>
      </c>
    </row>
    <row r="55" spans="1:11" ht="13" x14ac:dyDescent="0.3">
      <c r="A55" s="11" t="s">
        <v>35</v>
      </c>
    </row>
    <row r="56" spans="1:11" s="28" customFormat="1" ht="13" x14ac:dyDescent="0.3">
      <c r="A56" s="27" t="s">
        <v>33</v>
      </c>
      <c r="B56" s="9">
        <v>42094.0</v>
      </c>
      <c r="C56" s="9">
        <v>42460.0</v>
      </c>
      <c r="D56" s="9">
        <v>42825.0</v>
      </c>
      <c r="E56" s="9">
        <v>43190.0</v>
      </c>
      <c r="F56" s="9">
        <v>43555.0</v>
      </c>
      <c r="G56" s="9">
        <v>43921.0</v>
      </c>
      <c r="H56" s="9">
        <v>44286.0</v>
      </c>
      <c r="I56" s="9">
        <v>44651.0</v>
      </c>
      <c r="J56" s="9">
        <v>45016.0</v>
      </c>
      <c r="K56" s="9">
        <v>45382.0</v>
      </c>
    </row>
    <row r="57" spans="1:11" x14ac:dyDescent="0.25">
      <c r="A57" s="14" t="s">
        <v>19</v>
      </c>
      <c r="B57" s="8">
        <v>643.78</v>
      </c>
      <c r="C57" s="8">
        <v>679.18</v>
      </c>
      <c r="D57" s="8">
        <v>679.22</v>
      </c>
      <c r="E57" s="8">
        <v>679.22</v>
      </c>
      <c r="F57" s="8">
        <v>679.22</v>
      </c>
      <c r="G57" s="8">
        <v>719.54</v>
      </c>
      <c r="H57" s="8">
        <v>765.81</v>
      </c>
      <c r="I57" s="8">
        <v>765.88</v>
      </c>
      <c r="J57" s="8">
        <v>766.02</v>
      </c>
      <c r="K57" s="8">
        <v>766.5</v>
      </c>
    </row>
    <row r="58" spans="1:11" x14ac:dyDescent="0.25">
      <c r="A58" s="14" t="s">
        <v>20</v>
      </c>
      <c r="B58" s="8">
        <v>55618.14</v>
      </c>
      <c r="C58" s="8">
        <v>78273.23</v>
      </c>
      <c r="D58" s="8">
        <v>57382.67</v>
      </c>
      <c r="E58" s="8">
        <v>94748.69</v>
      </c>
      <c r="F58" s="8">
        <v>59500.34</v>
      </c>
      <c r="G58" s="8">
        <v>61491.49</v>
      </c>
      <c r="H58" s="8">
        <v>54480.91</v>
      </c>
      <c r="I58" s="8">
        <v>43795.36</v>
      </c>
      <c r="J58" s="8">
        <v>44555.77</v>
      </c>
      <c r="K58" s="8">
        <v>84151.52</v>
      </c>
    </row>
    <row r="59" spans="1:11" ht="14.5" x14ac:dyDescent="0.35">
      <c r="A59" s="14" t="s">
        <v>65</v>
      </c>
      <c r="B59">
        <v>73610.39</v>
      </c>
      <c r="C59">
        <v>69359.96</v>
      </c>
      <c r="D59">
        <v>78603.98</v>
      </c>
      <c r="E59">
        <v>88950.47</v>
      </c>
      <c r="F59">
        <v>106175.34</v>
      </c>
      <c r="G59">
        <v>124787.64</v>
      </c>
      <c r="H59">
        <v>142130.57</v>
      </c>
      <c r="I59">
        <v>146449.03</v>
      </c>
      <c r="J59">
        <v>134113.44</v>
      </c>
      <c r="K59">
        <v>107262.5</v>
      </c>
    </row>
    <row r="60" spans="1:11" x14ac:dyDescent="0.25">
      <c r="A60" s="14" t="s">
        <v>66</v>
      </c>
      <c r="B60" s="8">
        <v>107442.48</v>
      </c>
      <c r="C60" s="8">
        <v>114871.75</v>
      </c>
      <c r="D60" s="8">
        <v>135914.49</v>
      </c>
      <c r="E60" s="8">
        <v>142813.43</v>
      </c>
      <c r="F60" s="8">
        <v>139348.59</v>
      </c>
      <c r="G60" s="8">
        <v>133180.72</v>
      </c>
      <c r="H60" s="8">
        <v>144192.62</v>
      </c>
      <c r="I60" s="8">
        <v>138051.22</v>
      </c>
      <c r="J60" s="8">
        <v>155239.2</v>
      </c>
      <c r="K60" s="8">
        <v>177340.09</v>
      </c>
    </row>
    <row r="61" spans="1:11" s="11" customFormat="1" ht="13" x14ac:dyDescent="0.3">
      <c r="A61" s="11" t="s">
        <v>21</v>
      </c>
      <c r="B61" s="8">
        <v>237314.79</v>
      </c>
      <c r="C61" s="8">
        <v>263184.12</v>
      </c>
      <c r="D61" s="8">
        <v>272580.36</v>
      </c>
      <c r="E61" s="8">
        <v>327191.81</v>
      </c>
      <c r="F61" s="8">
        <v>305703.49</v>
      </c>
      <c r="G61" s="8">
        <v>320179.39</v>
      </c>
      <c r="H61" s="8">
        <v>341569.91</v>
      </c>
      <c r="I61" s="8">
        <v>329061.49</v>
      </c>
      <c r="J61" s="8">
        <v>334674.43</v>
      </c>
      <c r="K61" s="8">
        <v>369520.61</v>
      </c>
    </row>
    <row r="62" spans="1:11" x14ac:dyDescent="0.25">
      <c r="A62" s="14" t="s">
        <v>22</v>
      </c>
      <c r="B62" s="8">
        <v>88479.49</v>
      </c>
      <c r="C62" s="8">
        <v>107231.76</v>
      </c>
      <c r="D62" s="8">
        <v>95944.08</v>
      </c>
      <c r="E62" s="8">
        <v>121413.86</v>
      </c>
      <c r="F62" s="8">
        <v>111234.47</v>
      </c>
      <c r="G62" s="8">
        <v>127107.14</v>
      </c>
      <c r="H62" s="8">
        <v>138707.61</v>
      </c>
      <c r="I62" s="8">
        <v>138855.45</v>
      </c>
      <c r="J62" s="8">
        <v>132079.76</v>
      </c>
      <c r="K62" s="8">
        <v>121285.46</v>
      </c>
    </row>
    <row r="63" spans="1:11" x14ac:dyDescent="0.25">
      <c r="A63" s="14" t="s">
        <v>23</v>
      </c>
      <c r="B63" s="8">
        <v>28640.09</v>
      </c>
      <c r="C63" s="8">
        <v>25918.94</v>
      </c>
      <c r="D63" s="8">
        <v>33698.84</v>
      </c>
      <c r="E63" s="8">
        <v>40033.5</v>
      </c>
      <c r="F63" s="8">
        <v>31883.84</v>
      </c>
      <c r="G63" s="8">
        <v>35622.29</v>
      </c>
      <c r="H63" s="8">
        <v>20963.93</v>
      </c>
      <c r="I63" s="8">
        <v>10251.09</v>
      </c>
      <c r="J63" s="8">
        <v>14274.5</v>
      </c>
      <c r="K63" s="8">
        <v>35698.43</v>
      </c>
    </row>
    <row r="64" spans="1:11" ht="14.5" x14ac:dyDescent="0.35">
      <c r="A64" s="14" t="s">
        <v>24</v>
      </c>
      <c r="B64" s="8">
        <v>15336.74</v>
      </c>
      <c r="C64">
        <v>23767.02</v>
      </c>
      <c r="D64" s="8">
        <v>20337.92</v>
      </c>
      <c r="E64" s="8">
        <v>20812.75</v>
      </c>
      <c r="F64" s="8">
        <v>15770.72</v>
      </c>
      <c r="G64" s="8">
        <v>16308.48</v>
      </c>
      <c r="H64" s="8">
        <v>24620.28</v>
      </c>
      <c r="I64" s="8">
        <v>29379.53</v>
      </c>
      <c r="J64" s="8">
        <v>26379.16</v>
      </c>
      <c r="K64" s="8">
        <v>22971.07</v>
      </c>
    </row>
    <row r="65" spans="1:11" x14ac:dyDescent="0.25">
      <c r="A65" s="14" t="s">
        <v>67</v>
      </c>
      <c r="B65" s="8">
        <v>104858.47</v>
      </c>
      <c r="C65" s="8">
        <v>106266.4</v>
      </c>
      <c r="D65" s="8">
        <v>122599.52</v>
      </c>
      <c r="E65" s="8">
        <v>144931.7</v>
      </c>
      <c r="F65" s="8">
        <v>146814.46</v>
      </c>
      <c r="G65" s="8">
        <v>141141.48</v>
      </c>
      <c r="H65" s="8">
        <v>157278.09</v>
      </c>
      <c r="I65" s="8">
        <v>150575.42</v>
      </c>
      <c r="J65" s="8">
        <v>161941.01</v>
      </c>
      <c r="K65" s="8">
        <v>189565.65</v>
      </c>
    </row>
    <row r="66" spans="1:11" s="11" customFormat="1" ht="13" x14ac:dyDescent="0.3">
      <c r="A66" s="11" t="s">
        <v>21</v>
      </c>
      <c r="B66" s="8">
        <v>237314.79</v>
      </c>
      <c r="C66" s="8">
        <v>263184.12</v>
      </c>
      <c r="D66" s="8">
        <v>272580.36</v>
      </c>
      <c r="E66" s="8">
        <v>327191.81</v>
      </c>
      <c r="F66" s="8">
        <v>305703.49</v>
      </c>
      <c r="G66" s="8">
        <v>320179.39</v>
      </c>
      <c r="H66" s="8">
        <v>341569.91</v>
      </c>
      <c r="I66" s="8">
        <v>329061.49</v>
      </c>
      <c r="J66" s="8">
        <v>334674.43</v>
      </c>
      <c r="K66" s="8">
        <v>369520.61</v>
      </c>
    </row>
    <row r="67" spans="1:11" x14ac:dyDescent="0.25">
      <c r="A67" s="14" t="s">
        <v>72</v>
      </c>
      <c r="B67" s="8">
        <v>12579.2</v>
      </c>
      <c r="C67" s="8">
        <v>13570.91</v>
      </c>
      <c r="D67" s="8">
        <v>14075.55</v>
      </c>
      <c r="E67" s="8">
        <v>19893.3</v>
      </c>
      <c r="F67" s="8">
        <v>18996.17</v>
      </c>
      <c r="G67" s="8">
        <v>11172.69</v>
      </c>
      <c r="H67" s="8">
        <v>12679.08</v>
      </c>
      <c r="I67" s="8">
        <v>12442.12</v>
      </c>
      <c r="J67" s="8">
        <v>15737.97</v>
      </c>
      <c r="K67" s="8">
        <v>16951.81</v>
      </c>
    </row>
    <row r="68" spans="1:11" ht="14.5" x14ac:dyDescent="0.35">
      <c r="A68" s="14" t="s">
        <v>40</v>
      </c>
      <c r="B68">
        <v>29272.34</v>
      </c>
      <c r="C68">
        <v>32655.73</v>
      </c>
      <c r="D68">
        <v>35085.31</v>
      </c>
      <c r="E68">
        <v>42137.63</v>
      </c>
      <c r="F68">
        <v>39013.73</v>
      </c>
      <c r="G68">
        <v>37456.88</v>
      </c>
      <c r="H68">
        <v>36088.59</v>
      </c>
      <c r="I68">
        <v>35240.34</v>
      </c>
      <c r="J68">
        <v>40755.39</v>
      </c>
      <c r="K68">
        <v>47788.29</v>
      </c>
    </row>
    <row r="69" spans="1:11" x14ac:dyDescent="0.25">
      <c r="A69" s="14" t="s">
        <v>81</v>
      </c>
      <c r="B69" s="8">
        <v>32115.76</v>
      </c>
      <c r="C69" s="8">
        <v>30460.4</v>
      </c>
      <c r="D69" s="8">
        <v>36077.88</v>
      </c>
      <c r="E69" s="8">
        <v>34613.91</v>
      </c>
      <c r="F69" s="8">
        <v>32648.82</v>
      </c>
      <c r="G69" s="8">
        <v>33726.97</v>
      </c>
      <c r="H69" s="8">
        <v>46792.46</v>
      </c>
      <c r="I69" s="8">
        <v>40669.19</v>
      </c>
      <c r="J69" s="8">
        <v>37015.56</v>
      </c>
      <c r="K69" s="8">
        <v>45806.69</v>
      </c>
    </row>
    <row r="70" spans="1:11" x14ac:dyDescent="0.25">
      <c r="A70" s="14" t="s">
        <v>68</v>
      </c>
      <c r="B70" s="8">
        <v>3218930067.0</v>
      </c>
      <c r="C70" s="8">
        <v>3395930306.0</v>
      </c>
      <c r="D70" s="8">
        <v>3396100719.0</v>
      </c>
      <c r="E70" s="8">
        <v>3396100719.0</v>
      </c>
      <c r="F70" s="8">
        <v>3396100719.0</v>
      </c>
      <c r="G70" s="8">
        <v>3597726185.0</v>
      </c>
      <c r="H70" s="8">
        <v>3829060661.0</v>
      </c>
      <c r="I70" s="8">
        <v>3829414903.0</v>
      </c>
      <c r="J70" s="8">
        <v>3830097221.0</v>
      </c>
      <c r="K70" s="8">
        <v>3832491897.0</v>
      </c>
    </row>
    <row r="71" spans="1:11" x14ac:dyDescent="0.25">
      <c r="A71" s="14" t="s">
        <v>69</v>
      </c>
    </row>
    <row r="72" spans="1:11" x14ac:dyDescent="0.25">
      <c r="A72" s="14" t="s">
        <v>82</v>
      </c>
      <c r="B72" s="8">
        <v>2.0</v>
      </c>
      <c r="C72" s="8">
        <v>2.0</v>
      </c>
      <c r="D72" s="8">
        <v>2.0</v>
      </c>
      <c r="E72" s="8">
        <v>2.0</v>
      </c>
      <c r="F72" s="8">
        <v>2.0</v>
      </c>
      <c r="G72" s="8">
        <v>2.0</v>
      </c>
      <c r="H72" s="8">
        <v>2.0</v>
      </c>
      <c r="I72" s="8">
        <v>2.0</v>
      </c>
      <c r="J72" s="8">
        <v>2.0</v>
      </c>
      <c r="K72" s="8">
        <v>2.0</v>
      </c>
    </row>
    <row r="80" spans="1:11" ht="13" x14ac:dyDescent="0.3">
      <c r="A80" s="11" t="s">
        <v>36</v>
      </c>
    </row>
    <row r="81" spans="1:12" s="28" customFormat="1" ht="13" x14ac:dyDescent="0.3">
      <c r="A81" s="27" t="s">
        <v>33</v>
      </c>
      <c r="B81" s="9">
        <v>42094.0</v>
      </c>
      <c r="C81" s="9">
        <v>42460.0</v>
      </c>
      <c r="D81" s="9">
        <v>42825.0</v>
      </c>
      <c r="E81" s="9">
        <v>43190.0</v>
      </c>
      <c r="F81" s="9">
        <v>43555.0</v>
      </c>
      <c r="G81" s="9">
        <v>43921.0</v>
      </c>
      <c r="H81" s="9">
        <v>44286.0</v>
      </c>
      <c r="I81" s="9">
        <v>44651.0</v>
      </c>
      <c r="J81" s="9">
        <v>45016.0</v>
      </c>
      <c r="K81" s="9">
        <v>45382.0</v>
      </c>
      <c r="L81" s="9"/>
    </row>
    <row r="82" spans="1:12" s="11" customFormat="1" ht="13" x14ac:dyDescent="0.3">
      <c r="A82" s="14" t="s">
        <v>27</v>
      </c>
      <c r="B82" s="8">
        <v>35531.26</v>
      </c>
      <c r="C82" s="8">
        <v>37899.54</v>
      </c>
      <c r="D82" s="8">
        <v>30199.25</v>
      </c>
      <c r="E82" s="8">
        <v>23857.42</v>
      </c>
      <c r="F82" s="8">
        <v>18890.75</v>
      </c>
      <c r="G82" s="8">
        <v>26632.94</v>
      </c>
      <c r="H82" s="8">
        <v>29000.51</v>
      </c>
      <c r="I82" s="8">
        <v>14282.83</v>
      </c>
      <c r="J82" s="8">
        <v>35388.01</v>
      </c>
      <c r="K82" s="8">
        <v>67915.36</v>
      </c>
    </row>
    <row r="83" spans="1:12" x14ac:dyDescent="0.25">
      <c r="A83" s="14" t="s">
        <v>28</v>
      </c>
      <c r="B83" s="8">
        <v>-36232.35</v>
      </c>
      <c r="C83" s="8">
        <v>-36693.9</v>
      </c>
      <c r="D83" s="8">
        <v>-39571.4</v>
      </c>
      <c r="E83" s="8">
        <v>-25139.14</v>
      </c>
      <c r="F83" s="8">
        <v>-20878.07</v>
      </c>
      <c r="G83" s="8">
        <v>-33114.55</v>
      </c>
      <c r="H83" s="8">
        <v>-25672.5</v>
      </c>
      <c r="I83" s="8">
        <v>-4443.66</v>
      </c>
      <c r="J83" s="8">
        <v>-15417.17</v>
      </c>
      <c r="K83" s="8">
        <v>-22781.56</v>
      </c>
    </row>
    <row r="84" spans="1:12" x14ac:dyDescent="0.25">
      <c r="A84" s="14" t="s">
        <v>29</v>
      </c>
      <c r="B84" s="8">
        <v>5201.44</v>
      </c>
      <c r="C84" s="8">
        <v>-3795.12</v>
      </c>
      <c r="D84" s="8">
        <v>6205.3</v>
      </c>
      <c r="E84" s="8">
        <v>2011.71</v>
      </c>
      <c r="F84" s="8">
        <v>8830.37</v>
      </c>
      <c r="G84" s="8">
        <v>3389.61</v>
      </c>
      <c r="H84" s="8">
        <v>9904.2</v>
      </c>
      <c r="I84" s="8">
        <v>-3380.17</v>
      </c>
      <c r="J84" s="8">
        <v>-26242.9</v>
      </c>
      <c r="K84" s="8">
        <v>-37005.99</v>
      </c>
    </row>
    <row r="85" spans="1:12" s="11" customFormat="1" ht="13" x14ac:dyDescent="0.3">
      <c r="A85" s="14" t="s">
        <v>30</v>
      </c>
      <c r="B85" s="8">
        <v>4500.35</v>
      </c>
      <c r="C85" s="8">
        <v>-2589.48</v>
      </c>
      <c r="D85" s="8">
        <v>-3166.85</v>
      </c>
      <c r="E85" s="8">
        <v>729.99</v>
      </c>
      <c r="F85" s="8">
        <v>6843.05</v>
      </c>
      <c r="G85" s="8">
        <v>-3092.0</v>
      </c>
      <c r="H85" s="8">
        <v>13232.21</v>
      </c>
      <c r="I85" s="8">
        <v>6459.0</v>
      </c>
      <c r="J85" s="8">
        <v>-6272.06</v>
      </c>
      <c r="K85" s="8">
        <v>8127.81</v>
      </c>
    </row>
    <row r="90" spans="1:12" s="11" customFormat="1" ht="13" x14ac:dyDescent="0.3">
      <c r="A90" s="11" t="s">
        <v>71</v>
      </c>
      <c r="B90" s="8">
        <v>544.37</v>
      </c>
      <c r="C90" s="8">
        <v>386.6</v>
      </c>
      <c r="D90" s="8">
        <v>465.85</v>
      </c>
      <c r="E90" s="8">
        <v>326.85</v>
      </c>
      <c r="F90" s="8">
        <v>174.25</v>
      </c>
      <c r="G90" s="8">
        <v>71.05</v>
      </c>
      <c r="H90" s="8">
        <v>301.8</v>
      </c>
      <c r="I90" s="8">
        <v>433.75</v>
      </c>
      <c r="J90" s="8">
        <v>420.8</v>
      </c>
      <c r="K90" s="8">
        <v>992.8</v>
      </c>
    </row>
    <row r="92" spans="1:12" s="11" customFormat="1" ht="13" x14ac:dyDescent="0.3">
      <c r="A92" s="11" t="s">
        <v>70</v>
      </c>
    </row>
    <row r="93" spans="1:12" x14ac:dyDescent="0.25">
      <c r="A93" s="14" t="s">
        <v>83</v>
      </c>
      <c r="B93" s="29">
        <v>288.74</v>
      </c>
      <c r="C93" s="29">
        <v>288.72</v>
      </c>
      <c r="D93" s="29">
        <v>288.73</v>
      </c>
      <c r="E93" s="29">
        <v>288.73</v>
      </c>
      <c r="F93" s="29">
        <v>288.73</v>
      </c>
      <c r="G93" s="29">
        <v>308.9</v>
      </c>
      <c r="H93" s="29">
        <v>332.03</v>
      </c>
      <c r="I93" s="29">
        <v>332.07</v>
      </c>
      <c r="J93" s="29">
        <v>332.13</v>
      </c>
      <c r="K93" s="29">
        <v>332.37</v>
      </c>
    </row>
  </sheetData>
  <mergeCells count="2">
    <mergeCell ref="E1:K1"/>
    <mergeCell ref="E2:K2"/>
  </mergeCells>
  <conditionalFormatting sqref="E1:K1">
    <cfRule type="cellIs" dxfId="26"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defaultColWidth="9.1796875" defaultRowHeight="14.5" x14ac:dyDescent="0.35"/>
  <cols>
    <col min="1" max="1" width="9.1796875" style="1"/>
    <col min="2" max="2" width="10.54296875" style="2" customWidth="1"/>
    <col min="3" max="3" width="13.26953125" style="4" customWidth="1"/>
    <col min="4" max="5" width="9.1796875" style="2"/>
    <col min="6" max="6" width="6.81640625" style="2" customWidth="1"/>
    <col min="7" max="16384" width="9.1796875" style="2"/>
  </cols>
  <sheetData>
    <row r="1" spans="1:7" ht="21" x14ac:dyDescent="0.5">
      <c r="A1" s="3" t="s">
        <v>52</v>
      </c>
    </row>
    <row r="3" spans="1:7" x14ac:dyDescent="0.35">
      <c r="A3" s="1" t="s">
        <v>43</v>
      </c>
    </row>
    <row r="4" spans="1:7" x14ac:dyDescent="0.35">
      <c r="B4" s="2" t="s">
        <v>84</v>
      </c>
    </row>
    <row r="5" spans="1:7" x14ac:dyDescent="0.35">
      <c r="B5" s="2" t="s">
        <v>44</v>
      </c>
    </row>
    <row r="7" spans="1:7" x14ac:dyDescent="0.35">
      <c r="A7" s="1" t="s">
        <v>45</v>
      </c>
    </row>
    <row r="8" spans="1:7" x14ac:dyDescent="0.35">
      <c r="B8" s="2" t="s">
        <v>46</v>
      </c>
      <c r="C8" s="5" t="s">
        <v>85</v>
      </c>
    </row>
    <row r="10" spans="1:7" x14ac:dyDescent="0.35">
      <c r="A10" s="1" t="s">
        <v>47</v>
      </c>
    </row>
    <row r="11" spans="1:7" x14ac:dyDescent="0.35">
      <c r="B11" s="2" t="s">
        <v>48</v>
      </c>
    </row>
    <row r="14" spans="1:7" x14ac:dyDescent="0.35">
      <c r="A14" s="1" t="s">
        <v>49</v>
      </c>
    </row>
    <row r="15" spans="1:7" x14ac:dyDescent="0.35">
      <c r="B15" s="2" t="s">
        <v>50</v>
      </c>
    </row>
    <row r="16" spans="1:7" x14ac:dyDescent="0.35">
      <c r="B16" s="2" t="s">
        <v>51</v>
      </c>
      <c r="G16" s="6"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defaultColWidth="9.1796875" defaultRowHeight="13" x14ac:dyDescent="0.3"/>
  <cols>
    <col min="1" max="1" width="34.54296875" style="196" bestFit="1" customWidth="1"/>
    <col min="2" max="2" width="21.36328125" style="196" bestFit="1" customWidth="1"/>
    <col min="3" max="16384" width="9.1796875" style="196"/>
  </cols>
  <sheetData>
    <row r="1" spans="1:11" ht="13.5" thickBot="1" x14ac:dyDescent="0.35">
      <c r="A1" s="294" t="s">
        <v>316</v>
      </c>
      <c r="B1" s="295"/>
    </row>
    <row r="2" spans="1:11" ht="13" customHeight="1" x14ac:dyDescent="0.3">
      <c r="A2" s="296"/>
      <c r="B2" s="297"/>
      <c r="E2" s="387" t="s">
        <v>297</v>
      </c>
      <c r="F2" s="388"/>
      <c r="G2" s="388"/>
      <c r="H2" s="388"/>
      <c r="I2" s="388"/>
      <c r="J2" s="388"/>
      <c r="K2" s="389"/>
    </row>
    <row r="3" spans="1:11" ht="15" customHeight="1" x14ac:dyDescent="0.3">
      <c r="A3" s="296"/>
      <c r="B3" s="297"/>
      <c r="E3" s="390"/>
      <c r="F3" s="391"/>
      <c r="G3" s="391"/>
      <c r="H3" s="391"/>
      <c r="I3" s="391"/>
      <c r="J3" s="391"/>
      <c r="K3" s="392"/>
    </row>
    <row r="4" spans="1:11" ht="15" customHeight="1" x14ac:dyDescent="0.3">
      <c r="A4" s="296"/>
      <c r="B4" s="297"/>
      <c r="E4" s="390"/>
      <c r="F4" s="391"/>
      <c r="G4" s="391"/>
      <c r="H4" s="391"/>
      <c r="I4" s="391"/>
      <c r="J4" s="391"/>
      <c r="K4" s="392"/>
    </row>
    <row r="5" spans="1:11" ht="15" customHeight="1" thickBot="1" x14ac:dyDescent="0.35">
      <c r="A5" s="298"/>
      <c r="B5" s="299"/>
      <c r="E5" s="390"/>
      <c r="F5" s="391"/>
      <c r="G5" s="391"/>
      <c r="H5" s="391"/>
      <c r="I5" s="391"/>
      <c r="J5" s="391"/>
      <c r="K5" s="392"/>
    </row>
    <row r="6" spans="1:11" ht="16" thickBot="1" x14ac:dyDescent="0.4">
      <c r="A6" s="300" t="s">
        <v>212</v>
      </c>
      <c r="B6" s="300"/>
      <c r="E6" s="393"/>
      <c r="F6" s="394"/>
      <c r="G6" s="394"/>
      <c r="H6" s="394"/>
      <c r="I6" s="394"/>
      <c r="J6" s="394"/>
      <c r="K6" s="395"/>
    </row>
    <row r="7" spans="1:11" x14ac:dyDescent="0.3">
      <c r="A7" s="292" t="s">
        <v>213</v>
      </c>
      <c r="B7" s="293"/>
    </row>
    <row r="8" spans="1:11" ht="13.5" thickBot="1" x14ac:dyDescent="0.35">
      <c r="A8" s="197" t="s">
        <v>214</v>
      </c>
      <c r="B8" s="198" t="s">
        <v>215</v>
      </c>
    </row>
    <row r="9" spans="1:11" ht="13" customHeight="1" x14ac:dyDescent="0.3">
      <c r="A9" s="74" t="s">
        <v>216</v>
      </c>
      <c r="B9" s="199" t="str">
        <f>'Data Sheet'!B1</f>
      </c>
      <c r="E9" s="283" t="s">
        <v>245</v>
      </c>
      <c r="F9" s="284"/>
      <c r="G9" s="284"/>
      <c r="H9" s="284"/>
      <c r="I9" s="284"/>
      <c r="J9" s="284"/>
      <c r="K9" s="285"/>
    </row>
    <row r="10" spans="1:11" ht="14.5" customHeight="1" x14ac:dyDescent="0.3">
      <c r="A10" s="74" t="s">
        <v>217</v>
      </c>
      <c r="B10" s="200">
        <f>'Data Sheet'!B8</f>
      </c>
      <c r="E10" s="286"/>
      <c r="F10" s="287"/>
      <c r="G10" s="287"/>
      <c r="H10" s="287"/>
      <c r="I10" s="287"/>
      <c r="J10" s="287"/>
      <c r="K10" s="288"/>
    </row>
    <row r="11" spans="1:11" ht="14.5" customHeight="1" x14ac:dyDescent="0.3">
      <c r="A11" s="74" t="s">
        <v>218</v>
      </c>
      <c r="B11" s="201">
        <f>'Data Sheet'!B7</f>
      </c>
      <c r="E11" s="286"/>
      <c r="F11" s="287"/>
      <c r="G11" s="287"/>
      <c r="H11" s="287"/>
      <c r="I11" s="287"/>
      <c r="J11" s="287"/>
      <c r="K11" s="288"/>
    </row>
    <row r="12" spans="1:11" ht="14.5" customHeight="1" thickBot="1" x14ac:dyDescent="0.35">
      <c r="A12" s="74" t="s">
        <v>219</v>
      </c>
      <c r="B12" s="201">
        <f>'Data Sheet'!B6</f>
      </c>
      <c r="E12" s="289"/>
      <c r="F12" s="290"/>
      <c r="G12" s="290"/>
      <c r="H12" s="290"/>
      <c r="I12" s="290"/>
      <c r="J12" s="290"/>
      <c r="K12" s="291"/>
    </row>
    <row r="13" spans="1:11" x14ac:dyDescent="0.3">
      <c r="A13" s="74" t="s">
        <v>220</v>
      </c>
      <c r="B13" s="200">
        <f>B10*B12</f>
      </c>
    </row>
    <row r="14" spans="1:11" ht="13.5" thickBot="1" x14ac:dyDescent="0.35"/>
    <row r="15" spans="1:11" ht="13" customHeight="1" x14ac:dyDescent="0.3">
      <c r="A15" s="292" t="s">
        <v>224</v>
      </c>
      <c r="B15" s="293"/>
      <c r="E15" s="283" t="s">
        <v>246</v>
      </c>
      <c r="F15" s="284"/>
      <c r="G15" s="284"/>
      <c r="H15" s="284"/>
      <c r="I15" s="284"/>
      <c r="J15" s="284"/>
      <c r="K15" s="285"/>
    </row>
    <row r="16" spans="1:11" ht="14.5" customHeight="1" x14ac:dyDescent="0.3">
      <c r="A16" s="197" t="s">
        <v>214</v>
      </c>
      <c r="B16" s="198" t="s">
        <v>215</v>
      </c>
      <c r="E16" s="286"/>
      <c r="F16" s="287"/>
      <c r="G16" s="287"/>
      <c r="H16" s="287"/>
      <c r="I16" s="287"/>
      <c r="J16" s="287"/>
      <c r="K16" s="288"/>
    </row>
    <row r="17" spans="1:11" ht="14.5" customHeight="1" x14ac:dyDescent="0.3">
      <c r="A17" s="74" t="s">
        <v>225</v>
      </c>
      <c r="B17" s="202">
        <f>'Profit &amp; Loss'!B37</f>
      </c>
      <c r="E17" s="286"/>
      <c r="F17" s="287"/>
      <c r="G17" s="287"/>
      <c r="H17" s="287"/>
      <c r="I17" s="287"/>
      <c r="J17" s="287"/>
      <c r="K17" s="288"/>
    </row>
    <row r="18" spans="1:11" ht="14.5" customHeight="1" x14ac:dyDescent="0.3">
      <c r="A18" s="74" t="s">
        <v>226</v>
      </c>
      <c r="B18" s="202">
        <f>'Profit &amp; Loss'!B38</f>
      </c>
      <c r="E18" s="286"/>
      <c r="F18" s="287"/>
      <c r="G18" s="287"/>
      <c r="H18" s="287"/>
      <c r="I18" s="287"/>
      <c r="J18" s="287"/>
      <c r="K18" s="288"/>
    </row>
    <row r="19" spans="1:11" ht="14.5" customHeight="1" x14ac:dyDescent="0.3">
      <c r="A19" s="74" t="s">
        <v>221</v>
      </c>
      <c r="B19" s="202">
        <f>('Data Sheet'!K30/'Data Sheet'!B30)^(1/9)-1</f>
      </c>
      <c r="E19" s="286"/>
      <c r="F19" s="287"/>
      <c r="G19" s="287"/>
      <c r="H19" s="287"/>
      <c r="I19" s="287"/>
      <c r="J19" s="287"/>
      <c r="K19" s="288"/>
    </row>
    <row r="20" spans="1:11" ht="14.5" customHeight="1" x14ac:dyDescent="0.3">
      <c r="A20" s="74" t="s">
        <v>222</v>
      </c>
      <c r="B20" s="203">
        <f>AVERAGE('Balance Sheet'!G25:K25)</f>
      </c>
      <c r="E20" s="286"/>
      <c r="F20" s="287"/>
      <c r="G20" s="287"/>
      <c r="H20" s="287"/>
      <c r="I20" s="287"/>
      <c r="J20" s="287"/>
      <c r="K20" s="288"/>
    </row>
    <row r="21" spans="1:11" ht="14.5" customHeight="1" x14ac:dyDescent="0.3">
      <c r="A21" s="74" t="s">
        <v>223</v>
      </c>
      <c r="B21" s="204">
        <f>AVERAGE('Balance Sheet'!G26:K26)</f>
      </c>
      <c r="E21" s="286"/>
      <c r="F21" s="287"/>
      <c r="G21" s="287"/>
      <c r="H21" s="287"/>
      <c r="I21" s="287"/>
      <c r="J21" s="287"/>
      <c r="K21" s="288"/>
    </row>
    <row r="22" spans="1:11" ht="14.5" customHeight="1" x14ac:dyDescent="0.3">
      <c r="A22" s="74" t="s">
        <v>228</v>
      </c>
      <c r="B22" s="205">
        <f>AVERAGE('Profit &amp; Loss'!G28:K28)</f>
      </c>
      <c r="E22" s="286"/>
      <c r="F22" s="287"/>
      <c r="G22" s="287"/>
      <c r="H22" s="287"/>
      <c r="I22" s="287"/>
      <c r="J22" s="287"/>
      <c r="K22" s="288"/>
    </row>
    <row r="23" spans="1:11" ht="15" customHeight="1" thickBot="1" x14ac:dyDescent="0.35">
      <c r="A23" s="206" t="s">
        <v>227</v>
      </c>
      <c r="B23" s="207">
        <f>B13/Annual[[#This Row],[Column12]]</f>
      </c>
      <c r="E23" s="289"/>
      <c r="F23" s="290"/>
      <c r="G23" s="290"/>
      <c r="H23" s="290"/>
      <c r="I23" s="290"/>
      <c r="J23" s="290"/>
      <c r="K23" s="291"/>
    </row>
    <row r="24" spans="1:11" x14ac:dyDescent="0.3">
      <c r="A24" s="208"/>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defaultColWidth="9.1796875" defaultRowHeight="12.5" x14ac:dyDescent="0.25"/>
  <cols>
    <col min="1" max="1" width="36.453125" style="8" bestFit="1" customWidth="1"/>
    <col min="2" max="2" width="96.26953125" style="8" customWidth="1"/>
    <col min="3" max="3" width="92.54296875" style="8" bestFit="1" customWidth="1"/>
    <col min="4" max="16384" width="9.1796875" style="8"/>
  </cols>
  <sheetData>
    <row r="1" spans="1:2" ht="19.5" thickBot="1" x14ac:dyDescent="0.45">
      <c r="A1" s="301" t="s">
        <v>186</v>
      </c>
      <c r="B1" s="302"/>
    </row>
    <row r="2" spans="1:2" ht="13.5" thickBot="1" x14ac:dyDescent="0.35">
      <c r="A2" s="303" t="s">
        <v>187</v>
      </c>
      <c r="B2" s="303"/>
    </row>
    <row r="3" spans="1:2" ht="13" x14ac:dyDescent="0.3">
      <c r="A3" s="138" t="s">
        <v>188</v>
      </c>
      <c r="B3" s="139" t="s">
        <v>189</v>
      </c>
    </row>
    <row r="4" spans="1:2" ht="63" thickBot="1" x14ac:dyDescent="0.3">
      <c r="A4" s="140" t="s">
        <v>190</v>
      </c>
      <c r="B4" s="141" t="s">
        <v>191</v>
      </c>
    </row>
    <row r="5" spans="1:2" ht="13" thickBot="1" x14ac:dyDescent="0.3">
      <c r="A5" s="142"/>
      <c r="B5" s="143"/>
    </row>
    <row r="6" spans="1:2" ht="75.5" thickBot="1" x14ac:dyDescent="0.3">
      <c r="A6" s="144" t="s">
        <v>192</v>
      </c>
      <c r="B6" s="145" t="s">
        <v>193</v>
      </c>
    </row>
    <row r="7" spans="1:2" ht="13.5" thickBot="1" x14ac:dyDescent="0.3">
      <c r="A7" s="146"/>
      <c r="B7" s="142"/>
    </row>
    <row r="8" spans="1:2" ht="38" thickBot="1" x14ac:dyDescent="0.3">
      <c r="A8" s="144" t="s">
        <v>194</v>
      </c>
      <c r="B8" s="145" t="s">
        <v>195</v>
      </c>
    </row>
    <row r="9" spans="1:2" ht="13.5" thickBot="1" x14ac:dyDescent="0.3">
      <c r="A9" s="146"/>
      <c r="B9" s="142"/>
    </row>
    <row r="10" spans="1:2" ht="75.5" thickBot="1" x14ac:dyDescent="0.3">
      <c r="A10" s="144" t="s">
        <v>196</v>
      </c>
      <c r="B10" s="145" t="s">
        <v>267</v>
      </c>
    </row>
    <row r="11" spans="1:2" ht="13" x14ac:dyDescent="0.25">
      <c r="A11" s="146"/>
      <c r="B11" s="142"/>
    </row>
    <row r="12" spans="1:2" ht="50" x14ac:dyDescent="0.25">
      <c r="A12" s="147" t="s">
        <v>197</v>
      </c>
      <c r="B12" s="148" t="s">
        <v>198</v>
      </c>
    </row>
    <row r="13" spans="1:2" ht="13.5" thickBot="1" x14ac:dyDescent="0.3">
      <c r="A13" s="146"/>
      <c r="B13" s="142"/>
    </row>
    <row r="14" spans="1:2" ht="50.5" thickBot="1" x14ac:dyDescent="0.3">
      <c r="A14" s="144" t="s">
        <v>199</v>
      </c>
      <c r="B14" s="145" t="s">
        <v>200</v>
      </c>
    </row>
    <row r="15" spans="1:2" ht="13.5" thickBot="1" x14ac:dyDescent="0.3">
      <c r="A15" s="146"/>
      <c r="B15" s="142"/>
    </row>
    <row r="16" spans="1:2" ht="38" thickBot="1" x14ac:dyDescent="0.3">
      <c r="A16" s="144" t="s">
        <v>201</v>
      </c>
      <c r="B16" s="145" t="s">
        <v>202</v>
      </c>
    </row>
    <row r="17" spans="1:2" ht="13.5" thickBot="1" x14ac:dyDescent="0.3">
      <c r="A17" s="146"/>
      <c r="B17" s="142"/>
    </row>
    <row r="18" spans="1:2" ht="38" thickBot="1" x14ac:dyDescent="0.3">
      <c r="A18" s="144" t="s">
        <v>203</v>
      </c>
      <c r="B18" s="145" t="s">
        <v>268</v>
      </c>
    </row>
    <row r="19" spans="1:2" ht="13.5" thickBot="1" x14ac:dyDescent="0.3">
      <c r="A19" s="146"/>
      <c r="B19" s="142"/>
    </row>
    <row r="20" spans="1:2" ht="38" thickBot="1" x14ac:dyDescent="0.3">
      <c r="A20" s="144" t="s">
        <v>204</v>
      </c>
      <c r="B20" s="145" t="s">
        <v>205</v>
      </c>
    </row>
    <row r="21" spans="1:2" ht="13.5" thickBot="1" x14ac:dyDescent="0.3">
      <c r="A21" s="146"/>
      <c r="B21" s="142"/>
    </row>
    <row r="22" spans="1:2" ht="63" thickBot="1" x14ac:dyDescent="0.3">
      <c r="A22" s="144" t="s">
        <v>206</v>
      </c>
      <c r="B22" s="145" t="s">
        <v>207</v>
      </c>
    </row>
    <row r="23" spans="1:2" ht="13" thickBot="1" x14ac:dyDescent="0.3">
      <c r="A23" s="149"/>
      <c r="B23" s="149"/>
    </row>
    <row r="24" spans="1:2" ht="50.5" thickBot="1" x14ac:dyDescent="0.3">
      <c r="A24" s="144" t="s">
        <v>208</v>
      </c>
      <c r="B24" s="145" t="s">
        <v>209</v>
      </c>
    </row>
    <row r="25" spans="1:2" ht="13" thickBot="1" x14ac:dyDescent="0.3">
      <c r="A25" s="143"/>
      <c r="B25" s="143"/>
    </row>
    <row r="26" spans="1:2" ht="13.5" thickBot="1" x14ac:dyDescent="0.3">
      <c r="A26" s="144" t="s">
        <v>210</v>
      </c>
      <c r="B26" s="145"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8"/>
  <sheetViews>
    <sheetView workbookViewId="0">
      <selection sqref="A1:K1"/>
    </sheetView>
  </sheetViews>
  <sheetFormatPr defaultColWidth="9.1796875" defaultRowHeight="12.5" x14ac:dyDescent="0.25"/>
  <cols>
    <col min="1" max="1" width="24.36328125" style="225" bestFit="1" customWidth="1"/>
    <col min="2" max="3" width="7.08984375" style="225" bestFit="1" customWidth="1"/>
    <col min="4" max="5" width="7.453125" style="225" bestFit="1" customWidth="1"/>
    <col min="6" max="6" width="7.08984375" style="225" bestFit="1" customWidth="1"/>
    <col min="7" max="11" width="7.453125" style="225" bestFit="1" customWidth="1"/>
    <col min="12" max="16384" width="9.1796875" style="225"/>
  </cols>
  <sheetData>
    <row r="1" spans="1:11" ht="19" x14ac:dyDescent="0.4">
      <c r="A1" s="304" t="s">
        <v>264</v>
      </c>
      <c r="B1" s="305"/>
      <c r="C1" s="305"/>
      <c r="D1" s="305"/>
      <c r="E1" s="305"/>
      <c r="F1" s="305"/>
      <c r="G1" s="305"/>
      <c r="H1" s="305"/>
      <c r="I1" s="305"/>
      <c r="J1" s="305"/>
      <c r="K1" s="306"/>
    </row>
    <row r="2" spans="1:11" s="224" customFormat="1" ht="13.5" thickBot="1" x14ac:dyDescent="0.35">
      <c r="A2" s="307" t="str">
        <f>'Profit &amp; Loss'!A2</f>
      </c>
      <c r="B2" s="308"/>
      <c r="C2" s="308"/>
      <c r="D2" s="308"/>
      <c r="E2" s="308"/>
      <c r="F2" s="308"/>
      <c r="G2" s="308"/>
      <c r="H2" s="308"/>
      <c r="I2" s="308"/>
      <c r="J2" s="308"/>
      <c r="K2" s="309"/>
    </row>
    <row r="3" spans="1:11" s="226" customFormat="1" ht="13" x14ac:dyDescent="0.3">
      <c r="A3" s="237" t="s">
        <v>179</v>
      </c>
      <c r="B3" s="236">
        <f>'Data Sheet'!B56</f>
      </c>
      <c r="C3" s="236">
        <f>'Data Sheet'!C56</f>
      </c>
      <c r="D3" s="236">
        <f>'Data Sheet'!D56</f>
      </c>
      <c r="E3" s="236">
        <f>'Data Sheet'!E56</f>
      </c>
      <c r="F3" s="236">
        <f>'Data Sheet'!F56</f>
      </c>
      <c r="G3" s="236">
        <f>'Data Sheet'!G56</f>
      </c>
      <c r="H3" s="236">
        <f>'Data Sheet'!H56</f>
      </c>
      <c r="I3" s="236">
        <f>'Data Sheet'!I56</f>
      </c>
      <c r="J3" s="236">
        <f>'Data Sheet'!J56</f>
      </c>
      <c r="K3" s="238">
        <f>'Data Sheet'!K56</f>
      </c>
    </row>
    <row r="4" spans="1:11" x14ac:dyDescent="0.25">
      <c r="A4" s="239" t="s">
        <v>19</v>
      </c>
      <c r="B4" s="227">
        <f>'Data Sheet'!B57</f>
      </c>
      <c r="C4" s="227">
        <f>'Data Sheet'!C57</f>
      </c>
      <c r="D4" s="227">
        <f>'Data Sheet'!D57</f>
      </c>
      <c r="E4" s="227">
        <f>'Data Sheet'!E57</f>
      </c>
      <c r="F4" s="227">
        <f>'Data Sheet'!F57</f>
      </c>
      <c r="G4" s="227">
        <f>'Data Sheet'!G57</f>
      </c>
      <c r="H4" s="227">
        <f>'Data Sheet'!H57</f>
      </c>
      <c r="I4" s="227">
        <f>'Data Sheet'!I57</f>
      </c>
      <c r="J4" s="227">
        <f>'Data Sheet'!J57</f>
      </c>
      <c r="K4" s="240">
        <f>'Data Sheet'!K57</f>
      </c>
    </row>
    <row r="5" spans="1:11" x14ac:dyDescent="0.25">
      <c r="A5" s="239" t="s">
        <v>20</v>
      </c>
      <c r="B5" s="227">
        <f>'Data Sheet'!B58</f>
      </c>
      <c r="C5" s="227">
        <f>'Data Sheet'!C58</f>
      </c>
      <c r="D5" s="227">
        <f>'Data Sheet'!D58</f>
      </c>
      <c r="E5" s="227">
        <f>'Data Sheet'!E58</f>
      </c>
      <c r="F5" s="227">
        <f>'Data Sheet'!F58</f>
      </c>
      <c r="G5" s="227">
        <f>'Data Sheet'!G58</f>
      </c>
      <c r="H5" s="227">
        <f>'Data Sheet'!H58</f>
      </c>
      <c r="I5" s="227">
        <f>'Data Sheet'!I58</f>
      </c>
      <c r="J5" s="227">
        <f>'Data Sheet'!J58</f>
      </c>
      <c r="K5" s="240">
        <f>'Data Sheet'!K58</f>
      </c>
    </row>
    <row r="6" spans="1:11" x14ac:dyDescent="0.25">
      <c r="A6" s="239" t="s">
        <v>65</v>
      </c>
      <c r="B6" s="227">
        <f>'Data Sheet'!B59</f>
      </c>
      <c r="C6" s="227">
        <f>'Data Sheet'!C59</f>
      </c>
      <c r="D6" s="227">
        <f>'Data Sheet'!D59</f>
      </c>
      <c r="E6" s="227">
        <f>'Data Sheet'!E59</f>
      </c>
      <c r="F6" s="227">
        <f>'Data Sheet'!F59</f>
      </c>
      <c r="G6" s="227">
        <f>'Data Sheet'!G59</f>
      </c>
      <c r="H6" s="227">
        <f>'Data Sheet'!H59</f>
      </c>
      <c r="I6" s="227">
        <f>'Data Sheet'!I59</f>
      </c>
      <c r="J6" s="227">
        <f>'Data Sheet'!J59</f>
      </c>
      <c r="K6" s="240">
        <f>'Data Sheet'!K59</f>
      </c>
    </row>
    <row r="7" spans="1:11" x14ac:dyDescent="0.25">
      <c r="A7" s="239" t="s">
        <v>66</v>
      </c>
      <c r="B7" s="227">
        <f>'Data Sheet'!B60</f>
      </c>
      <c r="C7" s="227">
        <f>'Data Sheet'!C60</f>
      </c>
      <c r="D7" s="227">
        <f>'Data Sheet'!D60</f>
      </c>
      <c r="E7" s="227">
        <f>'Data Sheet'!E60</f>
      </c>
      <c r="F7" s="227">
        <f>'Data Sheet'!F60</f>
      </c>
      <c r="G7" s="227">
        <f>'Data Sheet'!G60</f>
      </c>
      <c r="H7" s="227">
        <f>'Data Sheet'!H60</f>
      </c>
      <c r="I7" s="227">
        <f>'Data Sheet'!I60</f>
      </c>
      <c r="J7" s="227">
        <f>'Data Sheet'!J60</f>
      </c>
      <c r="K7" s="240">
        <f>'Data Sheet'!K60</f>
      </c>
    </row>
    <row r="8" spans="1:11" s="224" customFormat="1" ht="13" x14ac:dyDescent="0.3">
      <c r="A8" s="241" t="s">
        <v>21</v>
      </c>
      <c r="B8" s="228">
        <f>'Data Sheet'!B61</f>
      </c>
      <c r="C8" s="228">
        <f>'Data Sheet'!C61</f>
      </c>
      <c r="D8" s="228">
        <f>'Data Sheet'!D61</f>
      </c>
      <c r="E8" s="228">
        <f>'Data Sheet'!E61</f>
      </c>
      <c r="F8" s="228">
        <f>'Data Sheet'!F61</f>
      </c>
      <c r="G8" s="228">
        <f>'Data Sheet'!G61</f>
      </c>
      <c r="H8" s="228">
        <f>'Data Sheet'!H61</f>
      </c>
      <c r="I8" s="228">
        <f>'Data Sheet'!I61</f>
      </c>
      <c r="J8" s="228">
        <f>'Data Sheet'!J61</f>
      </c>
      <c r="K8" s="242">
        <f>'Data Sheet'!K61</f>
      </c>
    </row>
    <row r="9" spans="1:11" s="224" customFormat="1" ht="13" x14ac:dyDescent="0.3">
      <c r="A9" s="241"/>
      <c r="B9" s="228"/>
      <c r="C9" s="228"/>
      <c r="D9" s="228"/>
      <c r="E9" s="228"/>
      <c r="F9" s="228"/>
      <c r="G9" s="228"/>
      <c r="H9" s="228"/>
      <c r="I9" s="228"/>
      <c r="J9" s="228"/>
      <c r="K9" s="242"/>
    </row>
    <row r="10" spans="1:11" x14ac:dyDescent="0.25">
      <c r="A10" s="239" t="s">
        <v>22</v>
      </c>
      <c r="B10" s="227">
        <f>'Data Sheet'!B62</f>
      </c>
      <c r="C10" s="227">
        <f>'Data Sheet'!C62</f>
      </c>
      <c r="D10" s="227">
        <f>'Data Sheet'!D62</f>
      </c>
      <c r="E10" s="227">
        <f>'Data Sheet'!E62</f>
      </c>
      <c r="F10" s="227">
        <f>'Data Sheet'!F62</f>
      </c>
      <c r="G10" s="227">
        <f>'Data Sheet'!G62</f>
      </c>
      <c r="H10" s="227">
        <f>'Data Sheet'!H62</f>
      </c>
      <c r="I10" s="227">
        <f>'Data Sheet'!I62</f>
      </c>
      <c r="J10" s="227">
        <f>'Data Sheet'!J62</f>
      </c>
      <c r="K10" s="240">
        <f>'Data Sheet'!K62</f>
      </c>
    </row>
    <row r="11" spans="1:11" x14ac:dyDescent="0.25">
      <c r="A11" s="239" t="s">
        <v>23</v>
      </c>
      <c r="B11" s="227">
        <f>'Data Sheet'!B63</f>
      </c>
      <c r="C11" s="227">
        <f>'Data Sheet'!C63</f>
      </c>
      <c r="D11" s="227">
        <f>'Data Sheet'!D63</f>
      </c>
      <c r="E11" s="227">
        <f>'Data Sheet'!E63</f>
      </c>
      <c r="F11" s="227">
        <f>'Data Sheet'!F63</f>
      </c>
      <c r="G11" s="227">
        <f>'Data Sheet'!G63</f>
      </c>
      <c r="H11" s="227">
        <f>'Data Sheet'!H63</f>
      </c>
      <c r="I11" s="227">
        <f>'Data Sheet'!I63</f>
      </c>
      <c r="J11" s="227">
        <f>'Data Sheet'!J63</f>
      </c>
      <c r="K11" s="240">
        <f>'Data Sheet'!K63</f>
      </c>
    </row>
    <row r="12" spans="1:11" x14ac:dyDescent="0.25">
      <c r="A12" s="239" t="s">
        <v>24</v>
      </c>
      <c r="B12" s="227">
        <f>'Data Sheet'!B64</f>
      </c>
      <c r="C12" s="227">
        <f>'Data Sheet'!C64</f>
      </c>
      <c r="D12" s="227">
        <f>'Data Sheet'!D64</f>
      </c>
      <c r="E12" s="227">
        <f>'Data Sheet'!E64</f>
      </c>
      <c r="F12" s="227">
        <f>'Data Sheet'!F64</f>
      </c>
      <c r="G12" s="227">
        <f>'Data Sheet'!G64</f>
      </c>
      <c r="H12" s="227">
        <f>'Data Sheet'!H64</f>
      </c>
      <c r="I12" s="227">
        <f>'Data Sheet'!I64</f>
      </c>
      <c r="J12" s="227">
        <f>'Data Sheet'!J64</f>
      </c>
      <c r="K12" s="240">
        <f>'Data Sheet'!K64</f>
      </c>
    </row>
    <row r="13" spans="1:11" x14ac:dyDescent="0.25">
      <c r="A13" s="239" t="s">
        <v>67</v>
      </c>
      <c r="B13" s="227">
        <f>'Data Sheet'!B65</f>
      </c>
      <c r="C13" s="227">
        <f>'Data Sheet'!C65</f>
      </c>
      <c r="D13" s="227">
        <f>'Data Sheet'!D65</f>
      </c>
      <c r="E13" s="227">
        <f>'Data Sheet'!E65</f>
      </c>
      <c r="F13" s="227">
        <f>'Data Sheet'!F65</f>
      </c>
      <c r="G13" s="227">
        <f>'Data Sheet'!G65</f>
      </c>
      <c r="H13" s="227">
        <f>'Data Sheet'!H65</f>
      </c>
      <c r="I13" s="227">
        <f>'Data Sheet'!I65</f>
      </c>
      <c r="J13" s="227">
        <f>'Data Sheet'!J65</f>
      </c>
      <c r="K13" s="240">
        <f>'Data Sheet'!K65</f>
      </c>
    </row>
    <row r="14" spans="1:11" s="224" customFormat="1" ht="13" x14ac:dyDescent="0.3">
      <c r="A14" s="241" t="s">
        <v>21</v>
      </c>
      <c r="B14" s="228">
        <f>'Data Sheet'!B66</f>
      </c>
      <c r="C14" s="228">
        <f>'Data Sheet'!C66</f>
      </c>
      <c r="D14" s="228">
        <f>'Data Sheet'!D66</f>
      </c>
      <c r="E14" s="228">
        <f>'Data Sheet'!E66</f>
      </c>
      <c r="F14" s="228">
        <f>'Data Sheet'!F66</f>
      </c>
      <c r="G14" s="228">
        <f>'Data Sheet'!G66</f>
      </c>
      <c r="H14" s="228">
        <f>'Data Sheet'!H66</f>
      </c>
      <c r="I14" s="228">
        <f>'Data Sheet'!I66</f>
      </c>
      <c r="J14" s="228">
        <f>'Data Sheet'!J66</f>
      </c>
      <c r="K14" s="242">
        <f>'Data Sheet'!K66</f>
      </c>
    </row>
    <row r="15" spans="1:11" x14ac:dyDescent="0.25">
      <c r="A15" s="239"/>
      <c r="B15" s="229"/>
      <c r="C15" s="229"/>
      <c r="D15" s="229"/>
      <c r="E15" s="229"/>
      <c r="F15" s="229"/>
      <c r="G15" s="229"/>
      <c r="H15" s="229"/>
      <c r="I15" s="229"/>
      <c r="J15" s="229"/>
      <c r="K15" s="243"/>
    </row>
    <row r="16" spans="1:11" x14ac:dyDescent="0.25">
      <c r="A16" s="244" t="s">
        <v>25</v>
      </c>
      <c r="B16" s="229">
        <f>B13-B7</f>
      </c>
      <c r="C16" s="229">
        <f t="shared" ref="C16:K16" si="0">C13-C7</f>
      </c>
      <c r="D16" s="229">
        <f t="shared" si="0"/>
      </c>
      <c r="E16" s="229">
        <f t="shared" si="0"/>
      </c>
      <c r="F16" s="229">
        <f t="shared" si="0"/>
      </c>
      <c r="G16" s="229">
        <f t="shared" si="0"/>
      </c>
      <c r="H16" s="229">
        <f t="shared" si="0"/>
      </c>
      <c r="I16" s="229">
        <f t="shared" si="0"/>
      </c>
      <c r="J16" s="229">
        <f t="shared" si="0"/>
      </c>
      <c r="K16" s="243">
        <f t="shared" si="0"/>
      </c>
    </row>
    <row r="17" spans="1:12" x14ac:dyDescent="0.25">
      <c r="A17" s="239" t="s">
        <v>39</v>
      </c>
      <c r="B17" s="229">
        <f>'Data Sheet'!B67</f>
      </c>
      <c r="C17" s="229">
        <f>'Data Sheet'!C67</f>
      </c>
      <c r="D17" s="229">
        <f>'Data Sheet'!D67</f>
      </c>
      <c r="E17" s="229">
        <f>'Data Sheet'!E67</f>
      </c>
      <c r="F17" s="229">
        <f>'Data Sheet'!F67</f>
      </c>
      <c r="G17" s="229">
        <f>'Data Sheet'!G67</f>
      </c>
      <c r="H17" s="229">
        <f>'Data Sheet'!H67</f>
      </c>
      <c r="I17" s="229">
        <f>'Data Sheet'!I67</f>
      </c>
      <c r="J17" s="229">
        <f>'Data Sheet'!J67</f>
      </c>
      <c r="K17" s="243">
        <f>'Data Sheet'!K67</f>
      </c>
    </row>
    <row r="18" spans="1:12" x14ac:dyDescent="0.25">
      <c r="A18" s="239" t="s">
        <v>40</v>
      </c>
      <c r="B18" s="229">
        <f>'Data Sheet'!B68</f>
      </c>
      <c r="C18" s="229">
        <f>'Data Sheet'!C68</f>
      </c>
      <c r="D18" s="229">
        <f>'Data Sheet'!D68</f>
      </c>
      <c r="E18" s="229">
        <f>'Data Sheet'!E68</f>
      </c>
      <c r="F18" s="229">
        <f>'Data Sheet'!F68</f>
      </c>
      <c r="G18" s="229">
        <f>'Data Sheet'!G68</f>
      </c>
      <c r="H18" s="229">
        <f>'Data Sheet'!H68</f>
      </c>
      <c r="I18" s="229">
        <f>'Data Sheet'!I68</f>
      </c>
      <c r="J18" s="229">
        <f>'Data Sheet'!J68</f>
      </c>
      <c r="K18" s="243">
        <f>'Data Sheet'!K68</f>
      </c>
    </row>
    <row r="19" spans="1:12" ht="13" thickBot="1" x14ac:dyDescent="0.3">
      <c r="A19" s="245" t="s">
        <v>229</v>
      </c>
      <c r="B19" s="246"/>
      <c r="C19" s="246"/>
      <c r="D19" s="246">
        <f>71.52+4663.29</f>
      </c>
      <c r="E19" s="246">
        <f>76.82+3290.3</f>
      </c>
      <c r="F19" s="246">
        <f>181.04+3009.36</f>
      </c>
      <c r="G19" s="246">
        <f>117.5+3275.89</f>
      </c>
      <c r="H19" s="246">
        <f>127.22+2477.63</f>
      </c>
      <c r="I19" s="246">
        <f>74.68+3471.57</f>
      </c>
      <c r="J19" s="247">
        <f>74.06+4544.06+121.33</f>
      </c>
      <c r="K19" s="247">
        <f>106.96+130.61+5591.12</f>
      </c>
    </row>
    <row r="20" spans="1:12" ht="13" x14ac:dyDescent="0.3">
      <c r="A20" s="234" t="s">
        <v>250</v>
      </c>
      <c r="B20" s="230"/>
      <c r="C20" s="230"/>
      <c r="D20" s="230"/>
      <c r="E20" s="230"/>
      <c r="F20" s="230"/>
      <c r="G20" s="230"/>
      <c r="H20" s="230"/>
      <c r="I20" s="230"/>
      <c r="J20" s="230"/>
      <c r="K20" s="230"/>
    </row>
    <row r="21" spans="1:12" ht="13" thickBot="1" x14ac:dyDescent="0.3">
      <c r="B21" s="230"/>
      <c r="C21" s="230"/>
      <c r="D21" s="230"/>
      <c r="E21" s="230"/>
      <c r="F21" s="230"/>
      <c r="G21" s="230"/>
      <c r="H21" s="230"/>
      <c r="I21" s="230"/>
      <c r="J21" s="230"/>
      <c r="K21" s="230"/>
    </row>
    <row r="22" spans="1:12" ht="13" x14ac:dyDescent="0.3">
      <c r="A22" s="248" t="s">
        <v>41</v>
      </c>
      <c r="B22" s="249">
        <f>IF('Profit &amp; Loss'!B4&gt;0,'Balance Sheet'!B17/('Profit &amp; Loss'!B4/365),0)</f>
      </c>
      <c r="C22" s="249">
        <f>IF('Profit &amp; Loss'!C4&gt;0,'Balance Sheet'!C17/('Profit &amp; Loss'!C4/365),0)</f>
      </c>
      <c r="D22" s="249">
        <f>IF('Profit &amp; Loss'!D4&gt;0,'Balance Sheet'!D17/('Profit &amp; Loss'!D4/365),0)</f>
      </c>
      <c r="E22" s="249">
        <f>IF('Profit &amp; Loss'!E4&gt;0,'Balance Sheet'!E17/('Profit &amp; Loss'!E4/365),0)</f>
      </c>
      <c r="F22" s="249">
        <f>IF('Profit &amp; Loss'!F4&gt;0,'Balance Sheet'!F17/('Profit &amp; Loss'!F4/365),0)</f>
      </c>
      <c r="G22" s="249">
        <f>IF('Profit &amp; Loss'!G4&gt;0,'Balance Sheet'!G17/('Profit &amp; Loss'!G4/365),0)</f>
      </c>
      <c r="H22" s="249">
        <f>IF('Profit &amp; Loss'!H4&gt;0,'Balance Sheet'!H17/('Profit &amp; Loss'!H4/365),0)</f>
      </c>
      <c r="I22" s="249">
        <f>IF('Profit &amp; Loss'!I4&gt;0,'Balance Sheet'!I17/('Profit &amp; Loss'!I4/365),0)</f>
      </c>
      <c r="J22" s="249">
        <f>IF('Profit &amp; Loss'!J4&gt;0,'Balance Sheet'!J17/('Profit &amp; Loss'!J4/365),0)</f>
      </c>
      <c r="K22" s="250">
        <f>IF('Profit &amp; Loss'!K4&gt;0,'Balance Sheet'!K17/('Profit &amp; Loss'!K4/365),0)</f>
      </c>
    </row>
    <row r="23" spans="1:12" ht="13" x14ac:dyDescent="0.3">
      <c r="A23" s="251" t="s">
        <v>42</v>
      </c>
      <c r="B23" s="231">
        <f>IF('Balance Sheet'!B18&gt;0,'Profit &amp; Loss'!B4/'Balance Sheet'!B18,0)</f>
      </c>
      <c r="C23" s="231">
        <f>IF('Balance Sheet'!C18&gt;0,'Profit &amp; Loss'!C4/'Balance Sheet'!C18,0)</f>
      </c>
      <c r="D23" s="231">
        <f>IF('Balance Sheet'!D18&gt;0,'Profit &amp; Loss'!D4/'Balance Sheet'!D18,0)</f>
      </c>
      <c r="E23" s="231">
        <f>IF('Balance Sheet'!E18&gt;0,'Profit &amp; Loss'!E4/'Balance Sheet'!E18,0)</f>
      </c>
      <c r="F23" s="231">
        <f>IF('Balance Sheet'!F18&gt;0,'Profit &amp; Loss'!F4/'Balance Sheet'!F18,0)</f>
      </c>
      <c r="G23" s="231">
        <f>IF('Balance Sheet'!G18&gt;0,'Profit &amp; Loss'!G4/'Balance Sheet'!G18,0)</f>
      </c>
      <c r="H23" s="231">
        <f>IF('Balance Sheet'!H18&gt;0,'Profit &amp; Loss'!H4/'Balance Sheet'!H18,0)</f>
      </c>
      <c r="I23" s="231">
        <f>IF('Balance Sheet'!I18&gt;0,'Profit &amp; Loss'!I4/'Balance Sheet'!I18,0)</f>
      </c>
      <c r="J23" s="231">
        <f>IF('Balance Sheet'!J18&gt;0,'Profit &amp; Loss'!J4/'Balance Sheet'!J18,0)</f>
      </c>
      <c r="K23" s="252">
        <f>IF('Balance Sheet'!K18&gt;0,'Profit &amp; Loss'!K4/'Balance Sheet'!K18,0)</f>
      </c>
    </row>
    <row r="24" spans="1:12" ht="13" x14ac:dyDescent="0.3">
      <c r="A24" s="251" t="s">
        <v>97</v>
      </c>
      <c r="B24" s="232">
        <f>'Profit &amp; Loss'!B4/'Balance Sheet'!B10</f>
      </c>
      <c r="C24" s="232">
        <f>'Profit &amp; Loss'!C4/'Balance Sheet'!C10</f>
      </c>
      <c r="D24" s="232">
        <f>'Profit &amp; Loss'!D4/'Balance Sheet'!D10</f>
      </c>
      <c r="E24" s="232">
        <f>'Profit &amp; Loss'!E4/'Balance Sheet'!E10</f>
      </c>
      <c r="F24" s="232">
        <f>'Profit &amp; Loss'!F4/'Balance Sheet'!F10</f>
      </c>
      <c r="G24" s="232">
        <f>'Profit &amp; Loss'!G4/'Balance Sheet'!G10</f>
      </c>
      <c r="H24" s="232">
        <f>'Profit &amp; Loss'!H4/'Balance Sheet'!H10</f>
      </c>
      <c r="I24" s="232">
        <f>'Profit &amp; Loss'!I4/'Balance Sheet'!I10</f>
      </c>
      <c r="J24" s="232">
        <f>'Profit &amp; Loss'!J4/'Balance Sheet'!J10</f>
      </c>
      <c r="K24" s="253">
        <f>'Profit &amp; Loss'!K4/'Balance Sheet'!K10</f>
      </c>
    </row>
    <row r="25" spans="1:12" ht="13" x14ac:dyDescent="0.3">
      <c r="A25" s="251" t="s">
        <v>98</v>
      </c>
      <c r="B25" s="232">
        <f>B6/(B4+B5)</f>
      </c>
      <c r="C25" s="232">
        <f t="shared" ref="C25:K25" si="1">C6/(C4+C5)</f>
      </c>
      <c r="D25" s="232">
        <f t="shared" si="1"/>
      </c>
      <c r="E25" s="232">
        <f t="shared" si="1"/>
      </c>
      <c r="F25" s="232">
        <f t="shared" si="1"/>
      </c>
      <c r="G25" s="232">
        <f t="shared" si="1"/>
      </c>
      <c r="H25" s="232">
        <f t="shared" si="1"/>
      </c>
      <c r="I25" s="232">
        <f t="shared" si="1"/>
      </c>
      <c r="J25" s="232">
        <f t="shared" si="1"/>
      </c>
      <c r="K25" s="253">
        <f t="shared" si="1"/>
      </c>
    </row>
    <row r="26" spans="1:12" s="224" customFormat="1" ht="13" x14ac:dyDescent="0.3">
      <c r="A26" s="251" t="s">
        <v>55</v>
      </c>
      <c r="B26" s="233">
        <f>IF(SUM('Balance Sheet'!B4:B5)&gt;0,'Profit &amp; Loss'!B23/SUM('Balance Sheet'!B4:B5),"")</f>
      </c>
      <c r="C26" s="233">
        <f>IF(SUM('Balance Sheet'!C4:C5)&gt;0,'Profit &amp; Loss'!C23/SUM('Balance Sheet'!C4:C5),"")</f>
      </c>
      <c r="D26" s="233">
        <f>IF(SUM('Balance Sheet'!D4:D5)&gt;0,'Profit &amp; Loss'!D23/SUM('Balance Sheet'!D4:D5),"")</f>
      </c>
      <c r="E26" s="233">
        <f>IF(SUM('Balance Sheet'!E4:E5)&gt;0,'Profit &amp; Loss'!E23/SUM('Balance Sheet'!E4:E5),"")</f>
      </c>
      <c r="F26" s="233">
        <f>IF(SUM('Balance Sheet'!F4:F5)&gt;0,'Profit &amp; Loss'!F23/SUM('Balance Sheet'!F4:F5),"")</f>
      </c>
      <c r="G26" s="233">
        <f>IF(SUM('Balance Sheet'!G4:G5)&gt;0,'Profit &amp; Loss'!G23/SUM('Balance Sheet'!G4:G5),"")</f>
      </c>
      <c r="H26" s="233">
        <f>IF(SUM('Balance Sheet'!H4:H5)&gt;0,'Profit &amp; Loss'!H23/SUM('Balance Sheet'!H4:H5),"")</f>
      </c>
      <c r="I26" s="233">
        <f>IF(SUM('Balance Sheet'!I4:I5)&gt;0,'Profit &amp; Loss'!I23/SUM('Balance Sheet'!I4:I5),"")</f>
      </c>
      <c r="J26" s="233">
        <f>IF(SUM('Balance Sheet'!J4:J5)&gt;0,'Profit &amp; Loss'!J23/SUM('Balance Sheet'!J4:J5),"")</f>
      </c>
      <c r="K26" s="254">
        <f>IF(SUM('Balance Sheet'!K4:K5)&gt;0,'Profit &amp; Loss'!K23/SUM('Balance Sheet'!K4:K5),"")</f>
      </c>
      <c r="L26" s="225"/>
    </row>
    <row r="27" spans="1:12" s="224" customFormat="1" ht="13.5" thickBot="1" x14ac:dyDescent="0.35">
      <c r="A27" s="255" t="s">
        <v>96</v>
      </c>
      <c r="B27" s="281">
        <f>('Profit &amp; Loss'!B19+'Profit &amp; Loss'!B17)/(B4+B5+B6)</f>
      </c>
      <c r="C27" s="281">
        <f>('Profit &amp; Loss'!C19+'Profit &amp; Loss'!C17)/(C4+C5+C6)</f>
      </c>
      <c r="D27" s="281">
        <f>('Profit &amp; Loss'!D19+'Profit &amp; Loss'!D17)/(D4+D5+D6)</f>
      </c>
      <c r="E27" s="281">
        <f>('Profit &amp; Loss'!E19+'Profit &amp; Loss'!E17)/(E4+E5+E6)</f>
      </c>
      <c r="F27" s="281">
        <f>('Profit &amp; Loss'!F19+'Profit &amp; Loss'!F17)/(F4+F5+F6)</f>
      </c>
      <c r="G27" s="281">
        <f>('Profit &amp; Loss'!G19+'Profit &amp; Loss'!G17)/(G4+G5+G6)</f>
      </c>
      <c r="H27" s="281">
        <f>('Profit &amp; Loss'!H19+'Profit &amp; Loss'!H17)/(H4+H5+H6)</f>
      </c>
      <c r="I27" s="281">
        <f>('Profit &amp; Loss'!I19+'Profit &amp; Loss'!I17)/(I4+I5+I6)</f>
      </c>
      <c r="J27" s="281">
        <f>('Profit &amp; Loss'!J19+'Profit &amp; Loss'!J17)/(J4+J5+J6)</f>
      </c>
      <c r="K27" s="282">
        <f>('Profit &amp; Loss'!K19+'Profit &amp; Loss'!K17)/(K4+K5+K6)</f>
      </c>
      <c r="L27" s="225"/>
    </row>
    <row r="28" spans="1:12" s="226" customFormat="1" x14ac:dyDescent="0.25"/>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sqref="A1:L1"/>
    </sheetView>
  </sheetViews>
  <sheetFormatPr defaultColWidth="9.453125" defaultRowHeight="12.5" x14ac:dyDescent="0.25"/>
  <cols>
    <col min="1" max="1" width="25.54296875" style="152" bestFit="1" customWidth="1"/>
    <col min="2" max="2" width="9.36328125" style="152" bestFit="1" customWidth="1"/>
    <col min="3" max="5" width="8.36328125" style="152" bestFit="1" customWidth="1"/>
    <col min="6" max="12" width="7.453125" style="152" bestFit="1" customWidth="1"/>
    <col min="13" max="13" width="13" style="152" bestFit="1" customWidth="1"/>
    <col min="14" max="14" width="9.453125" style="152"/>
    <col min="15" max="15" width="10.54296875" style="152" customWidth="1"/>
    <col min="16" max="16384" width="9.453125" style="152"/>
  </cols>
  <sheetData>
    <row r="1" spans="1:15" ht="19" x14ac:dyDescent="0.4">
      <c r="A1" s="304" t="s">
        <v>239</v>
      </c>
      <c r="B1" s="305"/>
      <c r="C1" s="305"/>
      <c r="D1" s="305"/>
      <c r="E1" s="305"/>
      <c r="F1" s="305"/>
      <c r="G1" s="305"/>
      <c r="H1" s="305"/>
      <c r="I1" s="305"/>
      <c r="J1" s="305"/>
      <c r="K1" s="305"/>
      <c r="L1" s="306"/>
    </row>
    <row r="2" spans="1:15" s="153" customFormat="1" ht="13.5" thickBot="1" x14ac:dyDescent="0.35">
      <c r="A2" s="312" t="str">
        <f>'Data Sheet'!B1</f>
      </c>
      <c r="B2" s="313"/>
      <c r="C2" s="313"/>
      <c r="D2" s="313"/>
      <c r="E2" s="313"/>
      <c r="F2" s="313"/>
      <c r="G2" s="313"/>
      <c r="H2" s="313"/>
      <c r="I2" s="313"/>
      <c r="J2" s="313"/>
      <c r="K2" s="313"/>
      <c r="L2" s="314"/>
    </row>
    <row r="3" spans="1:15" s="157" customFormat="1" ht="13" x14ac:dyDescent="0.3">
      <c r="A3" s="154" t="s">
        <v>179</v>
      </c>
      <c r="B3" s="155">
        <f>'Data Sheet'!B16</f>
      </c>
      <c r="C3" s="155">
        <f>'Data Sheet'!C16</f>
      </c>
      <c r="D3" s="155">
        <f>'Data Sheet'!D16</f>
      </c>
      <c r="E3" s="155">
        <f>'Data Sheet'!E16</f>
      </c>
      <c r="F3" s="155">
        <f>'Data Sheet'!F16</f>
      </c>
      <c r="G3" s="155">
        <f>'Data Sheet'!G16</f>
      </c>
      <c r="H3" s="155">
        <f>'Data Sheet'!H16</f>
      </c>
      <c r="I3" s="155">
        <f>'Data Sheet'!I16</f>
      </c>
      <c r="J3" s="155">
        <f>'Data Sheet'!J16</f>
      </c>
      <c r="K3" s="155">
        <f>'Data Sheet'!K16</f>
      </c>
      <c r="L3" s="156" t="s">
        <v>3</v>
      </c>
    </row>
    <row r="4" spans="1:15" s="153" customFormat="1" ht="13" x14ac:dyDescent="0.3">
      <c r="A4" s="158" t="s">
        <v>4</v>
      </c>
      <c r="B4" s="159">
        <f>'Data Sheet'!B17</f>
      </c>
      <c r="C4" s="159">
        <f>'Data Sheet'!C17</f>
      </c>
      <c r="D4" s="159">
        <f>'Data Sheet'!D17</f>
      </c>
      <c r="E4" s="159">
        <f>'Data Sheet'!E17</f>
      </c>
      <c r="F4" s="159">
        <f>'Data Sheet'!F17</f>
      </c>
      <c r="G4" s="159">
        <f>'Data Sheet'!G17</f>
      </c>
      <c r="H4" s="159">
        <f>'Data Sheet'!H17</f>
      </c>
      <c r="I4" s="159">
        <f>'Data Sheet'!I17</f>
      </c>
      <c r="J4" s="159">
        <f>'Data Sheet'!J17</f>
      </c>
      <c r="K4" s="159">
        <f>'Data Sheet'!K17</f>
      </c>
      <c r="L4" s="160">
        <f>SUM(Quarters!H4:K4)</f>
      </c>
    </row>
    <row r="5" spans="1:15" s="153" customFormat="1" ht="13" x14ac:dyDescent="0.3">
      <c r="A5" s="161" t="s">
        <v>92</v>
      </c>
      <c r="B5" s="162"/>
      <c r="C5" s="163">
        <f>C4/B4-1</f>
      </c>
      <c r="D5" s="163">
        <f t="shared" ref="D5:K5" si="0">D4/C4-1</f>
      </c>
      <c r="E5" s="163">
        <f t="shared" si="0"/>
      </c>
      <c r="F5" s="163">
        <f t="shared" si="0"/>
      </c>
      <c r="G5" s="163">
        <f t="shared" si="0"/>
      </c>
      <c r="H5" s="163">
        <f t="shared" si="0"/>
      </c>
      <c r="I5" s="163">
        <f t="shared" si="0"/>
      </c>
      <c r="J5" s="163">
        <f t="shared" si="0"/>
      </c>
      <c r="K5" s="163">
        <f t="shared" si="0"/>
      </c>
      <c r="L5" s="164"/>
    </row>
    <row r="6" spans="1:15" x14ac:dyDescent="0.25">
      <c r="A6" s="165" t="s">
        <v>5</v>
      </c>
      <c r="B6" s="166">
        <f>SUM('Data Sheet'!B18,'Data Sheet'!B20:B24, -1*'Data Sheet'!B19)</f>
      </c>
      <c r="C6" s="166">
        <f>SUM('Data Sheet'!C18,'Data Sheet'!C20:C24, -1*'Data Sheet'!C19)</f>
      </c>
      <c r="D6" s="166">
        <f>SUM('Data Sheet'!D18,'Data Sheet'!D20:D24, -1*'Data Sheet'!D19)</f>
      </c>
      <c r="E6" s="166">
        <f>SUM('Data Sheet'!E18,'Data Sheet'!E20:E24, -1*'Data Sheet'!E19)</f>
      </c>
      <c r="F6" s="166">
        <f>SUM('Data Sheet'!F18,'Data Sheet'!F20:F24, -1*'Data Sheet'!F19)</f>
      </c>
      <c r="G6" s="166">
        <f>SUM('Data Sheet'!G18,'Data Sheet'!G20:G24, -1*'Data Sheet'!G19)</f>
      </c>
      <c r="H6" s="166">
        <f>SUM('Data Sheet'!H18,'Data Sheet'!H20:H24, -1*'Data Sheet'!H19)</f>
      </c>
      <c r="I6" s="166">
        <f>SUM('Data Sheet'!I18,'Data Sheet'!I20:I24, -1*'Data Sheet'!I19)</f>
      </c>
      <c r="J6" s="166">
        <f>SUM('Data Sheet'!J18,'Data Sheet'!J20:J24, -1*'Data Sheet'!J19)</f>
      </c>
      <c r="K6" s="166">
        <f>SUM('Data Sheet'!K18,'Data Sheet'!K20:K24, -1*'Data Sheet'!K19)</f>
      </c>
      <c r="L6" s="167">
        <f>SUM(Quarters!H6:K6)</f>
      </c>
      <c r="M6" s="310" t="s">
        <v>104</v>
      </c>
      <c r="N6" s="310"/>
      <c r="O6" s="310"/>
    </row>
    <row r="7" spans="1:15" ht="13" x14ac:dyDescent="0.3">
      <c r="A7" s="168" t="s">
        <v>102</v>
      </c>
      <c r="B7" s="169">
        <f>'Data Sheet'!B18/'Data Sheet'!B17</f>
      </c>
      <c r="C7" s="169">
        <f>'Data Sheet'!C18/'Data Sheet'!C17</f>
      </c>
      <c r="D7" s="169">
        <f>'Data Sheet'!D18/'Data Sheet'!D17</f>
      </c>
      <c r="E7" s="169">
        <f>'Data Sheet'!E18/'Data Sheet'!E17</f>
      </c>
      <c r="F7" s="169">
        <f>'Data Sheet'!F18/'Data Sheet'!F17</f>
      </c>
      <c r="G7" s="169">
        <f>'Data Sheet'!G18/'Data Sheet'!G17</f>
      </c>
      <c r="H7" s="169">
        <f>'Data Sheet'!H18/'Data Sheet'!H17</f>
      </c>
      <c r="I7" s="169">
        <f>'Data Sheet'!I18/'Data Sheet'!I17</f>
      </c>
      <c r="J7" s="169">
        <f>'Data Sheet'!J18/'Data Sheet'!J17</f>
      </c>
      <c r="K7" s="169">
        <f>'Data Sheet'!K18/'Data Sheet'!K17</f>
      </c>
      <c r="L7" s="170"/>
      <c r="M7" s="310"/>
      <c r="N7" s="310"/>
      <c r="O7" s="310"/>
    </row>
    <row r="8" spans="1:15" ht="13" x14ac:dyDescent="0.3">
      <c r="A8" s="168" t="s">
        <v>76</v>
      </c>
      <c r="B8" s="169">
        <f>'Data Sheet'!B20/'Data Sheet'!B17</f>
      </c>
      <c r="C8" s="169">
        <f>'Data Sheet'!C20/'Data Sheet'!C17</f>
      </c>
      <c r="D8" s="169">
        <f>'Data Sheet'!D20/'Data Sheet'!D17</f>
      </c>
      <c r="E8" s="169">
        <f>'Data Sheet'!E20/'Data Sheet'!E17</f>
      </c>
      <c r="F8" s="169">
        <f>'Data Sheet'!F20/'Data Sheet'!F17</f>
      </c>
      <c r="G8" s="169">
        <f>'Data Sheet'!G20/'Data Sheet'!G17</f>
      </c>
      <c r="H8" s="169">
        <f>'Data Sheet'!H20/'Data Sheet'!H17</f>
      </c>
      <c r="I8" s="169">
        <f>'Data Sheet'!I20/'Data Sheet'!I17</f>
      </c>
      <c r="J8" s="169">
        <f>'Data Sheet'!J20/'Data Sheet'!J17</f>
      </c>
      <c r="K8" s="169">
        <f>'Data Sheet'!K20/'Data Sheet'!K17</f>
      </c>
      <c r="L8" s="170"/>
      <c r="M8" s="310"/>
      <c r="N8" s="310"/>
      <c r="O8" s="310"/>
    </row>
    <row r="9" spans="1:15" ht="13" x14ac:dyDescent="0.3">
      <c r="A9" s="168" t="s">
        <v>77</v>
      </c>
      <c r="B9" s="169">
        <f>'Data Sheet'!B21/'Data Sheet'!B17</f>
      </c>
      <c r="C9" s="169">
        <f>'Data Sheet'!C21/'Data Sheet'!C17</f>
      </c>
      <c r="D9" s="169">
        <f>'Data Sheet'!D21/'Data Sheet'!D17</f>
      </c>
      <c r="E9" s="169">
        <f>'Data Sheet'!E21/'Data Sheet'!E17</f>
      </c>
      <c r="F9" s="169">
        <f>'Data Sheet'!F21/'Data Sheet'!F17</f>
      </c>
      <c r="G9" s="169">
        <f>'Data Sheet'!G21/'Data Sheet'!G17</f>
      </c>
      <c r="H9" s="169">
        <f>'Data Sheet'!H21/'Data Sheet'!H17</f>
      </c>
      <c r="I9" s="169">
        <f>'Data Sheet'!I21/'Data Sheet'!I17</f>
      </c>
      <c r="J9" s="169">
        <f>'Data Sheet'!J21/'Data Sheet'!J17</f>
      </c>
      <c r="K9" s="169">
        <f>'Data Sheet'!K21/'Data Sheet'!K17</f>
      </c>
      <c r="L9" s="170"/>
      <c r="M9" s="310"/>
      <c r="N9" s="310"/>
      <c r="O9" s="310"/>
    </row>
    <row r="10" spans="1:15" ht="13" x14ac:dyDescent="0.3">
      <c r="A10" s="168" t="s">
        <v>78</v>
      </c>
      <c r="B10" s="169">
        <f>'Data Sheet'!B22/'Data Sheet'!B17</f>
      </c>
      <c r="C10" s="169">
        <f>'Data Sheet'!C22/'Data Sheet'!C17</f>
      </c>
      <c r="D10" s="169">
        <f>'Data Sheet'!D22/'Data Sheet'!D17</f>
      </c>
      <c r="E10" s="169">
        <f>'Data Sheet'!E22/'Data Sheet'!E17</f>
      </c>
      <c r="F10" s="169">
        <f>'Data Sheet'!F22/'Data Sheet'!F17</f>
      </c>
      <c r="G10" s="169">
        <f>'Data Sheet'!G22/'Data Sheet'!G17</f>
      </c>
      <c r="H10" s="169">
        <f>'Data Sheet'!H22/'Data Sheet'!H17</f>
      </c>
      <c r="I10" s="169">
        <f>'Data Sheet'!I22/'Data Sheet'!I17</f>
      </c>
      <c r="J10" s="169">
        <f>'Data Sheet'!J22/'Data Sheet'!J17</f>
      </c>
      <c r="K10" s="169">
        <f>'Data Sheet'!K22/'Data Sheet'!K17</f>
      </c>
      <c r="L10" s="170"/>
      <c r="M10" s="310"/>
      <c r="N10" s="310"/>
      <c r="O10" s="310"/>
    </row>
    <row r="11" spans="1:15" ht="13" x14ac:dyDescent="0.3">
      <c r="A11" s="168" t="s">
        <v>101</v>
      </c>
      <c r="B11" s="169">
        <f>'Data Sheet'!B23/'Data Sheet'!B17</f>
      </c>
      <c r="C11" s="169">
        <f>'Data Sheet'!C23/'Data Sheet'!C17</f>
      </c>
      <c r="D11" s="169">
        <f>'Data Sheet'!D23/'Data Sheet'!D17</f>
      </c>
      <c r="E11" s="169">
        <f>'Data Sheet'!E23/'Data Sheet'!E17</f>
      </c>
      <c r="F11" s="169">
        <f>'Data Sheet'!F23/'Data Sheet'!F17</f>
      </c>
      <c r="G11" s="169">
        <f>'Data Sheet'!G23/'Data Sheet'!G17</f>
      </c>
      <c r="H11" s="169">
        <f>'Data Sheet'!H23/'Data Sheet'!H17</f>
      </c>
      <c r="I11" s="169">
        <f>'Data Sheet'!I23/'Data Sheet'!I17</f>
      </c>
      <c r="J11" s="169">
        <f>'Data Sheet'!J23/'Data Sheet'!J17</f>
      </c>
      <c r="K11" s="169">
        <f>'Data Sheet'!K23/'Data Sheet'!K17</f>
      </c>
      <c r="L11" s="170"/>
      <c r="M11" s="310"/>
      <c r="N11" s="310"/>
      <c r="O11" s="310"/>
    </row>
    <row r="12" spans="1:15" s="153" customFormat="1" ht="13" x14ac:dyDescent="0.3">
      <c r="A12" s="158" t="s">
        <v>6</v>
      </c>
      <c r="B12" s="159">
        <f>B4-B6</f>
      </c>
      <c r="C12" s="159">
        <f t="shared" ref="C12:L12" si="1">C4-C6</f>
      </c>
      <c r="D12" s="159">
        <f t="shared" si="1"/>
      </c>
      <c r="E12" s="159">
        <f t="shared" si="1"/>
      </c>
      <c r="F12" s="159">
        <f t="shared" si="1"/>
      </c>
      <c r="G12" s="159">
        <f t="shared" si="1"/>
      </c>
      <c r="H12" s="159">
        <f t="shared" si="1"/>
      </c>
      <c r="I12" s="159">
        <f t="shared" si="1"/>
      </c>
      <c r="J12" s="159">
        <f t="shared" si="1"/>
      </c>
      <c r="K12" s="159">
        <f t="shared" si="1"/>
      </c>
      <c r="L12" s="160">
        <f t="shared" si="1"/>
      </c>
    </row>
    <row r="13" spans="1:15" s="153" customFormat="1" ht="13" x14ac:dyDescent="0.3">
      <c r="A13" s="161" t="s">
        <v>90</v>
      </c>
      <c r="B13" s="163">
        <f t="shared" ref="B13:L13" si="2">B12/B4</f>
      </c>
      <c r="C13" s="163">
        <f t="shared" si="2"/>
      </c>
      <c r="D13" s="163">
        <f t="shared" si="2"/>
      </c>
      <c r="E13" s="163">
        <f t="shared" si="2"/>
      </c>
      <c r="F13" s="163">
        <f t="shared" si="2"/>
      </c>
      <c r="G13" s="163">
        <f t="shared" si="2"/>
      </c>
      <c r="H13" s="163">
        <f t="shared" si="2"/>
      </c>
      <c r="I13" s="163">
        <f t="shared" si="2"/>
      </c>
      <c r="J13" s="163">
        <f t="shared" si="2"/>
      </c>
      <c r="K13" s="163">
        <f t="shared" si="2"/>
      </c>
      <c r="L13" s="164">
        <f t="shared" si="2"/>
      </c>
    </row>
    <row r="14" spans="1:15" x14ac:dyDescent="0.25">
      <c r="A14" s="165" t="s">
        <v>7</v>
      </c>
      <c r="B14" s="166">
        <f>'Data Sheet'!B25</f>
      </c>
      <c r="C14" s="166">
        <f>'Data Sheet'!C25</f>
      </c>
      <c r="D14" s="166">
        <f>'Data Sheet'!D25</f>
      </c>
      <c r="E14" s="166">
        <f>'Data Sheet'!E25</f>
      </c>
      <c r="F14" s="166">
        <f>'Data Sheet'!F25</f>
      </c>
      <c r="G14" s="166">
        <f>'Data Sheet'!G25</f>
      </c>
      <c r="H14" s="166">
        <f>'Data Sheet'!H25</f>
      </c>
      <c r="I14" s="166">
        <f>'Data Sheet'!I25</f>
      </c>
      <c r="J14" s="166">
        <f>'Data Sheet'!J25</f>
      </c>
      <c r="K14" s="166">
        <f>'Data Sheet'!K25</f>
      </c>
      <c r="L14" s="167">
        <f>SUM(Quarters!H8:K8)</f>
      </c>
    </row>
    <row r="15" spans="1:15" ht="13" x14ac:dyDescent="0.3">
      <c r="A15" s="161" t="s">
        <v>184</v>
      </c>
      <c r="B15" s="171">
        <f>B14/B4</f>
      </c>
      <c r="C15" s="171">
        <f t="shared" ref="C15:L15" si="3">C14/C4</f>
      </c>
      <c r="D15" s="171">
        <f t="shared" si="3"/>
      </c>
      <c r="E15" s="171">
        <f t="shared" si="3"/>
      </c>
      <c r="F15" s="171">
        <f t="shared" si="3"/>
      </c>
      <c r="G15" s="171">
        <f t="shared" si="3"/>
      </c>
      <c r="H15" s="171">
        <f t="shared" si="3"/>
      </c>
      <c r="I15" s="171">
        <f t="shared" si="3"/>
      </c>
      <c r="J15" s="171">
        <f t="shared" si="3"/>
      </c>
      <c r="K15" s="171">
        <f t="shared" si="3"/>
      </c>
      <c r="L15" s="172">
        <f t="shared" si="3"/>
      </c>
    </row>
    <row r="16" spans="1:15" x14ac:dyDescent="0.25">
      <c r="A16" s="165" t="s">
        <v>8</v>
      </c>
      <c r="B16" s="166">
        <f>'Data Sheet'!B26</f>
      </c>
      <c r="C16" s="166">
        <f>'Data Sheet'!C26</f>
      </c>
      <c r="D16" s="166">
        <f>'Data Sheet'!D26</f>
      </c>
      <c r="E16" s="166">
        <f>'Data Sheet'!E26</f>
      </c>
      <c r="F16" s="166">
        <f>'Data Sheet'!F26</f>
      </c>
      <c r="G16" s="166">
        <f>'Data Sheet'!G26</f>
      </c>
      <c r="H16" s="166">
        <f>'Data Sheet'!H26</f>
      </c>
      <c r="I16" s="166">
        <f>'Data Sheet'!I26</f>
      </c>
      <c r="J16" s="166">
        <f>'Data Sheet'!J26</f>
      </c>
      <c r="K16" s="166">
        <f>'Data Sheet'!K26</f>
      </c>
      <c r="L16" s="167">
        <f>SUM(Quarters!H9:K9)</f>
      </c>
    </row>
    <row r="17" spans="1:13" x14ac:dyDescent="0.25">
      <c r="A17" s="165" t="s">
        <v>9</v>
      </c>
      <c r="B17" s="166">
        <f>'Data Sheet'!B27</f>
      </c>
      <c r="C17" s="166">
        <f>'Data Sheet'!C27</f>
      </c>
      <c r="D17" s="166">
        <f>'Data Sheet'!D27</f>
      </c>
      <c r="E17" s="166">
        <f>'Data Sheet'!E27</f>
      </c>
      <c r="F17" s="166">
        <f>'Data Sheet'!F27</f>
      </c>
      <c r="G17" s="166">
        <f>'Data Sheet'!G27</f>
      </c>
      <c r="H17" s="166">
        <f>'Data Sheet'!H27</f>
      </c>
      <c r="I17" s="166">
        <f>'Data Sheet'!I27</f>
      </c>
      <c r="J17" s="166">
        <f>'Data Sheet'!J27</f>
      </c>
      <c r="K17" s="166">
        <f>'Data Sheet'!K27</f>
      </c>
      <c r="L17" s="167">
        <f>SUM(Quarters!H10:K10)</f>
      </c>
    </row>
    <row r="18" spans="1:13" ht="13" x14ac:dyDescent="0.3">
      <c r="A18" s="161" t="s">
        <v>99</v>
      </c>
      <c r="B18" s="173">
        <f>(B19+B17)/B17</f>
      </c>
      <c r="C18" s="173">
        <f t="shared" ref="C18:L18" si="4">(C19+C17)/C17</f>
      </c>
      <c r="D18" s="173">
        <f t="shared" si="4"/>
      </c>
      <c r="E18" s="173">
        <f t="shared" si="4"/>
      </c>
      <c r="F18" s="173">
        <f t="shared" si="4"/>
      </c>
      <c r="G18" s="173">
        <f t="shared" si="4"/>
      </c>
      <c r="H18" s="173">
        <f t="shared" si="4"/>
      </c>
      <c r="I18" s="173">
        <f t="shared" si="4"/>
      </c>
      <c r="J18" s="173">
        <f t="shared" si="4"/>
      </c>
      <c r="K18" s="173">
        <f t="shared" si="4"/>
      </c>
      <c r="L18" s="174">
        <f t="shared" si="4"/>
      </c>
    </row>
    <row r="19" spans="1:13" ht="13" x14ac:dyDescent="0.3">
      <c r="A19" s="165" t="s">
        <v>103</v>
      </c>
      <c r="B19" s="166">
        <f>B12+B14-B16-B17</f>
      </c>
      <c r="C19" s="166">
        <f t="shared" ref="C19:L19" si="5">C12+C14-C16-C17</f>
      </c>
      <c r="D19" s="166">
        <f t="shared" si="5"/>
      </c>
      <c r="E19" s="166">
        <f t="shared" si="5"/>
      </c>
      <c r="F19" s="166">
        <f t="shared" si="5"/>
      </c>
      <c r="G19" s="166">
        <f t="shared" si="5"/>
      </c>
      <c r="H19" s="166">
        <f t="shared" si="5"/>
      </c>
      <c r="I19" s="166">
        <f t="shared" si="5"/>
      </c>
      <c r="J19" s="166">
        <f t="shared" si="5"/>
      </c>
      <c r="K19" s="166">
        <f t="shared" si="5"/>
      </c>
      <c r="L19" s="167">
        <f t="shared" si="5"/>
      </c>
      <c r="M19" s="153"/>
    </row>
    <row r="20" spans="1:13" s="153" customFormat="1" ht="13" x14ac:dyDescent="0.3">
      <c r="A20" s="161" t="s">
        <v>92</v>
      </c>
      <c r="B20" s="162"/>
      <c r="C20" s="163">
        <f>C19/B19-1</f>
      </c>
      <c r="D20" s="163">
        <f t="shared" ref="D20" si="6">D19/C19-1</f>
      </c>
      <c r="E20" s="163">
        <f t="shared" ref="E20" si="7">E19/D19-1</f>
      </c>
      <c r="F20" s="163">
        <f t="shared" ref="F20" si="8">F19/E19-1</f>
      </c>
      <c r="G20" s="163">
        <f t="shared" ref="G20" si="9">G19/F19-1</f>
      </c>
      <c r="H20" s="163">
        <f t="shared" ref="H20" si="10">H19/G19-1</f>
      </c>
      <c r="I20" s="163">
        <f t="shared" ref="I20" si="11">I19/H19-1</f>
      </c>
      <c r="J20" s="163">
        <f t="shared" ref="J20" si="12">J19/I19-1</f>
      </c>
      <c r="K20" s="163">
        <f t="shared" ref="K20" si="13">K19/J19-1</f>
      </c>
      <c r="L20" s="164"/>
    </row>
    <row r="21" spans="1:13" ht="13" x14ac:dyDescent="0.3">
      <c r="A21" s="161" t="s">
        <v>100</v>
      </c>
      <c r="B21" s="163">
        <f t="shared" ref="B21:L21" si="14">B19/B4</f>
      </c>
      <c r="C21" s="163">
        <f t="shared" si="14"/>
      </c>
      <c r="D21" s="163">
        <f t="shared" si="14"/>
      </c>
      <c r="E21" s="163">
        <f t="shared" si="14"/>
      </c>
      <c r="F21" s="163">
        <f t="shared" si="14"/>
      </c>
      <c r="G21" s="163">
        <f t="shared" si="14"/>
      </c>
      <c r="H21" s="163">
        <f t="shared" si="14"/>
      </c>
      <c r="I21" s="163">
        <f t="shared" si="14"/>
      </c>
      <c r="J21" s="163">
        <f t="shared" si="14"/>
      </c>
      <c r="K21" s="163">
        <f t="shared" si="14"/>
      </c>
      <c r="L21" s="164">
        <f t="shared" si="14"/>
      </c>
    </row>
    <row r="22" spans="1:13" x14ac:dyDescent="0.25">
      <c r="A22" s="165" t="s">
        <v>11</v>
      </c>
      <c r="B22" s="166">
        <f>'Data Sheet'!B29</f>
      </c>
      <c r="C22" s="166">
        <f>'Data Sheet'!C29</f>
      </c>
      <c r="D22" s="166">
        <f>'Data Sheet'!D29</f>
      </c>
      <c r="E22" s="166">
        <f>'Data Sheet'!E29</f>
      </c>
      <c r="F22" s="166">
        <f>'Data Sheet'!F29</f>
      </c>
      <c r="G22" s="166">
        <f>'Data Sheet'!G29</f>
      </c>
      <c r="H22" s="166">
        <f>'Data Sheet'!H29</f>
      </c>
      <c r="I22" s="166">
        <f>'Data Sheet'!I29</f>
      </c>
      <c r="J22" s="166">
        <f>'Data Sheet'!J29</f>
      </c>
      <c r="K22" s="166">
        <f>'Data Sheet'!K29</f>
      </c>
      <c r="L22" s="167">
        <f>SUM(Quarters!H14:K14)</f>
      </c>
    </row>
    <row r="23" spans="1:13" s="153" customFormat="1" ht="13" x14ac:dyDescent="0.3">
      <c r="A23" s="158" t="s">
        <v>12</v>
      </c>
      <c r="B23" s="159">
        <f>B19-B22</f>
      </c>
      <c r="C23" s="159">
        <f t="shared" ref="C23:L23" si="15">C19-C22</f>
      </c>
      <c r="D23" s="159">
        <f t="shared" si="15"/>
      </c>
      <c r="E23" s="159">
        <f t="shared" si="15"/>
      </c>
      <c r="F23" s="159">
        <f t="shared" si="15"/>
      </c>
      <c r="G23" s="159">
        <f t="shared" si="15"/>
      </c>
      <c r="H23" s="159">
        <f t="shared" si="15"/>
      </c>
      <c r="I23" s="159">
        <f t="shared" si="15"/>
      </c>
      <c r="J23" s="159">
        <f t="shared" si="15"/>
      </c>
      <c r="K23" s="159">
        <f t="shared" si="15"/>
      </c>
      <c r="L23" s="160">
        <f t="shared" si="15"/>
      </c>
    </row>
    <row r="24" spans="1:13" s="153" customFormat="1" ht="13" x14ac:dyDescent="0.3">
      <c r="A24" s="161" t="s">
        <v>92</v>
      </c>
      <c r="B24" s="162"/>
      <c r="C24" s="163">
        <f>C23/B23-1</f>
      </c>
      <c r="D24" s="163">
        <f t="shared" ref="D24" si="16">D23/C23-1</f>
      </c>
      <c r="E24" s="163">
        <f t="shared" ref="E24" si="17">E23/D23-1</f>
      </c>
      <c r="F24" s="163">
        <f t="shared" ref="F24" si="18">F23/E23-1</f>
      </c>
      <c r="G24" s="163">
        <f t="shared" ref="G24" si="19">G23/F23-1</f>
      </c>
      <c r="H24" s="163">
        <f t="shared" ref="H24" si="20">H23/G23-1</f>
      </c>
      <c r="I24" s="163">
        <f t="shared" ref="I24" si="21">I23/H23-1</f>
      </c>
      <c r="J24" s="163">
        <f t="shared" ref="J24" si="22">J23/I23-1</f>
      </c>
      <c r="K24" s="163">
        <f t="shared" ref="K24" si="23">K23/J23-1</f>
      </c>
      <c r="L24" s="164"/>
    </row>
    <row r="25" spans="1:13" ht="13" x14ac:dyDescent="0.3">
      <c r="A25" s="161" t="s">
        <v>91</v>
      </c>
      <c r="B25" s="163">
        <f t="shared" ref="B25:L25" si="24">B23/B4</f>
      </c>
      <c r="C25" s="163">
        <f t="shared" si="24"/>
      </c>
      <c r="D25" s="163">
        <f t="shared" si="24"/>
      </c>
      <c r="E25" s="163">
        <f t="shared" si="24"/>
      </c>
      <c r="F25" s="163">
        <f t="shared" si="24"/>
      </c>
      <c r="G25" s="163">
        <f t="shared" si="24"/>
      </c>
      <c r="H25" s="163">
        <f t="shared" si="24"/>
      </c>
      <c r="I25" s="163">
        <f t="shared" si="24"/>
      </c>
      <c r="J25" s="163">
        <f t="shared" si="24"/>
      </c>
      <c r="K25" s="163">
        <f t="shared" si="24"/>
      </c>
      <c r="L25" s="164">
        <f t="shared" si="24"/>
      </c>
      <c r="M25" s="153"/>
    </row>
    <row r="26" spans="1:13" x14ac:dyDescent="0.25">
      <c r="A26" s="165" t="s">
        <v>53</v>
      </c>
      <c r="B26" s="175">
        <f>IF('Data Sheet'!B93&gt;0,B23/'Data Sheet'!B93,0)</f>
      </c>
      <c r="C26" s="175">
        <f>IF('Data Sheet'!C93&gt;0,C23/'Data Sheet'!C93,0)</f>
      </c>
      <c r="D26" s="175">
        <f>IF('Data Sheet'!D93&gt;0,D23/'Data Sheet'!D93,0)</f>
      </c>
      <c r="E26" s="175">
        <f>IF('Data Sheet'!E93&gt;0,E23/'Data Sheet'!E93,0)</f>
      </c>
      <c r="F26" s="175">
        <f>IF('Data Sheet'!F93&gt;0,F23/'Data Sheet'!F93,0)</f>
      </c>
      <c r="G26" s="175">
        <f>IF('Data Sheet'!G93&gt;0,G23/'Data Sheet'!G93,0)</f>
      </c>
      <c r="H26" s="175">
        <f>IF('Data Sheet'!H93&gt;0,H23/'Data Sheet'!H93,0)</f>
      </c>
      <c r="I26" s="175">
        <f>IF('Data Sheet'!I93&gt;0,I23/'Data Sheet'!I93,0)</f>
      </c>
      <c r="J26" s="175">
        <f>IF('Data Sheet'!J93&gt;0,J23/'Data Sheet'!J93,0)</f>
      </c>
      <c r="K26" s="175">
        <f>IF('Data Sheet'!K93&gt;0,K23/'Data Sheet'!K93,0)</f>
      </c>
      <c r="L26" s="176">
        <f>IF('Data Sheet'!$B6&gt;0,'Profit &amp; Loss'!L23/'Data Sheet'!$B6,0)</f>
      </c>
    </row>
    <row r="27" spans="1:13" s="153" customFormat="1" ht="13" x14ac:dyDescent="0.3">
      <c r="A27" s="161" t="s">
        <v>92</v>
      </c>
      <c r="B27" s="162"/>
      <c r="C27" s="163">
        <f>C26/B26-1</f>
      </c>
      <c r="D27" s="163">
        <f t="shared" ref="D27" si="25">D26/C26-1</f>
      </c>
      <c r="E27" s="163">
        <f t="shared" ref="E27" si="26">E26/D26-1</f>
      </c>
      <c r="F27" s="163">
        <f t="shared" ref="F27" si="27">F26/E26-1</f>
      </c>
      <c r="G27" s="163">
        <f t="shared" ref="G27" si="28">G26/F26-1</f>
      </c>
      <c r="H27" s="163">
        <f t="shared" ref="H27" si="29">H26/G26-1</f>
      </c>
      <c r="I27" s="163">
        <f t="shared" ref="I27" si="30">I26/H26-1</f>
      </c>
      <c r="J27" s="163">
        <f t="shared" ref="J27" si="31">J26/I26-1</f>
      </c>
      <c r="K27" s="163">
        <f t="shared" ref="K27" si="32">K26/J26-1</f>
      </c>
      <c r="L27" s="164"/>
    </row>
    <row r="28" spans="1:13" ht="13" x14ac:dyDescent="0.3">
      <c r="A28" s="177" t="s">
        <v>13</v>
      </c>
      <c r="B28" s="178">
        <f t="shared" ref="B28:K28" si="33">IF(B29&gt;0,B29/B26,"")</f>
      </c>
      <c r="C28" s="178">
        <f t="shared" si="33"/>
      </c>
      <c r="D28" s="178">
        <f t="shared" si="33"/>
      </c>
      <c r="E28" s="178">
        <f t="shared" si="33"/>
      </c>
      <c r="F28" s="178">
        <f t="shared" si="33"/>
      </c>
      <c r="G28" s="178">
        <f t="shared" si="33"/>
      </c>
      <c r="H28" s="178">
        <f t="shared" si="33"/>
      </c>
      <c r="I28" s="178">
        <f t="shared" si="33"/>
      </c>
      <c r="J28" s="178">
        <f t="shared" si="33"/>
      </c>
      <c r="K28" s="178">
        <f t="shared" si="33"/>
      </c>
      <c r="L28" s="179">
        <f t="shared" ref="L28" si="34">IF(L26&gt;0,L29/L26,0)</f>
      </c>
      <c r="M28" s="153"/>
    </row>
    <row r="29" spans="1:13" s="153" customFormat="1" ht="13" x14ac:dyDescent="0.3">
      <c r="A29" s="158" t="s">
        <v>54</v>
      </c>
      <c r="B29" s="159">
        <f>'Data Sheet'!B90</f>
      </c>
      <c r="C29" s="159">
        <f>'Data Sheet'!C90</f>
      </c>
      <c r="D29" s="159">
        <f>'Data Sheet'!D90</f>
      </c>
      <c r="E29" s="159">
        <f>'Data Sheet'!E90</f>
      </c>
      <c r="F29" s="159">
        <f>'Data Sheet'!F90</f>
      </c>
      <c r="G29" s="159">
        <f>'Data Sheet'!G90</f>
      </c>
      <c r="H29" s="159">
        <f>'Data Sheet'!H90</f>
      </c>
      <c r="I29" s="159">
        <f>'Data Sheet'!I90</f>
      </c>
      <c r="J29" s="159">
        <f>'Data Sheet'!J90</f>
      </c>
      <c r="K29" s="159">
        <f>'Data Sheet'!K90</f>
      </c>
      <c r="L29" s="160">
        <f>'Data Sheet'!B8</f>
      </c>
    </row>
    <row r="30" spans="1:13" x14ac:dyDescent="0.25">
      <c r="A30" s="165" t="s">
        <v>14</v>
      </c>
      <c r="B30" s="180">
        <f>IF('Data Sheet'!B30&gt;0, 'Data Sheet'!B31/'Data Sheet'!B30, 0)</f>
      </c>
      <c r="C30" s="180">
        <f>IF('Data Sheet'!C30&gt;0, 'Data Sheet'!C31/'Data Sheet'!C30, 0)</f>
      </c>
      <c r="D30" s="180">
        <f>IF('Data Sheet'!D30&gt;0, 'Data Sheet'!D31/'Data Sheet'!D30, 0)</f>
      </c>
      <c r="E30" s="180">
        <f>IF('Data Sheet'!E30&gt;0, 'Data Sheet'!E31/'Data Sheet'!E30, 0)</f>
      </c>
      <c r="F30" s="180">
        <f>IF('Data Sheet'!F30&gt;0, 'Data Sheet'!F31/'Data Sheet'!F30, 0)</f>
      </c>
      <c r="G30" s="180">
        <f>IF('Data Sheet'!G30&gt;0, 'Data Sheet'!G31/'Data Sheet'!G30, 0)</f>
      </c>
      <c r="H30" s="180">
        <f>IF('Data Sheet'!H30&gt;0, 'Data Sheet'!H31/'Data Sheet'!H30, 0)</f>
      </c>
      <c r="I30" s="180">
        <f>IF('Data Sheet'!I30&gt;0, 'Data Sheet'!I31/'Data Sheet'!I30, 0)</f>
      </c>
      <c r="J30" s="180">
        <f>IF('Data Sheet'!J30&gt;0, 'Data Sheet'!J31/'Data Sheet'!J30, 0)</f>
      </c>
      <c r="K30" s="180">
        <f>IF('Data Sheet'!K30&gt;0, 'Data Sheet'!K31/'Data Sheet'!K30, 0)</f>
      </c>
      <c r="L30" s="181"/>
    </row>
    <row r="31" spans="1:13" x14ac:dyDescent="0.25">
      <c r="A31" s="165" t="s">
        <v>181</v>
      </c>
      <c r="B31" s="166">
        <f>B29*'Data Sheet'!B93</f>
      </c>
      <c r="C31" s="166">
        <f>C29*'Data Sheet'!C93</f>
      </c>
      <c r="D31" s="166">
        <f>D29*'Data Sheet'!D93</f>
      </c>
      <c r="E31" s="166">
        <f>E29*'Data Sheet'!E93</f>
      </c>
      <c r="F31" s="166">
        <f>F29*'Data Sheet'!F93</f>
      </c>
      <c r="G31" s="166">
        <f>G29*'Data Sheet'!G93</f>
      </c>
      <c r="H31" s="166">
        <f>H29*'Data Sheet'!H93</f>
      </c>
      <c r="I31" s="166">
        <f>I29*'Data Sheet'!I93</f>
      </c>
      <c r="J31" s="166">
        <f>J29*'Data Sheet'!J93</f>
      </c>
      <c r="K31" s="166">
        <f>K29*'Data Sheet'!K93</f>
      </c>
      <c r="L31" s="167"/>
    </row>
    <row r="32" spans="1:13" x14ac:dyDescent="0.25">
      <c r="A32" s="165" t="s">
        <v>182</v>
      </c>
      <c r="B32" s="166">
        <f>B23*(1-B30)</f>
      </c>
      <c r="C32" s="166">
        <f t="shared" ref="C32:K32" si="35">C23*(1-C30)</f>
      </c>
      <c r="D32" s="166">
        <f t="shared" si="35"/>
      </c>
      <c r="E32" s="166">
        <f t="shared" si="35"/>
      </c>
      <c r="F32" s="166">
        <f t="shared" si="35"/>
      </c>
      <c r="G32" s="166">
        <f t="shared" si="35"/>
      </c>
      <c r="H32" s="166">
        <f t="shared" si="35"/>
      </c>
      <c r="I32" s="166">
        <f t="shared" si="35"/>
      </c>
      <c r="J32" s="166">
        <f t="shared" si="35"/>
      </c>
      <c r="K32" s="166">
        <f t="shared" si="35"/>
      </c>
      <c r="L32" s="181"/>
    </row>
    <row r="33" spans="1:12" ht="13" thickBot="1" x14ac:dyDescent="0.3">
      <c r="A33" s="182" t="s">
        <v>183</v>
      </c>
      <c r="B33" s="183">
        <f>(K31-B31)/SUM(B32:K32)</f>
      </c>
      <c r="C33" s="184"/>
      <c r="D33" s="184"/>
      <c r="E33" s="184"/>
      <c r="F33" s="184"/>
      <c r="G33" s="184"/>
      <c r="H33" s="184"/>
      <c r="I33" s="184"/>
      <c r="J33" s="184"/>
      <c r="K33" s="184"/>
      <c r="L33" s="185"/>
    </row>
    <row r="34" spans="1:12" x14ac:dyDescent="0.25">
      <c r="B34" s="186"/>
      <c r="C34" s="186"/>
      <c r="D34" s="186"/>
      <c r="E34" s="186"/>
      <c r="F34" s="186"/>
      <c r="G34" s="186"/>
      <c r="H34" s="186"/>
      <c r="I34" s="186"/>
      <c r="J34" s="186"/>
      <c r="K34" s="186"/>
      <c r="L34" s="186"/>
    </row>
    <row r="35" spans="1:12" x14ac:dyDescent="0.25">
      <c r="B35" s="187"/>
      <c r="C35" s="187"/>
      <c r="D35" s="187"/>
      <c r="E35" s="187"/>
      <c r="F35" s="187"/>
      <c r="G35" s="187"/>
      <c r="H35" s="187"/>
      <c r="I35" s="187"/>
      <c r="J35" s="187"/>
      <c r="K35" s="187"/>
      <c r="L35" s="187"/>
    </row>
    <row r="36" spans="1:12" s="157" customFormat="1" ht="13" x14ac:dyDescent="0.3">
      <c r="A36" s="188" t="s">
        <v>16</v>
      </c>
      <c r="B36" s="188" t="s">
        <v>60</v>
      </c>
      <c r="C36" s="188" t="s">
        <v>61</v>
      </c>
      <c r="D36" s="188" t="s">
        <v>62</v>
      </c>
      <c r="E36" s="188" t="s">
        <v>63</v>
      </c>
    </row>
    <row r="37" spans="1:12" s="153" customFormat="1" ht="13" x14ac:dyDescent="0.3">
      <c r="A37" s="189" t="s">
        <v>17</v>
      </c>
      <c r="B37" s="190">
        <f>(K4/B4)^(1/9)-1</f>
      </c>
      <c r="C37" s="190">
        <f>(K4/D4)^(1/7)-1</f>
      </c>
      <c r="D37" s="190">
        <f>(K4/F4)^(1/5)-1</f>
      </c>
      <c r="E37" s="190">
        <f>(K4/H4)^(1/3)-1</f>
      </c>
    </row>
    <row r="38" spans="1:12" s="153" customFormat="1" ht="13" x14ac:dyDescent="0.3">
      <c r="A38" s="189" t="s">
        <v>180</v>
      </c>
      <c r="B38" s="190">
        <f>(K19/B19)^(1/9)-1</f>
      </c>
      <c r="C38" s="190">
        <f>(K19/D19)^(1/7)-1</f>
      </c>
      <c r="D38" s="190">
        <f>(K19/F19)^(1/5)-1</f>
      </c>
      <c r="E38" s="190">
        <f>(K19/H19)^(1/3)-1</f>
      </c>
    </row>
    <row r="39" spans="1:12" ht="13" x14ac:dyDescent="0.3">
      <c r="A39" s="189" t="s">
        <v>100</v>
      </c>
      <c r="B39" s="190">
        <f>AVERAGE(B21:K21)</f>
      </c>
      <c r="C39" s="190">
        <f>AVERAGE(E21:K21)</f>
      </c>
      <c r="D39" s="190">
        <f>AVERAGE(G21:K21)</f>
      </c>
      <c r="E39" s="190">
        <f>AVERAGE(I21:K21)</f>
      </c>
      <c r="F39" s="153"/>
    </row>
    <row r="40" spans="1:12" ht="13" x14ac:dyDescent="0.3">
      <c r="A40" s="189" t="s">
        <v>18</v>
      </c>
      <c r="B40" s="178">
        <f>AVERAGE(B28:K28)</f>
      </c>
      <c r="C40" s="178">
        <f>AVERAGE(E28:K28)</f>
      </c>
      <c r="D40" s="178">
        <f>AVERAGE(G28:K28)</f>
      </c>
      <c r="E40" s="178">
        <f>AVERAGE(I28:K28)</f>
      </c>
      <c r="F40" s="153"/>
    </row>
    <row r="41" spans="1:12" x14ac:dyDescent="0.25">
      <c r="A41" s="311" t="s">
        <v>240</v>
      </c>
      <c r="B41" s="311"/>
      <c r="C41" s="311"/>
      <c r="D41" s="311"/>
      <c r="E41" s="311"/>
    </row>
    <row r="42" spans="1:12" x14ac:dyDescent="0.25">
      <c r="A42" s="311"/>
      <c r="B42" s="311"/>
      <c r="C42" s="311"/>
      <c r="D42" s="311"/>
      <c r="E42" s="311"/>
    </row>
    <row r="43" spans="1:12" x14ac:dyDescent="0.25">
      <c r="A43" s="311"/>
      <c r="B43" s="311"/>
      <c r="C43" s="311"/>
      <c r="D43" s="311"/>
      <c r="E43" s="311"/>
    </row>
    <row r="44" spans="1:12" x14ac:dyDescent="0.25">
      <c r="A44" s="311"/>
      <c r="B44" s="311"/>
      <c r="C44" s="311"/>
      <c r="D44" s="311"/>
      <c r="E44" s="311"/>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22"/>
  <sheetViews>
    <sheetView workbookViewId="0">
      <pane xSplit="1" ySplit="3" topLeftCell="B4" activePane="bottomRight" state="frozen"/>
      <selection pane="topRight" activeCell="B1" sqref="B1"/>
      <selection pane="bottomLeft" activeCell="A4" sqref="A4"/>
      <selection pane="bottomRight" sqref="A1:L1"/>
    </sheetView>
  </sheetViews>
  <sheetFormatPr defaultColWidth="13.08984375" defaultRowHeight="12.5" x14ac:dyDescent="0.25"/>
  <cols>
    <col min="1" max="1" width="32" style="13" bestFit="1" customWidth="1"/>
    <col min="2" max="2" width="7" style="13" bestFit="1" customWidth="1"/>
    <col min="3" max="11" width="7.08984375" style="13" bestFit="1" customWidth="1"/>
    <col min="12" max="12" width="8.08984375" style="13" bestFit="1" customWidth="1"/>
    <col min="13" max="16384" width="13.08984375" style="13"/>
  </cols>
  <sheetData>
    <row r="1" spans="1:13" ht="19" x14ac:dyDescent="0.4">
      <c r="A1" s="304" t="s">
        <v>265</v>
      </c>
      <c r="B1" s="305"/>
      <c r="C1" s="305"/>
      <c r="D1" s="305"/>
      <c r="E1" s="305"/>
      <c r="F1" s="305"/>
      <c r="G1" s="305"/>
      <c r="H1" s="305"/>
      <c r="I1" s="305"/>
      <c r="J1" s="305"/>
      <c r="K1" s="305"/>
      <c r="L1" s="306"/>
    </row>
    <row r="2" spans="1:13" s="7" customFormat="1" ht="13" x14ac:dyDescent="0.3">
      <c r="A2" s="332" t="str">
        <f>'Balance Sheet'!A2</f>
      </c>
      <c r="B2" s="333"/>
      <c r="C2" s="333"/>
      <c r="D2" s="333"/>
      <c r="E2" s="333"/>
      <c r="F2" s="333"/>
      <c r="G2" s="333"/>
      <c r="H2" s="333"/>
      <c r="I2" s="333"/>
      <c r="J2" s="333"/>
      <c r="K2" s="333"/>
      <c r="L2" s="334"/>
    </row>
    <row r="3" spans="1:13" s="10" customFormat="1" ht="13" x14ac:dyDescent="0.3">
      <c r="A3" s="256" t="s">
        <v>179</v>
      </c>
      <c r="B3" s="113">
        <f>'Data Sheet'!B81</f>
      </c>
      <c r="C3" s="113">
        <f>'Data Sheet'!C81</f>
      </c>
      <c r="D3" s="113">
        <f>'Data Sheet'!D81</f>
      </c>
      <c r="E3" s="113">
        <f>'Data Sheet'!E81</f>
      </c>
      <c r="F3" s="113">
        <f>'Data Sheet'!F81</f>
      </c>
      <c r="G3" s="113">
        <f>'Data Sheet'!G81</f>
      </c>
      <c r="H3" s="113">
        <f>'Data Sheet'!H81</f>
      </c>
      <c r="I3" s="113">
        <f>'Data Sheet'!I81</f>
      </c>
      <c r="J3" s="113">
        <f>'Data Sheet'!J81</f>
      </c>
      <c r="K3" s="113">
        <f>'Data Sheet'!K81</f>
      </c>
      <c r="L3" s="210" t="s">
        <v>21</v>
      </c>
    </row>
    <row r="4" spans="1:13" s="7" customFormat="1" ht="13" x14ac:dyDescent="0.3">
      <c r="A4" s="257" t="s">
        <v>93</v>
      </c>
      <c r="B4" s="118">
        <f>'Data Sheet'!B82</f>
      </c>
      <c r="C4" s="118">
        <f>'Data Sheet'!C82</f>
      </c>
      <c r="D4" s="118">
        <f>'Data Sheet'!D82</f>
      </c>
      <c r="E4" s="118">
        <f>'Data Sheet'!E82</f>
      </c>
      <c r="F4" s="118">
        <f>'Data Sheet'!F82</f>
      </c>
      <c r="G4" s="118">
        <f>'Data Sheet'!G82</f>
      </c>
      <c r="H4" s="118">
        <f>'Data Sheet'!H82</f>
      </c>
      <c r="I4" s="118">
        <f>'Data Sheet'!I82</f>
      </c>
      <c r="J4" s="118">
        <f>'Data Sheet'!J82</f>
      </c>
      <c r="K4" s="118">
        <f>'Data Sheet'!K82</f>
      </c>
      <c r="L4" s="258">
        <f>SUM(B4:K4)</f>
      </c>
      <c r="M4" s="13"/>
    </row>
    <row r="5" spans="1:13" s="279" customFormat="1" ht="13" x14ac:dyDescent="0.3">
      <c r="A5" s="263" t="s">
        <v>283</v>
      </c>
      <c r="B5" s="278"/>
      <c r="C5" s="117">
        <f>C4/B4-1</f>
      </c>
      <c r="D5" s="117">
        <f t="shared" ref="D5:K5" si="0">D4/C4-1</f>
      </c>
      <c r="E5" s="117">
        <f t="shared" si="0"/>
      </c>
      <c r="F5" s="117">
        <f t="shared" si="0"/>
      </c>
      <c r="G5" s="117">
        <f t="shared" si="0"/>
      </c>
      <c r="H5" s="117">
        <f t="shared" si="0"/>
      </c>
      <c r="I5" s="117">
        <f t="shared" si="0"/>
      </c>
      <c r="J5" s="117">
        <f t="shared" si="0"/>
      </c>
      <c r="K5" s="117">
        <f t="shared" si="0"/>
      </c>
      <c r="L5" s="262"/>
      <c r="M5" s="12"/>
    </row>
    <row r="6" spans="1:13" ht="13" x14ac:dyDescent="0.3">
      <c r="A6" s="90" t="s">
        <v>28</v>
      </c>
      <c r="B6" s="30">
        <f>'Data Sheet'!B83</f>
      </c>
      <c r="C6" s="30">
        <f>'Data Sheet'!C83</f>
      </c>
      <c r="D6" s="30">
        <f>'Data Sheet'!D83</f>
      </c>
      <c r="E6" s="30">
        <f>'Data Sheet'!E83</f>
      </c>
      <c r="F6" s="30">
        <f>'Data Sheet'!F83</f>
      </c>
      <c r="G6" s="30">
        <f>'Data Sheet'!G83</f>
      </c>
      <c r="H6" s="30">
        <f>'Data Sheet'!H83</f>
      </c>
      <c r="I6" s="30">
        <f>'Data Sheet'!I83</f>
      </c>
      <c r="J6" s="30">
        <f>'Data Sheet'!J83</f>
      </c>
      <c r="K6" s="30">
        <f>'Data Sheet'!K83</f>
      </c>
      <c r="L6" s="258">
        <f t="shared" ref="L6:L8" si="1">SUM(B6:K6)</f>
      </c>
    </row>
    <row r="7" spans="1:13" ht="13" x14ac:dyDescent="0.3">
      <c r="A7" s="90" t="s">
        <v>29</v>
      </c>
      <c r="B7" s="30">
        <f>'Data Sheet'!B84</f>
      </c>
      <c r="C7" s="30">
        <f>'Data Sheet'!C84</f>
      </c>
      <c r="D7" s="30">
        <f>'Data Sheet'!D84</f>
      </c>
      <c r="E7" s="30">
        <f>'Data Sheet'!E84</f>
      </c>
      <c r="F7" s="30">
        <f>'Data Sheet'!F84</f>
      </c>
      <c r="G7" s="30">
        <f>'Data Sheet'!G84</f>
      </c>
      <c r="H7" s="30">
        <f>'Data Sheet'!H84</f>
      </c>
      <c r="I7" s="30">
        <f>'Data Sheet'!I84</f>
      </c>
      <c r="J7" s="30">
        <f>'Data Sheet'!J84</f>
      </c>
      <c r="K7" s="30">
        <f>'Data Sheet'!K84</f>
      </c>
      <c r="L7" s="258">
        <f t="shared" si="1"/>
      </c>
    </row>
    <row r="8" spans="1:13" s="7" customFormat="1" ht="13" x14ac:dyDescent="0.3">
      <c r="A8" s="257" t="s">
        <v>30</v>
      </c>
      <c r="B8" s="118">
        <f>'Data Sheet'!B85</f>
      </c>
      <c r="C8" s="118">
        <f>'Data Sheet'!C85</f>
      </c>
      <c r="D8" s="118">
        <f>'Data Sheet'!D85</f>
      </c>
      <c r="E8" s="118">
        <f>'Data Sheet'!E85</f>
      </c>
      <c r="F8" s="118">
        <f>'Data Sheet'!F85</f>
      </c>
      <c r="G8" s="118">
        <f>'Data Sheet'!G85</f>
      </c>
      <c r="H8" s="118">
        <f>'Data Sheet'!H85</f>
      </c>
      <c r="I8" s="118">
        <f>'Data Sheet'!I85</f>
      </c>
      <c r="J8" s="118">
        <f>'Data Sheet'!J85</f>
      </c>
      <c r="K8" s="118">
        <f>'Data Sheet'!K85</f>
      </c>
      <c r="L8" s="258">
        <f t="shared" si="1"/>
      </c>
    </row>
    <row r="9" spans="1:13" s="12" customFormat="1" ht="13" x14ac:dyDescent="0.3">
      <c r="A9" s="259" t="s">
        <v>94</v>
      </c>
      <c r="B9" s="117">
        <f>B4/'Profit &amp; Loss'!B4</f>
      </c>
      <c r="C9" s="117">
        <f>C4/'Profit &amp; Loss'!C4</f>
      </c>
      <c r="D9" s="117">
        <f>D4/'Profit &amp; Loss'!D4</f>
      </c>
      <c r="E9" s="117">
        <f>E4/'Profit &amp; Loss'!E4</f>
      </c>
      <c r="F9" s="117">
        <f>F4/'Profit &amp; Loss'!F4</f>
      </c>
      <c r="G9" s="117">
        <f>G4/'Profit &amp; Loss'!G4</f>
      </c>
      <c r="H9" s="117">
        <f>H4/'Profit &amp; Loss'!H4</f>
      </c>
      <c r="I9" s="117">
        <f>I4/'Profit &amp; Loss'!I4</f>
      </c>
      <c r="J9" s="117">
        <f>J4/'Profit &amp; Loss'!J4</f>
      </c>
      <c r="K9" s="117">
        <f>K4/'Profit &amp; Loss'!K4</f>
      </c>
      <c r="L9" s="260"/>
    </row>
    <row r="10" spans="1:13" s="12" customFormat="1" ht="13" x14ac:dyDescent="0.3">
      <c r="A10" s="259" t="s">
        <v>95</v>
      </c>
      <c r="B10" s="117">
        <f>B4/'Profit &amp; Loss'!B23</f>
      </c>
      <c r="C10" s="117">
        <f>C4/'Profit &amp; Loss'!C23</f>
      </c>
      <c r="D10" s="117">
        <f>D4/'Profit &amp; Loss'!D23</f>
      </c>
      <c r="E10" s="117">
        <f>E4/'Profit &amp; Loss'!E23</f>
      </c>
      <c r="F10" s="117">
        <f>F4/'Profit &amp; Loss'!F23</f>
      </c>
      <c r="G10" s="117">
        <f>G4/'Profit &amp; Loss'!G23</f>
      </c>
      <c r="H10" s="117">
        <f>H4/'Profit &amp; Loss'!H23</f>
      </c>
      <c r="I10" s="117">
        <f>I4/'Profit &amp; Loss'!I23</f>
      </c>
      <c r="J10" s="117">
        <f>J4/'Profit &amp; Loss'!J23</f>
      </c>
      <c r="K10" s="117">
        <f>K4/'Profit &amp; Loss'!K23</f>
      </c>
      <c r="L10" s="260"/>
    </row>
    <row r="11" spans="1:13" ht="13" x14ac:dyDescent="0.3">
      <c r="A11" s="261" t="s">
        <v>230</v>
      </c>
      <c r="B11" s="119">
        <v>315.08</v>
      </c>
      <c r="C11" s="119">
        <v>211.57</v>
      </c>
      <c r="D11" s="119">
        <v>364.12</v>
      </c>
      <c r="E11" s="119">
        <v>565</v>
      </c>
      <c r="F11" s="119">
        <v>607</v>
      </c>
      <c r="G11" s="119">
        <v>937</v>
      </c>
      <c r="H11" s="119">
        <v>1156</v>
      </c>
      <c r="I11" s="119">
        <v>1638</v>
      </c>
      <c r="J11" s="119">
        <v>1238</v>
      </c>
      <c r="K11" s="119">
        <v>824.16</v>
      </c>
      <c r="L11" s="262"/>
    </row>
    <row r="12" spans="1:13" ht="13" x14ac:dyDescent="0.3">
      <c r="A12" s="90" t="s">
        <v>130</v>
      </c>
      <c r="B12" s="120">
        <f t="shared" ref="B12:K12" si="2">B4-B11</f>
      </c>
      <c r="C12" s="120">
        <f t="shared" si="2"/>
      </c>
      <c r="D12" s="120">
        <f t="shared" si="2"/>
      </c>
      <c r="E12" s="120">
        <f t="shared" si="2"/>
      </c>
      <c r="F12" s="120">
        <f t="shared" si="2"/>
      </c>
      <c r="G12" s="120">
        <f t="shared" si="2"/>
      </c>
      <c r="H12" s="120">
        <f t="shared" si="2"/>
      </c>
      <c r="I12" s="120">
        <f t="shared" si="2"/>
      </c>
      <c r="J12" s="120">
        <f t="shared" si="2"/>
      </c>
      <c r="K12" s="120">
        <f t="shared" si="2"/>
      </c>
      <c r="L12" s="262">
        <f t="shared" ref="L12" si="3">SUM(B12:K12)</f>
      </c>
      <c r="M12" s="7"/>
    </row>
    <row r="13" spans="1:13" ht="14.5" customHeight="1" x14ac:dyDescent="0.3">
      <c r="A13" s="263" t="s">
        <v>131</v>
      </c>
      <c r="B13" s="329">
        <f>AVERAGE(I12:K12)</f>
      </c>
      <c r="C13" s="330"/>
      <c r="D13" s="330"/>
      <c r="E13" s="330"/>
      <c r="F13" s="330"/>
      <c r="G13" s="330"/>
      <c r="H13" s="330"/>
      <c r="I13" s="330"/>
      <c r="J13" s="330"/>
      <c r="K13" s="331"/>
      <c r="L13" s="264"/>
    </row>
    <row r="14" spans="1:13" ht="14.5" customHeight="1" x14ac:dyDescent="0.3">
      <c r="A14" s="263" t="s">
        <v>286</v>
      </c>
      <c r="B14" s="277"/>
      <c r="C14" s="280">
        <f>C12/B12-1</f>
      </c>
      <c r="D14" s="280">
        <f t="shared" ref="D14:K14" si="4">D12/C12-1</f>
      </c>
      <c r="E14" s="280">
        <f t="shared" si="4"/>
      </c>
      <c r="F14" s="280">
        <f t="shared" si="4"/>
      </c>
      <c r="G14" s="280">
        <f t="shared" si="4"/>
      </c>
      <c r="H14" s="280">
        <f t="shared" si="4"/>
      </c>
      <c r="I14" s="280">
        <f t="shared" si="4"/>
      </c>
      <c r="J14" s="280">
        <f t="shared" si="4"/>
      </c>
      <c r="K14" s="280">
        <f t="shared" si="4"/>
      </c>
      <c r="L14" s="264"/>
    </row>
    <row r="15" spans="1:13" ht="13" x14ac:dyDescent="0.3">
      <c r="A15" s="263" t="s">
        <v>174</v>
      </c>
      <c r="B15" s="117">
        <f>B12/'Data Sheet'!B17</f>
      </c>
      <c r="C15" s="117">
        <f>C12/'Data Sheet'!C17</f>
      </c>
      <c r="D15" s="117">
        <f>D12/'Data Sheet'!D17</f>
      </c>
      <c r="E15" s="117">
        <f>E12/'Data Sheet'!E17</f>
      </c>
      <c r="F15" s="117">
        <f>F12/'Data Sheet'!F17</f>
      </c>
      <c r="G15" s="117">
        <f>G12/'Data Sheet'!G17</f>
      </c>
      <c r="H15" s="117">
        <f>H12/'Data Sheet'!H17</f>
      </c>
      <c r="I15" s="117">
        <f>I12/'Data Sheet'!I17</f>
      </c>
      <c r="J15" s="117">
        <f>J12/'Data Sheet'!J17</f>
      </c>
      <c r="K15" s="117">
        <f>K12/'Data Sheet'!K17</f>
      </c>
      <c r="L15" s="264"/>
    </row>
    <row r="16" spans="1:13" ht="13.5" thickBot="1" x14ac:dyDescent="0.35">
      <c r="A16" s="265" t="s">
        <v>175</v>
      </c>
      <c r="B16" s="266">
        <f>B12/'Data Sheet'!B30</f>
      </c>
      <c r="C16" s="266">
        <f>C12/'Data Sheet'!C30</f>
      </c>
      <c r="D16" s="266">
        <f>D12/'Data Sheet'!D30</f>
      </c>
      <c r="E16" s="266">
        <f>E12/'Data Sheet'!E30</f>
      </c>
      <c r="F16" s="266">
        <f>F12/'Data Sheet'!F30</f>
      </c>
      <c r="G16" s="266">
        <f>G12/'Data Sheet'!G30</f>
      </c>
      <c r="H16" s="266">
        <f>H12/'Data Sheet'!H30</f>
      </c>
      <c r="I16" s="266">
        <f>I12/'Data Sheet'!I30</f>
      </c>
      <c r="J16" s="266">
        <f>J12/'Data Sheet'!J30</f>
      </c>
      <c r="K16" s="266">
        <f>K12/'Data Sheet'!K30</f>
      </c>
      <c r="L16" s="267"/>
    </row>
    <row r="18" spans="1:1" ht="104" x14ac:dyDescent="0.3">
      <c r="A18" s="235" t="s">
        <v>251</v>
      </c>
    </row>
    <row r="22" spans="1:1" s="25" customFormat="1" x14ac:dyDescent="0.25"/>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workbookViewId="0">
      <selection sqref="A1:K1"/>
    </sheetView>
  </sheetViews>
  <sheetFormatPr defaultRowHeight="12.5" x14ac:dyDescent="0.25"/>
  <cols>
    <col min="1" max="1" width="24.453125" style="8" bestFit="1" customWidth="1"/>
    <col min="2" max="2" width="7" style="8" bestFit="1" customWidth="1"/>
    <col min="3" max="3" width="8" style="8" bestFit="1" customWidth="1"/>
    <col min="4" max="4" width="6.7265625" style="8" bestFit="1" customWidth="1"/>
    <col min="5" max="5" width="7" style="8" bestFit="1" customWidth="1"/>
    <col min="6" max="6" width="6.7265625" style="8" bestFit="1" customWidth="1"/>
    <col min="7" max="7" width="7" style="8" bestFit="1" customWidth="1"/>
    <col min="8" max="8" width="6.7265625" style="8" bestFit="1" customWidth="1"/>
    <col min="9" max="9" width="7" style="8" bestFit="1" customWidth="1"/>
    <col min="10" max="11" width="6.7265625" style="8" bestFit="1" customWidth="1"/>
    <col min="12" max="12" width="110.7265625" style="8" bestFit="1" customWidth="1"/>
    <col min="13" max="16384" width="8.7265625" style="8"/>
  </cols>
  <sheetData>
    <row r="1" spans="1:12" ht="19" x14ac:dyDescent="0.4">
      <c r="A1" s="426" t="s">
        <v>280</v>
      </c>
      <c r="B1" s="427"/>
      <c r="C1" s="427"/>
      <c r="D1" s="427"/>
      <c r="E1" s="427"/>
      <c r="F1" s="427"/>
      <c r="G1" s="427"/>
      <c r="H1" s="427"/>
      <c r="I1" s="427"/>
      <c r="J1" s="427"/>
      <c r="K1" s="428"/>
    </row>
    <row r="2" spans="1:12" ht="13" x14ac:dyDescent="0.3">
      <c r="A2" s="401" t="str">
        <f>'Profit &amp; Loss'!A2:L2</f>
      </c>
      <c r="B2" s="396"/>
      <c r="C2" s="396"/>
      <c r="D2" s="396"/>
      <c r="E2" s="396"/>
      <c r="F2" s="396"/>
      <c r="G2" s="396"/>
      <c r="H2" s="396"/>
      <c r="I2" s="396"/>
      <c r="J2" s="396"/>
      <c r="K2" s="402"/>
    </row>
    <row r="3" spans="1:12" ht="13" x14ac:dyDescent="0.3">
      <c r="A3" s="403"/>
      <c r="B3" s="397">
        <f>'Profit &amp; Loss'!B3</f>
      </c>
      <c r="C3" s="397">
        <f>'Profit &amp; Loss'!C3</f>
      </c>
      <c r="D3" s="397">
        <f>'Profit &amp; Loss'!D3</f>
      </c>
      <c r="E3" s="397">
        <f>'Profit &amp; Loss'!E3</f>
      </c>
      <c r="F3" s="397">
        <f>'Profit &amp; Loss'!F3</f>
      </c>
      <c r="G3" s="397">
        <f>'Profit &amp; Loss'!G3</f>
      </c>
      <c r="H3" s="397">
        <f>'Profit &amp; Loss'!H3</f>
      </c>
      <c r="I3" s="397">
        <f>'Profit &amp; Loss'!I3</f>
      </c>
      <c r="J3" s="397">
        <f>'Profit &amp; Loss'!J3</f>
      </c>
      <c r="K3" s="404">
        <f>'Profit &amp; Loss'!K3</f>
      </c>
      <c r="L3" s="422" t="s">
        <v>315</v>
      </c>
    </row>
    <row r="4" spans="1:12" x14ac:dyDescent="0.25">
      <c r="A4" s="90" t="s">
        <v>17</v>
      </c>
      <c r="B4" s="398"/>
      <c r="C4" s="398">
        <f>'Profit &amp; Loss'!C5</f>
      </c>
      <c r="D4" s="398">
        <f>'Profit &amp; Loss'!D5</f>
      </c>
      <c r="E4" s="398">
        <f>'Profit &amp; Loss'!E5</f>
      </c>
      <c r="F4" s="398">
        <f>'Profit &amp; Loss'!F5</f>
      </c>
      <c r="G4" s="398">
        <f>'Profit &amp; Loss'!G5</f>
      </c>
      <c r="H4" s="398">
        <f>'Profit &amp; Loss'!H5</f>
      </c>
      <c r="I4" s="398">
        <f>'Profit &amp; Loss'!I5</f>
      </c>
      <c r="J4" s="398">
        <f>'Profit &amp; Loss'!J5</f>
      </c>
      <c r="K4" s="405">
        <f>'Profit &amp; Loss'!K5</f>
      </c>
      <c r="L4" s="8" t="s">
        <v>298</v>
      </c>
    </row>
    <row r="5" spans="1:12" x14ac:dyDescent="0.25">
      <c r="A5" s="90" t="s">
        <v>180</v>
      </c>
      <c r="B5" s="398"/>
      <c r="C5" s="398">
        <f>'Profit &amp; Loss'!C20</f>
      </c>
      <c r="D5" s="398">
        <f>'Profit &amp; Loss'!D20</f>
      </c>
      <c r="E5" s="398">
        <f>'Profit &amp; Loss'!E20</f>
      </c>
      <c r="F5" s="398">
        <f>'Profit &amp; Loss'!F20</f>
      </c>
      <c r="G5" s="398">
        <f>'Profit &amp; Loss'!G20</f>
      </c>
      <c r="H5" s="398">
        <f>'Profit &amp; Loss'!H20</f>
      </c>
      <c r="I5" s="398">
        <f>'Profit &amp; Loss'!I20</f>
      </c>
      <c r="J5" s="398">
        <f>'Profit &amp; Loss'!J20</f>
      </c>
      <c r="K5" s="405">
        <f>'Profit &amp; Loss'!K20</f>
      </c>
      <c r="L5" s="8" t="s">
        <v>298</v>
      </c>
    </row>
    <row r="6" spans="1:12" x14ac:dyDescent="0.25">
      <c r="A6" s="90" t="s">
        <v>278</v>
      </c>
      <c r="B6" s="398"/>
      <c r="C6" s="398">
        <f>'Profit &amp; Loss'!C24</f>
      </c>
      <c r="D6" s="398">
        <f>'Profit &amp; Loss'!D24</f>
      </c>
      <c r="E6" s="398">
        <f>'Profit &amp; Loss'!E24</f>
      </c>
      <c r="F6" s="398">
        <f>'Profit &amp; Loss'!F24</f>
      </c>
      <c r="G6" s="398">
        <f>'Profit &amp; Loss'!G24</f>
      </c>
      <c r="H6" s="398">
        <f>'Profit &amp; Loss'!H24</f>
      </c>
      <c r="I6" s="398">
        <f>'Profit &amp; Loss'!I24</f>
      </c>
      <c r="J6" s="398">
        <f>'Profit &amp; Loss'!J24</f>
      </c>
      <c r="K6" s="405">
        <f>'Profit &amp; Loss'!K24</f>
      </c>
      <c r="L6" s="8" t="s">
        <v>298</v>
      </c>
    </row>
    <row r="7" spans="1:12" x14ac:dyDescent="0.25">
      <c r="A7" s="90" t="s">
        <v>292</v>
      </c>
      <c r="B7" s="398"/>
      <c r="C7" s="398">
        <f>'Data Sheet'!C31/'Data Sheet'!B31-1</f>
      </c>
      <c r="D7" s="398">
        <f>'Data Sheet'!D31/'Data Sheet'!C31-1</f>
      </c>
      <c r="E7" s="398">
        <f>'Data Sheet'!E31/'Data Sheet'!D31-1</f>
      </c>
      <c r="F7" s="398">
        <f>'Data Sheet'!F31/'Data Sheet'!E31-1</f>
      </c>
      <c r="G7" s="398">
        <f>'Data Sheet'!G31/'Data Sheet'!F31-1</f>
      </c>
      <c r="H7" s="398">
        <f>'Data Sheet'!H31/'Data Sheet'!G31-1</f>
      </c>
      <c r="I7" s="398">
        <f>'Data Sheet'!I31/'Data Sheet'!H31-1</f>
      </c>
      <c r="J7" s="398">
        <f>'Data Sheet'!J31/'Data Sheet'!I31-1</f>
      </c>
      <c r="K7" s="405">
        <f>'Data Sheet'!K31/'Data Sheet'!J31-1</f>
      </c>
      <c r="L7" s="8" t="s">
        <v>299</v>
      </c>
    </row>
    <row r="8" spans="1:12" x14ac:dyDescent="0.25">
      <c r="A8" s="90" t="s">
        <v>284</v>
      </c>
      <c r="B8" s="398"/>
      <c r="C8" s="398">
        <f>'Cash Flow'!C5</f>
      </c>
      <c r="D8" s="398">
        <f>'Cash Flow'!D5</f>
      </c>
      <c r="E8" s="398">
        <f>'Cash Flow'!E5</f>
      </c>
      <c r="F8" s="398">
        <f>'Cash Flow'!F5</f>
      </c>
      <c r="G8" s="398">
        <f>'Cash Flow'!G5</f>
      </c>
      <c r="H8" s="398">
        <f>'Cash Flow'!H5</f>
      </c>
      <c r="I8" s="398">
        <f>'Cash Flow'!I5</f>
      </c>
      <c r="J8" s="398">
        <f>'Cash Flow'!J5</f>
      </c>
      <c r="K8" s="405">
        <f>'Cash Flow'!K5</f>
      </c>
      <c r="L8" s="8" t="s">
        <v>298</v>
      </c>
    </row>
    <row r="9" spans="1:12" x14ac:dyDescent="0.25">
      <c r="A9" s="90" t="s">
        <v>285</v>
      </c>
      <c r="B9" s="398"/>
      <c r="C9" s="398">
        <f>'Cash Flow'!C14</f>
      </c>
      <c r="D9" s="398">
        <f>'Cash Flow'!D14</f>
      </c>
      <c r="E9" s="398">
        <f>'Cash Flow'!E14</f>
      </c>
      <c r="F9" s="398">
        <f>'Cash Flow'!F14</f>
      </c>
      <c r="G9" s="398">
        <f>'Cash Flow'!G14</f>
      </c>
      <c r="H9" s="398">
        <f>'Cash Flow'!H14</f>
      </c>
      <c r="I9" s="398">
        <f>'Cash Flow'!I14</f>
      </c>
      <c r="J9" s="398">
        <f>'Cash Flow'!J14</f>
      </c>
      <c r="K9" s="405">
        <f>'Cash Flow'!K14</f>
      </c>
      <c r="L9" s="8" t="s">
        <v>298</v>
      </c>
    </row>
    <row r="10" spans="1:12" x14ac:dyDescent="0.25">
      <c r="A10" s="90"/>
      <c r="B10" s="15"/>
      <c r="C10" s="15"/>
      <c r="D10" s="15"/>
      <c r="E10" s="15"/>
      <c r="F10" s="15"/>
      <c r="G10" s="15"/>
      <c r="H10" s="15"/>
      <c r="I10" s="15"/>
      <c r="J10" s="15"/>
      <c r="K10" s="406"/>
    </row>
    <row r="11" spans="1:12" x14ac:dyDescent="0.25">
      <c r="A11" s="90" t="s">
        <v>277</v>
      </c>
      <c r="B11" s="399">
        <f>'Profit &amp; Loss'!B13</f>
      </c>
      <c r="C11" s="399">
        <f>'Profit &amp; Loss'!C13</f>
      </c>
      <c r="D11" s="399">
        <f>'Profit &amp; Loss'!D13</f>
      </c>
      <c r="E11" s="399">
        <f>'Profit &amp; Loss'!E13</f>
      </c>
      <c r="F11" s="399">
        <f>'Profit &amp; Loss'!F13</f>
      </c>
      <c r="G11" s="399">
        <f>'Profit &amp; Loss'!G13</f>
      </c>
      <c r="H11" s="399">
        <f>'Profit &amp; Loss'!H13</f>
      </c>
      <c r="I11" s="399">
        <f>'Profit &amp; Loss'!I13</f>
      </c>
      <c r="J11" s="399">
        <f>'Profit &amp; Loss'!J13</f>
      </c>
      <c r="K11" s="407">
        <f>'Profit &amp; Loss'!K13</f>
      </c>
      <c r="L11" s="8" t="s">
        <v>307</v>
      </c>
    </row>
    <row r="12" spans="1:12" x14ac:dyDescent="0.25">
      <c r="A12" s="90" t="s">
        <v>100</v>
      </c>
      <c r="B12" s="399">
        <f>'Profit &amp; Loss'!B21</f>
      </c>
      <c r="C12" s="399">
        <f>'Profit &amp; Loss'!C21</f>
      </c>
      <c r="D12" s="399">
        <f>'Profit &amp; Loss'!D21</f>
      </c>
      <c r="E12" s="399">
        <f>'Profit &amp; Loss'!E21</f>
      </c>
      <c r="F12" s="399">
        <f>'Profit &amp; Loss'!F21</f>
      </c>
      <c r="G12" s="399">
        <f>'Profit &amp; Loss'!G21</f>
      </c>
      <c r="H12" s="399">
        <f>'Profit &amp; Loss'!H21</f>
      </c>
      <c r="I12" s="399">
        <f>'Profit &amp; Loss'!I21</f>
      </c>
      <c r="J12" s="399">
        <f>'Profit &amp; Loss'!J21</f>
      </c>
      <c r="K12" s="407">
        <f>'Profit &amp; Loss'!K21</f>
      </c>
      <c r="L12" s="8" t="s">
        <v>307</v>
      </c>
    </row>
    <row r="13" spans="1:12" x14ac:dyDescent="0.25">
      <c r="A13" s="90" t="s">
        <v>279</v>
      </c>
      <c r="B13" s="399">
        <f>'Profit &amp; Loss'!B25</f>
      </c>
      <c r="C13" s="399">
        <f>'Profit &amp; Loss'!C25</f>
      </c>
      <c r="D13" s="399">
        <f>'Profit &amp; Loss'!D25</f>
      </c>
      <c r="E13" s="399">
        <f>'Profit &amp; Loss'!E25</f>
      </c>
      <c r="F13" s="399">
        <f>'Profit &amp; Loss'!F25</f>
      </c>
      <c r="G13" s="399">
        <f>'Profit &amp; Loss'!G25</f>
      </c>
      <c r="H13" s="399">
        <f>'Profit &amp; Loss'!H25</f>
      </c>
      <c r="I13" s="399">
        <f>'Profit &amp; Loss'!I25</f>
      </c>
      <c r="J13" s="399">
        <f>'Profit &amp; Loss'!J25</f>
      </c>
      <c r="K13" s="407">
        <f>'Profit &amp; Loss'!K25</f>
      </c>
      <c r="L13" s="8" t="s">
        <v>307</v>
      </c>
    </row>
    <row r="14" spans="1:12" x14ac:dyDescent="0.25">
      <c r="A14" s="90"/>
      <c r="B14" s="15"/>
      <c r="C14" s="15"/>
      <c r="D14" s="15"/>
      <c r="E14" s="15"/>
      <c r="F14" s="15"/>
      <c r="G14" s="15"/>
      <c r="H14" s="15"/>
      <c r="I14" s="15"/>
      <c r="J14" s="15"/>
      <c r="K14" s="406"/>
    </row>
    <row r="15" spans="1:12" x14ac:dyDescent="0.25">
      <c r="A15" s="90" t="str">
        <f>'Balance Sheet'!A22</f>
      </c>
      <c r="B15" s="400">
        <f>'Balance Sheet'!B22</f>
      </c>
      <c r="C15" s="400">
        <f>'Balance Sheet'!C22</f>
      </c>
      <c r="D15" s="400">
        <f>'Balance Sheet'!D22</f>
      </c>
      <c r="E15" s="400">
        <f>'Balance Sheet'!E22</f>
      </c>
      <c r="F15" s="400">
        <f>'Balance Sheet'!F22</f>
      </c>
      <c r="G15" s="400">
        <f>'Balance Sheet'!G22</f>
      </c>
      <c r="H15" s="400">
        <f>'Balance Sheet'!H22</f>
      </c>
      <c r="I15" s="400">
        <f>'Balance Sheet'!I22</f>
      </c>
      <c r="J15" s="400">
        <f>'Balance Sheet'!J22</f>
      </c>
      <c r="K15" s="408">
        <f>'Balance Sheet'!K22</f>
      </c>
      <c r="L15" s="8" t="s">
        <v>309</v>
      </c>
    </row>
    <row r="16" spans="1:12" x14ac:dyDescent="0.25">
      <c r="A16" s="90" t="str">
        <f>'Balance Sheet'!A23</f>
      </c>
      <c r="B16" s="400">
        <f>'Balance Sheet'!B23</f>
      </c>
      <c r="C16" s="400">
        <f>'Balance Sheet'!C23</f>
      </c>
      <c r="D16" s="400">
        <f>'Balance Sheet'!D23</f>
      </c>
      <c r="E16" s="400">
        <f>'Balance Sheet'!E23</f>
      </c>
      <c r="F16" s="400">
        <f>'Balance Sheet'!F23</f>
      </c>
      <c r="G16" s="400">
        <f>'Balance Sheet'!G23</f>
      </c>
      <c r="H16" s="400">
        <f>'Balance Sheet'!H23</f>
      </c>
      <c r="I16" s="400">
        <f>'Balance Sheet'!I23</f>
      </c>
      <c r="J16" s="400">
        <f>'Balance Sheet'!J23</f>
      </c>
      <c r="K16" s="408">
        <f>'Balance Sheet'!K23</f>
      </c>
      <c r="L16" s="8" t="s">
        <v>308</v>
      </c>
    </row>
    <row r="17" spans="1:12" x14ac:dyDescent="0.25">
      <c r="A17" s="90" t="str">
        <f>'Balance Sheet'!A24</f>
      </c>
      <c r="B17" s="400">
        <f>'Balance Sheet'!B24</f>
      </c>
      <c r="C17" s="400">
        <f>'Balance Sheet'!C24</f>
      </c>
      <c r="D17" s="400">
        <f>'Balance Sheet'!D24</f>
      </c>
      <c r="E17" s="400">
        <f>'Balance Sheet'!E24</f>
      </c>
      <c r="F17" s="400">
        <f>'Balance Sheet'!F24</f>
      </c>
      <c r="G17" s="400">
        <f>'Balance Sheet'!G24</f>
      </c>
      <c r="H17" s="400">
        <f>'Balance Sheet'!H24</f>
      </c>
      <c r="I17" s="400">
        <f>'Balance Sheet'!I24</f>
      </c>
      <c r="J17" s="400">
        <f>'Balance Sheet'!J24</f>
      </c>
      <c r="K17" s="408">
        <f>'Balance Sheet'!K24</f>
      </c>
      <c r="L17" s="8" t="s">
        <v>308</v>
      </c>
    </row>
    <row r="18" spans="1:12" x14ac:dyDescent="0.25">
      <c r="A18" s="90" t="s">
        <v>98</v>
      </c>
      <c r="B18" s="400">
        <f>'Balance Sheet'!B25</f>
      </c>
      <c r="C18" s="400">
        <f>'Balance Sheet'!C25</f>
      </c>
      <c r="D18" s="400">
        <f>'Balance Sheet'!D25</f>
      </c>
      <c r="E18" s="400">
        <f>'Balance Sheet'!E25</f>
      </c>
      <c r="F18" s="400">
        <f>'Balance Sheet'!F25</f>
      </c>
      <c r="G18" s="400">
        <f>'Balance Sheet'!G25</f>
      </c>
      <c r="H18" s="400">
        <f>'Balance Sheet'!H25</f>
      </c>
      <c r="I18" s="400">
        <f>'Balance Sheet'!I25</f>
      </c>
      <c r="J18" s="400">
        <f>'Balance Sheet'!J25</f>
      </c>
      <c r="K18" s="408">
        <f>'Balance Sheet'!K25</f>
      </c>
      <c r="L18" s="8" t="s">
        <v>310</v>
      </c>
    </row>
    <row r="19" spans="1:12" x14ac:dyDescent="0.25">
      <c r="A19" s="90" t="s">
        <v>287</v>
      </c>
      <c r="B19" s="398">
        <f>'Balance Sheet'!B6/'Balance Sheet'!B14</f>
      </c>
      <c r="C19" s="398">
        <f>'Balance Sheet'!C6/'Balance Sheet'!C14</f>
      </c>
      <c r="D19" s="398">
        <f>'Balance Sheet'!D6/'Balance Sheet'!D14</f>
      </c>
      <c r="E19" s="398">
        <f>'Balance Sheet'!E6/'Balance Sheet'!E14</f>
      </c>
      <c r="F19" s="398">
        <f>'Balance Sheet'!F6/'Balance Sheet'!F14</f>
      </c>
      <c r="G19" s="398">
        <f>'Balance Sheet'!G6/'Balance Sheet'!G14</f>
      </c>
      <c r="H19" s="398">
        <f>'Balance Sheet'!H6/'Balance Sheet'!H14</f>
      </c>
      <c r="I19" s="398">
        <f>'Balance Sheet'!I6/'Balance Sheet'!I14</f>
      </c>
      <c r="J19" s="398">
        <f>'Balance Sheet'!J6/'Balance Sheet'!J14</f>
      </c>
      <c r="K19" s="405">
        <f>'Balance Sheet'!K6/'Balance Sheet'!K14</f>
      </c>
      <c r="L19" s="8" t="s">
        <v>311</v>
      </c>
    </row>
    <row r="20" spans="1:12" x14ac:dyDescent="0.25">
      <c r="A20" s="90" t="s">
        <v>282</v>
      </c>
      <c r="B20" s="400">
        <f>'Profit &amp; Loss'!B18</f>
      </c>
      <c r="C20" s="400">
        <f>'Profit &amp; Loss'!C18</f>
      </c>
      <c r="D20" s="400">
        <f>'Profit &amp; Loss'!D18</f>
      </c>
      <c r="E20" s="400">
        <f>'Profit &amp; Loss'!E18</f>
      </c>
      <c r="F20" s="400">
        <f>'Profit &amp; Loss'!F18</f>
      </c>
      <c r="G20" s="400">
        <f>'Profit &amp; Loss'!G18</f>
      </c>
      <c r="H20" s="400">
        <f>'Profit &amp; Loss'!H18</f>
      </c>
      <c r="I20" s="400">
        <f>'Profit &amp; Loss'!I18</f>
      </c>
      <c r="J20" s="400">
        <f>'Profit &amp; Loss'!J18</f>
      </c>
      <c r="K20" s="408">
        <f>'Profit &amp; Loss'!K18</f>
      </c>
      <c r="L20" s="8" t="s">
        <v>312</v>
      </c>
    </row>
    <row r="21" spans="1:12" x14ac:dyDescent="0.25">
      <c r="A21" s="90" t="str">
        <f>'Balance Sheet'!A26</f>
      </c>
      <c r="B21" s="398">
        <f>'Balance Sheet'!B26</f>
      </c>
      <c r="C21" s="398">
        <f>'Balance Sheet'!C26</f>
      </c>
      <c r="D21" s="398">
        <f>'Balance Sheet'!D26</f>
      </c>
      <c r="E21" s="398">
        <f>'Balance Sheet'!E26</f>
      </c>
      <c r="F21" s="398">
        <f>'Balance Sheet'!F26</f>
      </c>
      <c r="G21" s="398">
        <f>'Balance Sheet'!G26</f>
      </c>
      <c r="H21" s="398">
        <f>'Balance Sheet'!H26</f>
      </c>
      <c r="I21" s="398">
        <f>'Balance Sheet'!I26</f>
      </c>
      <c r="J21" s="398">
        <f>'Balance Sheet'!J26</f>
      </c>
      <c r="K21" s="405">
        <f>'Balance Sheet'!K26</f>
      </c>
      <c r="L21" s="8" t="s">
        <v>313</v>
      </c>
    </row>
    <row r="22" spans="1:12" x14ac:dyDescent="0.25">
      <c r="A22" s="90" t="str">
        <f>'Balance Sheet'!A27</f>
      </c>
      <c r="B22" s="398">
        <f>'Balance Sheet'!B27</f>
      </c>
      <c r="C22" s="398">
        <f>'Balance Sheet'!C27</f>
      </c>
      <c r="D22" s="398">
        <f>'Balance Sheet'!D27</f>
      </c>
      <c r="E22" s="398">
        <f>'Balance Sheet'!E27</f>
      </c>
      <c r="F22" s="398">
        <f>'Balance Sheet'!F27</f>
      </c>
      <c r="G22" s="398">
        <f>'Balance Sheet'!G27</f>
      </c>
      <c r="H22" s="398">
        <f>'Balance Sheet'!H27</f>
      </c>
      <c r="I22" s="398">
        <f>'Balance Sheet'!I27</f>
      </c>
      <c r="J22" s="398">
        <f>'Balance Sheet'!J27</f>
      </c>
      <c r="K22" s="405">
        <f>'Balance Sheet'!K27</f>
      </c>
      <c r="L22" s="8" t="s">
        <v>313</v>
      </c>
    </row>
    <row r="23" spans="1:12" ht="13" thickBot="1" x14ac:dyDescent="0.3">
      <c r="A23" s="409" t="s">
        <v>281</v>
      </c>
      <c r="B23" s="410">
        <f>'Cash Flow'!B12</f>
      </c>
      <c r="C23" s="410">
        <f>'Cash Flow'!C12</f>
      </c>
      <c r="D23" s="410">
        <f>'Cash Flow'!D12</f>
      </c>
      <c r="E23" s="410">
        <f>'Cash Flow'!E12</f>
      </c>
      <c r="F23" s="410">
        <f>'Cash Flow'!F12</f>
      </c>
      <c r="G23" s="410">
        <f>'Cash Flow'!G12</f>
      </c>
      <c r="H23" s="410">
        <f>'Cash Flow'!H12</f>
      </c>
      <c r="I23" s="410">
        <f>'Cash Flow'!I12</f>
      </c>
      <c r="J23" s="410">
        <f>'Cash Flow'!J12</f>
      </c>
      <c r="K23" s="411">
        <f>'Cash Flow'!K12</f>
      </c>
      <c r="L23" s="8"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defaultRowHeight="14.5" x14ac:dyDescent="0.35"/>
  <cols>
    <col min="1" max="1" width="16" customWidth="1"/>
    <col min="2" max="11" width="7.90625" bestFit="1" customWidth="1"/>
  </cols>
  <sheetData>
    <row r="2" spans="18:20" ht="15" thickBot="1" x14ac:dyDescent="0.4"/>
    <row r="3" spans="18:20" x14ac:dyDescent="0.35">
      <c r="R3" s="320" t="s">
        <v>300</v>
      </c>
      <c r="S3" s="349"/>
      <c r="T3" s="350"/>
    </row>
    <row r="4" spans="18:20" x14ac:dyDescent="0.35">
      <c r="R4" s="351"/>
      <c r="S4" s="352"/>
      <c r="T4" s="353"/>
    </row>
    <row r="5" spans="18:20" x14ac:dyDescent="0.35">
      <c r="R5" s="351"/>
      <c r="S5" s="352"/>
      <c r="T5" s="353"/>
    </row>
    <row r="6" spans="18:20" x14ac:dyDescent="0.35">
      <c r="R6" s="351"/>
      <c r="S6" s="352"/>
      <c r="T6" s="353"/>
    </row>
    <row r="7" spans="18:20" x14ac:dyDescent="0.35">
      <c r="R7" s="351"/>
      <c r="S7" s="352"/>
      <c r="T7" s="353"/>
    </row>
    <row r="8" spans="18:20" x14ac:dyDescent="0.35">
      <c r="R8" s="351"/>
      <c r="S8" s="352"/>
      <c r="T8" s="353"/>
    </row>
    <row r="9" spans="18:20" x14ac:dyDescent="0.35">
      <c r="R9" s="351"/>
      <c r="S9" s="352"/>
      <c r="T9" s="353"/>
    </row>
    <row r="10" spans="18:20" ht="15" thickBot="1" x14ac:dyDescent="0.4">
      <c r="R10" s="354"/>
      <c r="S10" s="355"/>
      <c r="T10" s="356"/>
    </row>
    <row r="47" spans="1:13" x14ac:dyDescent="0.35">
      <c r="A47" s="412"/>
      <c r="B47" s="412"/>
      <c r="C47" s="412"/>
      <c r="D47" s="412"/>
      <c r="E47" s="412"/>
      <c r="F47" s="412"/>
      <c r="G47" s="412"/>
      <c r="H47" s="412"/>
      <c r="I47" s="412"/>
      <c r="J47" s="412"/>
      <c r="K47" s="412"/>
      <c r="L47" s="412"/>
      <c r="M47" s="412"/>
    </row>
    <row r="48" spans="1:13" x14ac:dyDescent="0.35">
      <c r="A48" s="413" t="s">
        <v>304</v>
      </c>
      <c r="B48" s="412"/>
      <c r="C48" s="412"/>
      <c r="D48" s="412"/>
      <c r="E48" s="412"/>
      <c r="F48" s="412"/>
      <c r="G48" s="412"/>
      <c r="H48" s="412"/>
      <c r="I48" s="412"/>
      <c r="J48" s="412"/>
      <c r="K48" s="412"/>
      <c r="L48" s="412"/>
      <c r="M48" s="412"/>
    </row>
    <row r="49" spans="1:13" x14ac:dyDescent="0.35">
      <c r="A49" s="413" t="s">
        <v>288</v>
      </c>
      <c r="B49" s="414"/>
      <c r="C49" s="414"/>
      <c r="D49" s="414"/>
      <c r="E49" s="414"/>
      <c r="F49" s="414"/>
      <c r="G49" s="414"/>
      <c r="H49" s="414"/>
      <c r="I49" s="414"/>
      <c r="J49" s="414"/>
      <c r="K49" s="414"/>
      <c r="L49" s="412"/>
      <c r="M49" s="412"/>
    </row>
    <row r="50" spans="1:13" x14ac:dyDescent="0.35">
      <c r="A50" s="412"/>
      <c r="B50" s="415">
        <f>'Key Ratios'!B3</f>
      </c>
      <c r="C50" s="415">
        <f>'Key Ratios'!C3</f>
      </c>
      <c r="D50" s="415">
        <f>'Key Ratios'!D3</f>
      </c>
      <c r="E50" s="415">
        <f>'Key Ratios'!E3</f>
      </c>
      <c r="F50" s="415">
        <f>'Key Ratios'!F3</f>
      </c>
      <c r="G50" s="415">
        <f>'Key Ratios'!G3</f>
      </c>
      <c r="H50" s="415">
        <f>'Key Ratios'!H3</f>
      </c>
      <c r="I50" s="415">
        <f>'Key Ratios'!I3</f>
      </c>
      <c r="J50" s="415">
        <f>'Key Ratios'!J3</f>
      </c>
      <c r="K50" s="415">
        <f>'Key Ratios'!K3</f>
      </c>
      <c r="L50" s="412"/>
      <c r="M50" s="412"/>
    </row>
    <row r="51" spans="1:13" x14ac:dyDescent="0.35">
      <c r="A51" s="412" t="str">
        <f>'Key Ratios'!A11</f>
      </c>
      <c r="B51" s="416">
        <f>'Key Ratios'!B11</f>
      </c>
      <c r="C51" s="416">
        <f>'Key Ratios'!C11</f>
      </c>
      <c r="D51" s="416">
        <f>'Key Ratios'!D11</f>
      </c>
      <c r="E51" s="416">
        <f>'Key Ratios'!E11</f>
      </c>
      <c r="F51" s="416">
        <f>'Key Ratios'!F11</f>
      </c>
      <c r="G51" s="416">
        <f>'Key Ratios'!G11</f>
      </c>
      <c r="H51" s="416">
        <f>'Key Ratios'!H11</f>
      </c>
      <c r="I51" s="416">
        <f>'Key Ratios'!I11</f>
      </c>
      <c r="J51" s="416">
        <f>'Key Ratios'!J11</f>
      </c>
      <c r="K51" s="416">
        <f>'Key Ratios'!K11</f>
      </c>
      <c r="L51" s="412"/>
      <c r="M51" s="412"/>
    </row>
    <row r="52" spans="1:13" x14ac:dyDescent="0.35">
      <c r="A52" s="412" t="str">
        <f>'Key Ratios'!A12</f>
      </c>
      <c r="B52" s="416">
        <f>'Key Ratios'!B12</f>
      </c>
      <c r="C52" s="416">
        <f>'Key Ratios'!C12</f>
      </c>
      <c r="D52" s="416">
        <f>'Key Ratios'!D12</f>
      </c>
      <c r="E52" s="416">
        <f>'Key Ratios'!E12</f>
      </c>
      <c r="F52" s="416">
        <f>'Key Ratios'!F12</f>
      </c>
      <c r="G52" s="416">
        <f>'Key Ratios'!G12</f>
      </c>
      <c r="H52" s="416">
        <f>'Key Ratios'!H12</f>
      </c>
      <c r="I52" s="416">
        <f>'Key Ratios'!I12</f>
      </c>
      <c r="J52" s="416">
        <f>'Key Ratios'!J12</f>
      </c>
      <c r="K52" s="416">
        <f>'Key Ratios'!K12</f>
      </c>
      <c r="L52" s="412"/>
      <c r="M52" s="412"/>
    </row>
    <row r="53" spans="1:13" x14ac:dyDescent="0.35">
      <c r="A53" s="412" t="str">
        <f>'Key Ratios'!A13</f>
      </c>
      <c r="B53" s="416">
        <f>'Key Ratios'!B13</f>
      </c>
      <c r="C53" s="416">
        <f>'Key Ratios'!C13</f>
      </c>
      <c r="D53" s="416">
        <f>'Key Ratios'!D13</f>
      </c>
      <c r="E53" s="416">
        <f>'Key Ratios'!E13</f>
      </c>
      <c r="F53" s="416">
        <f>'Key Ratios'!F13</f>
      </c>
      <c r="G53" s="416">
        <f>'Key Ratios'!G13</f>
      </c>
      <c r="H53" s="416">
        <f>'Key Ratios'!H13</f>
      </c>
      <c r="I53" s="416">
        <f>'Key Ratios'!I13</f>
      </c>
      <c r="J53" s="416">
        <f>'Key Ratios'!J13</f>
      </c>
      <c r="K53" s="416">
        <f>'Key Ratios'!K13</f>
      </c>
      <c r="L53" s="412"/>
      <c r="M53" s="412"/>
    </row>
    <row r="54" spans="1:13" x14ac:dyDescent="0.35">
      <c r="A54" s="412"/>
      <c r="B54" s="412"/>
      <c r="C54" s="412"/>
      <c r="D54" s="412"/>
      <c r="E54" s="412"/>
      <c r="F54" s="412"/>
      <c r="G54" s="412"/>
      <c r="H54" s="412"/>
      <c r="I54" s="412"/>
      <c r="J54" s="412"/>
      <c r="K54" s="412"/>
      <c r="L54" s="412"/>
      <c r="M54" s="412"/>
    </row>
    <row r="55" spans="1:13" x14ac:dyDescent="0.35">
      <c r="A55" s="413" t="s">
        <v>289</v>
      </c>
      <c r="B55" s="412"/>
      <c r="C55" s="412"/>
      <c r="D55" s="412"/>
      <c r="E55" s="412"/>
      <c r="F55" s="412"/>
      <c r="G55" s="412"/>
      <c r="H55" s="412"/>
      <c r="I55" s="412"/>
      <c r="J55" s="412"/>
      <c r="K55" s="412"/>
      <c r="L55" s="412"/>
      <c r="M55" s="412"/>
    </row>
    <row r="56" spans="1:13" x14ac:dyDescent="0.35">
      <c r="A56" s="412"/>
      <c r="B56" s="415">
        <f>B50</f>
      </c>
      <c r="C56" s="415">
        <f t="shared" ref="C56:K56" si="0">C50</f>
      </c>
      <c r="D56" s="415">
        <f t="shared" si="0"/>
      </c>
      <c r="E56" s="415">
        <f t="shared" si="0"/>
      </c>
      <c r="F56" s="415">
        <f t="shared" si="0"/>
      </c>
      <c r="G56" s="415">
        <f t="shared" si="0"/>
      </c>
      <c r="H56" s="415">
        <f t="shared" si="0"/>
      </c>
      <c r="I56" s="415">
        <f t="shared" si="0"/>
      </c>
      <c r="J56" s="415">
        <f t="shared" si="0"/>
      </c>
      <c r="K56" s="415">
        <f t="shared" si="0"/>
      </c>
      <c r="L56" s="412"/>
      <c r="M56" s="412"/>
    </row>
    <row r="57" spans="1:13" x14ac:dyDescent="0.35">
      <c r="A57" s="412" t="s">
        <v>290</v>
      </c>
      <c r="B57" s="416">
        <f>'Key Ratios'!B21</f>
      </c>
      <c r="C57" s="416">
        <f>'Key Ratios'!C21</f>
      </c>
      <c r="D57" s="416">
        <f>'Key Ratios'!D21</f>
      </c>
      <c r="E57" s="416">
        <f>'Key Ratios'!E21</f>
      </c>
      <c r="F57" s="416">
        <f>'Key Ratios'!F21</f>
      </c>
      <c r="G57" s="416">
        <f>'Key Ratios'!G21</f>
      </c>
      <c r="H57" s="416">
        <f>'Key Ratios'!H21</f>
      </c>
      <c r="I57" s="416">
        <f>'Key Ratios'!I21</f>
      </c>
      <c r="J57" s="416">
        <f>'Key Ratios'!J21</f>
      </c>
      <c r="K57" s="416">
        <f>'Key Ratios'!K21</f>
      </c>
      <c r="L57" s="412"/>
      <c r="M57" s="412"/>
    </row>
    <row r="58" spans="1:13" x14ac:dyDescent="0.35">
      <c r="A58" s="412" t="s">
        <v>291</v>
      </c>
      <c r="B58" s="416">
        <f>'Key Ratios'!B22</f>
      </c>
      <c r="C58" s="416">
        <f>'Key Ratios'!C22</f>
      </c>
      <c r="D58" s="416">
        <f>'Key Ratios'!D22</f>
      </c>
      <c r="E58" s="416">
        <f>'Key Ratios'!E22</f>
      </c>
      <c r="F58" s="416">
        <f>'Key Ratios'!F22</f>
      </c>
      <c r="G58" s="416">
        <f>'Key Ratios'!G22</f>
      </c>
      <c r="H58" s="416">
        <f>'Key Ratios'!H22</f>
      </c>
      <c r="I58" s="416">
        <f>'Key Ratios'!I22</f>
      </c>
      <c r="J58" s="416">
        <f>'Key Ratios'!J22</f>
      </c>
      <c r="K58" s="416">
        <f>'Key Ratios'!K22</f>
      </c>
      <c r="L58" s="412"/>
      <c r="M58" s="412"/>
    </row>
    <row r="59" spans="1:13" x14ac:dyDescent="0.35">
      <c r="A59" s="412"/>
      <c r="B59" s="412"/>
      <c r="C59" s="412"/>
      <c r="D59" s="412"/>
      <c r="E59" s="412"/>
      <c r="F59" s="412"/>
      <c r="G59" s="412"/>
      <c r="H59" s="412"/>
      <c r="I59" s="412"/>
      <c r="J59" s="412"/>
      <c r="K59" s="412"/>
      <c r="L59" s="412"/>
      <c r="M59" s="412"/>
    </row>
    <row r="60" spans="1:13" x14ac:dyDescent="0.35">
      <c r="A60" s="413" t="s">
        <v>293</v>
      </c>
      <c r="B60" s="412"/>
      <c r="C60" s="412"/>
      <c r="D60" s="412"/>
      <c r="E60" s="412"/>
      <c r="F60" s="412"/>
      <c r="G60" s="412"/>
      <c r="H60" s="412"/>
      <c r="I60" s="412"/>
      <c r="J60" s="412"/>
      <c r="K60" s="412"/>
      <c r="L60" s="412"/>
      <c r="M60" s="412"/>
    </row>
    <row r="61" spans="1:13" x14ac:dyDescent="0.35">
      <c r="A61" s="412"/>
      <c r="B61" s="415">
        <f t="shared" ref="B61:J61" si="1">C56</f>
      </c>
      <c r="C61" s="415">
        <f t="shared" si="1"/>
      </c>
      <c r="D61" s="415">
        <f t="shared" si="1"/>
      </c>
      <c r="E61" s="415">
        <f t="shared" si="1"/>
      </c>
      <c r="F61" s="415">
        <f t="shared" si="1"/>
      </c>
      <c r="G61" s="415">
        <f t="shared" si="1"/>
      </c>
      <c r="H61" s="415">
        <f t="shared" si="1"/>
      </c>
      <c r="I61" s="415">
        <f t="shared" si="1"/>
      </c>
      <c r="J61" s="415">
        <f t="shared" si="1"/>
      </c>
      <c r="K61" s="412"/>
      <c r="L61" s="412"/>
      <c r="M61" s="412"/>
    </row>
    <row r="62" spans="1:13" x14ac:dyDescent="0.35">
      <c r="A62" s="412" t="s">
        <v>294</v>
      </c>
      <c r="B62" s="416">
        <f>'Key Ratios'!C4</f>
      </c>
      <c r="C62" s="416">
        <f>'Key Ratios'!D4</f>
      </c>
      <c r="D62" s="416">
        <f>'Key Ratios'!E4</f>
      </c>
      <c r="E62" s="416">
        <f>'Key Ratios'!F4</f>
      </c>
      <c r="F62" s="416">
        <f>'Key Ratios'!G4</f>
      </c>
      <c r="G62" s="416">
        <f>'Key Ratios'!H4</f>
      </c>
      <c r="H62" s="416">
        <f>'Key Ratios'!I4</f>
      </c>
      <c r="I62" s="416">
        <f>'Key Ratios'!J4</f>
      </c>
      <c r="J62" s="416">
        <f>'Key Ratios'!K4</f>
      </c>
      <c r="K62" s="412"/>
      <c r="L62" s="412"/>
      <c r="M62" s="412"/>
    </row>
    <row r="63" spans="1:13" x14ac:dyDescent="0.35">
      <c r="A63" s="412" t="s">
        <v>180</v>
      </c>
      <c r="B63" s="416">
        <f>'Key Ratios'!C5</f>
      </c>
      <c r="C63" s="416">
        <f>'Key Ratios'!D5</f>
      </c>
      <c r="D63" s="416">
        <f>'Key Ratios'!E5</f>
      </c>
      <c r="E63" s="416">
        <f>'Key Ratios'!F5</f>
      </c>
      <c r="F63" s="416">
        <f>'Key Ratios'!G5</f>
      </c>
      <c r="G63" s="416">
        <f>'Key Ratios'!H5</f>
      </c>
      <c r="H63" s="416">
        <f>'Key Ratios'!I5</f>
      </c>
      <c r="I63" s="416">
        <f>'Key Ratios'!J5</f>
      </c>
      <c r="J63" s="416">
        <f>'Key Ratios'!K5</f>
      </c>
      <c r="K63" s="412"/>
      <c r="L63" s="412"/>
      <c r="M63" s="412"/>
    </row>
    <row r="64" spans="1:13" x14ac:dyDescent="0.35">
      <c r="A64" s="412" t="s">
        <v>278</v>
      </c>
      <c r="B64" s="416">
        <f>'Key Ratios'!C6</f>
      </c>
      <c r="C64" s="416">
        <f>'Key Ratios'!D6</f>
      </c>
      <c r="D64" s="416">
        <f>'Key Ratios'!E6</f>
      </c>
      <c r="E64" s="416">
        <f>'Key Ratios'!F6</f>
      </c>
      <c r="F64" s="416">
        <f>'Key Ratios'!G6</f>
      </c>
      <c r="G64" s="416">
        <f>'Key Ratios'!H6</f>
      </c>
      <c r="H64" s="416">
        <f>'Key Ratios'!I6</f>
      </c>
      <c r="I64" s="416">
        <f>'Key Ratios'!J6</f>
      </c>
      <c r="J64" s="416">
        <f>'Key Ratios'!K6</f>
      </c>
      <c r="K64" s="412"/>
      <c r="L64" s="412"/>
      <c r="M64" s="412"/>
    </row>
    <row r="65" spans="1:13" x14ac:dyDescent="0.35">
      <c r="A65" s="412"/>
      <c r="B65" s="412"/>
      <c r="C65" s="412"/>
      <c r="D65" s="412"/>
      <c r="E65" s="412"/>
      <c r="F65" s="412"/>
      <c r="G65" s="412"/>
      <c r="H65" s="412"/>
      <c r="I65" s="412"/>
      <c r="J65" s="412"/>
      <c r="K65" s="412"/>
      <c r="L65" s="412"/>
      <c r="M65" s="412"/>
    </row>
    <row r="66" spans="1:13" x14ac:dyDescent="0.35">
      <c r="A66" s="413" t="s">
        <v>295</v>
      </c>
      <c r="B66" s="414"/>
      <c r="C66" s="414"/>
      <c r="D66" s="414"/>
      <c r="E66" s="414"/>
      <c r="F66" s="414"/>
      <c r="G66" s="414"/>
      <c r="H66" s="414"/>
      <c r="I66" s="414"/>
      <c r="J66" s="414"/>
      <c r="K66" s="414"/>
      <c r="L66" s="412"/>
      <c r="M66" s="412"/>
    </row>
    <row r="67" spans="1:13" x14ac:dyDescent="0.35">
      <c r="A67" s="412"/>
      <c r="B67" s="415">
        <f>B56</f>
      </c>
      <c r="C67" s="415">
        <f t="shared" ref="C67:K67" si="2">C56</f>
      </c>
      <c r="D67" s="415">
        <f t="shared" si="2"/>
      </c>
      <c r="E67" s="415">
        <f t="shared" si="2"/>
      </c>
      <c r="F67" s="415">
        <f t="shared" si="2"/>
      </c>
      <c r="G67" s="415">
        <f t="shared" si="2"/>
      </c>
      <c r="H67" s="415">
        <f t="shared" si="2"/>
      </c>
      <c r="I67" s="415">
        <f t="shared" si="2"/>
      </c>
      <c r="J67" s="415">
        <f t="shared" si="2"/>
      </c>
      <c r="K67" s="415">
        <f t="shared" si="2"/>
      </c>
      <c r="L67" s="412"/>
      <c r="M67" s="412"/>
    </row>
    <row r="68" spans="1:13" x14ac:dyDescent="0.35">
      <c r="A68" s="412" t="s">
        <v>296</v>
      </c>
      <c r="B68" s="417">
        <f>'Profit &amp; Loss'!B4</f>
      </c>
      <c r="C68" s="417">
        <f>'Profit &amp; Loss'!C4</f>
      </c>
      <c r="D68" s="417">
        <f>'Profit &amp; Loss'!D4</f>
      </c>
      <c r="E68" s="417">
        <f>'Profit &amp; Loss'!E4</f>
      </c>
      <c r="F68" s="417">
        <f>'Profit &amp; Loss'!F4</f>
      </c>
      <c r="G68" s="417">
        <f>'Profit &amp; Loss'!G4</f>
      </c>
      <c r="H68" s="417">
        <f>'Profit &amp; Loss'!H4</f>
      </c>
      <c r="I68" s="417">
        <f>'Profit &amp; Loss'!I4</f>
      </c>
      <c r="J68" s="417">
        <f>'Profit &amp; Loss'!J4</f>
      </c>
      <c r="K68" s="417">
        <f>'Profit &amp; Loss'!K4</f>
      </c>
      <c r="L68" s="412"/>
      <c r="M68" s="412"/>
    </row>
    <row r="69" spans="1:13" x14ac:dyDescent="0.35">
      <c r="A69" s="412" t="s">
        <v>132</v>
      </c>
      <c r="B69" s="417">
        <f>'Profit &amp; Loss'!B19</f>
      </c>
      <c r="C69" s="417">
        <f>'Profit &amp; Loss'!C19</f>
      </c>
      <c r="D69" s="417">
        <f>'Profit &amp; Loss'!D19</f>
      </c>
      <c r="E69" s="417">
        <f>'Profit &amp; Loss'!E19</f>
      </c>
      <c r="F69" s="417">
        <f>'Profit &amp; Loss'!F19</f>
      </c>
      <c r="G69" s="417">
        <f>'Profit &amp; Loss'!G19</f>
      </c>
      <c r="H69" s="417">
        <f>'Profit &amp; Loss'!H19</f>
      </c>
      <c r="I69" s="417">
        <f>'Profit &amp; Loss'!I19</f>
      </c>
      <c r="J69" s="417">
        <f>'Profit &amp; Loss'!J19</f>
      </c>
      <c r="K69" s="417">
        <f>'Profit &amp; Loss'!K19</f>
      </c>
      <c r="L69" s="412"/>
      <c r="M69" s="412"/>
    </row>
    <row r="70" spans="1:13" x14ac:dyDescent="0.35">
      <c r="A70" s="412" t="s">
        <v>173</v>
      </c>
      <c r="B70" s="417">
        <f>'Profit &amp; Loss'!B23</f>
      </c>
      <c r="C70" s="417">
        <f>'Profit &amp; Loss'!C23</f>
      </c>
      <c r="D70" s="417">
        <f>'Profit &amp; Loss'!D23</f>
      </c>
      <c r="E70" s="417">
        <f>'Profit &amp; Loss'!E23</f>
      </c>
      <c r="F70" s="417">
        <f>'Profit &amp; Loss'!F23</f>
      </c>
      <c r="G70" s="417">
        <f>'Profit &amp; Loss'!G23</f>
      </c>
      <c r="H70" s="417">
        <f>'Profit &amp; Loss'!H23</f>
      </c>
      <c r="I70" s="417">
        <f>'Profit &amp; Loss'!I23</f>
      </c>
      <c r="J70" s="417">
        <f>'Profit &amp; Loss'!J23</f>
      </c>
      <c r="K70" s="417">
        <f>'Profit &amp; Loss'!K23</f>
      </c>
      <c r="L70" s="412"/>
      <c r="M70" s="412"/>
    </row>
    <row r="71" spans="1:13" x14ac:dyDescent="0.35">
      <c r="A71" s="412"/>
      <c r="B71" s="412"/>
      <c r="C71" s="412"/>
      <c r="D71" s="412"/>
      <c r="E71" s="412"/>
      <c r="F71" s="412"/>
      <c r="G71" s="412"/>
      <c r="H71" s="412"/>
      <c r="I71" s="412"/>
      <c r="J71" s="412"/>
      <c r="K71" s="412"/>
      <c r="L71" s="412"/>
      <c r="M71" s="412"/>
    </row>
    <row r="72" spans="1:13" x14ac:dyDescent="0.35">
      <c r="A72" s="413" t="s">
        <v>301</v>
      </c>
      <c r="B72" s="414"/>
      <c r="C72" s="414"/>
      <c r="D72" s="414"/>
      <c r="E72" s="414"/>
      <c r="F72" s="414"/>
      <c r="G72" s="414"/>
      <c r="H72" s="414"/>
      <c r="I72" s="414"/>
      <c r="J72" s="414"/>
      <c r="K72" s="414"/>
      <c r="L72" s="412"/>
      <c r="M72" s="412"/>
    </row>
    <row r="73" spans="1:13" x14ac:dyDescent="0.35">
      <c r="A73" s="412"/>
      <c r="B73" s="415">
        <f>B67</f>
      </c>
      <c r="C73" s="415">
        <f t="shared" ref="C73:K73" si="3">C67</f>
      </c>
      <c r="D73" s="415">
        <f t="shared" si="3"/>
      </c>
      <c r="E73" s="415">
        <f t="shared" si="3"/>
      </c>
      <c r="F73" s="415">
        <f t="shared" si="3"/>
      </c>
      <c r="G73" s="415">
        <f t="shared" si="3"/>
      </c>
      <c r="H73" s="415">
        <f t="shared" si="3"/>
      </c>
      <c r="I73" s="415">
        <f t="shared" si="3"/>
      </c>
      <c r="J73" s="415">
        <f t="shared" si="3"/>
      </c>
      <c r="K73" s="415">
        <f t="shared" si="3"/>
      </c>
      <c r="L73" s="412"/>
      <c r="M73" s="412"/>
    </row>
    <row r="74" spans="1:13" x14ac:dyDescent="0.35">
      <c r="A74" s="412" t="s">
        <v>302</v>
      </c>
      <c r="B74" s="417">
        <f>'Cash Flow'!B4</f>
      </c>
      <c r="C74" s="417">
        <f>'Cash Flow'!C4</f>
      </c>
      <c r="D74" s="417">
        <f>'Cash Flow'!D4</f>
      </c>
      <c r="E74" s="417">
        <f>'Cash Flow'!E4</f>
      </c>
      <c r="F74" s="417">
        <f>'Cash Flow'!F4</f>
      </c>
      <c r="G74" s="417">
        <f>'Cash Flow'!G4</f>
      </c>
      <c r="H74" s="417">
        <f>'Cash Flow'!H4</f>
      </c>
      <c r="I74" s="417">
        <f>'Cash Flow'!I4</f>
      </c>
      <c r="J74" s="417">
        <f>'Cash Flow'!J4</f>
      </c>
      <c r="K74" s="417">
        <f>'Cash Flow'!K4</f>
      </c>
      <c r="L74" s="412"/>
      <c r="M74" s="412"/>
    </row>
    <row r="75" spans="1:13" x14ac:dyDescent="0.35">
      <c r="A75" s="412" t="s">
        <v>303</v>
      </c>
      <c r="B75" s="417">
        <f>'Cash Flow'!B12</f>
      </c>
      <c r="C75" s="417">
        <f>'Cash Flow'!C12</f>
      </c>
      <c r="D75" s="417">
        <f>'Cash Flow'!D12</f>
      </c>
      <c r="E75" s="417">
        <f>'Cash Flow'!E12</f>
      </c>
      <c r="F75" s="417">
        <f>'Cash Flow'!F12</f>
      </c>
      <c r="G75" s="417">
        <f>'Cash Flow'!G12</f>
      </c>
      <c r="H75" s="417">
        <f>'Cash Flow'!H12</f>
      </c>
      <c r="I75" s="417">
        <f>'Cash Flow'!I12</f>
      </c>
      <c r="J75" s="417">
        <f>'Cash Flow'!J12</f>
      </c>
      <c r="K75" s="417">
        <f>'Cash Flow'!K12</f>
      </c>
      <c r="L75" s="412"/>
      <c r="M75" s="412"/>
    </row>
    <row r="76" spans="1:13" x14ac:dyDescent="0.35">
      <c r="A76" s="412"/>
      <c r="B76" s="417"/>
      <c r="C76" s="417"/>
      <c r="D76" s="417"/>
      <c r="E76" s="417"/>
      <c r="F76" s="417"/>
      <c r="G76" s="417"/>
      <c r="H76" s="417"/>
      <c r="I76" s="417"/>
      <c r="J76" s="417"/>
      <c r="K76" s="417"/>
      <c r="L76" s="412"/>
      <c r="M76" s="412"/>
    </row>
    <row r="77" spans="1:13" x14ac:dyDescent="0.35">
      <c r="A77" s="412"/>
      <c r="B77" s="412"/>
      <c r="C77" s="412"/>
      <c r="D77" s="412"/>
      <c r="E77" s="412"/>
      <c r="F77" s="412"/>
      <c r="G77" s="412"/>
      <c r="H77" s="412"/>
      <c r="I77" s="412"/>
      <c r="J77" s="412"/>
      <c r="K77" s="412"/>
      <c r="L77" s="412"/>
      <c r="M77" s="412"/>
    </row>
    <row r="78" spans="1:13" x14ac:dyDescent="0.35">
      <c r="A78" s="412"/>
      <c r="B78" s="412"/>
      <c r="C78" s="412"/>
      <c r="D78" s="412"/>
      <c r="E78" s="412"/>
      <c r="F78" s="412"/>
      <c r="G78" s="412"/>
      <c r="H78" s="412"/>
      <c r="I78" s="412"/>
      <c r="J78" s="412"/>
      <c r="K78" s="412"/>
      <c r="L78" s="412"/>
      <c r="M78" s="412"/>
    </row>
    <row r="79" spans="1:13" x14ac:dyDescent="0.35">
      <c r="A79" s="412"/>
      <c r="B79" s="412"/>
      <c r="C79" s="412"/>
      <c r="D79" s="412"/>
      <c r="E79" s="412"/>
      <c r="F79" s="412"/>
      <c r="G79" s="412"/>
      <c r="H79" s="412"/>
      <c r="I79" s="412"/>
      <c r="J79" s="412"/>
      <c r="K79" s="412"/>
      <c r="L79" s="412"/>
      <c r="M79" s="412"/>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defaultRowHeight="12.5" x14ac:dyDescent="0.25"/>
  <cols>
    <col min="1" max="1" width="21.08984375" style="8" bestFit="1" customWidth="1"/>
    <col min="2" max="11" width="6.7265625" style="8" bestFit="1" customWidth="1"/>
    <col min="12" max="16384" width="8.7265625" style="8"/>
  </cols>
  <sheetData>
    <row r="1" spans="1:17" ht="16" thickBot="1" x14ac:dyDescent="0.4">
      <c r="A1" s="317" t="s">
        <v>168</v>
      </c>
      <c r="B1" s="318"/>
      <c r="C1" s="318"/>
      <c r="D1" s="318"/>
      <c r="E1" s="318"/>
      <c r="F1" s="318"/>
      <c r="G1" s="318"/>
      <c r="H1" s="318"/>
      <c r="I1" s="318"/>
      <c r="J1" s="318"/>
      <c r="K1" s="319"/>
    </row>
    <row r="2" spans="1:17" ht="13" x14ac:dyDescent="0.3">
      <c r="A2" s="209" t="s">
        <v>179</v>
      </c>
      <c r="B2" s="113">
        <v>39538</v>
      </c>
      <c r="C2" s="113">
        <v>39903</v>
      </c>
      <c r="D2" s="113">
        <v>40268</v>
      </c>
      <c r="E2" s="113">
        <v>40633</v>
      </c>
      <c r="F2" s="113">
        <v>40999</v>
      </c>
      <c r="G2" s="113">
        <v>41364</v>
      </c>
      <c r="H2" s="113">
        <v>41729</v>
      </c>
      <c r="I2" s="113">
        <v>42094</v>
      </c>
      <c r="J2" s="113">
        <v>42460</v>
      </c>
      <c r="K2" s="210">
        <v>42825</v>
      </c>
      <c r="M2" s="320" t="s">
        <v>257</v>
      </c>
      <c r="N2" s="321"/>
      <c r="O2" s="321"/>
      <c r="P2" s="321"/>
      <c r="Q2" s="322"/>
    </row>
    <row r="3" spans="1:17" x14ac:dyDescent="0.25">
      <c r="A3" s="211" t="s">
        <v>4</v>
      </c>
      <c r="B3" s="115">
        <v>1</v>
      </c>
      <c r="C3" s="115">
        <v>1</v>
      </c>
      <c r="D3" s="115">
        <v>1</v>
      </c>
      <c r="E3" s="115">
        <v>1</v>
      </c>
      <c r="F3" s="115">
        <v>1</v>
      </c>
      <c r="G3" s="115">
        <v>1</v>
      </c>
      <c r="H3" s="115">
        <v>1</v>
      </c>
      <c r="I3" s="115">
        <v>1</v>
      </c>
      <c r="J3" s="115">
        <v>1</v>
      </c>
      <c r="K3" s="218">
        <v>1</v>
      </c>
      <c r="M3" s="323"/>
      <c r="N3" s="324"/>
      <c r="O3" s="324"/>
      <c r="P3" s="324"/>
      <c r="Q3" s="325"/>
    </row>
    <row r="4" spans="1:17" x14ac:dyDescent="0.25">
      <c r="A4" s="211" t="s">
        <v>74</v>
      </c>
      <c r="B4" s="38">
        <f>'Data Sheet'!B18/'Data Sheet'!B$17</f>
      </c>
      <c r="C4" s="38">
        <f>'Data Sheet'!C18/'Data Sheet'!C$17</f>
      </c>
      <c r="D4" s="38">
        <f>'Data Sheet'!D18/'Data Sheet'!D$17</f>
      </c>
      <c r="E4" s="38">
        <f>'Data Sheet'!E18/'Data Sheet'!E$17</f>
      </c>
      <c r="F4" s="38">
        <f>'Data Sheet'!F18/'Data Sheet'!F$17</f>
      </c>
      <c r="G4" s="38">
        <f>'Data Sheet'!G18/'Data Sheet'!G$17</f>
      </c>
      <c r="H4" s="38">
        <f>'Data Sheet'!H18/'Data Sheet'!H$17</f>
      </c>
      <c r="I4" s="38">
        <f>'Data Sheet'!I18/'Data Sheet'!I$17</f>
      </c>
      <c r="J4" s="38">
        <f>'Data Sheet'!J18/'Data Sheet'!J$17</f>
      </c>
      <c r="K4" s="212">
        <f>'Data Sheet'!K18/'Data Sheet'!K$17</f>
      </c>
      <c r="M4" s="323"/>
      <c r="N4" s="324"/>
      <c r="O4" s="324"/>
      <c r="P4" s="324"/>
      <c r="Q4" s="325"/>
    </row>
    <row r="5" spans="1:17" x14ac:dyDescent="0.25">
      <c r="A5" s="211" t="s">
        <v>75</v>
      </c>
      <c r="B5" s="38">
        <f>'Data Sheet'!B19/'Data Sheet'!B$17</f>
      </c>
      <c r="C5" s="38">
        <f>'Data Sheet'!C19/'Data Sheet'!C$17</f>
      </c>
      <c r="D5" s="38">
        <f>'Data Sheet'!D19/'Data Sheet'!D$17</f>
      </c>
      <c r="E5" s="38">
        <f>'Data Sheet'!E19/'Data Sheet'!E$17</f>
      </c>
      <c r="F5" s="38">
        <f>'Data Sheet'!F19/'Data Sheet'!F$17</f>
      </c>
      <c r="G5" s="38">
        <f>'Data Sheet'!G19/'Data Sheet'!G$17</f>
      </c>
      <c r="H5" s="38">
        <f>'Data Sheet'!H19/'Data Sheet'!H$17</f>
      </c>
      <c r="I5" s="38">
        <f>'Data Sheet'!I19/'Data Sheet'!I$17</f>
      </c>
      <c r="J5" s="38">
        <f>'Data Sheet'!J19/'Data Sheet'!J$17</f>
      </c>
      <c r="K5" s="212">
        <f>'Data Sheet'!K19/'Data Sheet'!K$17</f>
      </c>
      <c r="M5" s="323"/>
      <c r="N5" s="324"/>
      <c r="O5" s="324"/>
      <c r="P5" s="324"/>
      <c r="Q5" s="325"/>
    </row>
    <row r="6" spans="1:17" x14ac:dyDescent="0.25">
      <c r="A6" s="211" t="s">
        <v>76</v>
      </c>
      <c r="B6" s="38">
        <f>'Data Sheet'!B20/'Data Sheet'!B$17</f>
      </c>
      <c r="C6" s="38">
        <f>'Data Sheet'!C20/'Data Sheet'!C$17</f>
      </c>
      <c r="D6" s="38">
        <f>'Data Sheet'!D20/'Data Sheet'!D$17</f>
      </c>
      <c r="E6" s="38">
        <f>'Data Sheet'!E20/'Data Sheet'!E$17</f>
      </c>
      <c r="F6" s="38">
        <f>'Data Sheet'!F20/'Data Sheet'!F$17</f>
      </c>
      <c r="G6" s="38">
        <f>'Data Sheet'!G20/'Data Sheet'!G$17</f>
      </c>
      <c r="H6" s="38">
        <f>'Data Sheet'!H20/'Data Sheet'!H$17</f>
      </c>
      <c r="I6" s="38">
        <f>'Data Sheet'!I20/'Data Sheet'!I$17</f>
      </c>
      <c r="J6" s="38">
        <f>'Data Sheet'!J20/'Data Sheet'!J$17</f>
      </c>
      <c r="K6" s="212">
        <f>'Data Sheet'!K20/'Data Sheet'!K$17</f>
      </c>
      <c r="M6" s="323"/>
      <c r="N6" s="324"/>
      <c r="O6" s="324"/>
      <c r="P6" s="324"/>
      <c r="Q6" s="325"/>
    </row>
    <row r="7" spans="1:17" x14ac:dyDescent="0.25">
      <c r="A7" s="211" t="s">
        <v>77</v>
      </c>
      <c r="B7" s="38">
        <f>'Data Sheet'!B21/'Data Sheet'!B$17</f>
      </c>
      <c r="C7" s="38">
        <f>'Data Sheet'!C21/'Data Sheet'!C$17</f>
      </c>
      <c r="D7" s="38">
        <f>'Data Sheet'!D21/'Data Sheet'!D$17</f>
      </c>
      <c r="E7" s="38">
        <f>'Data Sheet'!E21/'Data Sheet'!E$17</f>
      </c>
      <c r="F7" s="38">
        <f>'Data Sheet'!F21/'Data Sheet'!F$17</f>
      </c>
      <c r="G7" s="38">
        <f>'Data Sheet'!G21/'Data Sheet'!G$17</f>
      </c>
      <c r="H7" s="38">
        <f>'Data Sheet'!H21/'Data Sheet'!H$17</f>
      </c>
      <c r="I7" s="38">
        <f>'Data Sheet'!I21/'Data Sheet'!I$17</f>
      </c>
      <c r="J7" s="38">
        <f>'Data Sheet'!J21/'Data Sheet'!J$17</f>
      </c>
      <c r="K7" s="212">
        <f>'Data Sheet'!K21/'Data Sheet'!K$17</f>
      </c>
      <c r="M7" s="323"/>
      <c r="N7" s="324"/>
      <c r="O7" s="324"/>
      <c r="P7" s="324"/>
      <c r="Q7" s="325"/>
    </row>
    <row r="8" spans="1:17" x14ac:dyDescent="0.25">
      <c r="A8" s="211" t="s">
        <v>78</v>
      </c>
      <c r="B8" s="38">
        <f>'Data Sheet'!B22/'Data Sheet'!B$17</f>
      </c>
      <c r="C8" s="38">
        <f>'Data Sheet'!C22/'Data Sheet'!C$17</f>
      </c>
      <c r="D8" s="38">
        <f>'Data Sheet'!D22/'Data Sheet'!D$17</f>
      </c>
      <c r="E8" s="38">
        <f>'Data Sheet'!E22/'Data Sheet'!E$17</f>
      </c>
      <c r="F8" s="38">
        <f>'Data Sheet'!F22/'Data Sheet'!F$17</f>
      </c>
      <c r="G8" s="38">
        <f>'Data Sheet'!G22/'Data Sheet'!G$17</f>
      </c>
      <c r="H8" s="38">
        <f>'Data Sheet'!H22/'Data Sheet'!H$17</f>
      </c>
      <c r="I8" s="38">
        <f>'Data Sheet'!I22/'Data Sheet'!I$17</f>
      </c>
      <c r="J8" s="38">
        <f>'Data Sheet'!J22/'Data Sheet'!J$17</f>
      </c>
      <c r="K8" s="212">
        <f>'Data Sheet'!K22/'Data Sheet'!K$17</f>
      </c>
      <c r="M8" s="323"/>
      <c r="N8" s="324"/>
      <c r="O8" s="324"/>
      <c r="P8" s="324"/>
      <c r="Q8" s="325"/>
    </row>
    <row r="9" spans="1:17" x14ac:dyDescent="0.25">
      <c r="A9" s="211" t="s">
        <v>101</v>
      </c>
      <c r="B9" s="38">
        <f>'Data Sheet'!B23/'Data Sheet'!B$17</f>
      </c>
      <c r="C9" s="38">
        <f>'Data Sheet'!C23/'Data Sheet'!C$17</f>
      </c>
      <c r="D9" s="38">
        <f>'Data Sheet'!D23/'Data Sheet'!D$17</f>
      </c>
      <c r="E9" s="38">
        <f>'Data Sheet'!E23/'Data Sheet'!E$17</f>
      </c>
      <c r="F9" s="38">
        <f>'Data Sheet'!F23/'Data Sheet'!F$17</f>
      </c>
      <c r="G9" s="38">
        <f>'Data Sheet'!G23/'Data Sheet'!G$17</f>
      </c>
      <c r="H9" s="38">
        <f>'Data Sheet'!H23/'Data Sheet'!H$17</f>
      </c>
      <c r="I9" s="38">
        <f>'Data Sheet'!I23/'Data Sheet'!I$17</f>
      </c>
      <c r="J9" s="38">
        <f>'Data Sheet'!J23/'Data Sheet'!J$17</f>
      </c>
      <c r="K9" s="212">
        <f>'Data Sheet'!K23/'Data Sheet'!K$17</f>
      </c>
      <c r="M9" s="323"/>
      <c r="N9" s="324"/>
      <c r="O9" s="324"/>
      <c r="P9" s="324"/>
      <c r="Q9" s="325"/>
    </row>
    <row r="10" spans="1:17" ht="13" thickBot="1" x14ac:dyDescent="0.3">
      <c r="A10" s="211" t="s">
        <v>80</v>
      </c>
      <c r="B10" s="38">
        <f>'Data Sheet'!B24/'Data Sheet'!B$17</f>
      </c>
      <c r="C10" s="38">
        <f>'Data Sheet'!C24/'Data Sheet'!C$17</f>
      </c>
      <c r="D10" s="38">
        <f>'Data Sheet'!D24/'Data Sheet'!D$17</f>
      </c>
      <c r="E10" s="38">
        <f>'Data Sheet'!E24/'Data Sheet'!E$17</f>
      </c>
      <c r="F10" s="38">
        <f>'Data Sheet'!F24/'Data Sheet'!F$17</f>
      </c>
      <c r="G10" s="38">
        <f>'Data Sheet'!G24/'Data Sheet'!G$17</f>
      </c>
      <c r="H10" s="38">
        <f>'Data Sheet'!H24/'Data Sheet'!H$17</f>
      </c>
      <c r="I10" s="38">
        <f>'Data Sheet'!I24/'Data Sheet'!I$17</f>
      </c>
      <c r="J10" s="38">
        <f>'Data Sheet'!J24/'Data Sheet'!J$17</f>
      </c>
      <c r="K10" s="212">
        <f>'Data Sheet'!K24/'Data Sheet'!K$17</f>
      </c>
      <c r="M10" s="326"/>
      <c r="N10" s="327"/>
      <c r="O10" s="327"/>
      <c r="P10" s="327"/>
      <c r="Q10" s="328"/>
    </row>
    <row r="11" spans="1:17" x14ac:dyDescent="0.25">
      <c r="A11" s="219" t="s">
        <v>6</v>
      </c>
      <c r="B11" s="116">
        <f>('Data Sheet'!B17-'Data Sheet'!B18-'Data Sheet'!B19-'Data Sheet'!B20-'Data Sheet'!B21-'Data Sheet'!B22-'Data Sheet'!B23-'Data Sheet'!B24)/'Data Sheet'!B$17</f>
      </c>
      <c r="C11" s="116">
        <f>('Data Sheet'!C17-'Data Sheet'!C18-'Data Sheet'!C19-'Data Sheet'!C20-'Data Sheet'!C21-'Data Sheet'!C22-'Data Sheet'!C23-'Data Sheet'!C24)/'Data Sheet'!C$17</f>
      </c>
      <c r="D11" s="116">
        <f>('Data Sheet'!D17-'Data Sheet'!D18-'Data Sheet'!D19-'Data Sheet'!D20-'Data Sheet'!D21-'Data Sheet'!D22-'Data Sheet'!D23-'Data Sheet'!D24)/'Data Sheet'!D$17</f>
      </c>
      <c r="E11" s="116">
        <f>('Data Sheet'!E17-'Data Sheet'!E18-'Data Sheet'!E19-'Data Sheet'!E20-'Data Sheet'!E21-'Data Sheet'!E22-'Data Sheet'!E23-'Data Sheet'!E24)/'Data Sheet'!E$17</f>
      </c>
      <c r="F11" s="116">
        <f>('Data Sheet'!F17-'Data Sheet'!F18-'Data Sheet'!F19-'Data Sheet'!F20-'Data Sheet'!F21-'Data Sheet'!F22-'Data Sheet'!F23-'Data Sheet'!F24)/'Data Sheet'!F$17</f>
      </c>
      <c r="G11" s="116">
        <f>('Data Sheet'!G17-'Data Sheet'!G18-'Data Sheet'!G19-'Data Sheet'!G20-'Data Sheet'!G21-'Data Sheet'!G22-'Data Sheet'!G23-'Data Sheet'!G24)/'Data Sheet'!G$17</f>
      </c>
      <c r="H11" s="116">
        <f>('Data Sheet'!H17-'Data Sheet'!H18-'Data Sheet'!H19-'Data Sheet'!H20-'Data Sheet'!H21-'Data Sheet'!H22-'Data Sheet'!H23-'Data Sheet'!H24)/'Data Sheet'!H$17</f>
      </c>
      <c r="I11" s="116">
        <f>('Data Sheet'!I17-'Data Sheet'!I18-'Data Sheet'!I19-'Data Sheet'!I20-'Data Sheet'!I21-'Data Sheet'!I22-'Data Sheet'!I23-'Data Sheet'!I24)/'Data Sheet'!I$17</f>
      </c>
      <c r="J11" s="116">
        <f>('Data Sheet'!J17-'Data Sheet'!J18-'Data Sheet'!J19-'Data Sheet'!J20-'Data Sheet'!J21-'Data Sheet'!J22-'Data Sheet'!J23-'Data Sheet'!J24)/'Data Sheet'!J$17</f>
      </c>
      <c r="K11" s="220">
        <f>('Data Sheet'!K17-'Data Sheet'!K18-'Data Sheet'!K19-'Data Sheet'!K20-'Data Sheet'!K21-'Data Sheet'!K22-'Data Sheet'!K23-'Data Sheet'!K24)/'Data Sheet'!K$17</f>
      </c>
    </row>
    <row r="12" spans="1:17" x14ac:dyDescent="0.25">
      <c r="A12" s="211" t="s">
        <v>7</v>
      </c>
      <c r="B12" s="38">
        <f>'Data Sheet'!B25/'Data Sheet'!B$17</f>
      </c>
      <c r="C12" s="38">
        <f>'Data Sheet'!C25/'Data Sheet'!C$17</f>
      </c>
      <c r="D12" s="38">
        <f>'Data Sheet'!D25/'Data Sheet'!D$17</f>
      </c>
      <c r="E12" s="38">
        <f>'Data Sheet'!E25/'Data Sheet'!E$17</f>
      </c>
      <c r="F12" s="38">
        <f>'Data Sheet'!F25/'Data Sheet'!F$17</f>
      </c>
      <c r="G12" s="38">
        <f>'Data Sheet'!G25/'Data Sheet'!G$17</f>
      </c>
      <c r="H12" s="38">
        <f>'Data Sheet'!H25/'Data Sheet'!H$17</f>
      </c>
      <c r="I12" s="38">
        <f>'Data Sheet'!I25/'Data Sheet'!I$17</f>
      </c>
      <c r="J12" s="38">
        <f>'Data Sheet'!J25/'Data Sheet'!J$17</f>
      </c>
      <c r="K12" s="212">
        <f>'Data Sheet'!K25/'Data Sheet'!K$17</f>
      </c>
    </row>
    <row r="13" spans="1:17" x14ac:dyDescent="0.25">
      <c r="A13" s="211" t="s">
        <v>8</v>
      </c>
      <c r="B13" s="38">
        <f>'Data Sheet'!B26/'Data Sheet'!B$17</f>
      </c>
      <c r="C13" s="38">
        <f>'Data Sheet'!C26/'Data Sheet'!C$17</f>
      </c>
      <c r="D13" s="38">
        <f>'Data Sheet'!D26/'Data Sheet'!D$17</f>
      </c>
      <c r="E13" s="38">
        <f>'Data Sheet'!E26/'Data Sheet'!E$17</f>
      </c>
      <c r="F13" s="38">
        <f>'Data Sheet'!F26/'Data Sheet'!F$17</f>
      </c>
      <c r="G13" s="38">
        <f>'Data Sheet'!G26/'Data Sheet'!G$17</f>
      </c>
      <c r="H13" s="38">
        <f>'Data Sheet'!H26/'Data Sheet'!H$17</f>
      </c>
      <c r="I13" s="38">
        <f>'Data Sheet'!I26/'Data Sheet'!I$17</f>
      </c>
      <c r="J13" s="38">
        <f>'Data Sheet'!J26/'Data Sheet'!J$17</f>
      </c>
      <c r="K13" s="212">
        <f>'Data Sheet'!K26/'Data Sheet'!K$17</f>
      </c>
    </row>
    <row r="14" spans="1:17" x14ac:dyDescent="0.25">
      <c r="A14" s="211" t="s">
        <v>9</v>
      </c>
      <c r="B14" s="38">
        <f>'Data Sheet'!B27/'Data Sheet'!B$17</f>
      </c>
      <c r="C14" s="38">
        <f>'Data Sheet'!C27/'Data Sheet'!C$17</f>
      </c>
      <c r="D14" s="38">
        <f>'Data Sheet'!D27/'Data Sheet'!D$17</f>
      </c>
      <c r="E14" s="38">
        <f>'Data Sheet'!E27/'Data Sheet'!E$17</f>
      </c>
      <c r="F14" s="38">
        <f>'Data Sheet'!F27/'Data Sheet'!F$17</f>
      </c>
      <c r="G14" s="38">
        <f>'Data Sheet'!G27/'Data Sheet'!G$17</f>
      </c>
      <c r="H14" s="38">
        <f>'Data Sheet'!H27/'Data Sheet'!H$17</f>
      </c>
      <c r="I14" s="38">
        <f>'Data Sheet'!I27/'Data Sheet'!I$17</f>
      </c>
      <c r="J14" s="38">
        <f>'Data Sheet'!J27/'Data Sheet'!J$17</f>
      </c>
      <c r="K14" s="212">
        <f>'Data Sheet'!K27/'Data Sheet'!K$17</f>
      </c>
    </row>
    <row r="15" spans="1:17" x14ac:dyDescent="0.25">
      <c r="A15" s="219" t="s">
        <v>172</v>
      </c>
      <c r="B15" s="116">
        <f>'Data Sheet'!B28/'Data Sheet'!B$17</f>
      </c>
      <c r="C15" s="116">
        <f>'Data Sheet'!C28/'Data Sheet'!C$17</f>
      </c>
      <c r="D15" s="116">
        <f>'Data Sheet'!D28/'Data Sheet'!D$17</f>
      </c>
      <c r="E15" s="116">
        <f>'Data Sheet'!E28/'Data Sheet'!E$17</f>
      </c>
      <c r="F15" s="116">
        <f>'Data Sheet'!F28/'Data Sheet'!F$17</f>
      </c>
      <c r="G15" s="116">
        <f>'Data Sheet'!G28/'Data Sheet'!G$17</f>
      </c>
      <c r="H15" s="116">
        <f>'Data Sheet'!H28/'Data Sheet'!H$17</f>
      </c>
      <c r="I15" s="116">
        <f>'Data Sheet'!I28/'Data Sheet'!I$17</f>
      </c>
      <c r="J15" s="116">
        <f>'Data Sheet'!J28/'Data Sheet'!J$17</f>
      </c>
      <c r="K15" s="220">
        <f>'Data Sheet'!K28/'Data Sheet'!K$17</f>
      </c>
    </row>
    <row r="16" spans="1:17" x14ac:dyDescent="0.25">
      <c r="A16" s="211" t="s">
        <v>11</v>
      </c>
      <c r="B16" s="38">
        <f>'Data Sheet'!B29/'Data Sheet'!B$17</f>
      </c>
      <c r="C16" s="38">
        <f>'Data Sheet'!C29/'Data Sheet'!C$17</f>
      </c>
      <c r="D16" s="38">
        <f>'Data Sheet'!D29/'Data Sheet'!D$17</f>
      </c>
      <c r="E16" s="38">
        <f>'Data Sheet'!E29/'Data Sheet'!E$17</f>
      </c>
      <c r="F16" s="38">
        <f>'Data Sheet'!F29/'Data Sheet'!F$17</f>
      </c>
      <c r="G16" s="38">
        <f>'Data Sheet'!G29/'Data Sheet'!G$17</f>
      </c>
      <c r="H16" s="38">
        <f>'Data Sheet'!H29/'Data Sheet'!H$17</f>
      </c>
      <c r="I16" s="38">
        <f>'Data Sheet'!I29/'Data Sheet'!I$17</f>
      </c>
      <c r="J16" s="38">
        <f>'Data Sheet'!J29/'Data Sheet'!J$17</f>
      </c>
      <c r="K16" s="212">
        <f>'Data Sheet'!K29/'Data Sheet'!K$17</f>
      </c>
    </row>
    <row r="17" spans="1:11" x14ac:dyDescent="0.25">
      <c r="A17" s="219" t="s">
        <v>173</v>
      </c>
      <c r="B17" s="116">
        <f>'Data Sheet'!B30/'Data Sheet'!B$17</f>
      </c>
      <c r="C17" s="116">
        <f>'Data Sheet'!C30/'Data Sheet'!C$17</f>
      </c>
      <c r="D17" s="116">
        <f>'Data Sheet'!D30/'Data Sheet'!D$17</f>
      </c>
      <c r="E17" s="116">
        <f>'Data Sheet'!E30/'Data Sheet'!E$17</f>
      </c>
      <c r="F17" s="116">
        <f>'Data Sheet'!F30/'Data Sheet'!F$17</f>
      </c>
      <c r="G17" s="116">
        <f>'Data Sheet'!G30/'Data Sheet'!G$17</f>
      </c>
      <c r="H17" s="116">
        <f>'Data Sheet'!H30/'Data Sheet'!H$17</f>
      </c>
      <c r="I17" s="116">
        <f>'Data Sheet'!I30/'Data Sheet'!I$17</f>
      </c>
      <c r="J17" s="116">
        <f>'Data Sheet'!J30/'Data Sheet'!J$17</f>
      </c>
      <c r="K17" s="220">
        <f>'Data Sheet'!K30/'Data Sheet'!K$17</f>
      </c>
    </row>
    <row r="18" spans="1:11" ht="13" thickBot="1" x14ac:dyDescent="0.3">
      <c r="A18" s="221" t="s">
        <v>64</v>
      </c>
      <c r="B18" s="222">
        <f>'Data Sheet'!B31/'Data Sheet'!B$17</f>
      </c>
      <c r="C18" s="222">
        <f>'Data Sheet'!C31/'Data Sheet'!C$17</f>
      </c>
      <c r="D18" s="222">
        <f>'Data Sheet'!D31/'Data Sheet'!D$17</f>
      </c>
      <c r="E18" s="222">
        <f>'Data Sheet'!E31/'Data Sheet'!E$17</f>
      </c>
      <c r="F18" s="222">
        <f>'Data Sheet'!F31/'Data Sheet'!F$17</f>
      </c>
      <c r="G18" s="222">
        <f>'Data Sheet'!G31/'Data Sheet'!G$17</f>
      </c>
      <c r="H18" s="222">
        <f>'Data Sheet'!H31/'Data Sheet'!H$17</f>
      </c>
      <c r="I18" s="222">
        <f>'Data Sheet'!I31/'Data Sheet'!I$17</f>
      </c>
      <c r="J18" s="222">
        <f>'Data Sheet'!J31/'Data Sheet'!J$17</f>
      </c>
      <c r="K18" s="223">
        <f>'Data Sheet'!K31/'Data Sheet'!K$17</f>
      </c>
    </row>
    <row r="19" spans="1:11" ht="13" thickBot="1" x14ac:dyDescent="0.3"/>
    <row r="20" spans="1:11" ht="15.5" x14ac:dyDescent="0.35">
      <c r="A20" s="317" t="s">
        <v>169</v>
      </c>
      <c r="B20" s="318"/>
      <c r="C20" s="318"/>
      <c r="D20" s="318"/>
      <c r="E20" s="318"/>
      <c r="F20" s="318"/>
      <c r="G20" s="318"/>
      <c r="H20" s="318"/>
      <c r="I20" s="318"/>
      <c r="J20" s="318"/>
      <c r="K20" s="319"/>
    </row>
    <row r="21" spans="1:11" ht="13" x14ac:dyDescent="0.3">
      <c r="A21" s="209" t="s">
        <v>179</v>
      </c>
      <c r="B21" s="113">
        <v>39538</v>
      </c>
      <c r="C21" s="113">
        <v>39903</v>
      </c>
      <c r="D21" s="113">
        <v>40268</v>
      </c>
      <c r="E21" s="113">
        <v>40633</v>
      </c>
      <c r="F21" s="113">
        <v>40999</v>
      </c>
      <c r="G21" s="113">
        <v>41364</v>
      </c>
      <c r="H21" s="113">
        <v>41729</v>
      </c>
      <c r="I21" s="113">
        <v>42094</v>
      </c>
      <c r="J21" s="113">
        <v>42460</v>
      </c>
      <c r="K21" s="210">
        <v>42825</v>
      </c>
    </row>
    <row r="22" spans="1:11" x14ac:dyDescent="0.25">
      <c r="A22" s="211" t="s">
        <v>19</v>
      </c>
      <c r="B22" s="38">
        <f>'Data Sheet'!B57/'Data Sheet'!B$61</f>
      </c>
      <c r="C22" s="38">
        <f>'Data Sheet'!C57/'Data Sheet'!C$61</f>
      </c>
      <c r="D22" s="38">
        <f>'Data Sheet'!D57/'Data Sheet'!D$61</f>
      </c>
      <c r="E22" s="38">
        <f>'Data Sheet'!E57/'Data Sheet'!E$61</f>
      </c>
      <c r="F22" s="38">
        <f>'Data Sheet'!F57/'Data Sheet'!F$61</f>
      </c>
      <c r="G22" s="38">
        <f>'Data Sheet'!G57/'Data Sheet'!G$61</f>
      </c>
      <c r="H22" s="38">
        <f>'Data Sheet'!H57/'Data Sheet'!H$61</f>
      </c>
      <c r="I22" s="38">
        <f>'Data Sheet'!I57/'Data Sheet'!I$61</f>
      </c>
      <c r="J22" s="38">
        <f>'Data Sheet'!J57/'Data Sheet'!J$61</f>
      </c>
      <c r="K22" s="212">
        <f>'Data Sheet'!K57/'Data Sheet'!K$61</f>
      </c>
    </row>
    <row r="23" spans="1:11" x14ac:dyDescent="0.25">
      <c r="A23" s="211" t="s">
        <v>20</v>
      </c>
      <c r="B23" s="38">
        <f>'Data Sheet'!B58/'Data Sheet'!B$61</f>
      </c>
      <c r="C23" s="38">
        <f>'Data Sheet'!C58/'Data Sheet'!C$61</f>
      </c>
      <c r="D23" s="38">
        <f>'Data Sheet'!D58/'Data Sheet'!D$61</f>
      </c>
      <c r="E23" s="38">
        <f>'Data Sheet'!E58/'Data Sheet'!E$61</f>
      </c>
      <c r="F23" s="38">
        <f>'Data Sheet'!F58/'Data Sheet'!F$61</f>
      </c>
      <c r="G23" s="38">
        <f>'Data Sheet'!G58/'Data Sheet'!G$61</f>
      </c>
      <c r="H23" s="38">
        <f>'Data Sheet'!H58/'Data Sheet'!H$61</f>
      </c>
      <c r="I23" s="38">
        <f>'Data Sheet'!I58/'Data Sheet'!I$61</f>
      </c>
      <c r="J23" s="38">
        <f>'Data Sheet'!J58/'Data Sheet'!J$61</f>
      </c>
      <c r="K23" s="212">
        <f>'Data Sheet'!K58/'Data Sheet'!K$61</f>
      </c>
    </row>
    <row r="24" spans="1:11" x14ac:dyDescent="0.25">
      <c r="A24" s="211" t="s">
        <v>65</v>
      </c>
      <c r="B24" s="38">
        <f>'Data Sheet'!B59/'Data Sheet'!B$61</f>
      </c>
      <c r="C24" s="38">
        <f>'Data Sheet'!C59/'Data Sheet'!C$61</f>
      </c>
      <c r="D24" s="38">
        <f>'Data Sheet'!D59/'Data Sheet'!D$61</f>
      </c>
      <c r="E24" s="38">
        <f>'Data Sheet'!E59/'Data Sheet'!E$61</f>
      </c>
      <c r="F24" s="38">
        <f>'Data Sheet'!F59/'Data Sheet'!F$61</f>
      </c>
      <c r="G24" s="38">
        <f>'Data Sheet'!G59/'Data Sheet'!G$61</f>
      </c>
      <c r="H24" s="38">
        <f>'Data Sheet'!H59/'Data Sheet'!H$61</f>
      </c>
      <c r="I24" s="38">
        <f>'Data Sheet'!I59/'Data Sheet'!I$61</f>
      </c>
      <c r="J24" s="38">
        <f>'Data Sheet'!J59/'Data Sheet'!J$61</f>
      </c>
      <c r="K24" s="212">
        <f>'Data Sheet'!K59/'Data Sheet'!K$61</f>
      </c>
    </row>
    <row r="25" spans="1:11" x14ac:dyDescent="0.25">
      <c r="A25" s="211" t="s">
        <v>66</v>
      </c>
      <c r="B25" s="38">
        <f>'Data Sheet'!B60/'Data Sheet'!B$61</f>
      </c>
      <c r="C25" s="38">
        <f>'Data Sheet'!C60/'Data Sheet'!C$61</f>
      </c>
      <c r="D25" s="38">
        <f>'Data Sheet'!D60/'Data Sheet'!D$61</f>
      </c>
      <c r="E25" s="38">
        <f>'Data Sheet'!E60/'Data Sheet'!E$61</f>
      </c>
      <c r="F25" s="38">
        <f>'Data Sheet'!F60/'Data Sheet'!F$61</f>
      </c>
      <c r="G25" s="38">
        <f>'Data Sheet'!G60/'Data Sheet'!G$61</f>
      </c>
      <c r="H25" s="38">
        <f>'Data Sheet'!H60/'Data Sheet'!H$61</f>
      </c>
      <c r="I25" s="38">
        <f>'Data Sheet'!I60/'Data Sheet'!I$61</f>
      </c>
      <c r="J25" s="38">
        <f>'Data Sheet'!J60/'Data Sheet'!J$61</f>
      </c>
      <c r="K25" s="212">
        <f>'Data Sheet'!K60/'Data Sheet'!K$61</f>
      </c>
    </row>
    <row r="26" spans="1:11" ht="13" x14ac:dyDescent="0.3">
      <c r="A26" s="213" t="s">
        <v>170</v>
      </c>
      <c r="B26" s="114">
        <v>1</v>
      </c>
      <c r="C26" s="114">
        <v>1</v>
      </c>
      <c r="D26" s="114">
        <v>1</v>
      </c>
      <c r="E26" s="114">
        <v>1</v>
      </c>
      <c r="F26" s="114">
        <v>1</v>
      </c>
      <c r="G26" s="114">
        <v>1</v>
      </c>
      <c r="H26" s="114">
        <v>1</v>
      </c>
      <c r="I26" s="114">
        <v>1</v>
      </c>
      <c r="J26" s="114">
        <v>1</v>
      </c>
      <c r="K26" s="214">
        <v>1</v>
      </c>
    </row>
    <row r="27" spans="1:11" x14ac:dyDescent="0.25">
      <c r="A27" s="211" t="s">
        <v>22</v>
      </c>
      <c r="B27" s="38">
        <f>'Data Sheet'!B62/'Data Sheet'!B$66</f>
      </c>
      <c r="C27" s="38">
        <f>'Data Sheet'!C62/'Data Sheet'!C$66</f>
      </c>
      <c r="D27" s="38">
        <f>'Data Sheet'!D62/'Data Sheet'!D$66</f>
      </c>
      <c r="E27" s="38">
        <f>'Data Sheet'!E62/'Data Sheet'!E$66</f>
      </c>
      <c r="F27" s="38">
        <f>'Data Sheet'!F62/'Data Sheet'!F$66</f>
      </c>
      <c r="G27" s="38">
        <f>'Data Sheet'!G62/'Data Sheet'!G$66</f>
      </c>
      <c r="H27" s="38">
        <f>'Data Sheet'!H62/'Data Sheet'!H$66</f>
      </c>
      <c r="I27" s="38">
        <f>'Data Sheet'!I62/'Data Sheet'!I$66</f>
      </c>
      <c r="J27" s="38">
        <f>'Data Sheet'!J62/'Data Sheet'!J$66</f>
      </c>
      <c r="K27" s="212">
        <f>'Data Sheet'!K62/'Data Sheet'!K$66</f>
      </c>
    </row>
    <row r="28" spans="1:11" x14ac:dyDescent="0.25">
      <c r="A28" s="211" t="s">
        <v>23</v>
      </c>
      <c r="B28" s="38">
        <f>'Data Sheet'!B63/'Data Sheet'!B$66</f>
      </c>
      <c r="C28" s="38">
        <f>'Data Sheet'!C63/'Data Sheet'!C$66</f>
      </c>
      <c r="D28" s="38">
        <f>'Data Sheet'!D63/'Data Sheet'!D$66</f>
      </c>
      <c r="E28" s="38">
        <f>'Data Sheet'!E63/'Data Sheet'!E$66</f>
      </c>
      <c r="F28" s="38">
        <f>'Data Sheet'!F63/'Data Sheet'!F$66</f>
      </c>
      <c r="G28" s="38">
        <f>'Data Sheet'!G63/'Data Sheet'!G$66</f>
      </c>
      <c r="H28" s="38">
        <f>'Data Sheet'!H63/'Data Sheet'!H$66</f>
      </c>
      <c r="I28" s="38">
        <f>'Data Sheet'!I63/'Data Sheet'!I$66</f>
      </c>
      <c r="J28" s="38">
        <f>'Data Sheet'!J63/'Data Sheet'!J$66</f>
      </c>
      <c r="K28" s="212">
        <f>'Data Sheet'!K63/'Data Sheet'!K$66</f>
      </c>
    </row>
    <row r="29" spans="1:11" x14ac:dyDescent="0.25">
      <c r="A29" s="211" t="s">
        <v>24</v>
      </c>
      <c r="B29" s="38">
        <f>'Data Sheet'!B64/'Data Sheet'!B$66</f>
      </c>
      <c r="C29" s="38">
        <f>'Data Sheet'!C64/'Data Sheet'!C$66</f>
      </c>
      <c r="D29" s="38">
        <f>'Data Sheet'!D64/'Data Sheet'!D$66</f>
      </c>
      <c r="E29" s="38">
        <f>'Data Sheet'!E64/'Data Sheet'!E$66</f>
      </c>
      <c r="F29" s="38">
        <f>'Data Sheet'!F64/'Data Sheet'!F$66</f>
      </c>
      <c r="G29" s="38">
        <f>'Data Sheet'!G64/'Data Sheet'!G$66</f>
      </c>
      <c r="H29" s="38">
        <f>'Data Sheet'!H64/'Data Sheet'!H$66</f>
      </c>
      <c r="I29" s="38">
        <f>'Data Sheet'!I64/'Data Sheet'!I$66</f>
      </c>
      <c r="J29" s="38">
        <f>'Data Sheet'!J64/'Data Sheet'!J$66</f>
      </c>
      <c r="K29" s="212">
        <f>'Data Sheet'!K64/'Data Sheet'!K$66</f>
      </c>
    </row>
    <row r="30" spans="1:11" x14ac:dyDescent="0.25">
      <c r="A30" s="211" t="s">
        <v>67</v>
      </c>
      <c r="B30" s="38">
        <f>'Data Sheet'!B65/'Data Sheet'!B$66</f>
      </c>
      <c r="C30" s="38">
        <f>'Data Sheet'!C65/'Data Sheet'!C$66</f>
      </c>
      <c r="D30" s="38">
        <f>'Data Sheet'!D65/'Data Sheet'!D$66</f>
      </c>
      <c r="E30" s="38">
        <f>'Data Sheet'!E65/'Data Sheet'!E$66</f>
      </c>
      <c r="F30" s="38">
        <f>'Data Sheet'!F65/'Data Sheet'!F$66</f>
      </c>
      <c r="G30" s="38">
        <f>'Data Sheet'!G65/'Data Sheet'!G$66</f>
      </c>
      <c r="H30" s="38">
        <f>'Data Sheet'!H65/'Data Sheet'!H$66</f>
      </c>
      <c r="I30" s="38">
        <f>'Data Sheet'!I65/'Data Sheet'!I$66</f>
      </c>
      <c r="J30" s="38">
        <f>'Data Sheet'!J65/'Data Sheet'!J$66</f>
      </c>
      <c r="K30" s="212">
        <f>'Data Sheet'!K65/'Data Sheet'!K$66</f>
      </c>
    </row>
    <row r="31" spans="1:11" ht="13" x14ac:dyDescent="0.3">
      <c r="A31" s="213" t="s">
        <v>171</v>
      </c>
      <c r="B31" s="114">
        <v>1</v>
      </c>
      <c r="C31" s="114">
        <v>1</v>
      </c>
      <c r="D31" s="114">
        <v>1</v>
      </c>
      <c r="E31" s="114">
        <v>1</v>
      </c>
      <c r="F31" s="114">
        <v>1</v>
      </c>
      <c r="G31" s="114">
        <v>1</v>
      </c>
      <c r="H31" s="114">
        <v>1</v>
      </c>
      <c r="I31" s="114">
        <v>1</v>
      </c>
      <c r="J31" s="114">
        <v>1</v>
      </c>
      <c r="K31" s="214">
        <v>1</v>
      </c>
    </row>
    <row r="32" spans="1:11" x14ac:dyDescent="0.25">
      <c r="A32" s="211" t="s">
        <v>72</v>
      </c>
      <c r="B32" s="38">
        <f>'Data Sheet'!B67/'Data Sheet'!B$66</f>
      </c>
      <c r="C32" s="38">
        <f>'Data Sheet'!C67/'Data Sheet'!C$66</f>
      </c>
      <c r="D32" s="38">
        <f>'Data Sheet'!D67/'Data Sheet'!D$66</f>
      </c>
      <c r="E32" s="38">
        <f>'Data Sheet'!E67/'Data Sheet'!E$66</f>
      </c>
      <c r="F32" s="38">
        <f>'Data Sheet'!F67/'Data Sheet'!F$66</f>
      </c>
      <c r="G32" s="38">
        <f>'Data Sheet'!G67/'Data Sheet'!G$66</f>
      </c>
      <c r="H32" s="38">
        <f>'Data Sheet'!H67/'Data Sheet'!H$66</f>
      </c>
      <c r="I32" s="38">
        <f>'Data Sheet'!I67/'Data Sheet'!I$66</f>
      </c>
      <c r="J32" s="38">
        <f>'Data Sheet'!J67/'Data Sheet'!J$66</f>
      </c>
      <c r="K32" s="212">
        <f>'Data Sheet'!K67/'Data Sheet'!K$66</f>
      </c>
    </row>
    <row r="33" spans="1:11" x14ac:dyDescent="0.25">
      <c r="A33" s="211" t="s">
        <v>40</v>
      </c>
      <c r="B33" s="38">
        <f>'Data Sheet'!B68/'Data Sheet'!B$66</f>
      </c>
      <c r="C33" s="38">
        <f>'Data Sheet'!C68/'Data Sheet'!C$66</f>
      </c>
      <c r="D33" s="38">
        <f>'Data Sheet'!D68/'Data Sheet'!D$66</f>
      </c>
      <c r="E33" s="38">
        <f>'Data Sheet'!E68/'Data Sheet'!E$66</f>
      </c>
      <c r="F33" s="38">
        <f>'Data Sheet'!F68/'Data Sheet'!F$66</f>
      </c>
      <c r="G33" s="38">
        <f>'Data Sheet'!G68/'Data Sheet'!G$66</f>
      </c>
      <c r="H33" s="38">
        <f>'Data Sheet'!H68/'Data Sheet'!H$66</f>
      </c>
      <c r="I33" s="38">
        <f>'Data Sheet'!I68/'Data Sheet'!I$66</f>
      </c>
      <c r="J33" s="38">
        <f>'Data Sheet'!J68/'Data Sheet'!J$66</f>
      </c>
      <c r="K33" s="212">
        <f>'Data Sheet'!K68/'Data Sheet'!K$66</f>
      </c>
    </row>
    <row r="34" spans="1:11" x14ac:dyDescent="0.25">
      <c r="A34" s="211" t="s">
        <v>81</v>
      </c>
      <c r="B34" s="38">
        <f>'Data Sheet'!B69/'Data Sheet'!B$66</f>
      </c>
      <c r="C34" s="38">
        <f>'Data Sheet'!C69/'Data Sheet'!C$66</f>
      </c>
      <c r="D34" s="38">
        <f>'Data Sheet'!D69/'Data Sheet'!D$66</f>
      </c>
      <c r="E34" s="38">
        <f>'Data Sheet'!E69/'Data Sheet'!E$66</f>
      </c>
      <c r="F34" s="38">
        <f>'Data Sheet'!F69/'Data Sheet'!F$66</f>
      </c>
      <c r="G34" s="38">
        <f>'Data Sheet'!G69/'Data Sheet'!G$66</f>
      </c>
      <c r="H34" s="38">
        <f>'Data Sheet'!H69/'Data Sheet'!H$66</f>
      </c>
      <c r="I34" s="38">
        <f>'Data Sheet'!I69/'Data Sheet'!I$66</f>
      </c>
      <c r="J34" s="38">
        <f>'Data Sheet'!J69/'Data Sheet'!J$66</f>
      </c>
      <c r="K34" s="212">
        <f>'Data Sheet'!K69/'Data Sheet'!K$66</f>
      </c>
    </row>
    <row r="35" spans="1:11" ht="13" thickBot="1" x14ac:dyDescent="0.3">
      <c r="A35" s="215"/>
      <c r="B35" s="216"/>
      <c r="C35" s="216"/>
      <c r="D35" s="216"/>
      <c r="E35" s="216"/>
      <c r="F35" s="216"/>
      <c r="G35" s="216"/>
      <c r="H35" s="216"/>
      <c r="I35" s="216"/>
      <c r="J35" s="216"/>
      <c r="K35" s="217"/>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Vishal</cp:lastModifiedBy>
  <cp:lastPrinted>2012-12-06T18:14:13Z</cp:lastPrinted>
  <dcterms:created xsi:type="dcterms:W3CDTF">2012-08-17T09:55:37Z</dcterms:created>
  <dcterms:modified xsi:type="dcterms:W3CDTF">2018-10-17T06:50:53Z</dcterms:modified>
</cp:coreProperties>
</file>