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i\Desktop\"/>
    </mc:Choice>
  </mc:AlternateContent>
  <bookViews>
    <workbookView xWindow="0" yWindow="0" windowWidth="2160" windowHeight="0" tabRatio="638" activeTab="2"/>
  </bookViews>
  <sheets>
    <sheet name="DMHH" sheetId="1" r:id="rId1"/>
    <sheet name="Nhap CP" sheetId="2" r:id="rId2"/>
    <sheet name="Xuat CP" sheetId="3" r:id="rId3"/>
    <sheet name="KĐ 1L- KS " sheetId="5" state="hidden" r:id="rId4"/>
  </sheets>
  <definedNames>
    <definedName name="_xlnm._FilterDatabase" localSheetId="0" hidden="1">DMHH!$A$7:$F$127</definedName>
    <definedName name="_xlnm._FilterDatabase" localSheetId="1" hidden="1">'Nhap CP'!$A$6:$K$643</definedName>
    <definedName name="_xlnm._FilterDatabase" localSheetId="2" hidden="1">'Xuat CP'!$A$7:$K$1038</definedName>
    <definedName name="_xlnm.Print_Area" localSheetId="1">'Nhap CP'!#REF!</definedName>
    <definedName name="_xlnm.Print_Area" localSheetId="2">'Xuat CP'!#REF!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5" i="2" l="1"/>
  <c r="I476" i="2"/>
  <c r="I477" i="2"/>
  <c r="H478" i="2" l="1"/>
  <c r="I800" i="3"/>
  <c r="I799" i="3"/>
  <c r="I798" i="3"/>
  <c r="I797" i="3"/>
  <c r="J797" i="3" s="1"/>
  <c r="F796" i="3"/>
  <c r="J799" i="3" l="1"/>
  <c r="I467" i="2" l="1"/>
  <c r="F777" i="3"/>
  <c r="I777" i="3" l="1"/>
  <c r="J777" i="3" s="1"/>
  <c r="G773" i="3" l="1"/>
  <c r="G774" i="3"/>
  <c r="G775" i="3"/>
  <c r="G776" i="3"/>
  <c r="G772" i="3"/>
  <c r="I764" i="3" l="1"/>
  <c r="F459" i="2" l="1"/>
  <c r="F458" i="2"/>
  <c r="F457" i="2"/>
  <c r="F465" i="2"/>
  <c r="I749" i="3"/>
  <c r="J749" i="3" s="1"/>
  <c r="F748" i="3"/>
  <c r="F747" i="3"/>
  <c r="I748" i="3"/>
  <c r="I747" i="3"/>
  <c r="F746" i="3"/>
  <c r="F745" i="3"/>
  <c r="F744" i="3"/>
  <c r="I746" i="3"/>
  <c r="I745" i="3"/>
  <c r="I744" i="3"/>
  <c r="J744" i="3" l="1"/>
  <c r="J747" i="3"/>
  <c r="I724" i="3"/>
  <c r="I723" i="3"/>
  <c r="F450" i="2"/>
  <c r="J723" i="3" l="1"/>
  <c r="I719" i="3"/>
  <c r="I720" i="3"/>
  <c r="I721" i="3"/>
  <c r="I722" i="3"/>
  <c r="I725" i="3"/>
  <c r="I726" i="3"/>
  <c r="I718" i="3"/>
  <c r="J718" i="3" l="1"/>
  <c r="F737" i="3" l="1"/>
  <c r="F733" i="3"/>
  <c r="H714" i="3"/>
  <c r="I714" i="3" s="1"/>
  <c r="I713" i="3"/>
  <c r="I712" i="3"/>
  <c r="H717" i="3"/>
  <c r="I717" i="3" s="1"/>
  <c r="H716" i="3"/>
  <c r="I716" i="3" s="1"/>
  <c r="H715" i="3"/>
  <c r="I715" i="3" s="1"/>
  <c r="J712" i="3" l="1"/>
  <c r="F447" i="2"/>
  <c r="I447" i="2" l="1"/>
  <c r="I690" i="3" l="1"/>
  <c r="I689" i="3"/>
  <c r="I697" i="3" l="1"/>
  <c r="I698" i="3"/>
  <c r="I699" i="3"/>
  <c r="I700" i="3"/>
  <c r="I696" i="3"/>
  <c r="J696" i="3" s="1"/>
  <c r="F696" i="3"/>
  <c r="J697" i="3" l="1"/>
  <c r="F437" i="2"/>
  <c r="H694" i="3" l="1"/>
  <c r="I694" i="3" s="1"/>
  <c r="J694" i="3" s="1"/>
  <c r="F686" i="3"/>
  <c r="I419" i="2" l="1"/>
  <c r="I420" i="2"/>
  <c r="I421" i="2"/>
  <c r="I422" i="2"/>
  <c r="F426" i="2"/>
  <c r="I426" i="2" s="1"/>
  <c r="I427" i="2"/>
  <c r="I662" i="3" l="1"/>
  <c r="I663" i="3"/>
  <c r="I664" i="3"/>
  <c r="I665" i="3"/>
  <c r="J665" i="3" s="1"/>
  <c r="I667" i="3"/>
  <c r="J662" i="3" l="1"/>
  <c r="I418" i="2" l="1"/>
  <c r="I417" i="2"/>
  <c r="I416" i="2"/>
  <c r="I415" i="2"/>
  <c r="I402" i="2" l="1"/>
  <c r="I403" i="2"/>
  <c r="I404" i="2"/>
  <c r="I405" i="2"/>
  <c r="I406" i="2"/>
  <c r="I407" i="2"/>
  <c r="I408" i="2"/>
  <c r="I409" i="2"/>
  <c r="I411" i="2"/>
  <c r="I412" i="2"/>
  <c r="I413" i="2"/>
  <c r="I414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H410" i="2"/>
  <c r="I410" i="2" s="1"/>
  <c r="J411" i="2" l="1"/>
  <c r="F677" i="3"/>
  <c r="F676" i="3"/>
  <c r="F666" i="3"/>
  <c r="I666" i="3" s="1"/>
  <c r="F661" i="3"/>
  <c r="I661" i="3" s="1"/>
  <c r="I659" i="3" l="1"/>
  <c r="F396" i="2" l="1"/>
  <c r="F394" i="2"/>
  <c r="F387" i="2"/>
  <c r="F386" i="2"/>
  <c r="F385" i="2"/>
  <c r="F643" i="3"/>
  <c r="F624" i="3"/>
  <c r="I623" i="3"/>
  <c r="F615" i="3"/>
  <c r="F614" i="3"/>
  <c r="F613" i="3"/>
  <c r="I376" i="2" l="1"/>
  <c r="I608" i="3"/>
  <c r="I375" i="2" l="1"/>
  <c r="I374" i="2"/>
  <c r="I604" i="3"/>
  <c r="J604" i="3" s="1"/>
  <c r="F606" i="3" l="1"/>
  <c r="J600" i="3"/>
  <c r="H595" i="3"/>
  <c r="I585" i="3" l="1"/>
  <c r="J585" i="3" s="1"/>
  <c r="I586" i="3"/>
  <c r="I587" i="3"/>
  <c r="I584" i="3"/>
  <c r="J584" i="3" s="1"/>
  <c r="F592" i="3" l="1"/>
  <c r="F337" i="2" l="1"/>
  <c r="F332" i="2" l="1"/>
  <c r="F341" i="2"/>
  <c r="I364" i="2" l="1"/>
  <c r="I363" i="2"/>
  <c r="F365" i="2"/>
  <c r="I319" i="2" l="1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F366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F314" i="2"/>
  <c r="I541" i="3"/>
  <c r="I540" i="3"/>
  <c r="I323" i="2"/>
  <c r="I324" i="2"/>
  <c r="I325" i="2"/>
  <c r="I326" i="2"/>
  <c r="I327" i="2"/>
  <c r="I328" i="2"/>
  <c r="F580" i="3"/>
  <c r="I562" i="3"/>
  <c r="I561" i="3"/>
  <c r="J561" i="3" l="1"/>
  <c r="I551" i="3"/>
  <c r="I545" i="3" l="1"/>
  <c r="I543" i="3"/>
  <c r="I542" i="3"/>
  <c r="I525" i="3" l="1"/>
  <c r="I526" i="3"/>
  <c r="I527" i="3"/>
  <c r="I528" i="3"/>
  <c r="I529" i="3"/>
  <c r="I524" i="3"/>
  <c r="J524" i="3" s="1"/>
  <c r="F494" i="3"/>
  <c r="J525" i="3" l="1"/>
  <c r="F303" i="2"/>
  <c r="I513" i="3"/>
  <c r="I514" i="3"/>
  <c r="I515" i="3"/>
  <c r="I516" i="3"/>
  <c r="I517" i="3"/>
  <c r="I518" i="3"/>
  <c r="I519" i="3"/>
  <c r="I520" i="3"/>
  <c r="I521" i="3"/>
  <c r="H523" i="3"/>
  <c r="I523" i="3" s="1"/>
  <c r="H522" i="3"/>
  <c r="I522" i="3" s="1"/>
  <c r="H512" i="3"/>
  <c r="I512" i="3" s="1"/>
  <c r="H511" i="3"/>
  <c r="I511" i="3" s="1"/>
  <c r="H510" i="3"/>
  <c r="I510" i="3" s="1"/>
  <c r="H509" i="3"/>
  <c r="I509" i="3" s="1"/>
  <c r="J509" i="3" l="1"/>
  <c r="I494" i="3"/>
  <c r="J494" i="3" s="1"/>
  <c r="I493" i="3"/>
  <c r="J493" i="3" s="1"/>
  <c r="I292" i="2" l="1"/>
  <c r="F293" i="2" l="1"/>
  <c r="F290" i="2"/>
  <c r="F289" i="2"/>
  <c r="F288" i="2"/>
  <c r="F500" i="3"/>
  <c r="F490" i="3"/>
  <c r="F489" i="3"/>
  <c r="F488" i="3"/>
  <c r="I490" i="3"/>
  <c r="I489" i="3"/>
  <c r="I488" i="3"/>
  <c r="I486" i="3"/>
  <c r="J488" i="3" l="1"/>
  <c r="I458" i="3"/>
  <c r="J458" i="3" s="1"/>
  <c r="F285" i="2" l="1"/>
  <c r="F284" i="2"/>
  <c r="F283" i="2"/>
  <c r="F478" i="3" l="1"/>
  <c r="I455" i="3" l="1"/>
  <c r="J455" i="3" s="1"/>
  <c r="F457" i="3" l="1"/>
  <c r="F456" i="3"/>
  <c r="I457" i="3"/>
  <c r="I456" i="3"/>
  <c r="I454" i="3"/>
  <c r="I453" i="3"/>
  <c r="J453" i="3" l="1"/>
  <c r="J456" i="3"/>
  <c r="I450" i="3"/>
  <c r="I459" i="3"/>
  <c r="I460" i="3"/>
  <c r="I449" i="3"/>
  <c r="I448" i="3"/>
  <c r="I447" i="3"/>
  <c r="I446" i="3"/>
  <c r="J446" i="3" l="1"/>
  <c r="I445" i="3" l="1"/>
  <c r="I444" i="3"/>
  <c r="I443" i="3"/>
  <c r="I442" i="3"/>
  <c r="J442" i="3" l="1"/>
  <c r="F276" i="2"/>
  <c r="F275" i="2"/>
  <c r="F273" i="2"/>
  <c r="I440" i="3"/>
  <c r="I441" i="3"/>
  <c r="F437" i="3"/>
  <c r="I433" i="3"/>
  <c r="I434" i="3"/>
  <c r="I435" i="3"/>
  <c r="H432" i="3"/>
  <c r="I432" i="3" s="1"/>
  <c r="J432" i="3" s="1"/>
  <c r="F431" i="3"/>
  <c r="F430" i="3"/>
  <c r="F429" i="3"/>
  <c r="J433" i="3" l="1"/>
  <c r="J440" i="3"/>
  <c r="F421" i="3"/>
  <c r="F245" i="2"/>
  <c r="F247" i="2"/>
  <c r="F252" i="2"/>
  <c r="F423" i="3"/>
  <c r="F240" i="2"/>
  <c r="F261" i="2"/>
  <c r="F266" i="2"/>
  <c r="F255" i="2"/>
  <c r="I407" i="3"/>
  <c r="I408" i="3"/>
  <c r="I409" i="3"/>
  <c r="I406" i="3"/>
  <c r="I405" i="3"/>
  <c r="J405" i="3" l="1"/>
  <c r="F271" i="2"/>
  <c r="F270" i="2"/>
  <c r="I401" i="3"/>
  <c r="I402" i="3"/>
  <c r="I403" i="3"/>
  <c r="I404" i="3"/>
  <c r="I400" i="3"/>
  <c r="J400" i="3" l="1"/>
  <c r="F242" i="2"/>
  <c r="F418" i="3"/>
  <c r="F412" i="3"/>
  <c r="I383" i="3"/>
  <c r="I384" i="3"/>
  <c r="I385" i="3"/>
  <c r="I386" i="3"/>
  <c r="I387" i="3"/>
  <c r="I388" i="3"/>
  <c r="I389" i="3"/>
  <c r="I391" i="3"/>
  <c r="I392" i="3"/>
  <c r="I393" i="3"/>
  <c r="I397" i="3"/>
  <c r="I398" i="3"/>
  <c r="I399" i="3"/>
  <c r="H396" i="3"/>
  <c r="I396" i="3" s="1"/>
  <c r="H395" i="3"/>
  <c r="I395" i="3" s="1"/>
  <c r="H394" i="3"/>
  <c r="I394" i="3" s="1"/>
  <c r="H390" i="3"/>
  <c r="I390" i="3" s="1"/>
  <c r="I379" i="3"/>
  <c r="I380" i="3"/>
  <c r="I381" i="3"/>
  <c r="F382" i="3"/>
  <c r="I382" i="3" s="1"/>
  <c r="H378" i="3"/>
  <c r="I378" i="3" s="1"/>
  <c r="H377" i="3"/>
  <c r="I377" i="3" s="1"/>
  <c r="H376" i="3"/>
  <c r="I376" i="3" s="1"/>
  <c r="H375" i="3"/>
  <c r="I375" i="3" s="1"/>
  <c r="H374" i="3"/>
  <c r="I374" i="3" s="1"/>
  <c r="H373" i="3"/>
  <c r="I373" i="3" s="1"/>
  <c r="H372" i="3"/>
  <c r="I372" i="3" s="1"/>
  <c r="H371" i="3"/>
  <c r="I371" i="3" s="1"/>
  <c r="H370" i="3"/>
  <c r="I370" i="3" s="1"/>
  <c r="J383" i="3" l="1"/>
  <c r="J370" i="3"/>
  <c r="F222" i="2" l="1"/>
  <c r="I321" i="3" l="1"/>
  <c r="I347" i="3" l="1"/>
  <c r="I346" i="3"/>
  <c r="J346" i="3" l="1"/>
  <c r="F219" i="2"/>
  <c r="F341" i="3"/>
  <c r="F315" i="3"/>
  <c r="F224" i="2" l="1"/>
  <c r="I341" i="3"/>
  <c r="J341" i="3" s="1"/>
  <c r="I342" i="3"/>
  <c r="F309" i="3" l="1"/>
  <c r="F208" i="2" l="1"/>
  <c r="F207" i="2"/>
  <c r="F288" i="3"/>
  <c r="F287" i="3"/>
  <c r="I206" i="2" l="1"/>
  <c r="F267" i="3" l="1"/>
  <c r="F197" i="2" l="1"/>
  <c r="F198" i="2"/>
  <c r="F203" i="2" l="1"/>
  <c r="F196" i="2"/>
  <c r="F264" i="3"/>
  <c r="I264" i="3"/>
  <c r="J264" i="3" s="1"/>
  <c r="F164" i="2" l="1"/>
  <c r="F152" i="2"/>
  <c r="F194" i="2" l="1"/>
  <c r="F165" i="2" l="1"/>
  <c r="F170" i="2"/>
  <c r="F174" i="2" l="1"/>
  <c r="F192" i="2"/>
  <c r="F186" i="2"/>
  <c r="F176" i="2"/>
  <c r="F171" i="2"/>
  <c r="F167" i="2"/>
  <c r="F142" i="2" l="1"/>
  <c r="F139" i="2"/>
  <c r="F263" i="3"/>
  <c r="I253" i="3"/>
  <c r="I252" i="3"/>
  <c r="I251" i="3"/>
  <c r="F137" i="2" l="1"/>
  <c r="F135" i="2"/>
  <c r="F134" i="2"/>
  <c r="F133" i="2"/>
  <c r="F132" i="2"/>
  <c r="F131" i="2"/>
  <c r="F130" i="2"/>
  <c r="F116" i="2"/>
  <c r="H216" i="3" l="1"/>
  <c r="I216" i="3" s="1"/>
  <c r="I208" i="3" l="1"/>
  <c r="I209" i="3"/>
  <c r="H207" i="3"/>
  <c r="I207" i="3" s="1"/>
  <c r="I217" i="3" l="1"/>
  <c r="J217" i="3" s="1"/>
  <c r="I220" i="3"/>
  <c r="I101" i="2" l="1"/>
  <c r="F100" i="2"/>
  <c r="I187" i="3" l="1"/>
  <c r="I186" i="3"/>
  <c r="I184" i="3"/>
  <c r="I185" i="3"/>
  <c r="I183" i="3"/>
  <c r="J183" i="3" l="1"/>
  <c r="F94" i="2"/>
  <c r="F200" i="3"/>
  <c r="G194" i="3"/>
  <c r="H89" i="2"/>
  <c r="I179" i="3" l="1"/>
  <c r="J179" i="3" s="1"/>
  <c r="I175" i="3"/>
  <c r="I174" i="3"/>
  <c r="I153" i="3"/>
  <c r="I152" i="3"/>
  <c r="J152" i="3" l="1"/>
  <c r="J174" i="3"/>
  <c r="I170" i="3" l="1"/>
  <c r="I169" i="3"/>
  <c r="I168" i="3"/>
  <c r="I173" i="3"/>
  <c r="I172" i="3"/>
  <c r="I171" i="3"/>
  <c r="J168" i="3" l="1"/>
  <c r="I76" i="2"/>
  <c r="I75" i="2"/>
  <c r="F69" i="2"/>
  <c r="I74" i="2"/>
  <c r="F82" i="2" l="1"/>
  <c r="I150" i="3" l="1"/>
  <c r="I151" i="3"/>
  <c r="I155" i="3"/>
  <c r="I156" i="3"/>
  <c r="I157" i="3"/>
  <c r="I158" i="3"/>
  <c r="I159" i="3"/>
  <c r="I160" i="3"/>
  <c r="I161" i="3"/>
  <c r="I162" i="3"/>
  <c r="I163" i="3"/>
  <c r="J150" i="3" l="1"/>
  <c r="I149" i="3"/>
  <c r="I148" i="3"/>
  <c r="J148" i="3" l="1"/>
  <c r="I147" i="3"/>
  <c r="J147" i="3" s="1"/>
  <c r="F79" i="2" l="1"/>
  <c r="F81" i="2"/>
  <c r="I132" i="3"/>
  <c r="I134" i="3"/>
  <c r="I135" i="3"/>
  <c r="I136" i="3"/>
  <c r="I137" i="3"/>
  <c r="I138" i="3"/>
  <c r="I144" i="3"/>
  <c r="I130" i="3"/>
  <c r="H146" i="3"/>
  <c r="I146" i="3" s="1"/>
  <c r="H145" i="3"/>
  <c r="I145" i="3" s="1"/>
  <c r="H143" i="3"/>
  <c r="I143" i="3" s="1"/>
  <c r="H142" i="3"/>
  <c r="I142" i="3" s="1"/>
  <c r="H141" i="3"/>
  <c r="I141" i="3" s="1"/>
  <c r="H140" i="3"/>
  <c r="I140" i="3" s="1"/>
  <c r="H139" i="3"/>
  <c r="I139" i="3" s="1"/>
  <c r="H133" i="3"/>
  <c r="I133" i="3" s="1"/>
  <c r="H131" i="3"/>
  <c r="I131" i="3" s="1"/>
  <c r="F68" i="2"/>
  <c r="J130" i="3" l="1"/>
  <c r="F122" i="3"/>
  <c r="I121" i="3"/>
  <c r="J121" i="3" s="1"/>
  <c r="F114" i="3"/>
  <c r="I115" i="3"/>
  <c r="I114" i="3"/>
  <c r="J114" i="3" l="1"/>
  <c r="F60" i="2"/>
  <c r="F61" i="2"/>
  <c r="I62" i="2"/>
  <c r="I63" i="2" l="1"/>
  <c r="I61" i="2"/>
  <c r="I60" i="2"/>
  <c r="J60" i="2" l="1"/>
  <c r="F52" i="2"/>
  <c r="F107" i="3"/>
  <c r="F93" i="3" l="1"/>
  <c r="I65" i="3" l="1"/>
  <c r="J65" i="3" s="1"/>
  <c r="I55" i="3" l="1"/>
  <c r="I56" i="3"/>
  <c r="I54" i="3"/>
  <c r="F43" i="2" l="1"/>
  <c r="F44" i="2"/>
  <c r="I75" i="3"/>
  <c r="I74" i="3"/>
  <c r="F78" i="3" l="1"/>
  <c r="F64" i="3"/>
  <c r="F13" i="2" l="1"/>
  <c r="I18" i="2" l="1"/>
  <c r="I19" i="2"/>
  <c r="F16" i="2"/>
  <c r="F11" i="2"/>
  <c r="F9" i="2"/>
  <c r="I33" i="3" l="1"/>
  <c r="I32" i="3" l="1"/>
  <c r="J32" i="3" s="1"/>
  <c r="I31" i="3"/>
  <c r="J31" i="3" s="1"/>
  <c r="I29" i="3"/>
  <c r="I30" i="3"/>
  <c r="J29" i="3" l="1"/>
  <c r="F49" i="3"/>
  <c r="I28" i="3" l="1"/>
  <c r="I36" i="3"/>
  <c r="I27" i="3"/>
  <c r="F26" i="2"/>
  <c r="F22" i="2"/>
  <c r="J27" i="3" l="1"/>
  <c r="F51" i="3"/>
  <c r="H26" i="3" l="1"/>
  <c r="I26" i="3" s="1"/>
  <c r="H25" i="3"/>
  <c r="I25" i="3" s="1"/>
  <c r="H24" i="3"/>
  <c r="I24" i="3" s="1"/>
  <c r="H22" i="3"/>
  <c r="I22" i="3" s="1"/>
  <c r="H23" i="3"/>
  <c r="I23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F12" i="3"/>
  <c r="J15" i="3" l="1"/>
  <c r="I9" i="2" l="1"/>
  <c r="I10" i="2"/>
  <c r="I11" i="2"/>
  <c r="I12" i="2"/>
  <c r="I13" i="2"/>
  <c r="I14" i="2"/>
  <c r="I15" i="2"/>
  <c r="I16" i="2"/>
  <c r="I17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4" i="2"/>
  <c r="I65" i="2"/>
  <c r="I66" i="2"/>
  <c r="I67" i="2"/>
  <c r="I68" i="2"/>
  <c r="I69" i="2"/>
  <c r="I70" i="2"/>
  <c r="I71" i="2"/>
  <c r="I72" i="2"/>
  <c r="I73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3" i="2"/>
  <c r="I284" i="2"/>
  <c r="I285" i="2"/>
  <c r="I286" i="2"/>
  <c r="I287" i="2"/>
  <c r="I288" i="2"/>
  <c r="I289" i="2"/>
  <c r="I290" i="2"/>
  <c r="I291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20" i="2"/>
  <c r="I321" i="2"/>
  <c r="I322" i="2"/>
  <c r="I329" i="2"/>
  <c r="I330" i="2"/>
  <c r="I331" i="2"/>
  <c r="I332" i="2"/>
  <c r="I333" i="2"/>
  <c r="I334" i="2"/>
  <c r="I335" i="2"/>
  <c r="I362" i="2"/>
  <c r="I365" i="2"/>
  <c r="I366" i="2"/>
  <c r="I367" i="2"/>
  <c r="I368" i="2"/>
  <c r="I369" i="2"/>
  <c r="I370" i="2"/>
  <c r="I371" i="2"/>
  <c r="I372" i="2"/>
  <c r="I373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46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8" i="2"/>
  <c r="I469" i="2"/>
  <c r="I470" i="2"/>
  <c r="I471" i="2"/>
  <c r="I472" i="2"/>
  <c r="I473" i="2"/>
  <c r="I474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7" i="2"/>
  <c r="J446" i="2" l="1"/>
  <c r="J327" i="2"/>
  <c r="J307" i="2"/>
  <c r="J283" i="2"/>
  <c r="J163" i="2"/>
  <c r="J130" i="2"/>
  <c r="J114" i="2"/>
  <c r="J103" i="2"/>
  <c r="J68" i="2"/>
  <c r="J7" i="2"/>
  <c r="I9" i="3"/>
  <c r="I10" i="3"/>
  <c r="I11" i="3"/>
  <c r="I12" i="3"/>
  <c r="I13" i="3"/>
  <c r="J13" i="3" s="1"/>
  <c r="I14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7" i="3"/>
  <c r="I58" i="3"/>
  <c r="I59" i="3"/>
  <c r="I60" i="3"/>
  <c r="I61" i="3"/>
  <c r="I62" i="3"/>
  <c r="I63" i="3"/>
  <c r="I64" i="3"/>
  <c r="I66" i="3"/>
  <c r="I67" i="3"/>
  <c r="I68" i="3"/>
  <c r="I69" i="3"/>
  <c r="I70" i="3"/>
  <c r="I71" i="3"/>
  <c r="I72" i="3"/>
  <c r="I73" i="3"/>
  <c r="I76" i="3"/>
  <c r="I77" i="3"/>
  <c r="I78" i="3"/>
  <c r="I79" i="3"/>
  <c r="I80" i="3"/>
  <c r="I81" i="3"/>
  <c r="I82" i="3"/>
  <c r="J82" i="3" s="1"/>
  <c r="I83" i="3"/>
  <c r="I84" i="3"/>
  <c r="I85" i="3"/>
  <c r="I86" i="3"/>
  <c r="I87" i="3"/>
  <c r="I88" i="3"/>
  <c r="I89" i="3"/>
  <c r="J89" i="3" s="1"/>
  <c r="I90" i="3"/>
  <c r="I91" i="3"/>
  <c r="I92" i="3"/>
  <c r="I93" i="3"/>
  <c r="I94" i="3"/>
  <c r="I95" i="3"/>
  <c r="I96" i="3"/>
  <c r="I97" i="3"/>
  <c r="I98" i="3"/>
  <c r="I99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6" i="3"/>
  <c r="I117" i="3"/>
  <c r="I118" i="3"/>
  <c r="J118" i="3" s="1"/>
  <c r="I119" i="3"/>
  <c r="I120" i="3"/>
  <c r="I122" i="3"/>
  <c r="J122" i="3" s="1"/>
  <c r="I123" i="3"/>
  <c r="J123" i="3" s="1"/>
  <c r="I124" i="3"/>
  <c r="J124" i="3" s="1"/>
  <c r="I125" i="3"/>
  <c r="I126" i="3"/>
  <c r="I127" i="3"/>
  <c r="I128" i="3"/>
  <c r="I129" i="3"/>
  <c r="I164" i="3"/>
  <c r="I165" i="3"/>
  <c r="I166" i="3"/>
  <c r="I167" i="3"/>
  <c r="I176" i="3"/>
  <c r="J176" i="3" s="1"/>
  <c r="I177" i="3"/>
  <c r="I178" i="3"/>
  <c r="I180" i="3"/>
  <c r="J180" i="3" s="1"/>
  <c r="I181" i="3"/>
  <c r="I182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10" i="3"/>
  <c r="I211" i="3"/>
  <c r="I212" i="3"/>
  <c r="I213" i="3"/>
  <c r="I214" i="3"/>
  <c r="I215" i="3"/>
  <c r="J215" i="3" s="1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J237" i="3" s="1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4" i="3"/>
  <c r="I255" i="3"/>
  <c r="I256" i="3"/>
  <c r="I257" i="3"/>
  <c r="I258" i="3"/>
  <c r="I259" i="3"/>
  <c r="I260" i="3"/>
  <c r="I261" i="3"/>
  <c r="I262" i="3"/>
  <c r="I263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J293" i="3" s="1"/>
  <c r="I294" i="3"/>
  <c r="J294" i="3" s="1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J340" i="3" s="1"/>
  <c r="I343" i="3"/>
  <c r="I344" i="3"/>
  <c r="I345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J366" i="3" s="1"/>
  <c r="I367" i="3"/>
  <c r="J367" i="3" s="1"/>
  <c r="I368" i="3"/>
  <c r="J368" i="3" s="1"/>
  <c r="I369" i="3"/>
  <c r="J369" i="3" s="1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6" i="3"/>
  <c r="J436" i="3" s="1"/>
  <c r="I437" i="3"/>
  <c r="I438" i="3"/>
  <c r="J438" i="3" s="1"/>
  <c r="I439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7" i="3"/>
  <c r="I478" i="3"/>
  <c r="I479" i="3"/>
  <c r="J479" i="3" s="1"/>
  <c r="I480" i="3"/>
  <c r="I481" i="3"/>
  <c r="I482" i="3"/>
  <c r="I483" i="3"/>
  <c r="I484" i="3"/>
  <c r="I485" i="3"/>
  <c r="I487" i="3"/>
  <c r="J486" i="3" s="1"/>
  <c r="I491" i="3"/>
  <c r="I492" i="3"/>
  <c r="I495" i="3"/>
  <c r="I496" i="3"/>
  <c r="I497" i="3"/>
  <c r="I498" i="3"/>
  <c r="I499" i="3"/>
  <c r="I500" i="3"/>
  <c r="I501" i="3"/>
  <c r="I502" i="3"/>
  <c r="I503" i="3"/>
  <c r="I505" i="3"/>
  <c r="I506" i="3"/>
  <c r="I507" i="3"/>
  <c r="I508" i="3"/>
  <c r="I530" i="3"/>
  <c r="I531" i="3"/>
  <c r="I532" i="3"/>
  <c r="I533" i="3"/>
  <c r="I534" i="3"/>
  <c r="I535" i="3"/>
  <c r="I536" i="3"/>
  <c r="I537" i="3"/>
  <c r="I538" i="3"/>
  <c r="I539" i="3"/>
  <c r="I544" i="3"/>
  <c r="J542" i="3" s="1"/>
  <c r="I546" i="3"/>
  <c r="I547" i="3"/>
  <c r="I548" i="3"/>
  <c r="I549" i="3"/>
  <c r="I550" i="3"/>
  <c r="I552" i="3"/>
  <c r="J552" i="3" s="1"/>
  <c r="I553" i="3"/>
  <c r="I554" i="3"/>
  <c r="I555" i="3"/>
  <c r="I556" i="3"/>
  <c r="I557" i="3"/>
  <c r="I558" i="3"/>
  <c r="J558" i="3" s="1"/>
  <c r="I559" i="3"/>
  <c r="I560" i="3"/>
  <c r="J560" i="3" s="1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8" i="3"/>
  <c r="I589" i="3"/>
  <c r="I592" i="3"/>
  <c r="I593" i="3"/>
  <c r="I594" i="3"/>
  <c r="I595" i="3"/>
  <c r="I596" i="3"/>
  <c r="I597" i="3"/>
  <c r="J597" i="3" s="1"/>
  <c r="I598" i="3"/>
  <c r="I599" i="3"/>
  <c r="I601" i="3"/>
  <c r="I602" i="3"/>
  <c r="I603" i="3"/>
  <c r="J603" i="3" s="1"/>
  <c r="I605" i="3"/>
  <c r="J605" i="3" s="1"/>
  <c r="I606" i="3"/>
  <c r="I607" i="3"/>
  <c r="I609" i="3"/>
  <c r="I610" i="3"/>
  <c r="I611" i="3"/>
  <c r="I612" i="3"/>
  <c r="I613" i="3"/>
  <c r="I614" i="3"/>
  <c r="I615" i="3"/>
  <c r="I616" i="3"/>
  <c r="J616" i="3" s="1"/>
  <c r="I617" i="3"/>
  <c r="I618" i="3"/>
  <c r="I619" i="3"/>
  <c r="I620" i="3"/>
  <c r="I621" i="3"/>
  <c r="I622" i="3"/>
  <c r="I624" i="3"/>
  <c r="J624" i="3" s="1"/>
  <c r="I625" i="3"/>
  <c r="J625" i="3" s="1"/>
  <c r="I626" i="3"/>
  <c r="J626" i="3" s="1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J653" i="3" s="1"/>
  <c r="I654" i="3"/>
  <c r="J654" i="3" s="1"/>
  <c r="I655" i="3"/>
  <c r="I656" i="3"/>
  <c r="I657" i="3"/>
  <c r="I658" i="3"/>
  <c r="I660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J688" i="3" s="1"/>
  <c r="I691" i="3"/>
  <c r="I692" i="3"/>
  <c r="J692" i="3" s="1"/>
  <c r="I693" i="3"/>
  <c r="J693" i="3" s="1"/>
  <c r="I701" i="3"/>
  <c r="I702" i="3"/>
  <c r="I703" i="3"/>
  <c r="I704" i="3"/>
  <c r="I705" i="3"/>
  <c r="I706" i="3"/>
  <c r="I707" i="3"/>
  <c r="I708" i="3"/>
  <c r="I709" i="3"/>
  <c r="I710" i="3"/>
  <c r="I711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50" i="3"/>
  <c r="J750" i="3" s="1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5" i="3"/>
  <c r="I766" i="3"/>
  <c r="I767" i="3"/>
  <c r="I768" i="3"/>
  <c r="I769" i="3"/>
  <c r="I770" i="3"/>
  <c r="J770" i="3" s="1"/>
  <c r="I771" i="3"/>
  <c r="I772" i="3"/>
  <c r="I773" i="3"/>
  <c r="I774" i="3"/>
  <c r="I775" i="3"/>
  <c r="I776" i="3"/>
  <c r="I778" i="3"/>
  <c r="I779" i="3"/>
  <c r="I780" i="3"/>
  <c r="I781" i="3"/>
  <c r="I782" i="3"/>
  <c r="I783" i="3"/>
  <c r="I784" i="3"/>
  <c r="I785" i="3"/>
  <c r="I786" i="3"/>
  <c r="I787" i="3"/>
  <c r="J787" i="3" s="1"/>
  <c r="I788" i="3"/>
  <c r="I789" i="3"/>
  <c r="I790" i="3"/>
  <c r="I791" i="3"/>
  <c r="I792" i="3"/>
  <c r="I793" i="3"/>
  <c r="J793" i="3" s="1"/>
  <c r="I794" i="3"/>
  <c r="I795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8" i="3"/>
  <c r="J8" i="3" s="1"/>
  <c r="J788" i="3" l="1"/>
  <c r="J794" i="3"/>
  <c r="J771" i="3"/>
  <c r="J752" i="3"/>
  <c r="J684" i="3"/>
  <c r="J679" i="3"/>
  <c r="J686" i="3"/>
  <c r="J655" i="3"/>
  <c r="J621" i="3"/>
  <c r="J617" i="3"/>
  <c r="J613" i="3"/>
  <c r="J658" i="3"/>
  <c r="J601" i="3"/>
  <c r="J595" i="3"/>
  <c r="J598" i="3"/>
  <c r="J537" i="3"/>
  <c r="J548" i="3"/>
  <c r="J546" i="3"/>
  <c r="J553" i="3"/>
  <c r="J556" i="3"/>
  <c r="J507" i="3"/>
  <c r="J491" i="3"/>
  <c r="J482" i="3"/>
  <c r="J480" i="3"/>
  <c r="J429" i="3"/>
  <c r="J319" i="3"/>
  <c r="J287" i="3"/>
  <c r="J235" i="3"/>
  <c r="J363" i="3"/>
  <c r="J331" i="3"/>
  <c r="J336" i="3"/>
  <c r="J342" i="3"/>
  <c r="J333" i="3"/>
  <c r="J322" i="3"/>
  <c r="J309" i="3"/>
  <c r="J290" i="3"/>
  <c r="J242" i="3"/>
  <c r="J238" i="3"/>
  <c r="J265" i="3"/>
  <c r="J207" i="3"/>
  <c r="J181" i="3"/>
  <c r="J177" i="3"/>
  <c r="J127" i="3"/>
  <c r="J125" i="3"/>
  <c r="J116" i="3"/>
  <c r="J119" i="3"/>
  <c r="J54" i="3"/>
  <c r="J83" i="3"/>
  <c r="J60" i="3"/>
  <c r="J63" i="3"/>
  <c r="J11" i="3"/>
  <c r="J9" i="3"/>
  <c r="D11" i="5" l="1"/>
  <c r="D17" i="5" s="1"/>
</calcChain>
</file>

<file path=xl/sharedStrings.xml><?xml version="1.0" encoding="utf-8"?>
<sst xmlns="http://schemas.openxmlformats.org/spreadsheetml/2006/main" count="5362" uniqueCount="957">
  <si>
    <t>STT</t>
  </si>
  <si>
    <t>MÃ 
SẢN PHẨM</t>
  </si>
  <si>
    <t>TÊN SẢN PHẨM</t>
  </si>
  <si>
    <t>ĐVT</t>
  </si>
  <si>
    <t>GHI CHÚ</t>
  </si>
  <si>
    <t>NGÀY NHẬP</t>
  </si>
  <si>
    <t>MÃ HÀNG</t>
  </si>
  <si>
    <t>NGÀY XUẤT</t>
  </si>
  <si>
    <t>02HL12</t>
  </si>
  <si>
    <t>SUDD Dielac Grow Plus 180ml (Sữa Non)</t>
  </si>
  <si>
    <t>02HL32</t>
  </si>
  <si>
    <t>SUDD Dielac Grow Plus 110ml (Sữa Non)</t>
  </si>
  <si>
    <t>01CX02</t>
  </si>
  <si>
    <t>SĐCĐ Ông Thọ xanh 380g.</t>
  </si>
  <si>
    <t>01CX12</t>
  </si>
  <si>
    <t>SĐCĐ Ông Thọ chữ xanh HG 380g.</t>
  </si>
  <si>
    <t>01SB10</t>
  </si>
  <si>
    <t>SĐCĐ NSPN xanh biển 1284g</t>
  </si>
  <si>
    <t>01SX05</t>
  </si>
  <si>
    <t>SĐCĐ NSPN xanh lá 380g.</t>
  </si>
  <si>
    <t>01SX07</t>
  </si>
  <si>
    <t>SĐCĐ NSPN Xanh lá HG 380g</t>
  </si>
  <si>
    <t>01SX11</t>
  </si>
  <si>
    <t>SĐCĐ NSPN xanh lá 1284g.</t>
  </si>
  <si>
    <t>01TD03</t>
  </si>
  <si>
    <t>SĐCĐ Ông Thọ đỏ 380g.</t>
  </si>
  <si>
    <t>01TD11</t>
  </si>
  <si>
    <t>SĐCĐ Ông Thọ Đỏ 1284g.</t>
  </si>
  <si>
    <t>01TD13</t>
  </si>
  <si>
    <t>SĐCĐ Ông Thọ đỏ HG 380g.</t>
  </si>
  <si>
    <t>01TD60</t>
  </si>
  <si>
    <t>SĐCĐ Ông Thọ đỏ tuýp 165g</t>
  </si>
  <si>
    <t>01TT02</t>
  </si>
  <si>
    <t>SĐCĐ Ông Thọ trắng 380g.</t>
  </si>
  <si>
    <t>01VD41</t>
  </si>
  <si>
    <t>SĐCĐ Ông Thọ đỏ vỉ 40g.</t>
  </si>
  <si>
    <t>04FA25</t>
  </si>
  <si>
    <t>SDD hương dâu VNM F220ml.</t>
  </si>
  <si>
    <t>04FC25</t>
  </si>
  <si>
    <t>SDD sôcôla VNM F220ml</t>
  </si>
  <si>
    <t>04FD25</t>
  </si>
  <si>
    <t>SDD có đường VNM F220ml.</t>
  </si>
  <si>
    <t>04FI25</t>
  </si>
  <si>
    <t>SDD ít đường VNM F220ml</t>
  </si>
  <si>
    <t>04FT25</t>
  </si>
  <si>
    <t>SDD không đường VNM F220ml</t>
  </si>
  <si>
    <t>04GD11</t>
  </si>
  <si>
    <t>STTT CĐ Vinamilk Green Farm 180ml</t>
  </si>
  <si>
    <t>04GD31</t>
  </si>
  <si>
    <t>STTT CĐ Vinamilk Green Farm 110ml</t>
  </si>
  <si>
    <t>04GI11</t>
  </si>
  <si>
    <t>STTT IĐ Vinamilk Green Farm 180ml</t>
  </si>
  <si>
    <t>04GI31</t>
  </si>
  <si>
    <t>STTT IĐ Vinamilk Green Farm 110ml</t>
  </si>
  <si>
    <t>04GT11</t>
  </si>
  <si>
    <t>STTT KĐ Vinamilk Green Farm 180ml</t>
  </si>
  <si>
    <t>04LT10</t>
  </si>
  <si>
    <t>SDD không đường-Flex 1L</t>
  </si>
  <si>
    <t>04WA12</t>
  </si>
  <si>
    <t>STTT hương dâu Vinamilk 180ml.</t>
  </si>
  <si>
    <t>04WA43</t>
  </si>
  <si>
    <t>STTT hương dâu Vinamilk 110ml. (CB)</t>
  </si>
  <si>
    <t>04WC12</t>
  </si>
  <si>
    <t>STTT sôcôla Vinamilk 180ml.</t>
  </si>
  <si>
    <t>04WC43</t>
  </si>
  <si>
    <t>STTT sôcôla Vinamilk 110ml. (CB)</t>
  </si>
  <si>
    <t>04WD04</t>
  </si>
  <si>
    <t>STTT có đường Vinamilk 1L.</t>
  </si>
  <si>
    <t>04WD17</t>
  </si>
  <si>
    <t>STTT có đường Vinamilk 180ml.</t>
  </si>
  <si>
    <t>04WD43</t>
  </si>
  <si>
    <t>STTT có đường Vinamilk 110ml. (CB)</t>
  </si>
  <si>
    <t>04WI01</t>
  </si>
  <si>
    <t>STTT ít đường Vinamilk 1L.</t>
  </si>
  <si>
    <t>04WI12</t>
  </si>
  <si>
    <t>STTT ít đường Vinamilk 180ml.</t>
  </si>
  <si>
    <t>04WI33</t>
  </si>
  <si>
    <t>STTT ít đường Vinamilk 110ml.</t>
  </si>
  <si>
    <t>04WO11</t>
  </si>
  <si>
    <t>STTT NC VNM 100% Organic 1L</t>
  </si>
  <si>
    <t>04WO21</t>
  </si>
  <si>
    <t>STTT NC VNM 100% Organic 180ml</t>
  </si>
  <si>
    <t>04WT17</t>
  </si>
  <si>
    <t>STTT không đường Vinamilk 180ml.</t>
  </si>
  <si>
    <t>04WT71</t>
  </si>
  <si>
    <t>STTT không đường Vinamilk 1L.</t>
  </si>
  <si>
    <t>05BG20</t>
  </si>
  <si>
    <t>SĐN không đường Goldsoy 1L</t>
  </si>
  <si>
    <t>06SA33</t>
  </si>
  <si>
    <t>SCU TT hương dâu Vinamilk Susu 110ml</t>
  </si>
  <si>
    <t>06SA46</t>
  </si>
  <si>
    <t>SCU TT hương dâu Vinamilk Susu chai 80ml</t>
  </si>
  <si>
    <t>06SA71</t>
  </si>
  <si>
    <t>SCU TT Hương Dâu Vinamilk Susu Túi 110ml.</t>
  </si>
  <si>
    <t>06SC33</t>
  </si>
  <si>
    <t>SCU TT hương cam Vinamilk Susu 110ml</t>
  </si>
  <si>
    <t>06SC46</t>
  </si>
  <si>
    <t>SCU TT hương cam Vinamilk Susu chai 80ml</t>
  </si>
  <si>
    <t>06SC71</t>
  </si>
  <si>
    <t>SCU TT Hương Cam Vinamilk Susu Túi 110ml.</t>
  </si>
  <si>
    <t>06SN33</t>
  </si>
  <si>
    <t>SCU TT hương táo nho Vinamilk Susu 110ml</t>
  </si>
  <si>
    <t>06SN46</t>
  </si>
  <si>
    <t>SCU TT hương táo nho Vinamilk Susu chai 80ml</t>
  </si>
  <si>
    <t>06VA29</t>
  </si>
  <si>
    <t>SCU TT hương dâu VNM Yomilk 170ml (KM)</t>
  </si>
  <si>
    <t>06VC29</t>
  </si>
  <si>
    <t>SCU TT hương cam VNM Yomilk 170ml (KM)</t>
  </si>
  <si>
    <t>08HA10</t>
  </si>
  <si>
    <t>TUSTC vị dâu VNM Hero 180ml</t>
  </si>
  <si>
    <t>08HA30</t>
  </si>
  <si>
    <t>TUSTC vị dâu VNM Hero 110ml</t>
  </si>
  <si>
    <t>08HC10</t>
  </si>
  <si>
    <t>TUSTC vị cam VNM Hero 180ml</t>
  </si>
  <si>
    <t>08HC30</t>
  </si>
  <si>
    <t>TUSTC vị cam VNM Hero 110ml</t>
  </si>
  <si>
    <t>08HN10</t>
  </si>
  <si>
    <t>TUSTC hương kẹo nho VNM Hero 180ml</t>
  </si>
  <si>
    <t>08HN30</t>
  </si>
  <si>
    <t>TUSTC hương kẹo nho VNM Hero 110ml</t>
  </si>
  <si>
    <t>07CR10</t>
  </si>
  <si>
    <t>SCA VNM Love Yogurt Trân Châu Đường Đen 100g</t>
  </si>
  <si>
    <t>07DA10</t>
  </si>
  <si>
    <t>SCA VNM dâu 100g</t>
  </si>
  <si>
    <t>07ID10</t>
  </si>
  <si>
    <t>SCA VNM ít đường 100g</t>
  </si>
  <si>
    <t>07KD10</t>
  </si>
  <si>
    <t>SCA VNM không đường 100g</t>
  </si>
  <si>
    <t>07LD11</t>
  </si>
  <si>
    <t>SCA VNM Lựu đỏ 100g</t>
  </si>
  <si>
    <t>07NC12</t>
  </si>
  <si>
    <t>SCA VNM Love Yogurt Nếp Cẩm 100g</t>
  </si>
  <si>
    <t>07ND10</t>
  </si>
  <si>
    <t>SCA VNM nha đam 100g</t>
  </si>
  <si>
    <t>07SD82</t>
  </si>
  <si>
    <t>SCA SuSu IQ dâu chuối 80g</t>
  </si>
  <si>
    <t>07SR82</t>
  </si>
  <si>
    <t>SCA SuSu IQ có đường 80g</t>
  </si>
  <si>
    <t>07ST82</t>
  </si>
  <si>
    <t>SCA SuSu IQ táo chuối 80g</t>
  </si>
  <si>
    <t>07TC10</t>
  </si>
  <si>
    <t>SCA VNM trái cây 100g</t>
  </si>
  <si>
    <t>07TR30</t>
  </si>
  <si>
    <t>SCA VNM có đường 100g</t>
  </si>
  <si>
    <t>07UA10</t>
  </si>
  <si>
    <t>SCU Probi hương dứa 65ml</t>
  </si>
  <si>
    <t>07UD10</t>
  </si>
  <si>
    <t>SCU Probi hương dâu 65ml</t>
  </si>
  <si>
    <t>07UG10</t>
  </si>
  <si>
    <t>SCU Probi hương dưa gang 65ml</t>
  </si>
  <si>
    <t>07UI30</t>
  </si>
  <si>
    <t>SCU Probi Light ít Đường 130ml</t>
  </si>
  <si>
    <t>07UM30</t>
  </si>
  <si>
    <t>SCU Probi Gold  mật ong và curcumin từ nghệ 130ml</t>
  </si>
  <si>
    <t>07UQ10</t>
  </si>
  <si>
    <t>SCU Probi hương việt quất 65ml</t>
  </si>
  <si>
    <t>07UQ30</t>
  </si>
  <si>
    <t>SCU Probi hương Việt Quất 130ml</t>
  </si>
  <si>
    <t>07UR11</t>
  </si>
  <si>
    <t>SCU Probi đường 65ml</t>
  </si>
  <si>
    <t>07UR12</t>
  </si>
  <si>
    <t>SCU Probi Light ít Đường 65ml</t>
  </si>
  <si>
    <t>07UR30</t>
  </si>
  <si>
    <t>SCU Probi đường 130 ml</t>
  </si>
  <si>
    <t>14BB13</t>
  </si>
  <si>
    <t>Nước cam (Necta) VFresh 1L</t>
  </si>
  <si>
    <t>14BD13</t>
  </si>
  <si>
    <t>Nước đào VFresh 1L</t>
  </si>
  <si>
    <t>14BN20</t>
  </si>
  <si>
    <t>Nước nho ép Vfresh 1L</t>
  </si>
  <si>
    <t>14BO20</t>
  </si>
  <si>
    <t>Nước ổi VFresh 1L</t>
  </si>
  <si>
    <t>14BT13</t>
  </si>
  <si>
    <t>Nước táo ép Vfresh 1L</t>
  </si>
  <si>
    <t>14GC01</t>
  </si>
  <si>
    <t>Nước dừa tươi Cocofresh TPA 330ml</t>
  </si>
  <si>
    <t>14PA12</t>
  </si>
  <si>
    <t>Trà nha đam Vfresh 350ml</t>
  </si>
  <si>
    <t>14PM11</t>
  </si>
  <si>
    <t>Nước chanh muối ICY 350ml</t>
  </si>
  <si>
    <t>14PN12</t>
  </si>
  <si>
    <t>Nước nho nha đam Vfresh 350ml</t>
  </si>
  <si>
    <t>15BN05</t>
  </si>
  <si>
    <t>Nước Uống Đóng Chai Vinamilk Icy Premium 450ml</t>
  </si>
  <si>
    <t>ĐƠN GIÁ</t>
  </si>
  <si>
    <t>07UR70</t>
  </si>
  <si>
    <t>SCU Probi đường 700ml</t>
  </si>
  <si>
    <t>THÀNH TIỀN</t>
  </si>
  <si>
    <t>THEO DÕI XUẤT HÀNG</t>
  </si>
  <si>
    <t>DANH MỤC HÀNG HÓA</t>
  </si>
  <si>
    <t>05FV41</t>
  </si>
  <si>
    <t>SĐN VNM Canxi F220ml</t>
  </si>
  <si>
    <t>02ER72</t>
  </si>
  <si>
    <t>SB Dielac Grow Plus 2+ HT 850g (Sữa Non)</t>
  </si>
  <si>
    <t>05AV20</t>
  </si>
  <si>
    <t>SĐN VNM hạt óc chó hộp 180ml</t>
  </si>
  <si>
    <t>05AT10</t>
  </si>
  <si>
    <t>SĐN Tươi Vinamilk 180ml</t>
  </si>
  <si>
    <t>04LL10</t>
  </si>
  <si>
    <t>SDD không đường không lactoza-Flex 180ml</t>
  </si>
  <si>
    <t>05AN20</t>
  </si>
  <si>
    <t>Sữa 9 loại hạt Vinamilk Super Nut 180ml (24H/T)</t>
  </si>
  <si>
    <t>04BI10</t>
  </si>
  <si>
    <t>STTT chứa tổ yến VNM 180ml</t>
  </si>
  <si>
    <t>05BV20</t>
  </si>
  <si>
    <t>SĐN VNM Canxi Không Đường 1L</t>
  </si>
  <si>
    <t>02EU14</t>
  </si>
  <si>
    <t>SP Sure Prevent Gold HT 900g</t>
  </si>
  <si>
    <t>02HD11</t>
  </si>
  <si>
    <t>SUDD Dielac Grow 180ml.</t>
  </si>
  <si>
    <t>02ED11</t>
  </si>
  <si>
    <t>SB VNM Sure Diecerna HT900g</t>
  </si>
  <si>
    <t>10VT21</t>
  </si>
  <si>
    <t>Phô Mai Vinamilk 120g</t>
  </si>
  <si>
    <t>GIÁ BÁN</t>
  </si>
  <si>
    <t>05DD10</t>
  </si>
  <si>
    <t>SĐN Đậu đỏ Vinamilk 180ml</t>
  </si>
  <si>
    <t>05DH10</t>
  </si>
  <si>
    <t>SĐN Hạnh nhân Vinamilk 180ml</t>
  </si>
  <si>
    <t>TÊN KH</t>
  </si>
  <si>
    <t>04BI30</t>
  </si>
  <si>
    <t>STTT chứa tổ yến VNM 110ml</t>
  </si>
  <si>
    <t>04SS71</t>
  </si>
  <si>
    <t>TU Sữa Sôcôla Lúa Mạch Vinamilk Susu Túi 110ml.</t>
  </si>
  <si>
    <t>09SR11</t>
  </si>
  <si>
    <t>Kem sữa chua Subo Vinamilk 50g (30C/T)</t>
  </si>
  <si>
    <t>09CA14</t>
  </si>
  <si>
    <t>Kem Dâu Nhóc Kem Vinamilk 70ml (12C/T)</t>
  </si>
  <si>
    <t>09CM23</t>
  </si>
  <si>
    <t>Kem matcha hạnh nhân Delight Vinamilk 80ml (12C/T)</t>
  </si>
  <si>
    <t>09OC10</t>
  </si>
  <si>
    <t>Kem ốc Quế Sôcôla Đậu Phộng Delight 110ml</t>
  </si>
  <si>
    <t>14BS22</t>
  </si>
  <si>
    <t>Trà atisô ít đường Vfresh 1L.</t>
  </si>
  <si>
    <t>9TD038</t>
  </si>
  <si>
    <t>Ly thủy tinh Ocean 625ml kênh GT</t>
  </si>
  <si>
    <t>9VD056</t>
  </si>
  <si>
    <t>Balo Hero</t>
  </si>
  <si>
    <t>09MV14</t>
  </si>
  <si>
    <t xml:space="preserve">Kem 1L </t>
  </si>
  <si>
    <t>02PU01</t>
  </si>
  <si>
    <t>SP Sure Prevent Gold PET 200ml (hộp 6 chai)</t>
  </si>
  <si>
    <t>04CC13</t>
  </si>
  <si>
    <t>SDD Sôcôla Vinamilk ADM 180ml</t>
  </si>
  <si>
    <t>14GC20</t>
  </si>
  <si>
    <t>Nước dừa tươi Cocofresh TPA 1L</t>
  </si>
  <si>
    <t>02EK01</t>
  </si>
  <si>
    <t>SB VNM Kenko Haru HT850g</t>
  </si>
  <si>
    <t>9NH049</t>
  </si>
  <si>
    <t>04ED40</t>
  </si>
  <si>
    <t>STTT có đường VNM 110ml (CB)</t>
  </si>
  <si>
    <t>02HO33</t>
  </si>
  <si>
    <t>SUDD Optimum Gold 110ml .</t>
  </si>
  <si>
    <t>04CA11</t>
  </si>
  <si>
    <t>SDD TT dâu ADM 180ml.</t>
  </si>
  <si>
    <t>04CD11</t>
  </si>
  <si>
    <t>SDD TT đường ADM 180ml.</t>
  </si>
  <si>
    <t>04CY10</t>
  </si>
  <si>
    <t>SDD Ngũ cốc - Yến mạch Vinamilk ADM 180ml</t>
  </si>
  <si>
    <t>07GR10</t>
  </si>
  <si>
    <t>SCA VNM Love Yogurt Green Farm Có Đường 100g</t>
  </si>
  <si>
    <t>02AA35</t>
  </si>
  <si>
    <t>SB Dielac Alpha 3 HT 400g</t>
  </si>
  <si>
    <t>HOP</t>
  </si>
  <si>
    <t>02AC13</t>
  </si>
  <si>
    <t>SB VNM CanxiPro HT400g</t>
  </si>
  <si>
    <t>02AD11</t>
  </si>
  <si>
    <t>SB VNM Sure Diecerna HT400g</t>
  </si>
  <si>
    <t>02AG15</t>
  </si>
  <si>
    <t>SB Dielac Alpha Gold IQ 1 HT 400g</t>
  </si>
  <si>
    <t>02AG25</t>
  </si>
  <si>
    <t>SB Dielac Alpha Gold IQ 2 HT 400g</t>
  </si>
  <si>
    <t>02AK01</t>
  </si>
  <si>
    <t>SB VNM Kenko Haru HT350g</t>
  </si>
  <si>
    <t>02AM11</t>
  </si>
  <si>
    <t>SB Dielac Mama Gold HT400g</t>
  </si>
  <si>
    <t>02AM21</t>
  </si>
  <si>
    <t>SB Optimum Mama Gold HT 400g</t>
  </si>
  <si>
    <t>02AO16</t>
  </si>
  <si>
    <t>SB Optimum Gold 1 HT 400g</t>
  </si>
  <si>
    <t>02AO26</t>
  </si>
  <si>
    <t>SB Optimum Gold 2 HT 400g</t>
  </si>
  <si>
    <t>02AO36</t>
  </si>
  <si>
    <t>SB Optimum Gold 3 HT 400g</t>
  </si>
  <si>
    <t>02AS11</t>
  </si>
  <si>
    <t>SB Vinamilk ColosGold 1 - HT 350g</t>
  </si>
  <si>
    <t>02AS21</t>
  </si>
  <si>
    <t>SB Vinamilk ColosGold 2 - HT 350g</t>
  </si>
  <si>
    <t>02AU14</t>
  </si>
  <si>
    <t>SP Sure Prevent Gold HT 400g</t>
  </si>
  <si>
    <t>02AY10</t>
  </si>
  <si>
    <t>SB Vinamilk YokoGold 1 - HT 350g</t>
  </si>
  <si>
    <t>02AY20</t>
  </si>
  <si>
    <t>SB Vinamilk YokoGold 2 - HT 350g</t>
  </si>
  <si>
    <t>02BG25</t>
  </si>
  <si>
    <t>SB Dielac Alpha Gold IQ 2 HG 400g</t>
  </si>
  <si>
    <t>02BN20</t>
  </si>
  <si>
    <t>SB NK có đường Vinamilk HG 400g</t>
  </si>
  <si>
    <t>02DG35</t>
  </si>
  <si>
    <t>SB Dielac Alpha Gold IQ 3 HT 1500g</t>
  </si>
  <si>
    <t>02DG45</t>
  </si>
  <si>
    <t>SB Dielac Alpha Gold IQ 4 HT 1500g</t>
  </si>
  <si>
    <t>02DO37</t>
  </si>
  <si>
    <t>SB Optimum Gold 3 HT 1450g</t>
  </si>
  <si>
    <t>02DO43</t>
  </si>
  <si>
    <t>SB Optimum Gold 4 HT 1450g.</t>
  </si>
  <si>
    <t>02DO47</t>
  </si>
  <si>
    <t>SB Optimum Gold 4 HT 1450g</t>
  </si>
  <si>
    <t>02DR62</t>
  </si>
  <si>
    <t>SB Dielac Grow Plus 1+ HT 1400g (Sữa Non)</t>
  </si>
  <si>
    <t>02DR72</t>
  </si>
  <si>
    <t>SB Dielac Grow Plus 2+ HT 1400g (Sữa Non)</t>
  </si>
  <si>
    <t>02EC13</t>
  </si>
  <si>
    <t>SB VNM CanxiPro HT900g</t>
  </si>
  <si>
    <t>02EG15</t>
  </si>
  <si>
    <t>SB Dielac Alpha Gold IQ 1 HT 900g</t>
  </si>
  <si>
    <t>02EG25</t>
  </si>
  <si>
    <t>SB Dielac Alpha Gold IQ 2 HT 900g</t>
  </si>
  <si>
    <t>02EG35</t>
  </si>
  <si>
    <t>SB Dielac Alpha Gold IQ 3 HT 900g</t>
  </si>
  <si>
    <t>02EG45</t>
  </si>
  <si>
    <t>SB Dielac Alpha Gold IQ 4 HT 900g</t>
  </si>
  <si>
    <t>02EG46</t>
  </si>
  <si>
    <t>SB Dielac Alpha Gold 4 HT 850g (Sữa non)</t>
  </si>
  <si>
    <t>02EM21</t>
  </si>
  <si>
    <t>SB Optimum Mama Gold HT 900g</t>
  </si>
  <si>
    <t>02EM30</t>
  </si>
  <si>
    <t>SB Dielac Mama Gold hương cam HT 900g</t>
  </si>
  <si>
    <t>02EN20</t>
  </si>
  <si>
    <t>SB NK có đường Vinamilk HT 900g</t>
  </si>
  <si>
    <t>02EN21</t>
  </si>
  <si>
    <t>SB Organic Gold 2-HT 850g</t>
  </si>
  <si>
    <t>02EN42</t>
  </si>
  <si>
    <t>SB Organic Gold 4-HT 850g.</t>
  </si>
  <si>
    <t>02EO17</t>
  </si>
  <si>
    <t>SB Optimum Gold 1 HT 800g</t>
  </si>
  <si>
    <t>02EO27</t>
  </si>
  <si>
    <t>SB Optimum Gold 2 HT 800g</t>
  </si>
  <si>
    <t>02EO37</t>
  </si>
  <si>
    <t>SB Optimum Gold 3 HT 850g</t>
  </si>
  <si>
    <t>02EO43</t>
  </si>
  <si>
    <t>SB Optimum Gold 4 HT 850g.</t>
  </si>
  <si>
    <t>02EO47</t>
  </si>
  <si>
    <t>SB Optimum Gold 4 HT 850g</t>
  </si>
  <si>
    <t>02EP15</t>
  </si>
  <si>
    <t>SB Pedia Kenji 1+ HT 850g</t>
  </si>
  <si>
    <t>02EP25</t>
  </si>
  <si>
    <t>SB Pedia Kenji 2+ HT 850g</t>
  </si>
  <si>
    <t>02ER20</t>
  </si>
  <si>
    <t>SB Dielac Grow 2+ HT900g</t>
  </si>
  <si>
    <t>02ER62</t>
  </si>
  <si>
    <t>SB Dielac Grow Plus 1+ HT 850g (Sữa Non)</t>
  </si>
  <si>
    <t>02ER90</t>
  </si>
  <si>
    <t>SB Dielac Grow Plus (Xanh) 1+ HT900g</t>
  </si>
  <si>
    <t>02ER91</t>
  </si>
  <si>
    <t>SB Dielac Grow Plus (Xanh) 2+ HT900g</t>
  </si>
  <si>
    <t>02ES11</t>
  </si>
  <si>
    <t>SB Vinamilk ColosGold 1 - HT 800g</t>
  </si>
  <si>
    <t>02ES21</t>
  </si>
  <si>
    <t>SB Vinamilk ColosGold 2 - HT 800g</t>
  </si>
  <si>
    <t>02ES31</t>
  </si>
  <si>
    <t>SB Vinamilk ColosGold 3 - HT 800g</t>
  </si>
  <si>
    <t>02EY10</t>
  </si>
  <si>
    <t>SB Vinamilk YokoGold 1 - HT 850g</t>
  </si>
  <si>
    <t>02EY20</t>
  </si>
  <si>
    <t>SB Vinamilk YokoGold 2 - HT 850g</t>
  </si>
  <si>
    <t>02EY30</t>
  </si>
  <si>
    <t>SB Vinamilk YokoGold 3 - HT 850g</t>
  </si>
  <si>
    <t>SUDD Dielac Grow 110ml.</t>
  </si>
  <si>
    <t>02HG15</t>
  </si>
  <si>
    <t>SUDD Dielac Alpha Gold IQ 180ml.</t>
  </si>
  <si>
    <t>02HG16</t>
  </si>
  <si>
    <t>SUDD Dielac Alpha Gold 180ml (Sữa non)</t>
  </si>
  <si>
    <t>02HG36</t>
  </si>
  <si>
    <t>SUDD Dielac Alpha Gold 110ml (Sữa non)</t>
  </si>
  <si>
    <t>02HO12</t>
  </si>
  <si>
    <t>SUDD Optimum Gold 180ml</t>
  </si>
  <si>
    <t>02HO13</t>
  </si>
  <si>
    <t>SUDD Optimum Gold 180ml .</t>
  </si>
  <si>
    <t>02HO32</t>
  </si>
  <si>
    <t>SUDD Optimum Gold 110ml</t>
  </si>
  <si>
    <t>02HP11</t>
  </si>
  <si>
    <t>SUDD Pedia Kenji 180ml</t>
  </si>
  <si>
    <t>02HP31</t>
  </si>
  <si>
    <t>SUDD Pedia Kenji 110ml</t>
  </si>
  <si>
    <t>02HS11</t>
  </si>
  <si>
    <t>SUDD Vinamilk ColosGold 180ml</t>
  </si>
  <si>
    <t>02HS31</t>
  </si>
  <si>
    <t>SUDD Vinamilk ColosGold 110ml</t>
  </si>
  <si>
    <t>02HY10</t>
  </si>
  <si>
    <t>SUDD VNM YokoGold 180ml</t>
  </si>
  <si>
    <t>02HY30</t>
  </si>
  <si>
    <t>SUDD VNM YokoGold 110ml</t>
  </si>
  <si>
    <t>CHA</t>
  </si>
  <si>
    <t>03AA13</t>
  </si>
  <si>
    <t>Bột AD Ridielac Gold bò rau củ HT 350g</t>
  </si>
  <si>
    <t>03AA22</t>
  </si>
  <si>
    <t>Bột AD Ridielac Gold heo bó xôi HT 350g</t>
  </si>
  <si>
    <t>03AA32</t>
  </si>
  <si>
    <t>Bột AD Ridielac Gold heo cà rốt HT 350g</t>
  </si>
  <si>
    <t>03AA41</t>
  </si>
  <si>
    <t>Bột AD Ridielac Gold gà rau củ HT 350g</t>
  </si>
  <si>
    <t>03AA53</t>
  </si>
  <si>
    <t>Bột AD Ridielac Gold Lươn CR ĐX HT 350g</t>
  </si>
  <si>
    <t>03AA91</t>
  </si>
  <si>
    <t>Bột AD Ridielac Gold Cá Hồi BCX HT 350g</t>
  </si>
  <si>
    <t>03AO71</t>
  </si>
  <si>
    <t>Bột AD Optimum Gold Yến Mạch Bí Đỏ Măng Tây HT 350g</t>
  </si>
  <si>
    <t>03AO73</t>
  </si>
  <si>
    <t>Bột AD Optimum Gold Gạo Cải Xoăn Khoai Lang Giống Nhật HT 350g</t>
  </si>
  <si>
    <t>03AO90</t>
  </si>
  <si>
    <t>Bột AD Optimum Gold Yến Mạch Cá Hồi Rau Xanh HT 350g</t>
  </si>
  <si>
    <t>03AY71</t>
  </si>
  <si>
    <t>Bột AD Ridielac Gold Yến Mạch Sữa HT 350g</t>
  </si>
  <si>
    <t>03CA13</t>
  </si>
  <si>
    <t>Bột AD Ridielac Gold bò rau củ HG 200g</t>
  </si>
  <si>
    <t>03CA22</t>
  </si>
  <si>
    <t>Bột AD Ridielac Gold heo bó xôi HG 200g</t>
  </si>
  <si>
    <t>03CA32</t>
  </si>
  <si>
    <t>Bột AD Ridielac Gold heo cà rốt HG 200g</t>
  </si>
  <si>
    <t>03CA42</t>
  </si>
  <si>
    <t>Bột AD Ridielac Gold gà rau củ HG 200g</t>
  </si>
  <si>
    <t>03CA53</t>
  </si>
  <si>
    <t>Bột AD Ridielac Gold Lươn CR ĐX HG 200g</t>
  </si>
  <si>
    <t>03CA73</t>
  </si>
  <si>
    <t>Bột AD Ridielac Gold gạo sữa HG 200g</t>
  </si>
  <si>
    <t>03CA82</t>
  </si>
  <si>
    <t>Bột AD Ridielac Gold gạo T.cây HG 200g</t>
  </si>
  <si>
    <t>03CA91</t>
  </si>
  <si>
    <t>Bột AD Ridielac Gold Cá Hồi BCX HG 200g</t>
  </si>
  <si>
    <t>03CM03</t>
  </si>
  <si>
    <t>Bột AD Ridielac Gold 3 Vị Ngọt HG 200g</t>
  </si>
  <si>
    <t>03CM04</t>
  </si>
  <si>
    <t>Bột AD Ridielac Gold 4 Vị Mặn HG 200g</t>
  </si>
  <si>
    <t>03CO71</t>
  </si>
  <si>
    <t>Bột AD Optimum Gold Yến Mạch Bí Đỏ Măng Tây HG 200g</t>
  </si>
  <si>
    <t>03CO73</t>
  </si>
  <si>
    <t>Bột AD Optimum Gold Gạo Cải Xoăn Khoai Lang Giống Nhật HG 200g</t>
  </si>
  <si>
    <t>03CO90</t>
  </si>
  <si>
    <t>Bột AD Optimum Gold Yến Mạch Cá Hồi Rau Xanh HG 200g</t>
  </si>
  <si>
    <t>03CY02</t>
  </si>
  <si>
    <t>Bột AD Ridielac Gold Yến Mạch Gà Đậu HL HG 200g</t>
  </si>
  <si>
    <t>03CY71</t>
  </si>
  <si>
    <t>Bột AD Ridielac Gold Yến Mạch Sữa HG 200g</t>
  </si>
  <si>
    <t>LON</t>
  </si>
  <si>
    <t>01CX09</t>
  </si>
  <si>
    <t>SĐCĐ Ông Thọ chữ xanh 380g-KM</t>
  </si>
  <si>
    <t>01SX09</t>
  </si>
  <si>
    <t>SĐCĐ NSPN xanh lá 380g-KM</t>
  </si>
  <si>
    <t>TUY</t>
  </si>
  <si>
    <t>04CA10</t>
  </si>
  <si>
    <t>SDD TT dâu ADM 180ml</t>
  </si>
  <si>
    <t>04CA30</t>
  </si>
  <si>
    <t>SDD TT dâu ADM 110ml</t>
  </si>
  <si>
    <t>04CA31</t>
  </si>
  <si>
    <t>SDD TT dâu ADM 110ml.</t>
  </si>
  <si>
    <t>04CB30</t>
  </si>
  <si>
    <t>TUSTC vị chuối ADM 110ml</t>
  </si>
  <si>
    <t>04CC12</t>
  </si>
  <si>
    <t>TU sữa lúa mạch socola ADM 180ml</t>
  </si>
  <si>
    <t>04CC30</t>
  </si>
  <si>
    <t>TU sữa lúa mạch socola ADM 110ml</t>
  </si>
  <si>
    <t>04CC31</t>
  </si>
  <si>
    <t>SDD Sôcôla Vinamilk ADM 110ml</t>
  </si>
  <si>
    <t>04CD10</t>
  </si>
  <si>
    <t>SDD TT đường ADM 180ml</t>
  </si>
  <si>
    <t>04CD18</t>
  </si>
  <si>
    <t>SDD TT đường ADM 180ml (KM)</t>
  </si>
  <si>
    <t>04CD30</t>
  </si>
  <si>
    <t>SDD TT đường ADM 110ml</t>
  </si>
  <si>
    <t>04CD31</t>
  </si>
  <si>
    <t>SDD TT đường ADM 110ml.</t>
  </si>
  <si>
    <t>04CD38</t>
  </si>
  <si>
    <t>SDD TT đường ADM 110ml (KM)</t>
  </si>
  <si>
    <t>04CG10</t>
  </si>
  <si>
    <t>TUSTC H. việt quất ADM Berries Gum 180ml</t>
  </si>
  <si>
    <t>04CG30</t>
  </si>
  <si>
    <t>TUSTC H. việt quất ADM Berries Gum 110ml</t>
  </si>
  <si>
    <t>04CY30</t>
  </si>
  <si>
    <t>SDD Ngũ cốc - Yến mạch Vinamilk ADM 110ml</t>
  </si>
  <si>
    <t>04DC50</t>
  </si>
  <si>
    <t>Thức uống cacao lúa mạch chai 150ml</t>
  </si>
  <si>
    <t>04DC58</t>
  </si>
  <si>
    <t>Thức uống cacao lúa mạch chai 150ml-KM</t>
  </si>
  <si>
    <t>BIC</t>
  </si>
  <si>
    <t>04SS31</t>
  </si>
  <si>
    <t>TU Sữa Sôcôla Lúa Mạch Vinamilk Susu 110ml</t>
  </si>
  <si>
    <t>TUI</t>
  </si>
  <si>
    <t>04SS81</t>
  </si>
  <si>
    <t>TU Sữa Sôcôla Lúa Mạch Vinamilk Susu chai 80ml</t>
  </si>
  <si>
    <t>04WD18</t>
  </si>
  <si>
    <t>STTT có đường Vinamilk 180ml (K)</t>
  </si>
  <si>
    <t>04WD48</t>
  </si>
  <si>
    <t>STTT có đường VNM 110ml (CB)-K</t>
  </si>
  <si>
    <t>04WT62</t>
  </si>
  <si>
    <t>STTT tách béo không đường Vinamilk 180ml.</t>
  </si>
  <si>
    <t>05AV30</t>
  </si>
  <si>
    <t>SĐN VNM Gấp đôi Canxi TP200 ml</t>
  </si>
  <si>
    <t>05PN30</t>
  </si>
  <si>
    <t>SĐN Nha Đam VNM PET 180ml</t>
  </si>
  <si>
    <t>06SA52</t>
  </si>
  <si>
    <t>SCU TT hương dâu Vinamilk Susu chai 150ml</t>
  </si>
  <si>
    <t>06SA79</t>
  </si>
  <si>
    <t>SCU TT Hương Dâu Vinamilk Susu Túi 110ml (KM)</t>
  </si>
  <si>
    <t>06SC79</t>
  </si>
  <si>
    <t>SCU TT Hương Cam Vinamilk Susu Túi 110ml (KM)</t>
  </si>
  <si>
    <t>06VA21</t>
  </si>
  <si>
    <t>SCU TT hương dâu VNM Yomilk 170ml.</t>
  </si>
  <si>
    <t>06VA22</t>
  </si>
  <si>
    <t>SCU TT hương dâu VNM Yomilk 170ml .</t>
  </si>
  <si>
    <t>06VC21</t>
  </si>
  <si>
    <t>SCU TT hương cam VNM Yomilk 170ml.</t>
  </si>
  <si>
    <t>06VC22</t>
  </si>
  <si>
    <t>SCU TT hương cam VNM Yomilk 170ml .</t>
  </si>
  <si>
    <t>06VL51</t>
  </si>
  <si>
    <t>SCU TT Lựu đỏ VNM Yomilk chai PET 150ml.</t>
  </si>
  <si>
    <t>06VL59</t>
  </si>
  <si>
    <t>SCU TT Lựu đỏ VNM Yomilk chai PET 150ml-KM</t>
  </si>
  <si>
    <t>06VN51</t>
  </si>
  <si>
    <t>SCU TT Nha đam VNM Yomilk chai PET 150ml.</t>
  </si>
  <si>
    <t>06VN59</t>
  </si>
  <si>
    <t>SCU TT Nha đam VNM Yomilk chai PET 150ml-KM</t>
  </si>
  <si>
    <t>08HA39</t>
  </si>
  <si>
    <t>TUSTC vị dâu VNM Hero 110ml-KM</t>
  </si>
  <si>
    <t>08HN18</t>
  </si>
  <si>
    <t>TUSTC hương kẹo nho VNM Hero 180ml-KM</t>
  </si>
  <si>
    <t>08HN39</t>
  </si>
  <si>
    <t>TUSTC hương kẹo nho VNM Hero 110ml (KM)</t>
  </si>
  <si>
    <t>07UR40</t>
  </si>
  <si>
    <t>SCU Probi đường 400ml</t>
  </si>
  <si>
    <t>07WR10</t>
  </si>
  <si>
    <t>SCA VNM 100% sữa tươi có đường 100g</t>
  </si>
  <si>
    <t>14AC27</t>
  </si>
  <si>
    <t>TUDD Vfresh Smoothie Up Cam Sữa 180ml</t>
  </si>
  <si>
    <t>14AD27</t>
  </si>
  <si>
    <t>TUDD Vfresh Smoothie Up Dâu Sữa 180ml</t>
  </si>
  <si>
    <t>14AT27</t>
  </si>
  <si>
    <t>TUDD Vfresh Smoothie Up Trái Cây Sữa 180ml</t>
  </si>
  <si>
    <t>14BA13</t>
  </si>
  <si>
    <t>Nước cam ép VFresh 1L</t>
  </si>
  <si>
    <t>CAY</t>
  </si>
  <si>
    <t>09CC24</t>
  </si>
  <si>
    <t>Kem Sôcôla 2X Nhóc Kem Vinamilk 70ml (12C/T)</t>
  </si>
  <si>
    <t>09CC25</t>
  </si>
  <si>
    <t>Kem Socola H.nhân Delight Vinamilk 80ml (12C/T)</t>
  </si>
  <si>
    <t>09CC32</t>
  </si>
  <si>
    <t>Kem Sôcôla Đậu phộng Nhóc Kem Vinamilk 70ml (12C/T)</t>
  </si>
  <si>
    <t>09CD14</t>
  </si>
  <si>
    <t>Kem Dừa Nhóc Kem Vinamilk 70ml (12C/T)</t>
  </si>
  <si>
    <t>09CD23</t>
  </si>
  <si>
    <t>Kem dừa caramen muối H.nhân Delight Vinamilk 80ml (12C/T)</t>
  </si>
  <si>
    <t>09CF11</t>
  </si>
  <si>
    <t>Kem Cà phê H.nhân Delight Vinamilk 80ml (12C/T)</t>
  </si>
  <si>
    <t>09CM14</t>
  </si>
  <si>
    <t>Kem Khoai môn Dừa Nhóc Kem Vinamilk 70ml (12C/T)</t>
  </si>
  <si>
    <t>09CS14</t>
  </si>
  <si>
    <t>Kem Sầu riêng Nhóc Kem Vinamilk 70ml (12C/T)</t>
  </si>
  <si>
    <t>09CX14</t>
  </si>
  <si>
    <t>Kem Đậu xanh Nhóc Kem Vinamilk 70ml (12C/T)</t>
  </si>
  <si>
    <t>09LA11</t>
  </si>
  <si>
    <t>Kem dâu Vinamilk 100ml (12L/T)</t>
  </si>
  <si>
    <t>LYS</t>
  </si>
  <si>
    <t>09LC11</t>
  </si>
  <si>
    <t>Kem sôcôla Vinamilk 100ml (12L/T)</t>
  </si>
  <si>
    <t>09LC21</t>
  </si>
  <si>
    <t>Kem Sôcôla Twin Cows Vinamilk 100ml (12L/T)</t>
  </si>
  <si>
    <t>09LD11</t>
  </si>
  <si>
    <t>Kem dừa Vinamilk 100ml (12L/T)</t>
  </si>
  <si>
    <t>09LM11</t>
  </si>
  <si>
    <t>Kem khoai môn Vinamilk 100ml (12L/T)</t>
  </si>
  <si>
    <t>09LP21</t>
  </si>
  <si>
    <t>Kem Phô Mai Dâu Twin Cows Vinamilk 100ml (12L/T)</t>
  </si>
  <si>
    <t>09LS11</t>
  </si>
  <si>
    <t>Kem sầu riêng Vinamilk 100ml (12L/T)</t>
  </si>
  <si>
    <t>09LSQ1</t>
  </si>
  <si>
    <t>Kem sữa chua việt quất Vinamilk 100ml</t>
  </si>
  <si>
    <t>09LSX1</t>
  </si>
  <si>
    <t>Kem sữa chua xoài-chanh dây VNM 100ml</t>
  </si>
  <si>
    <t>09LT21</t>
  </si>
  <si>
    <t>Kem Tiramisu Twin Cows Vinamilk 100ml (12L/T)</t>
  </si>
  <si>
    <t>09LX11</t>
  </si>
  <si>
    <t>Kem đậu xanh Vinamilk 100ml (12L/T)</t>
  </si>
  <si>
    <t>09LX21</t>
  </si>
  <si>
    <t>Kem Trà xanh Twin Cows Vinamilk 100ml (12L/T)</t>
  </si>
  <si>
    <t>09M314</t>
  </si>
  <si>
    <t>Kem Đậu xanh-Khoai môn-Dừa Vinamilk 1L (4H/T)</t>
  </si>
  <si>
    <t>09M315</t>
  </si>
  <si>
    <t>Kem Dừa- Sôcôla-Vani Vinamilk 1L (4H/T)</t>
  </si>
  <si>
    <t>09MA14</t>
  </si>
  <si>
    <t>Kem dâu Vinamilk 1L (4H/T)</t>
  </si>
  <si>
    <t>09MC11</t>
  </si>
  <si>
    <t>Kem sôcôla Vinamilk 1L (4H/T)</t>
  </si>
  <si>
    <t>09MD06</t>
  </si>
  <si>
    <t>Kem dừa Vinamilk 1L (4H/T)</t>
  </si>
  <si>
    <t>09MM07</t>
  </si>
  <si>
    <t>Kem khoai môn Vinamilk 1L (4H/T)</t>
  </si>
  <si>
    <t>09MS14</t>
  </si>
  <si>
    <t>Kem sầu riêng Vinamilk 1L (4H/T)</t>
  </si>
  <si>
    <t>Kem vani Vinamilk 1L (4H/T)</t>
  </si>
  <si>
    <t>09MX07</t>
  </si>
  <si>
    <t>Kem đậu xanh Vinamilk 1L (4H/T)</t>
  </si>
  <si>
    <t>09NA12</t>
  </si>
  <si>
    <t>Kem dâu Vinamilk 450ml (4H/T)</t>
  </si>
  <si>
    <t>09NC11</t>
  </si>
  <si>
    <t>Kem sôcôla Vinamilk 450ml (4H/T)</t>
  </si>
  <si>
    <t>09NC22</t>
  </si>
  <si>
    <t>Kem Sôcôla Twin Cows Vinamilk 450ml (4H/T)</t>
  </si>
  <si>
    <t>09ND07</t>
  </si>
  <si>
    <t>Kem dừa Vinamilk 450ml (4H/T)</t>
  </si>
  <si>
    <t>09NM06</t>
  </si>
  <si>
    <t>Kem khoai môn Vinamilk 450ml (4H/T)</t>
  </si>
  <si>
    <t>09NND1</t>
  </si>
  <si>
    <t>Kem VNM 2 trong 1 Cốm Dừa 400ml (4H/T)</t>
  </si>
  <si>
    <t>09NP10</t>
  </si>
  <si>
    <t>Kem Trân Châu Hoàng Kim Vị Phô Mai Vinamilk 400ml. (4H/T)</t>
  </si>
  <si>
    <t>09NP21</t>
  </si>
  <si>
    <t>Kem Phô Mai Dâu Twin Cows Vinamilk 450ml (4H/T)</t>
  </si>
  <si>
    <t>09NR10</t>
  </si>
  <si>
    <t>Kem Trân Châu Đường Đen Vinamilk 400ml. (4H/T)</t>
  </si>
  <si>
    <t>09NS12</t>
  </si>
  <si>
    <t>Kem sầu riêng Vinamilk 450ml (4H/T)</t>
  </si>
  <si>
    <t>09NT22</t>
  </si>
  <si>
    <t>Kem Tiramisu Twin Cows Vinamilk 450ml (4H/T)</t>
  </si>
  <si>
    <t>09NV12</t>
  </si>
  <si>
    <t>Kem vani Vinamilk 450ml (4H/T)</t>
  </si>
  <si>
    <t>09NX06</t>
  </si>
  <si>
    <t>Kem đậu xanh Vinamilk 450ml (4H/T)</t>
  </si>
  <si>
    <t>09NX22</t>
  </si>
  <si>
    <t>Kem Trà xanh Twin Cows Vinamilk 450ml (4H/T)</t>
  </si>
  <si>
    <t>09OA10</t>
  </si>
  <si>
    <t>Kem ốc Quế Dâu Nam Việt Quất Delight 110ml</t>
  </si>
  <si>
    <t>09OM10</t>
  </si>
  <si>
    <t>Kem ốc Quế Matcha Đậu Đỏ Delight 110ml</t>
  </si>
  <si>
    <t>09PND1</t>
  </si>
  <si>
    <t>Kem VNM 2 trong 1 Cốm Dừa 900ml (4H/T)</t>
  </si>
  <si>
    <t>09SA11</t>
  </si>
  <si>
    <t>Kem sữa chua hương dâu Subo Vinamilk 50g (30C/T)</t>
  </si>
  <si>
    <t>09SC11</t>
  </si>
  <si>
    <t>Kem sữa chua hương cam Subo Vinamilk 50g (30C/T)</t>
  </si>
  <si>
    <t>09SD11</t>
  </si>
  <si>
    <t>Kem sữa chua hương chanh dây Subo Vinamilk 50g (30C/T)</t>
  </si>
  <si>
    <t>09SG11</t>
  </si>
  <si>
    <t>Kem sữa chua hương Dưa Gang Subo Vinamilk 50g</t>
  </si>
  <si>
    <t>09SM11</t>
  </si>
  <si>
    <t>Kem sữa chua hương mãng cầu Subo Vinamilk 50g (30C/T)</t>
  </si>
  <si>
    <t>09SV11</t>
  </si>
  <si>
    <t>Kem sữa chua hương vải Subo Vinamilk 50g (30C/T)</t>
  </si>
  <si>
    <t>AQ1093</t>
  </si>
  <si>
    <t>Bao xốp PHSH nhỏ Vinamilk</t>
  </si>
  <si>
    <t>CAI</t>
  </si>
  <si>
    <t>AQ1094</t>
  </si>
  <si>
    <t>Bao xốp PHSH lớn Vinamilk</t>
  </si>
  <si>
    <t>16GD00</t>
  </si>
  <si>
    <t>Đường tinh luyện cao cấp Vietsugar (1 kg)</t>
  </si>
  <si>
    <t>12CK03</t>
  </si>
  <si>
    <t>Bánh côn kem 240cái/T</t>
  </si>
  <si>
    <t>9CS003</t>
  </si>
  <si>
    <t>Bóng Hero</t>
  </si>
  <si>
    <t>9CS007</t>
  </si>
  <si>
    <t>Gối cao su</t>
  </si>
  <si>
    <t>9GI179</t>
  </si>
  <si>
    <t>Khay trưng bày sữa đặc Ông Thọ tube 165g</t>
  </si>
  <si>
    <t>9GI187</t>
  </si>
  <si>
    <t>Wobbler Green Farm 20x20</t>
  </si>
  <si>
    <t>9GI196</t>
  </si>
  <si>
    <t>Wobbler của nhãn hàng ADM</t>
  </si>
  <si>
    <t>9GI202</t>
  </si>
  <si>
    <t>Hanger susu loại 2 dây treo (kích thước 28x20)</t>
  </si>
  <si>
    <t>9GI204</t>
  </si>
  <si>
    <t>Wobbler Sữa chua uống Probi - Vệ sĩ Probi - kênh Siêu thị</t>
  </si>
  <si>
    <t>9GI205</t>
  </si>
  <si>
    <t>Wobbler lò xo kẹp cashier Sữa chua uống Probi - Vệ sĩ Probi - kênh Siêu thị</t>
  </si>
  <si>
    <t>9GI219</t>
  </si>
  <si>
    <t>Tem khuyến mãi TếT</t>
  </si>
  <si>
    <t>9GI220</t>
  </si>
  <si>
    <t>Tem khuyến mãi Hè</t>
  </si>
  <si>
    <t>9GI221</t>
  </si>
  <si>
    <t>Tem khuyến mãi ĐặC BIệT_mẫu xanh</t>
  </si>
  <si>
    <t>9GI222</t>
  </si>
  <si>
    <t>Tem khuyến mãi ĐặC BIệT_mẫu đỏ</t>
  </si>
  <si>
    <t>9GI223</t>
  </si>
  <si>
    <t>Tem khuyến mãi MUA 2 LốC TặNG 1 HộP_mẫu đỏ</t>
  </si>
  <si>
    <t>9GI224</t>
  </si>
  <si>
    <t>Tem khuyến mãi MUA 2 LốC TặNG 1 HộP_mẫu xanh</t>
  </si>
  <si>
    <t>9GS019</t>
  </si>
  <si>
    <t>Bộ chén đĩa sứ trắng viền vàng YOKO</t>
  </si>
  <si>
    <t>9GS021</t>
  </si>
  <si>
    <t>Bộ 04 chén sứ Minh Long cao cấp viền vàng Optimum + Dielac</t>
  </si>
  <si>
    <t>BO</t>
  </si>
  <si>
    <t>9GS029</t>
  </si>
  <si>
    <t>Tô 18cm cao cấp viền vàng Minh Long</t>
  </si>
  <si>
    <t>9KD020</t>
  </si>
  <si>
    <t>Muỗng inox cao cấp 304 (SG Biotech)</t>
  </si>
  <si>
    <t>9KD027</t>
  </si>
  <si>
    <t>ấm đun sôi siêu tốc Inox 304 - SBTE</t>
  </si>
  <si>
    <t>9KD029</t>
  </si>
  <si>
    <t>ấm đun sôi siêu tốc Inox 304 - Kenko Haru</t>
  </si>
  <si>
    <t>9KL005</t>
  </si>
  <si>
    <t>Dù cầm tay - Kenko Haru</t>
  </si>
  <si>
    <t>9KT035</t>
  </si>
  <si>
    <t>Tentcard Fruit Love: mua 2 tặng 1 ly thủy tinh</t>
  </si>
  <si>
    <t>9NC008</t>
  </si>
  <si>
    <t>Hộp bút Hero</t>
  </si>
  <si>
    <t>9NC016</t>
  </si>
  <si>
    <t>Trứng Hatchimals - SN</t>
  </si>
  <si>
    <t>9NC017</t>
  </si>
  <si>
    <t>Trứng Hatchimals - SBPS</t>
  </si>
  <si>
    <t>9NH040</t>
  </si>
  <si>
    <t>Hộp nhựa đa năng 7L</t>
  </si>
  <si>
    <t>9NH041</t>
  </si>
  <si>
    <t>Bình nước cho trẻ em - ADM</t>
  </si>
  <si>
    <t>9NH042</t>
  </si>
  <si>
    <t>Bình nước cho trẻ em - Hero</t>
  </si>
  <si>
    <t>9NH047</t>
  </si>
  <si>
    <t>Bình nước trẻ em - SB</t>
  </si>
  <si>
    <t>Bộ Thau Rổ Nhựa cao cấp 28 cm - SB</t>
  </si>
  <si>
    <t>9NH050</t>
  </si>
  <si>
    <t>Bộ Thau Rổ Nhựa cao cấp 30 cm - SB</t>
  </si>
  <si>
    <t>9NH051</t>
  </si>
  <si>
    <t>Bộ Thau Rổ Nhựa cao cấp 35 cm - SB</t>
  </si>
  <si>
    <t>9TD006</t>
  </si>
  <si>
    <t>Hũ Gia Vị SCU VNM</t>
  </si>
  <si>
    <t>9TD034</t>
  </si>
  <si>
    <t>Ly thủy tinh có quai</t>
  </si>
  <si>
    <t>9TD037</t>
  </si>
  <si>
    <t>Ly Thủy Tinh cao cấp Ocean -fruit love</t>
  </si>
  <si>
    <t>9TD039</t>
  </si>
  <si>
    <t>Hộp thuỷ tinh Luminarc 1.22L - SBTE</t>
  </si>
  <si>
    <t>9TD043</t>
  </si>
  <si>
    <t>Ly thủy tinh Ocean 625ml kênh MT</t>
  </si>
  <si>
    <t>9VC015</t>
  </si>
  <si>
    <t>Gấu Bông-SB Optimum Gold-lông sợi mì vừa</t>
  </si>
  <si>
    <t>9VC017</t>
  </si>
  <si>
    <t>Gối thảo mộc - SB Sure Prevent</t>
  </si>
  <si>
    <t>9VC025</t>
  </si>
  <si>
    <t>Balo lớn - Dielac Grow Plus</t>
  </si>
  <si>
    <t>9VC026</t>
  </si>
  <si>
    <t>Mèo dài - Organic</t>
  </si>
  <si>
    <t>9VC027</t>
  </si>
  <si>
    <t>Quả bơ dài - Organic</t>
  </si>
  <si>
    <t>9VC047</t>
  </si>
  <si>
    <t>Gối đi xe máy cao cấp hình voi - SB YOKO</t>
  </si>
  <si>
    <t>9VD052</t>
  </si>
  <si>
    <t>Túi vải Canvas Sữa chua uống Yomilk</t>
  </si>
  <si>
    <t>9VD053</t>
  </si>
  <si>
    <t>Túi Giữ Nhiệt Cho Kem</t>
  </si>
  <si>
    <t>9VD073</t>
  </si>
  <si>
    <t>Balo có nón siêu ngầu hình voi- SB YOKO</t>
  </si>
  <si>
    <t>9VD074</t>
  </si>
  <si>
    <t>Balo có nón siêu ngầu hình voi- SBPS YOKO</t>
  </si>
  <si>
    <t>9VD075</t>
  </si>
  <si>
    <t>Balo hỗ trợ chống gù Susu</t>
  </si>
  <si>
    <t>9VD078</t>
  </si>
  <si>
    <t>Balô Hero dạ quang</t>
  </si>
  <si>
    <t>9VD083</t>
  </si>
  <si>
    <t>áo hoodie Hero</t>
  </si>
  <si>
    <t>14BS25</t>
  </si>
  <si>
    <t>Trà atisô không đường Vfresh 1L.</t>
  </si>
  <si>
    <t>STTT Rất ít Đường Vinamilk Green Farm 180ml.</t>
  </si>
  <si>
    <t>04GI10</t>
  </si>
  <si>
    <t>14BL21</t>
  </si>
  <si>
    <t>Nước Lựu Táo Fruitlove 1L</t>
  </si>
  <si>
    <t>04ET01</t>
  </si>
  <si>
    <t>04ET10</t>
  </si>
  <si>
    <t>04ED10</t>
  </si>
  <si>
    <t>04EI10</t>
  </si>
  <si>
    <t>04EI40</t>
  </si>
  <si>
    <t>04EC10</t>
  </si>
  <si>
    <t>04ED01</t>
  </si>
  <si>
    <t>Tổng tiền 
Đơn Hàng</t>
  </si>
  <si>
    <t>SỐ LƯỢNG (HỘP)</t>
  </si>
  <si>
    <t>QUY ĐỔI THÙNG</t>
  </si>
  <si>
    <t>05BG10</t>
  </si>
  <si>
    <t>SĐN có đường Goldsoy 1L</t>
  </si>
  <si>
    <t>02HD32</t>
  </si>
  <si>
    <t>Tia</t>
  </si>
  <si>
    <t>Minh Toàn Safi</t>
  </si>
  <si>
    <t>03VVK</t>
  </si>
  <si>
    <t>Seashore</t>
  </si>
  <si>
    <t>Risemount</t>
  </si>
  <si>
    <t>DLG</t>
  </si>
  <si>
    <t>161VVK</t>
  </si>
  <si>
    <t>Grandgold</t>
  </si>
  <si>
    <t>Lê Hoàng</t>
  </si>
  <si>
    <t>Pharaoh</t>
  </si>
  <si>
    <t>Chicland</t>
  </si>
  <si>
    <t>TỔNG</t>
  </si>
  <si>
    <t>SL hộp</t>
  </si>
  <si>
    <t>MILO</t>
  </si>
  <si>
    <t>STTT Milo 180ml</t>
  </si>
  <si>
    <t>SL</t>
  </si>
  <si>
    <t>Đơn giá</t>
  </si>
  <si>
    <t>TT chưa giảm</t>
  </si>
  <si>
    <t>KH</t>
  </si>
  <si>
    <t>Tổng sau giảm</t>
  </si>
  <si>
    <t>SCA VNM Nha đam ít đường 100g (24H/T)</t>
  </si>
  <si>
    <t>SCA VNM Lựu đỏ ít đường 100g (24H/T)</t>
  </si>
  <si>
    <t>07NI10</t>
  </si>
  <si>
    <t>07LI10</t>
  </si>
  <si>
    <t>SCU TT hương việt quất bạc hà VNM Yomilk 170ml</t>
  </si>
  <si>
    <t>06VQ23</t>
  </si>
  <si>
    <t>04EI01</t>
  </si>
  <si>
    <t>Kem  Delight Vinamilk 80ml (12C/T)</t>
  </si>
  <si>
    <t>Tổng trc giảm</t>
  </si>
  <si>
    <t>Creamer đặc Ông Thọ vị sôcôla tuýp 165g</t>
  </si>
  <si>
    <t>01TC60</t>
  </si>
  <si>
    <t>Creamer đặc Ông Thọ vị dâu tuýp 165g</t>
  </si>
  <si>
    <t>01TA60</t>
  </si>
  <si>
    <t>07UL30</t>
  </si>
  <si>
    <t xml:space="preserve">SCU Probi Happi ít đường vị Lựu Đỏ 130ml </t>
  </si>
  <si>
    <t>Sữa 9 loại hạt Vinamilk Super Nut 1L</t>
  </si>
  <si>
    <t>05AN01</t>
  </si>
  <si>
    <t>Creamer đặc có đường Vinamilk Tài Lộc 380g</t>
  </si>
  <si>
    <t>01TL00</t>
  </si>
  <si>
    <t>05AD10</t>
  </si>
  <si>
    <t xml:space="preserve">Sữa Hạt Cao Đạm Vinamilk hộp 180ml (24H/T) </t>
  </si>
  <si>
    <t>01TD12</t>
  </si>
  <si>
    <t xml:space="preserve">SĐCĐ Ông Thọ Đỏ 1kg </t>
  </si>
  <si>
    <t>9TD059</t>
  </si>
  <si>
    <t>Ly thủy tinh in logo VNM có hộp</t>
  </si>
  <si>
    <t>Rabill</t>
  </si>
  <si>
    <t>KM rabill</t>
  </si>
  <si>
    <t>LTT</t>
  </si>
  <si>
    <t>LVH</t>
  </si>
  <si>
    <t>248PCL</t>
  </si>
  <si>
    <t>ĐTT</t>
  </si>
  <si>
    <t>BV Hoàn Mỹ</t>
  </si>
  <si>
    <t>132 Bắc Sơn - Hàn Quốc</t>
  </si>
  <si>
    <t>Nano</t>
  </si>
  <si>
    <t>CP</t>
  </si>
  <si>
    <t>Gửi Furama</t>
  </si>
  <si>
    <t>Hoa Biển PNX</t>
  </si>
  <si>
    <t>Date 6/9</t>
  </si>
  <si>
    <t>Date 7/9</t>
  </si>
  <si>
    <t>Furama</t>
  </si>
  <si>
    <t>Sala</t>
  </si>
  <si>
    <t>GTP</t>
  </si>
  <si>
    <t>GTP+Tia</t>
  </si>
  <si>
    <t>GTP + HB</t>
  </si>
  <si>
    <t>Lạt Sơn</t>
  </si>
  <si>
    <t>C Linh</t>
  </si>
  <si>
    <t>Ốc 25TVK</t>
  </si>
  <si>
    <t>A Bảo</t>
  </si>
  <si>
    <t>Để lại</t>
  </si>
  <si>
    <t>120VNG</t>
  </si>
  <si>
    <t>Bạn Chị Phượng</t>
  </si>
  <si>
    <t>1122NQ</t>
  </si>
  <si>
    <t>Tokyo</t>
  </si>
  <si>
    <t>Minh Toàn</t>
  </si>
  <si>
    <t>100LQĐ</t>
  </si>
  <si>
    <t>Phiếu</t>
  </si>
  <si>
    <t>187LQĐ - Ấn Độ</t>
  </si>
  <si>
    <t>Ốc 75CTVT</t>
  </si>
  <si>
    <t>BV600G</t>
  </si>
  <si>
    <t>Làng Cá</t>
  </si>
  <si>
    <t>hàng LVH</t>
  </si>
  <si>
    <t>Benaras</t>
  </si>
  <si>
    <t>Linda</t>
  </si>
  <si>
    <t>CKCP</t>
  </si>
  <si>
    <t>Ốc 109LTN</t>
  </si>
  <si>
    <t>44TBĐ</t>
  </si>
  <si>
    <t>78BTH</t>
  </si>
  <si>
    <t>Bato</t>
  </si>
  <si>
    <t>Hoa Biển TS</t>
  </si>
  <si>
    <t>Date 11/9</t>
  </si>
  <si>
    <t>12t 8/9 - 3t 3/9</t>
  </si>
  <si>
    <t>Date mới hàng về giao luôn</t>
  </si>
  <si>
    <t>GTP + Tia</t>
  </si>
  <si>
    <t>Cô Thanh</t>
  </si>
  <si>
    <t>Sơn Lệ</t>
  </si>
  <si>
    <t>52 Nguyễn Đình Trọng</t>
  </si>
  <si>
    <t>gửi quán ốc</t>
  </si>
  <si>
    <t>CKCP 5/8</t>
  </si>
  <si>
    <t>C Nguyệt BVĐK</t>
  </si>
  <si>
    <t>1086NQ</t>
  </si>
  <si>
    <t>A Ngọc</t>
  </si>
  <si>
    <t>MNCLV</t>
  </si>
  <si>
    <t>Siêu thị LTN</t>
  </si>
  <si>
    <t>Creamer đặc có đường Vinamilk Tài Lộc HG 1284g</t>
  </si>
  <si>
    <t>01TL10</t>
  </si>
  <si>
    <t>Mua Thủy PCL</t>
  </si>
  <si>
    <t>Nhập ngoài</t>
  </si>
  <si>
    <t>Socola</t>
  </si>
  <si>
    <t>GTP + Hàn Quốc</t>
  </si>
  <si>
    <t>39HN - giao 40 Trần Đức Thông</t>
  </si>
  <si>
    <t xml:space="preserve">Book Grab 23k </t>
  </si>
  <si>
    <t>YHCT</t>
  </si>
  <si>
    <t>CK CP 7/8</t>
  </si>
  <si>
    <t>CKCP 7/8</t>
  </si>
  <si>
    <t>ĐTT - Vị Dừa</t>
  </si>
  <si>
    <t>C Tú</t>
  </si>
  <si>
    <t>C Thủy KH</t>
  </si>
  <si>
    <t>Xử lý cận date HB đổi</t>
  </si>
  <si>
    <t>04EU10</t>
  </si>
  <si>
    <t>STTT Dừa VNM 180ml</t>
  </si>
  <si>
    <t>83CTVT</t>
  </si>
  <si>
    <t>BVĐK</t>
  </si>
  <si>
    <t>3 dâu 3 dừa</t>
  </si>
  <si>
    <t>GTP + HQ</t>
  </si>
  <si>
    <t>Cô Tuyết</t>
  </si>
  <si>
    <t>Thủy PCL</t>
  </si>
  <si>
    <t>Duy Tân</t>
  </si>
  <si>
    <t>35VVK</t>
  </si>
  <si>
    <t xml:space="preserve">Lấy mẫu mới uống thử </t>
  </si>
  <si>
    <t>STTT NC VNM Green Farm Organic 1L</t>
  </si>
  <si>
    <t>04GO01</t>
  </si>
  <si>
    <t>Chị Ứng - 42 Lê Văn Sỹ</t>
  </si>
  <si>
    <t>Hoa Biển Yên Bái</t>
  </si>
  <si>
    <t>Hoa Biển PĐL</t>
  </si>
  <si>
    <t>Grandgold+120+BVĐK</t>
  </si>
  <si>
    <t>GTP+HB</t>
  </si>
  <si>
    <t>Hoa Biển PNX+PĐL</t>
  </si>
  <si>
    <t>C Tín LQB</t>
  </si>
  <si>
    <t>C Duyên Tokyo</t>
  </si>
  <si>
    <t>120VNG - seashore</t>
  </si>
  <si>
    <t>CP thu 14/8</t>
  </si>
  <si>
    <t>Đổi hàng hỏng Tokyo</t>
  </si>
  <si>
    <t>Benaras+Tia</t>
  </si>
  <si>
    <t>C Yến trường học</t>
  </si>
  <si>
    <t>Gửi cô Thu TH Lương Thế Vinh 97 Hoàng Bích Sơn</t>
  </si>
  <si>
    <t>Gửi c Nguyệt trường Ngô Gia Tự</t>
  </si>
  <si>
    <t>38 Hoàng Văn Thái</t>
  </si>
  <si>
    <t>CKCP 15/8</t>
  </si>
  <si>
    <t>hàng LTT</t>
  </si>
  <si>
    <t>Khách lẻ</t>
  </si>
  <si>
    <t>CK CP 16/8</t>
  </si>
  <si>
    <t>38HVT</t>
  </si>
  <si>
    <t>Sô Dừa Dâu</t>
  </si>
  <si>
    <t>MN CLV</t>
  </si>
  <si>
    <t>GTP+Duy Tân + 600G</t>
  </si>
  <si>
    <t>Tia+MNCLV</t>
  </si>
  <si>
    <t>CK CP 17/8</t>
  </si>
  <si>
    <t>Siêu thị LTN+GTP</t>
  </si>
  <si>
    <t>STTT NC VNM Green Farm Organic 180ml</t>
  </si>
  <si>
    <t>04GO10</t>
  </si>
  <si>
    <t>A Tài</t>
  </si>
  <si>
    <t>CK A Hiếu</t>
  </si>
  <si>
    <t>GTP+ Lạt Sơn</t>
  </si>
  <si>
    <t>Fu</t>
  </si>
  <si>
    <t>c Tú</t>
  </si>
  <si>
    <t>Làng cá</t>
  </si>
  <si>
    <t>Azura</t>
  </si>
  <si>
    <t>254VNG - KS Mỹ Khê</t>
  </si>
  <si>
    <t>KCN Hòa Khánh</t>
  </si>
  <si>
    <t>03VVK -GTP</t>
  </si>
  <si>
    <t xml:space="preserve">VC 180k + CKCP 1010K </t>
  </si>
  <si>
    <t>16 Mỹ Khê 4</t>
  </si>
  <si>
    <t>VC 362K + CK CP 865k</t>
  </si>
  <si>
    <t>CK CP 22/8</t>
  </si>
  <si>
    <t>VC 109K + 575k ĐTT</t>
  </si>
  <si>
    <t>Mỹ Anh 1025NQ</t>
  </si>
  <si>
    <t>Seashore+GTP</t>
  </si>
  <si>
    <t>A Chung BV</t>
  </si>
  <si>
    <t>C Tùng</t>
  </si>
  <si>
    <t>CK CP 26/8</t>
  </si>
  <si>
    <t>BẢNG KÊ NHẬP HÀNG THÁNG 8/2024</t>
  </si>
  <si>
    <t>BẢNG KÊ XUAT  HÀNG THÁNG 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</si>
</sst>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-* #,##0.00\ _₫_-;\-* #,##0.00\ _₫_-;_-* &quot;-&quot;??\ _₫_-;_-@_-"/>
    <numFmt numFmtId="165" formatCode="#,###"/>
    <numFmt numFmtId="166" formatCode="_-* #,##0\ _₫_-;\-* #,##0\ _₫_-;_-* &quot;-&quot;??\ _₫_-;_-@_-"/>
    <numFmt numFmtId="169" formatCode="_-* #,##0.00000\ _₫_-;\-* #,##0.00000\ _₫_-;_-* &quot;-&quot;??\ _₫_-;_-@_-"/>
    <numFmt numFmtId="170" formatCode="0.0000000"/>
    <numFmt numFmtId="171" formatCode="[$-1010000]d/m/yyyy;@"/>
    <numFmt numFmtId="173" formatCode="0.000000"/>
    <numFmt numFmtId="174" formatCode="_(* #,##0_);_(* \(#,##0\);_(* &quot;-&quot;??_);_(@_)"/>
  </numFmts>
  <fonts count="1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398">
    <xf numFmtId="0" fontId="0" fillId="0" borderId="0" xfId="0"/>
    <xf numFmtId="165" fontId="2" fillId="0" borderId="2" xfId="0" applyNumberFormat="1" applyFont="1" applyBorder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5" fontId="5" fillId="0" borderId="2" xfId="0" applyNumberFormat="1" applyFont="1" applyBorder="1"/>
    <xf numFmtId="165" fontId="3" fillId="0" borderId="1" xfId="0" applyNumberFormat="1" applyFont="1" applyBorder="1"/>
    <xf numFmtId="165" fontId="5" fillId="0" borderId="3" xfId="0" applyNumberFormat="1" applyFont="1" applyBorder="1"/>
    <xf numFmtId="165" fontId="5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/>
    <xf numFmtId="0" fontId="3" fillId="0" borderId="0" xfId="0" applyFont="1" applyBorder="1"/>
    <xf numFmtId="0" fontId="3" fillId="0" borderId="0" xfId="0" applyFont="1" applyAlignment="1">
      <alignment vertical="center"/>
    </xf>
    <xf numFmtId="165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/>
    <xf numFmtId="165" fontId="7" fillId="0" borderId="1" xfId="0" applyNumberFormat="1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Fill="1" applyBorder="1"/>
    <xf numFmtId="165" fontId="5" fillId="0" borderId="2" xfId="0" applyNumberFormat="1" applyFont="1" applyFill="1" applyBorder="1" applyAlignment="1">
      <alignment horizontal="center"/>
    </xf>
    <xf numFmtId="165" fontId="5" fillId="0" borderId="3" xfId="0" applyNumberFormat="1" applyFont="1" applyFill="1" applyBorder="1"/>
    <xf numFmtId="165" fontId="5" fillId="0" borderId="2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/>
    <xf numFmtId="165" fontId="3" fillId="0" borderId="2" xfId="0" applyNumberFormat="1" applyFont="1" applyFill="1" applyBorder="1" applyAlignment="1">
      <alignment horizontal="center"/>
    </xf>
    <xf numFmtId="165" fontId="3" fillId="0" borderId="3" xfId="0" applyNumberFormat="1" applyFont="1" applyFill="1" applyBorder="1"/>
    <xf numFmtId="165" fontId="7" fillId="0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5" fontId="5" fillId="0" borderId="3" xfId="0" applyNumberFormat="1" applyFont="1" applyFill="1" applyBorder="1" applyAlignment="1">
      <alignment horizontal="center"/>
    </xf>
    <xf numFmtId="165" fontId="5" fillId="0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7" borderId="11" xfId="0" applyFont="1" applyFill="1" applyBorder="1"/>
    <xf numFmtId="0" fontId="4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165" fontId="4" fillId="0" borderId="3" xfId="0" applyNumberFormat="1" applyFont="1" applyFill="1" applyBorder="1"/>
    <xf numFmtId="1" fontId="3" fillId="0" borderId="0" xfId="0" applyNumberFormat="1" applyFont="1"/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left"/>
    </xf>
    <xf numFmtId="0" fontId="4" fillId="3" borderId="12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66" fontId="4" fillId="3" borderId="12" xfId="1" applyNumberFormat="1" applyFont="1" applyFill="1" applyBorder="1" applyAlignment="1">
      <alignment horizontal="center" vertical="center"/>
    </xf>
    <xf numFmtId="166" fontId="3" fillId="0" borderId="0" xfId="1" applyNumberFormat="1" applyFont="1" applyBorder="1"/>
    <xf numFmtId="0" fontId="4" fillId="3" borderId="12" xfId="0" applyFont="1" applyFill="1" applyBorder="1" applyAlignment="1">
      <alignment horizontal="center" vertical="center"/>
    </xf>
    <xf numFmtId="166" fontId="4" fillId="3" borderId="9" xfId="1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/>
    <xf numFmtId="165" fontId="9" fillId="0" borderId="2" xfId="0" applyNumberFormat="1" applyFont="1" applyBorder="1"/>
    <xf numFmtId="170" fontId="3" fillId="0" borderId="0" xfId="0" applyNumberFormat="1" applyFont="1"/>
    <xf numFmtId="165" fontId="5" fillId="0" borderId="17" xfId="0" applyNumberFormat="1" applyFont="1" applyFill="1" applyBorder="1" applyAlignment="1">
      <alignment horizontal="center"/>
    </xf>
    <xf numFmtId="165" fontId="5" fillId="0" borderId="17" xfId="0" applyNumberFormat="1" applyFont="1" applyFill="1" applyBorder="1"/>
    <xf numFmtId="165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/>
    <xf numFmtId="171" fontId="3" fillId="0" borderId="0" xfId="0" applyNumberFormat="1" applyFont="1"/>
    <xf numFmtId="171" fontId="4" fillId="3" borderId="9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0" borderId="17" xfId="0" applyNumberFormat="1" applyFont="1" applyBorder="1"/>
    <xf numFmtId="165" fontId="9" fillId="0" borderId="17" xfId="0" applyNumberFormat="1" applyFont="1" applyBorder="1"/>
    <xf numFmtId="165" fontId="9" fillId="0" borderId="8" xfId="0" applyNumberFormat="1" applyFont="1" applyBorder="1"/>
    <xf numFmtId="165" fontId="9" fillId="0" borderId="16" xfId="0" applyNumberFormat="1" applyFont="1" applyBorder="1"/>
    <xf numFmtId="165" fontId="7" fillId="0" borderId="18" xfId="0" applyNumberFormat="1" applyFont="1" applyBorder="1" applyAlignment="1">
      <alignment horizontal="center"/>
    </xf>
    <xf numFmtId="169" fontId="3" fillId="0" borderId="0" xfId="1" applyNumberFormat="1" applyFont="1" applyBorder="1"/>
    <xf numFmtId="166" fontId="3" fillId="0" borderId="0" xfId="0" applyNumberFormat="1" applyFont="1" applyAlignment="1">
      <alignment horizontal="center" vertical="center"/>
    </xf>
    <xf numFmtId="165" fontId="5" fillId="0" borderId="16" xfId="0" applyNumberFormat="1" applyFont="1" applyFill="1" applyBorder="1" applyAlignment="1">
      <alignment horizontal="center"/>
    </xf>
    <xf numFmtId="166" fontId="3" fillId="0" borderId="19" xfId="1" applyNumberFormat="1" applyFont="1" applyBorder="1"/>
    <xf numFmtId="166" fontId="4" fillId="3" borderId="13" xfId="1" applyNumberFormat="1" applyFont="1" applyFill="1" applyBorder="1" applyAlignment="1">
      <alignment horizontal="center" vertical="center"/>
    </xf>
    <xf numFmtId="164" fontId="3" fillId="0" borderId="0" xfId="1" applyFont="1"/>
    <xf numFmtId="166" fontId="3" fillId="0" borderId="0" xfId="0" applyNumberFormat="1" applyFont="1" applyFill="1" applyBorder="1"/>
    <xf numFmtId="0" fontId="3" fillId="0" borderId="20" xfId="0" applyFont="1" applyFill="1" applyBorder="1"/>
    <xf numFmtId="165" fontId="7" fillId="0" borderId="22" xfId="0" applyNumberFormat="1" applyFont="1" applyBorder="1" applyAlignment="1">
      <alignment horizontal="center"/>
    </xf>
    <xf numFmtId="165" fontId="7" fillId="0" borderId="22" xfId="0" applyNumberFormat="1" applyFont="1" applyBorder="1"/>
    <xf numFmtId="165" fontId="9" fillId="0" borderId="21" xfId="0" applyNumberFormat="1" applyFont="1" applyBorder="1"/>
    <xf numFmtId="165" fontId="5" fillId="0" borderId="16" xfId="0" applyNumberFormat="1" applyFont="1" applyFill="1" applyBorder="1"/>
    <xf numFmtId="0" fontId="3" fillId="0" borderId="0" xfId="0" applyFont="1" applyFill="1" applyBorder="1" applyAlignment="1"/>
    <xf numFmtId="0" fontId="3" fillId="0" borderId="0" xfId="1" applyNumberFormat="1" applyFont="1" applyAlignment="1"/>
    <xf numFmtId="164" fontId="3" fillId="0" borderId="0" xfId="1" applyNumberFormat="1" applyFont="1" applyAlignment="1"/>
    <xf numFmtId="0" fontId="4" fillId="3" borderId="13" xfId="1" applyNumberFormat="1" applyFont="1" applyFill="1" applyBorder="1" applyAlignment="1">
      <alignment vertical="center" wrapText="1"/>
    </xf>
    <xf numFmtId="166" fontId="3" fillId="0" borderId="20" xfId="1" applyNumberFormat="1" applyFont="1" applyBorder="1"/>
    <xf numFmtId="1" fontId="3" fillId="0" borderId="20" xfId="0" applyNumberFormat="1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6" fontId="3" fillId="0" borderId="20" xfId="1" applyNumberFormat="1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19" xfId="1" applyNumberFormat="1" applyFont="1" applyBorder="1" applyAlignment="1"/>
    <xf numFmtId="165" fontId="5" fillId="0" borderId="23" xfId="0" applyNumberFormat="1" applyFont="1" applyFill="1" applyBorder="1" applyAlignment="1">
      <alignment horizontal="center"/>
    </xf>
    <xf numFmtId="173" fontId="3" fillId="0" borderId="0" xfId="0" applyNumberFormat="1" applyFont="1" applyFill="1" applyBorder="1" applyAlignment="1">
      <alignment horizontal="center" vertical="center"/>
    </xf>
    <xf numFmtId="0" fontId="3" fillId="0" borderId="24" xfId="0" applyFont="1" applyFill="1" applyBorder="1"/>
    <xf numFmtId="0" fontId="3" fillId="0" borderId="25" xfId="1" applyNumberFormat="1" applyFont="1" applyBorder="1" applyAlignment="1"/>
    <xf numFmtId="166" fontId="3" fillId="0" borderId="25" xfId="1" applyNumberFormat="1" applyFont="1" applyBorder="1"/>
    <xf numFmtId="1" fontId="3" fillId="0" borderId="25" xfId="0" applyNumberFormat="1" applyFont="1" applyBorder="1"/>
    <xf numFmtId="171" fontId="3" fillId="0" borderId="25" xfId="0" applyNumberFormat="1" applyFont="1" applyBorder="1"/>
    <xf numFmtId="0" fontId="3" fillId="0" borderId="25" xfId="0" applyFont="1" applyBorder="1"/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171" fontId="3" fillId="0" borderId="19" xfId="0" applyNumberFormat="1" applyFont="1" applyBorder="1"/>
    <xf numFmtId="0" fontId="3" fillId="0" borderId="19" xfId="0" applyFont="1" applyBorder="1"/>
    <xf numFmtId="1" fontId="3" fillId="0" borderId="19" xfId="0" applyNumberFormat="1" applyFont="1" applyBorder="1"/>
    <xf numFmtId="0" fontId="3" fillId="0" borderId="26" xfId="0" applyFont="1" applyFill="1" applyBorder="1" applyAlignment="1"/>
    <xf numFmtId="171" fontId="3" fillId="0" borderId="26" xfId="1" applyNumberFormat="1" applyFont="1" applyFill="1" applyBorder="1" applyAlignment="1"/>
    <xf numFmtId="166" fontId="3" fillId="0" borderId="26" xfId="1" applyNumberFormat="1" applyFont="1" applyFill="1" applyBorder="1" applyAlignment="1"/>
    <xf numFmtId="166" fontId="3" fillId="0" borderId="26" xfId="1" applyNumberFormat="1" applyFont="1" applyFill="1" applyBorder="1" applyAlignment="1">
      <alignment horizontal="center"/>
    </xf>
    <xf numFmtId="0" fontId="3" fillId="0" borderId="26" xfId="1" applyNumberFormat="1" applyFont="1" applyFill="1" applyBorder="1" applyAlignment="1"/>
    <xf numFmtId="166" fontId="3" fillId="0" borderId="26" xfId="1" applyNumberFormat="1" applyFont="1" applyFill="1" applyBorder="1" applyAlignment="1">
      <alignment horizontal="right"/>
    </xf>
    <xf numFmtId="166" fontId="3" fillId="0" borderId="26" xfId="0" applyNumberFormat="1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165" fontId="5" fillId="0" borderId="26" xfId="0" applyNumberFormat="1" applyFont="1" applyFill="1" applyBorder="1" applyAlignment="1">
      <alignment horizontal="center"/>
    </xf>
    <xf numFmtId="165" fontId="5" fillId="0" borderId="26" xfId="0" applyNumberFormat="1" applyFont="1" applyFill="1" applyBorder="1"/>
    <xf numFmtId="165" fontId="3" fillId="0" borderId="26" xfId="0" applyNumberFormat="1" applyFont="1" applyFill="1" applyBorder="1" applyAlignment="1">
      <alignment horizontal="center"/>
    </xf>
    <xf numFmtId="165" fontId="3" fillId="0" borderId="26" xfId="0" applyNumberFormat="1" applyFont="1" applyFill="1" applyBorder="1"/>
    <xf numFmtId="165" fontId="7" fillId="0" borderId="26" xfId="0" applyNumberFormat="1" applyFont="1" applyFill="1" applyBorder="1" applyAlignment="1">
      <alignment horizontal="left"/>
    </xf>
    <xf numFmtId="0" fontId="3" fillId="0" borderId="26" xfId="0" applyFont="1" applyFill="1" applyBorder="1" applyAlignment="1">
      <alignment horizontal="center" vertical="center"/>
    </xf>
    <xf numFmtId="166" fontId="3" fillId="0" borderId="26" xfId="0" applyNumberFormat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65" fontId="7" fillId="0" borderId="26" xfId="0" applyNumberFormat="1" applyFont="1" applyFill="1" applyBorder="1" applyAlignment="1">
      <alignment horizontal="center"/>
    </xf>
    <xf numFmtId="165" fontId="7" fillId="0" borderId="26" xfId="0" applyNumberFormat="1" applyFont="1" applyFill="1" applyBorder="1"/>
    <xf numFmtId="14" fontId="3" fillId="0" borderId="26" xfId="0" applyNumberFormat="1" applyFont="1" applyFill="1" applyBorder="1"/>
    <xf numFmtId="0" fontId="3" fillId="0" borderId="26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6" xfId="0" applyFont="1" applyFill="1" applyBorder="1"/>
    <xf numFmtId="166" fontId="3" fillId="0" borderId="26" xfId="1" applyNumberFormat="1" applyFont="1" applyFill="1" applyBorder="1"/>
    <xf numFmtId="171" fontId="3" fillId="0" borderId="26" xfId="0" applyNumberFormat="1" applyFont="1" applyFill="1" applyBorder="1"/>
    <xf numFmtId="166" fontId="3" fillId="0" borderId="26" xfId="1" applyNumberFormat="1" applyFont="1" applyFill="1" applyBorder="1" applyAlignment="1">
      <alignment vertical="center"/>
    </xf>
    <xf numFmtId="1" fontId="3" fillId="0" borderId="26" xfId="0" applyNumberFormat="1" applyFont="1" applyFill="1" applyBorder="1"/>
    <xf numFmtId="1" fontId="3" fillId="0" borderId="26" xfId="0" applyNumberFormat="1" applyFont="1" applyFill="1" applyBorder="1" applyAlignment="1">
      <alignment vertical="center"/>
    </xf>
    <xf numFmtId="14" fontId="3" fillId="0" borderId="26" xfId="0" applyNumberFormat="1" applyFont="1" applyFill="1" applyBorder="1" applyAlignment="1">
      <alignment horizontal="center"/>
    </xf>
    <xf numFmtId="14" fontId="3" fillId="0" borderId="26" xfId="0" applyNumberFormat="1" applyFont="1" applyFill="1" applyBorder="1" applyAlignment="1"/>
    <xf numFmtId="165" fontId="5" fillId="0" borderId="26" xfId="0" applyNumberFormat="1" applyFont="1" applyFill="1" applyBorder="1" applyAlignment="1">
      <alignment horizontal="left"/>
    </xf>
    <xf numFmtId="165" fontId="9" fillId="0" borderId="26" xfId="0" applyNumberFormat="1" applyFont="1" applyFill="1" applyBorder="1"/>
    <xf numFmtId="14" fontId="3" fillId="9" borderId="26" xfId="0" applyNumberFormat="1" applyFont="1" applyFill="1" applyBorder="1" applyAlignment="1">
      <alignment horizontal="center"/>
    </xf>
    <xf numFmtId="14" fontId="3" fillId="6" borderId="26" xfId="0" applyNumberFormat="1" applyFont="1" applyFill="1" applyBorder="1" applyAlignment="1">
      <alignment horizontal="center"/>
    </xf>
    <xf numFmtId="0" fontId="3" fillId="0" borderId="27" xfId="0" applyFont="1" applyFill="1" applyBorder="1"/>
    <xf numFmtId="166" fontId="3" fillId="0" borderId="27" xfId="1" applyNumberFormat="1" applyFont="1" applyFill="1" applyBorder="1" applyAlignment="1"/>
    <xf numFmtId="14" fontId="3" fillId="5" borderId="26" xfId="0" applyNumberFormat="1" applyFont="1" applyFill="1" applyBorder="1" applyAlignment="1">
      <alignment horizontal="center"/>
    </xf>
    <xf numFmtId="166" fontId="3" fillId="0" borderId="19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165" fontId="5" fillId="0" borderId="21" xfId="0" applyNumberFormat="1" applyFont="1" applyBorder="1"/>
    <xf numFmtId="166" fontId="3" fillId="8" borderId="26" xfId="1" applyNumberFormat="1" applyFont="1" applyFill="1" applyBorder="1" applyAlignment="1"/>
    <xf numFmtId="166" fontId="3" fillId="5" borderId="26" xfId="1" applyNumberFormat="1" applyFont="1" applyFill="1" applyBorder="1" applyAlignment="1"/>
    <xf numFmtId="166" fontId="3" fillId="10" borderId="26" xfId="1" applyNumberFormat="1" applyFont="1" applyFill="1" applyBorder="1" applyAlignment="1"/>
    <xf numFmtId="0" fontId="3" fillId="0" borderId="30" xfId="0" applyFont="1" applyFill="1" applyBorder="1" applyAlignment="1"/>
    <xf numFmtId="166" fontId="3" fillId="0" borderId="30" xfId="1" applyNumberFormat="1" applyFont="1" applyFill="1" applyBorder="1" applyAlignment="1"/>
    <xf numFmtId="0" fontId="3" fillId="0" borderId="30" xfId="1" applyNumberFormat="1" applyFont="1" applyFill="1" applyBorder="1" applyAlignment="1"/>
    <xf numFmtId="166" fontId="3" fillId="0" borderId="30" xfId="1" applyNumberFormat="1" applyFont="1" applyFill="1" applyBorder="1" applyAlignment="1">
      <alignment horizontal="right"/>
    </xf>
    <xf numFmtId="165" fontId="5" fillId="0" borderId="30" xfId="0" applyNumberFormat="1" applyFont="1" applyBorder="1"/>
    <xf numFmtId="0" fontId="3" fillId="0" borderId="31" xfId="0" applyFont="1" applyFill="1" applyBorder="1" applyAlignment="1"/>
    <xf numFmtId="166" fontId="3" fillId="0" borderId="31" xfId="1" applyNumberFormat="1" applyFont="1" applyFill="1" applyBorder="1" applyAlignment="1"/>
    <xf numFmtId="0" fontId="3" fillId="0" borderId="31" xfId="1" applyNumberFormat="1" applyFont="1" applyFill="1" applyBorder="1" applyAlignment="1"/>
    <xf numFmtId="165" fontId="5" fillId="0" borderId="31" xfId="0" applyNumberFormat="1" applyFont="1" applyBorder="1"/>
    <xf numFmtId="166" fontId="3" fillId="0" borderId="31" xfId="1" applyNumberFormat="1" applyFont="1" applyFill="1" applyBorder="1" applyAlignment="1">
      <alignment horizontal="right"/>
    </xf>
    <xf numFmtId="0" fontId="3" fillId="0" borderId="31" xfId="0" applyFont="1" applyFill="1" applyBorder="1"/>
    <xf numFmtId="165" fontId="5" fillId="0" borderId="31" xfId="0" applyNumberFormat="1" applyFont="1" applyFill="1" applyBorder="1"/>
    <xf numFmtId="166" fontId="3" fillId="0" borderId="31" xfId="1" applyNumberFormat="1" applyFont="1" applyFill="1" applyBorder="1" applyAlignment="1">
      <alignment vertical="center"/>
    </xf>
    <xf numFmtId="166" fontId="3" fillId="0" borderId="19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171" fontId="3" fillId="4" borderId="26" xfId="1" applyNumberFormat="1" applyFont="1" applyFill="1" applyBorder="1" applyAlignment="1"/>
    <xf numFmtId="0" fontId="3" fillId="0" borderId="35" xfId="0" applyFont="1" applyFill="1" applyBorder="1" applyAlignment="1"/>
    <xf numFmtId="166" fontId="3" fillId="8" borderId="35" xfId="1" applyNumberFormat="1" applyFont="1" applyFill="1" applyBorder="1" applyAlignment="1"/>
    <xf numFmtId="0" fontId="3" fillId="0" borderId="35" xfId="1" applyNumberFormat="1" applyFont="1" applyFill="1" applyBorder="1" applyAlignment="1"/>
    <xf numFmtId="166" fontId="3" fillId="0" borderId="35" xfId="1" applyNumberFormat="1" applyFont="1" applyFill="1" applyBorder="1" applyAlignment="1"/>
    <xf numFmtId="166" fontId="3" fillId="0" borderId="35" xfId="1" applyNumberFormat="1" applyFont="1" applyFill="1" applyBorder="1" applyAlignment="1">
      <alignment horizontal="right"/>
    </xf>
    <xf numFmtId="166" fontId="3" fillId="0" borderId="35" xfId="0" applyNumberFormat="1" applyFont="1" applyFill="1" applyBorder="1" applyAlignment="1">
      <alignment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/>
    <xf numFmtId="0" fontId="3" fillId="0" borderId="36" xfId="1" applyNumberFormat="1" applyFont="1" applyFill="1" applyBorder="1" applyAlignment="1"/>
    <xf numFmtId="166" fontId="3" fillId="0" borderId="36" xfId="1" applyNumberFormat="1" applyFont="1" applyFill="1" applyBorder="1" applyAlignment="1"/>
    <xf numFmtId="166" fontId="3" fillId="0" borderId="36" xfId="1" applyNumberFormat="1" applyFont="1" applyFill="1" applyBorder="1" applyAlignment="1">
      <alignment horizontal="right"/>
    </xf>
    <xf numFmtId="166" fontId="3" fillId="0" borderId="36" xfId="0" applyNumberFormat="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8" xfId="0" applyFont="1" applyFill="1" applyBorder="1"/>
    <xf numFmtId="14" fontId="3" fillId="0" borderId="38" xfId="0" applyNumberFormat="1" applyFont="1" applyFill="1" applyBorder="1" applyAlignment="1"/>
    <xf numFmtId="165" fontId="5" fillId="0" borderId="38" xfId="0" applyNumberFormat="1" applyFont="1" applyFill="1" applyBorder="1"/>
    <xf numFmtId="166" fontId="3" fillId="0" borderId="38" xfId="1" applyNumberFormat="1" applyFont="1" applyFill="1" applyBorder="1" applyAlignment="1"/>
    <xf numFmtId="14" fontId="3" fillId="0" borderId="39" xfId="0" applyNumberFormat="1" applyFont="1" applyFill="1" applyBorder="1" applyAlignment="1"/>
    <xf numFmtId="165" fontId="5" fillId="0" borderId="40" xfId="0" applyNumberFormat="1" applyFont="1" applyBorder="1"/>
    <xf numFmtId="165" fontId="7" fillId="0" borderId="38" xfId="0" applyNumberFormat="1" applyFont="1" applyBorder="1" applyAlignment="1">
      <alignment horizontal="center"/>
    </xf>
    <xf numFmtId="165" fontId="7" fillId="0" borderId="38" xfId="0" applyNumberFormat="1" applyFont="1" applyFill="1" applyBorder="1" applyAlignment="1">
      <alignment horizontal="left"/>
    </xf>
    <xf numFmtId="165" fontId="5" fillId="0" borderId="38" xfId="0" applyNumberFormat="1" applyFont="1" applyBorder="1" applyAlignment="1">
      <alignment horizontal="center"/>
    </xf>
    <xf numFmtId="165" fontId="5" fillId="0" borderId="38" xfId="0" applyNumberFormat="1" applyFont="1" applyBorder="1"/>
    <xf numFmtId="165" fontId="5" fillId="0" borderId="38" xfId="0" applyNumberFormat="1" applyFont="1" applyFill="1" applyBorder="1" applyAlignment="1">
      <alignment horizontal="center"/>
    </xf>
    <xf numFmtId="0" fontId="3" fillId="0" borderId="41" xfId="0" applyFont="1" applyFill="1" applyBorder="1"/>
    <xf numFmtId="14" fontId="3" fillId="0" borderId="41" xfId="0" applyNumberFormat="1" applyFont="1" applyFill="1" applyBorder="1" applyAlignment="1"/>
    <xf numFmtId="165" fontId="9" fillId="0" borderId="0" xfId="0" applyNumberFormat="1" applyFont="1" applyBorder="1"/>
    <xf numFmtId="166" fontId="3" fillId="0" borderId="19" xfId="0" applyNumberFormat="1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/>
    <xf numFmtId="0" fontId="3" fillId="0" borderId="44" xfId="0" applyFont="1" applyFill="1" applyBorder="1" applyAlignment="1"/>
    <xf numFmtId="166" fontId="3" fillId="0" borderId="44" xfId="1" applyNumberFormat="1" applyFont="1" applyFill="1" applyBorder="1" applyAlignment="1"/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3" fillId="0" borderId="45" xfId="0" applyFont="1" applyFill="1" applyBorder="1" applyAlignment="1"/>
    <xf numFmtId="166" fontId="3" fillId="0" borderId="45" xfId="1" applyNumberFormat="1" applyFont="1" applyFill="1" applyBorder="1" applyAlignment="1"/>
    <xf numFmtId="0" fontId="3" fillId="0" borderId="45" xfId="1" applyNumberFormat="1" applyFont="1" applyFill="1" applyBorder="1" applyAlignment="1"/>
    <xf numFmtId="166" fontId="3" fillId="0" borderId="45" xfId="1" applyNumberFormat="1" applyFont="1" applyFill="1" applyBorder="1" applyAlignment="1">
      <alignment horizontal="right"/>
    </xf>
    <xf numFmtId="0" fontId="3" fillId="0" borderId="46" xfId="1" applyNumberFormat="1" applyFont="1" applyFill="1" applyBorder="1" applyAlignment="1"/>
    <xf numFmtId="166" fontId="3" fillId="0" borderId="46" xfId="1" applyNumberFormat="1" applyFont="1" applyFill="1" applyBorder="1" applyAlignment="1">
      <alignment horizontal="right"/>
    </xf>
    <xf numFmtId="165" fontId="5" fillId="0" borderId="45" xfId="0" applyNumberFormat="1" applyFont="1" applyBorder="1"/>
    <xf numFmtId="165" fontId="5" fillId="0" borderId="45" xfId="0" applyNumberFormat="1" applyFont="1" applyFill="1" applyBorder="1"/>
    <xf numFmtId="0" fontId="3" fillId="0" borderId="47" xfId="0" applyFont="1" applyFill="1" applyBorder="1" applyAlignment="1"/>
    <xf numFmtId="166" fontId="3" fillId="0" borderId="47" xfId="1" applyNumberFormat="1" applyFont="1" applyFill="1" applyBorder="1" applyAlignment="1"/>
    <xf numFmtId="0" fontId="3" fillId="0" borderId="47" xfId="1" applyNumberFormat="1" applyFont="1" applyFill="1" applyBorder="1" applyAlignment="1"/>
    <xf numFmtId="165" fontId="5" fillId="0" borderId="47" xfId="0" applyNumberFormat="1" applyFont="1" applyBorder="1"/>
    <xf numFmtId="166" fontId="3" fillId="0" borderId="19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3" fillId="0" borderId="49" xfId="0" applyFont="1" applyFill="1" applyBorder="1"/>
    <xf numFmtId="14" fontId="3" fillId="0" borderId="49" xfId="0" applyNumberFormat="1" applyFont="1" applyFill="1" applyBorder="1" applyAlignment="1"/>
    <xf numFmtId="14" fontId="3" fillId="6" borderId="49" xfId="0" applyNumberFormat="1" applyFont="1" applyFill="1" applyBorder="1" applyAlignment="1">
      <alignment horizontal="center"/>
    </xf>
    <xf numFmtId="166" fontId="3" fillId="0" borderId="49" xfId="1" applyNumberFormat="1" applyFont="1" applyFill="1" applyBorder="1" applyAlignment="1"/>
    <xf numFmtId="166" fontId="3" fillId="0" borderId="49" xfId="1" applyNumberFormat="1" applyFont="1" applyFill="1" applyBorder="1" applyAlignment="1">
      <alignment vertical="center"/>
    </xf>
    <xf numFmtId="0" fontId="3" fillId="0" borderId="51" xfId="0" applyFont="1" applyFill="1" applyBorder="1" applyAlignment="1"/>
    <xf numFmtId="166" fontId="3" fillId="0" borderId="51" xfId="1" applyNumberFormat="1" applyFont="1" applyFill="1" applyBorder="1" applyAlignment="1"/>
    <xf numFmtId="0" fontId="3" fillId="0" borderId="51" xfId="1" applyNumberFormat="1" applyFont="1" applyFill="1" applyBorder="1" applyAlignment="1"/>
    <xf numFmtId="165" fontId="5" fillId="0" borderId="51" xfId="0" applyNumberFormat="1" applyFont="1" applyBorder="1"/>
    <xf numFmtId="166" fontId="3" fillId="0" borderId="51" xfId="1" applyNumberFormat="1" applyFont="1" applyFill="1" applyBorder="1" applyAlignment="1">
      <alignment horizontal="right"/>
    </xf>
    <xf numFmtId="14" fontId="3" fillId="4" borderId="26" xfId="0" applyNumberFormat="1" applyFont="1" applyFill="1" applyBorder="1" applyAlignment="1">
      <alignment horizontal="center"/>
    </xf>
    <xf numFmtId="165" fontId="9" fillId="0" borderId="53" xfId="0" applyNumberFormat="1" applyFont="1" applyBorder="1"/>
    <xf numFmtId="165" fontId="5" fillId="0" borderId="53" xfId="0" applyNumberFormat="1" applyFont="1" applyFill="1" applyBorder="1"/>
    <xf numFmtId="165" fontId="12" fillId="0" borderId="21" xfId="0" applyNumberFormat="1" applyFont="1" applyBorder="1"/>
    <xf numFmtId="0" fontId="3" fillId="0" borderId="54" xfId="0" applyFont="1" applyFill="1" applyBorder="1"/>
    <xf numFmtId="0" fontId="3" fillId="0" borderId="54" xfId="1" applyNumberFormat="1" applyFont="1" applyFill="1" applyBorder="1" applyAlignment="1"/>
    <xf numFmtId="166" fontId="3" fillId="0" borderId="54" xfId="1" applyNumberFormat="1" applyFont="1" applyFill="1" applyBorder="1"/>
    <xf numFmtId="166" fontId="3" fillId="0" borderId="54" xfId="1" applyNumberFormat="1" applyFont="1" applyFill="1" applyBorder="1" applyAlignment="1">
      <alignment horizontal="right"/>
    </xf>
    <xf numFmtId="0" fontId="3" fillId="0" borderId="56" xfId="0" applyFont="1" applyFill="1" applyBorder="1"/>
    <xf numFmtId="165" fontId="5" fillId="0" borderId="56" xfId="0" applyNumberFormat="1" applyFont="1" applyFill="1" applyBorder="1"/>
    <xf numFmtId="166" fontId="3" fillId="0" borderId="56" xfId="1" applyNumberFormat="1" applyFont="1" applyFill="1" applyBorder="1" applyAlignment="1">
      <alignment vertical="center"/>
    </xf>
    <xf numFmtId="166" fontId="3" fillId="0" borderId="19" xfId="1" applyNumberFormat="1" applyFont="1" applyFill="1" applyBorder="1" applyAlignment="1">
      <alignment horizontal="center" vertical="center"/>
    </xf>
    <xf numFmtId="0" fontId="3" fillId="0" borderId="59" xfId="0" applyFont="1" applyFill="1" applyBorder="1"/>
    <xf numFmtId="166" fontId="3" fillId="0" borderId="59" xfId="1" applyNumberFormat="1" applyFont="1" applyFill="1" applyBorder="1" applyAlignment="1"/>
    <xf numFmtId="0" fontId="3" fillId="0" borderId="59" xfId="1" applyNumberFormat="1" applyFont="1" applyFill="1" applyBorder="1" applyAlignment="1"/>
    <xf numFmtId="166" fontId="3" fillId="0" borderId="59" xfId="1" applyNumberFormat="1" applyFont="1" applyFill="1" applyBorder="1"/>
    <xf numFmtId="0" fontId="3" fillId="0" borderId="59" xfId="0" applyFont="1" applyFill="1" applyBorder="1" applyAlignment="1">
      <alignment horizontal="center" vertical="center"/>
    </xf>
    <xf numFmtId="166" fontId="3" fillId="0" borderId="59" xfId="0" applyNumberFormat="1" applyFont="1" applyFill="1" applyBorder="1" applyAlignment="1">
      <alignment vertical="center"/>
    </xf>
    <xf numFmtId="0" fontId="3" fillId="0" borderId="61" xfId="0" applyFont="1" applyFill="1" applyBorder="1"/>
    <xf numFmtId="166" fontId="3" fillId="0" borderId="61" xfId="1" applyNumberFormat="1" applyFont="1" applyFill="1" applyBorder="1" applyAlignment="1"/>
    <xf numFmtId="166" fontId="3" fillId="0" borderId="61" xfId="1" applyNumberFormat="1" applyFont="1" applyFill="1" applyBorder="1" applyAlignment="1">
      <alignment horizontal="center"/>
    </xf>
    <xf numFmtId="0" fontId="3" fillId="0" borderId="61" xfId="1" applyNumberFormat="1" applyFont="1" applyFill="1" applyBorder="1" applyAlignment="1"/>
    <xf numFmtId="166" fontId="3" fillId="0" borderId="61" xfId="1" applyNumberFormat="1" applyFont="1" applyFill="1" applyBorder="1"/>
    <xf numFmtId="166" fontId="3" fillId="0" borderId="61" xfId="1" applyNumberFormat="1" applyFont="1" applyFill="1" applyBorder="1" applyAlignment="1">
      <alignment horizontal="right"/>
    </xf>
    <xf numFmtId="166" fontId="3" fillId="0" borderId="61" xfId="0" applyNumberFormat="1" applyFont="1" applyFill="1" applyBorder="1" applyAlignment="1">
      <alignment vertical="center"/>
    </xf>
    <xf numFmtId="0" fontId="3" fillId="0" borderId="61" xfId="0" applyFont="1" applyFill="1" applyBorder="1" applyAlignment="1">
      <alignment horizontal="center" vertical="center"/>
    </xf>
    <xf numFmtId="14" fontId="3" fillId="0" borderId="61" xfId="0" applyNumberFormat="1" applyFont="1" applyFill="1" applyBorder="1" applyAlignment="1"/>
    <xf numFmtId="165" fontId="5" fillId="0" borderId="61" xfId="0" applyNumberFormat="1" applyFont="1" applyFill="1" applyBorder="1"/>
    <xf numFmtId="171" fontId="3" fillId="4" borderId="26" xfId="0" applyNumberFormat="1" applyFont="1" applyFill="1" applyBorder="1"/>
    <xf numFmtId="0" fontId="3" fillId="0" borderId="6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166" fontId="3" fillId="0" borderId="19" xfId="0" applyNumberFormat="1" applyFont="1" applyFill="1" applyBorder="1" applyAlignment="1">
      <alignment horizontal="center" vertical="center"/>
    </xf>
    <xf numFmtId="166" fontId="3" fillId="0" borderId="60" xfId="0" applyNumberFormat="1" applyFont="1" applyFill="1" applyBorder="1" applyAlignment="1">
      <alignment vertical="center"/>
    </xf>
    <xf numFmtId="165" fontId="5" fillId="0" borderId="21" xfId="0" applyNumberFormat="1" applyFont="1" applyBorder="1" applyAlignment="1">
      <alignment horizontal="center"/>
    </xf>
    <xf numFmtId="0" fontId="3" fillId="0" borderId="19" xfId="0" applyFont="1" applyFill="1" applyBorder="1" applyAlignment="1">
      <alignment horizontal="center" vertical="center"/>
    </xf>
    <xf numFmtId="165" fontId="5" fillId="0" borderId="62" xfId="0" applyNumberFormat="1" applyFont="1" applyBorder="1" applyAlignment="1">
      <alignment horizontal="center"/>
    </xf>
    <xf numFmtId="165" fontId="7" fillId="0" borderId="63" xfId="0" applyNumberFormat="1" applyFont="1" applyBorder="1" applyAlignment="1">
      <alignment horizontal="center"/>
    </xf>
    <xf numFmtId="165" fontId="5" fillId="0" borderId="62" xfId="0" applyNumberFormat="1" applyFont="1" applyFill="1" applyBorder="1" applyAlignment="1">
      <alignment horizontal="center"/>
    </xf>
    <xf numFmtId="0" fontId="5" fillId="0" borderId="62" xfId="0" applyFont="1" applyBorder="1" applyAlignment="1">
      <alignment horizontal="center" vertical="center"/>
    </xf>
    <xf numFmtId="165" fontId="3" fillId="0" borderId="62" xfId="0" applyNumberFormat="1" applyFont="1" applyFill="1" applyBorder="1" applyAlignment="1">
      <alignment horizontal="center"/>
    </xf>
    <xf numFmtId="0" fontId="3" fillId="0" borderId="60" xfId="1" applyNumberFormat="1" applyFont="1" applyFill="1" applyBorder="1" applyAlignment="1"/>
    <xf numFmtId="166" fontId="3" fillId="0" borderId="60" xfId="1" applyNumberFormat="1" applyFont="1" applyFill="1" applyBorder="1" applyAlignment="1">
      <alignment horizontal="right"/>
    </xf>
    <xf numFmtId="165" fontId="3" fillId="0" borderId="64" xfId="0" applyNumberFormat="1" applyFont="1" applyFill="1" applyBorder="1"/>
    <xf numFmtId="0" fontId="3" fillId="0" borderId="19" xfId="1" applyNumberFormat="1" applyFont="1" applyFill="1" applyBorder="1" applyAlignment="1"/>
    <xf numFmtId="166" fontId="3" fillId="0" borderId="19" xfId="1" applyNumberFormat="1" applyFont="1" applyFill="1" applyBorder="1"/>
    <xf numFmtId="166" fontId="3" fillId="0" borderId="19" xfId="1" applyNumberFormat="1" applyFont="1" applyFill="1" applyBorder="1" applyAlignment="1">
      <alignment horizontal="right"/>
    </xf>
    <xf numFmtId="0" fontId="3" fillId="0" borderId="19" xfId="0" applyFont="1" applyFill="1" applyBorder="1" applyAlignment="1">
      <alignment vertical="center"/>
    </xf>
    <xf numFmtId="165" fontId="5" fillId="0" borderId="61" xfId="0" applyNumberFormat="1" applyFont="1" applyBorder="1"/>
    <xf numFmtId="165" fontId="7" fillId="0" borderId="61" xfId="0" applyNumberFormat="1" applyFont="1" applyBorder="1"/>
    <xf numFmtId="165" fontId="7" fillId="0" borderId="61" xfId="0" applyNumberFormat="1" applyFont="1" applyBorder="1" applyAlignment="1">
      <alignment horizontal="left"/>
    </xf>
    <xf numFmtId="0" fontId="5" fillId="0" borderId="61" xfId="0" applyFont="1" applyBorder="1"/>
    <xf numFmtId="165" fontId="3" fillId="0" borderId="61" xfId="0" applyNumberFormat="1" applyFont="1" applyFill="1" applyBorder="1"/>
    <xf numFmtId="0" fontId="3" fillId="0" borderId="61" xfId="0" applyFont="1" applyFill="1" applyBorder="1" applyAlignment="1">
      <alignment vertical="center"/>
    </xf>
    <xf numFmtId="166" fontId="8" fillId="0" borderId="26" xfId="1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 vertical="center"/>
    </xf>
    <xf numFmtId="166" fontId="3" fillId="0" borderId="19" xfId="0" applyNumberFormat="1" applyFont="1" applyFill="1" applyBorder="1" applyAlignment="1">
      <alignment horizontal="center" vertical="center"/>
    </xf>
    <xf numFmtId="166" fontId="3" fillId="0" borderId="61" xfId="0" applyNumberFormat="1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166" fontId="3" fillId="0" borderId="60" xfId="1" applyNumberFormat="1" applyFont="1" applyFill="1" applyBorder="1"/>
    <xf numFmtId="0" fontId="3" fillId="0" borderId="19" xfId="0" applyFont="1" applyFill="1" applyBorder="1" applyAlignment="1">
      <alignment horizontal="center" vertical="center"/>
    </xf>
    <xf numFmtId="166" fontId="3" fillId="0" borderId="19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166" fontId="3" fillId="0" borderId="19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166" fontId="3" fillId="0" borderId="60" xfId="1" applyNumberFormat="1" applyFont="1" applyFill="1" applyBorder="1" applyAlignment="1"/>
    <xf numFmtId="165" fontId="5" fillId="0" borderId="65" xfId="0" applyNumberFormat="1" applyFont="1" applyFill="1" applyBorder="1" applyAlignment="1">
      <alignment horizontal="center"/>
    </xf>
    <xf numFmtId="165" fontId="5" fillId="0" borderId="60" xfId="0" applyNumberFormat="1" applyFont="1" applyFill="1" applyBorder="1"/>
    <xf numFmtId="166" fontId="3" fillId="0" borderId="60" xfId="1" applyNumberFormat="1" applyFont="1" applyFill="1" applyBorder="1" applyAlignment="1">
      <alignment horizontal="center"/>
    </xf>
    <xf numFmtId="166" fontId="3" fillId="10" borderId="19" xfId="1" applyNumberFormat="1" applyFont="1" applyFill="1" applyBorder="1" applyAlignment="1"/>
    <xf numFmtId="165" fontId="5" fillId="0" borderId="64" xfId="0" applyNumberFormat="1" applyFont="1" applyFill="1" applyBorder="1" applyAlignment="1">
      <alignment horizontal="center"/>
    </xf>
    <xf numFmtId="165" fontId="5" fillId="0" borderId="19" xfId="0" applyNumberFormat="1" applyFont="1" applyFill="1" applyBorder="1"/>
    <xf numFmtId="166" fontId="3" fillId="0" borderId="19" xfId="0" applyNumberFormat="1" applyFont="1" applyFill="1" applyBorder="1" applyAlignment="1">
      <alignment vertical="center"/>
    </xf>
    <xf numFmtId="165" fontId="3" fillId="0" borderId="61" xfId="0" applyNumberFormat="1" applyFont="1" applyFill="1" applyBorder="1" applyAlignment="1">
      <alignment horizontal="center"/>
    </xf>
    <xf numFmtId="165" fontId="5" fillId="0" borderId="61" xfId="0" applyNumberFormat="1" applyFont="1" applyFill="1" applyBorder="1" applyAlignment="1">
      <alignment horizontal="center"/>
    </xf>
    <xf numFmtId="165" fontId="5" fillId="0" borderId="61" xfId="0" applyNumberFormat="1" applyFont="1" applyBorder="1" applyAlignment="1">
      <alignment horizontal="center"/>
    </xf>
    <xf numFmtId="166" fontId="3" fillId="0" borderId="61" xfId="1" applyNumberFormat="1" applyFont="1" applyFill="1" applyBorder="1" applyAlignment="1">
      <alignment horizontal="center" vertical="center"/>
    </xf>
    <xf numFmtId="166" fontId="3" fillId="8" borderId="61" xfId="1" applyNumberFormat="1" applyFont="1" applyFill="1" applyBorder="1" applyAlignment="1"/>
    <xf numFmtId="166" fontId="3" fillId="5" borderId="61" xfId="1" applyNumberFormat="1" applyFont="1" applyFill="1" applyBorder="1" applyAlignment="1"/>
    <xf numFmtId="166" fontId="3" fillId="10" borderId="61" xfId="1" applyNumberFormat="1" applyFont="1" applyFill="1" applyBorder="1" applyAlignment="1"/>
    <xf numFmtId="165" fontId="7" fillId="0" borderId="61" xfId="0" applyNumberFormat="1" applyFont="1" applyBorder="1" applyAlignment="1">
      <alignment horizontal="center"/>
    </xf>
    <xf numFmtId="165" fontId="7" fillId="0" borderId="61" xfId="0" applyNumberFormat="1" applyFont="1" applyFill="1" applyBorder="1" applyAlignment="1">
      <alignment horizontal="left"/>
    </xf>
    <xf numFmtId="165" fontId="5" fillId="0" borderId="62" xfId="0" applyNumberFormat="1" applyFont="1" applyFill="1" applyBorder="1"/>
    <xf numFmtId="14" fontId="3" fillId="9" borderId="61" xfId="0" applyNumberFormat="1" applyFont="1" applyFill="1" applyBorder="1" applyAlignment="1">
      <alignment horizontal="center"/>
    </xf>
    <xf numFmtId="165" fontId="5" fillId="0" borderId="62" xfId="0" applyNumberFormat="1" applyFont="1" applyBorder="1"/>
    <xf numFmtId="165" fontId="5" fillId="0" borderId="63" xfId="0" applyNumberFormat="1" applyFont="1" applyFill="1" applyBorder="1"/>
    <xf numFmtId="14" fontId="3" fillId="6" borderId="61" xfId="0" applyNumberFormat="1" applyFont="1" applyFill="1" applyBorder="1" applyAlignment="1">
      <alignment horizontal="center"/>
    </xf>
    <xf numFmtId="165" fontId="9" fillId="0" borderId="61" xfId="0" applyNumberFormat="1" applyFont="1" applyBorder="1"/>
    <xf numFmtId="166" fontId="3" fillId="0" borderId="19" xfId="1" applyNumberFormat="1" applyFont="1" applyFill="1" applyBorder="1" applyAlignment="1"/>
    <xf numFmtId="0" fontId="3" fillId="0" borderId="60" xfId="0" applyFont="1" applyFill="1" applyBorder="1"/>
    <xf numFmtId="165" fontId="5" fillId="0" borderId="66" xfId="0" applyNumberFormat="1" applyFont="1" applyBorder="1"/>
    <xf numFmtId="14" fontId="3" fillId="6" borderId="60" xfId="0" applyNumberFormat="1" applyFont="1" applyFill="1" applyBorder="1" applyAlignment="1">
      <alignment horizontal="center"/>
    </xf>
    <xf numFmtId="0" fontId="3" fillId="0" borderId="61" xfId="0" applyFont="1" applyFill="1" applyBorder="1" applyAlignment="1">
      <alignment horizontal="center" vertical="center"/>
    </xf>
    <xf numFmtId="14" fontId="3" fillId="4" borderId="61" xfId="0" applyNumberFormat="1" applyFont="1" applyFill="1" applyBorder="1" applyAlignment="1">
      <alignment horizontal="center"/>
    </xf>
    <xf numFmtId="0" fontId="3" fillId="0" borderId="61" xfId="0" applyFont="1" applyFill="1" applyBorder="1" applyAlignment="1">
      <alignment horizontal="center" vertical="center"/>
    </xf>
    <xf numFmtId="174" fontId="8" fillId="0" borderId="61" xfId="0" applyNumberFormat="1" applyFont="1" applyBorder="1" applyAlignment="1">
      <alignment horizontal="right" vertical="center"/>
    </xf>
    <xf numFmtId="0" fontId="3" fillId="0" borderId="61" xfId="0" applyFont="1" applyFill="1" applyBorder="1" applyAlignment="1">
      <alignment horizontal="center" vertical="center"/>
    </xf>
    <xf numFmtId="14" fontId="3" fillId="5" borderId="61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 vertical="center"/>
    </xf>
    <xf numFmtId="166" fontId="3" fillId="0" borderId="19" xfId="0" applyNumberFormat="1" applyFont="1" applyFill="1" applyBorder="1" applyAlignment="1">
      <alignment horizontal="center" vertical="center"/>
    </xf>
    <xf numFmtId="165" fontId="13" fillId="0" borderId="21" xfId="0" applyNumberFormat="1" applyFont="1" applyBorder="1"/>
    <xf numFmtId="165" fontId="13" fillId="0" borderId="21" xfId="0" applyNumberFormat="1" applyFont="1" applyFill="1" applyBorder="1"/>
    <xf numFmtId="0" fontId="3" fillId="0" borderId="61" xfId="0" applyFont="1" applyFill="1" applyBorder="1" applyAlignment="1">
      <alignment horizontal="center" vertical="center"/>
    </xf>
    <xf numFmtId="14" fontId="3" fillId="4" borderId="26" xfId="0" applyNumberFormat="1" applyFont="1" applyFill="1" applyBorder="1"/>
    <xf numFmtId="0" fontId="3" fillId="0" borderId="61" xfId="0" applyFont="1" applyFill="1" applyBorder="1" applyAlignment="1">
      <alignment horizontal="center" vertical="center"/>
    </xf>
    <xf numFmtId="166" fontId="3" fillId="0" borderId="67" xfId="1" applyNumberFormat="1" applyFont="1" applyFill="1" applyBorder="1" applyAlignment="1">
      <alignment horizontal="center"/>
    </xf>
    <xf numFmtId="165" fontId="13" fillId="0" borderId="67" xfId="0" applyNumberFormat="1" applyFont="1" applyBorder="1"/>
    <xf numFmtId="165" fontId="13" fillId="0" borderId="23" xfId="0" applyNumberFormat="1" applyFont="1" applyBorder="1"/>
    <xf numFmtId="165" fontId="9" fillId="0" borderId="23" xfId="0" applyNumberFormat="1" applyFont="1" applyBorder="1"/>
    <xf numFmtId="165" fontId="5" fillId="0" borderId="66" xfId="0" applyNumberFormat="1" applyFont="1" applyFill="1" applyBorder="1"/>
    <xf numFmtId="14" fontId="3" fillId="9" borderId="60" xfId="0" applyNumberFormat="1" applyFont="1" applyFill="1" applyBorder="1" applyAlignment="1">
      <alignment horizontal="center"/>
    </xf>
    <xf numFmtId="165" fontId="5" fillId="0" borderId="8" xfId="0" applyNumberFormat="1" applyFont="1" applyFill="1" applyBorder="1"/>
    <xf numFmtId="14" fontId="3" fillId="6" borderId="19" xfId="0" applyNumberFormat="1" applyFont="1" applyFill="1" applyBorder="1" applyAlignment="1">
      <alignment horizontal="center"/>
    </xf>
    <xf numFmtId="0" fontId="3" fillId="0" borderId="61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4" fillId="3" borderId="9" xfId="0" applyFont="1" applyFill="1" applyBorder="1" applyAlignment="1">
      <alignment vertical="center"/>
    </xf>
    <xf numFmtId="166" fontId="3" fillId="0" borderId="54" xfId="1" applyNumberFormat="1" applyFont="1" applyFill="1" applyBorder="1" applyAlignment="1"/>
    <xf numFmtId="165" fontId="5" fillId="0" borderId="26" xfId="0" applyNumberFormat="1" applyFont="1" applyFill="1" applyBorder="1" applyAlignment="1"/>
    <xf numFmtId="0" fontId="3" fillId="0" borderId="19" xfId="0" applyFont="1" applyFill="1" applyBorder="1" applyAlignment="1"/>
    <xf numFmtId="0" fontId="3" fillId="0" borderId="25" xfId="0" applyFont="1" applyFill="1" applyBorder="1" applyAlignment="1"/>
    <xf numFmtId="0" fontId="3" fillId="0" borderId="19" xfId="0" applyFont="1" applyFill="1" applyBorder="1" applyAlignment="1">
      <alignment horizontal="center" vertical="center"/>
    </xf>
    <xf numFmtId="166" fontId="3" fillId="0" borderId="19" xfId="0" applyNumberFormat="1" applyFont="1" applyFill="1" applyBorder="1" applyAlignment="1">
      <alignment horizontal="center" vertical="center"/>
    </xf>
    <xf numFmtId="166" fontId="3" fillId="0" borderId="19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165" fontId="5" fillId="0" borderId="68" xfId="0" applyNumberFormat="1" applyFont="1" applyFill="1" applyBorder="1"/>
    <xf numFmtId="0" fontId="3" fillId="0" borderId="1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66" fontId="3" fillId="0" borderId="50" xfId="1" applyNumberFormat="1" applyFont="1" applyFill="1" applyBorder="1" applyAlignment="1">
      <alignment horizontal="center" vertical="center"/>
    </xf>
    <xf numFmtId="166" fontId="3" fillId="0" borderId="29" xfId="1" applyNumberFormat="1" applyFont="1" applyFill="1" applyBorder="1" applyAlignment="1">
      <alignment horizontal="center" vertical="center"/>
    </xf>
    <xf numFmtId="166" fontId="3" fillId="0" borderId="19" xfId="1" applyNumberFormat="1" applyFont="1" applyFill="1" applyBorder="1" applyAlignment="1">
      <alignment horizontal="center" vertical="center"/>
    </xf>
    <xf numFmtId="166" fontId="3" fillId="0" borderId="58" xfId="1" applyNumberFormat="1" applyFont="1" applyFill="1" applyBorder="1" applyAlignment="1">
      <alignment horizontal="center" vertical="center"/>
    </xf>
    <xf numFmtId="166" fontId="3" fillId="0" borderId="15" xfId="1" applyNumberFormat="1" applyFont="1" applyFill="1" applyBorder="1" applyAlignment="1">
      <alignment horizontal="center" vertical="center"/>
    </xf>
    <xf numFmtId="166" fontId="3" fillId="0" borderId="60" xfId="1" applyNumberFormat="1" applyFont="1" applyFill="1" applyBorder="1" applyAlignment="1">
      <alignment horizontal="center" vertical="center"/>
    </xf>
    <xf numFmtId="166" fontId="3" fillId="0" borderId="57" xfId="1" applyNumberFormat="1" applyFont="1" applyFill="1" applyBorder="1" applyAlignment="1">
      <alignment horizontal="center" vertical="center"/>
    </xf>
    <xf numFmtId="166" fontId="3" fillId="0" borderId="55" xfId="1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166" fontId="3" fillId="0" borderId="33" xfId="1" applyNumberFormat="1" applyFont="1" applyFill="1" applyBorder="1" applyAlignment="1">
      <alignment horizontal="center" vertical="center"/>
    </xf>
    <xf numFmtId="166" fontId="3" fillId="0" borderId="42" xfId="1" applyNumberFormat="1" applyFont="1" applyFill="1" applyBorder="1" applyAlignment="1">
      <alignment horizontal="center" vertical="center"/>
    </xf>
    <xf numFmtId="166" fontId="3" fillId="0" borderId="61" xfId="1" applyNumberFormat="1" applyFont="1" applyFill="1" applyBorder="1" applyAlignment="1">
      <alignment horizontal="center" vertical="center"/>
    </xf>
    <xf numFmtId="166" fontId="3" fillId="0" borderId="60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166" fontId="3" fillId="0" borderId="15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66" fontId="3" fillId="0" borderId="19" xfId="0" applyNumberFormat="1" applyFont="1" applyFill="1" applyBorder="1" applyAlignment="1">
      <alignment horizontal="center" vertical="center"/>
    </xf>
    <xf numFmtId="166" fontId="3" fillId="0" borderId="52" xfId="0" applyNumberFormat="1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166" fontId="3" fillId="0" borderId="29" xfId="0" applyNumberFormat="1" applyFont="1" applyFill="1" applyBorder="1" applyAlignment="1">
      <alignment horizontal="center" vertical="center"/>
    </xf>
    <xf numFmtId="166" fontId="3" fillId="0" borderId="48" xfId="0" applyNumberFormat="1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66" fontId="3" fillId="0" borderId="34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166" fontId="3" fillId="0" borderId="61" xfId="0" applyNumberFormat="1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166" fontId="3" fillId="0" borderId="55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 vertical="center"/>
    </xf>
    <xf numFmtId="166" fontId="3" fillId="0" borderId="43" xfId="0" applyNumberFormat="1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166" fontId="3" fillId="0" borderId="37" xfId="0" applyNumberFormat="1" applyFont="1" applyFill="1" applyBorder="1" applyAlignment="1">
      <alignment horizontal="center" vertical="center"/>
    </xf>
    <xf numFmtId="166" fontId="3" fillId="0" borderId="28" xfId="0" applyNumberFormat="1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66" fontId="3" fillId="0" borderId="46" xfId="0" applyNumberFormat="1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4" fillId="4" borderId="69" xfId="0" applyFont="1" applyFill="1" applyBorder="1" applyAlignment="1">
      <alignment horizontal="center"/>
    </xf>
    <xf numFmtId="0" fontId="4" fillId="0" borderId="69" xfId="0" applyFont="1" applyFill="1" applyBorder="1" applyAlignment="1">
      <alignment horizontal="center"/>
    </xf>
  </cellXfs>
  <cellStyles count="5">
    <cellStyle name="Comma" xfId="1" builtinId="3"/>
    <cellStyle name="Comma 2" xfId="2"/>
    <cellStyle name="Comma 3" xf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02"/>
  <sheetViews>
    <sheetView zoomScaleNormal="100" workbookViewId="0">
      <selection activeCell="C63" sqref="C63"/>
    </sheetView>
  </sheetViews>
  <sheetFormatPr defaultRowHeight="15" x14ac:dyDescent="0.25"/>
  <cols>
    <col min="1" max="1" width="6.42578125" style="2" customWidth="1"/>
    <col min="2" max="2" width="15.140625" style="11" customWidth="1"/>
    <col min="3" max="3" width="53.7109375" style="2" customWidth="1"/>
    <col min="4" max="4" width="13.7109375" style="11" customWidth="1"/>
    <col min="5" max="5" width="13.7109375" style="2" customWidth="1"/>
    <col min="6" max="6" width="15" style="2" customWidth="1"/>
    <col min="7" max="16384" width="9.140625" style="2"/>
  </cols>
  <sheetData>
    <row r="1" spans="1:6" ht="15.75" thickBot="1" x14ac:dyDescent="0.3"/>
    <row r="2" spans="1:6" ht="15" customHeight="1" thickBot="1" x14ac:dyDescent="0.3">
      <c r="B2" s="350" t="s">
        <v>189</v>
      </c>
      <c r="C2" s="351"/>
    </row>
    <row r="7" spans="1:6" ht="28.5" x14ac:dyDescent="0.25">
      <c r="A7" s="4" t="s">
        <v>0</v>
      </c>
      <c r="B7" s="5" t="s">
        <v>1</v>
      </c>
      <c r="C7" s="4" t="s">
        <v>2</v>
      </c>
      <c r="D7" s="4" t="s">
        <v>3</v>
      </c>
      <c r="E7" s="4" t="s">
        <v>184</v>
      </c>
      <c r="F7" s="5" t="s">
        <v>4</v>
      </c>
    </row>
    <row r="8" spans="1:6" x14ac:dyDescent="0.25">
      <c r="A8" s="6">
        <v>1</v>
      </c>
      <c r="B8" s="10" t="s">
        <v>261</v>
      </c>
      <c r="C8" s="7" t="s">
        <v>262</v>
      </c>
      <c r="D8" s="26" t="s">
        <v>263</v>
      </c>
      <c r="E8" s="7">
        <v>124643</v>
      </c>
      <c r="F8" s="8"/>
    </row>
    <row r="9" spans="1:6" x14ac:dyDescent="0.25">
      <c r="A9" s="6">
        <v>2</v>
      </c>
      <c r="B9" s="10" t="s">
        <v>264</v>
      </c>
      <c r="C9" s="7" t="s">
        <v>265</v>
      </c>
      <c r="D9" s="26" t="s">
        <v>263</v>
      </c>
      <c r="E9" s="7">
        <v>165456</v>
      </c>
      <c r="F9" s="8"/>
    </row>
    <row r="10" spans="1:6" x14ac:dyDescent="0.25">
      <c r="A10" s="6">
        <v>3</v>
      </c>
      <c r="B10" s="10" t="s">
        <v>266</v>
      </c>
      <c r="C10" s="7" t="s">
        <v>267</v>
      </c>
      <c r="D10" s="26" t="s">
        <v>263</v>
      </c>
      <c r="E10" s="7">
        <v>272257</v>
      </c>
      <c r="F10" s="8"/>
    </row>
    <row r="11" spans="1:6" x14ac:dyDescent="0.25">
      <c r="A11" s="6">
        <v>4</v>
      </c>
      <c r="B11" s="10" t="s">
        <v>268</v>
      </c>
      <c r="C11" s="7" t="s">
        <v>269</v>
      </c>
      <c r="D11" s="26" t="s">
        <v>263</v>
      </c>
      <c r="E11" s="7">
        <v>169085</v>
      </c>
      <c r="F11" s="8"/>
    </row>
    <row r="12" spans="1:6" x14ac:dyDescent="0.25">
      <c r="A12" s="6">
        <v>5</v>
      </c>
      <c r="B12" s="10" t="s">
        <v>270</v>
      </c>
      <c r="C12" s="7" t="s">
        <v>271</v>
      </c>
      <c r="D12" s="26" t="s">
        <v>263</v>
      </c>
      <c r="E12" s="7"/>
      <c r="F12" s="8"/>
    </row>
    <row r="13" spans="1:6" x14ac:dyDescent="0.25">
      <c r="A13" s="6">
        <v>6</v>
      </c>
      <c r="B13" s="10" t="s">
        <v>272</v>
      </c>
      <c r="C13" s="7" t="s">
        <v>273</v>
      </c>
      <c r="D13" s="26" t="s">
        <v>263</v>
      </c>
      <c r="E13" s="7">
        <v>282312</v>
      </c>
      <c r="F13" s="8"/>
    </row>
    <row r="14" spans="1:6" x14ac:dyDescent="0.25">
      <c r="A14" s="6">
        <v>7</v>
      </c>
      <c r="B14" s="10" t="s">
        <v>274</v>
      </c>
      <c r="C14" s="7" t="s">
        <v>275</v>
      </c>
      <c r="D14" s="26" t="s">
        <v>263</v>
      </c>
      <c r="E14" s="7">
        <v>116500</v>
      </c>
      <c r="F14" s="8"/>
    </row>
    <row r="15" spans="1:6" x14ac:dyDescent="0.25">
      <c r="A15" s="6">
        <v>8</v>
      </c>
      <c r="B15" s="10" t="s">
        <v>276</v>
      </c>
      <c r="C15" s="7" t="s">
        <v>277</v>
      </c>
      <c r="D15" s="26" t="s">
        <v>263</v>
      </c>
      <c r="E15" s="7"/>
      <c r="F15" s="8"/>
    </row>
    <row r="16" spans="1:6" x14ac:dyDescent="0.25">
      <c r="A16" s="6">
        <v>9</v>
      </c>
      <c r="B16" s="10" t="s">
        <v>278</v>
      </c>
      <c r="C16" s="7" t="s">
        <v>279</v>
      </c>
      <c r="D16" s="26" t="s">
        <v>263</v>
      </c>
      <c r="E16" s="7">
        <v>220190</v>
      </c>
      <c r="F16" s="8"/>
    </row>
    <row r="17" spans="1:6" x14ac:dyDescent="0.25">
      <c r="A17" s="6">
        <v>10</v>
      </c>
      <c r="B17" s="10" t="s">
        <v>280</v>
      </c>
      <c r="C17" s="7" t="s">
        <v>281</v>
      </c>
      <c r="D17" s="26" t="s">
        <v>263</v>
      </c>
      <c r="E17" s="7">
        <v>217858</v>
      </c>
      <c r="F17" s="8"/>
    </row>
    <row r="18" spans="1:6" x14ac:dyDescent="0.25">
      <c r="A18" s="6">
        <v>11</v>
      </c>
      <c r="B18" s="10" t="s">
        <v>282</v>
      </c>
      <c r="C18" s="7" t="s">
        <v>283</v>
      </c>
      <c r="D18" s="26" t="s">
        <v>263</v>
      </c>
      <c r="E18" s="7"/>
      <c r="F18" s="8"/>
    </row>
    <row r="19" spans="1:6" x14ac:dyDescent="0.25">
      <c r="A19" s="6">
        <v>12</v>
      </c>
      <c r="B19" s="10" t="s">
        <v>284</v>
      </c>
      <c r="C19" s="7" t="s">
        <v>285</v>
      </c>
      <c r="D19" s="26" t="s">
        <v>263</v>
      </c>
      <c r="E19" s="7">
        <v>237384</v>
      </c>
      <c r="F19" s="8"/>
    </row>
    <row r="20" spans="1:6" x14ac:dyDescent="0.25">
      <c r="A20" s="6">
        <v>13</v>
      </c>
      <c r="B20" s="10" t="s">
        <v>286</v>
      </c>
      <c r="C20" s="7" t="s">
        <v>287</v>
      </c>
      <c r="D20" s="26" t="s">
        <v>263</v>
      </c>
      <c r="E20" s="7">
        <v>221400</v>
      </c>
      <c r="F20" s="8"/>
    </row>
    <row r="21" spans="1:6" x14ac:dyDescent="0.25">
      <c r="A21" s="6">
        <v>14</v>
      </c>
      <c r="B21" s="10" t="s">
        <v>288</v>
      </c>
      <c r="C21" s="7" t="s">
        <v>289</v>
      </c>
      <c r="D21" s="26" t="s">
        <v>263</v>
      </c>
      <c r="E21" s="7"/>
      <c r="F21" s="8"/>
    </row>
    <row r="22" spans="1:6" x14ac:dyDescent="0.25">
      <c r="A22" s="6">
        <v>15</v>
      </c>
      <c r="B22" s="10" t="s">
        <v>290</v>
      </c>
      <c r="C22" s="7" t="s">
        <v>291</v>
      </c>
      <c r="D22" s="26" t="s">
        <v>263</v>
      </c>
      <c r="E22" s="7">
        <v>224964</v>
      </c>
      <c r="F22" s="8"/>
    </row>
    <row r="23" spans="1:6" x14ac:dyDescent="0.25">
      <c r="A23" s="6">
        <v>16</v>
      </c>
      <c r="B23" s="10" t="s">
        <v>292</v>
      </c>
      <c r="C23" s="7" t="s">
        <v>293</v>
      </c>
      <c r="D23" s="26" t="s">
        <v>263</v>
      </c>
      <c r="E23" s="7">
        <v>207036</v>
      </c>
      <c r="F23" s="8"/>
    </row>
    <row r="24" spans="1:6" x14ac:dyDescent="0.25">
      <c r="A24" s="6">
        <v>17</v>
      </c>
      <c r="B24" s="10" t="s">
        <v>294</v>
      </c>
      <c r="C24" s="7" t="s">
        <v>295</v>
      </c>
      <c r="D24" s="26" t="s">
        <v>263</v>
      </c>
      <c r="E24" s="7">
        <v>131868</v>
      </c>
      <c r="F24" s="8"/>
    </row>
    <row r="25" spans="1:6" x14ac:dyDescent="0.25">
      <c r="A25" s="6">
        <v>18</v>
      </c>
      <c r="B25" s="10" t="s">
        <v>296</v>
      </c>
      <c r="C25" s="7" t="s">
        <v>297</v>
      </c>
      <c r="D25" s="26" t="s">
        <v>263</v>
      </c>
      <c r="E25" s="7">
        <v>74952</v>
      </c>
      <c r="F25" s="8"/>
    </row>
    <row r="26" spans="1:6" x14ac:dyDescent="0.25">
      <c r="A26" s="6">
        <v>19</v>
      </c>
      <c r="B26" s="10" t="s">
        <v>298</v>
      </c>
      <c r="C26" s="7" t="s">
        <v>299</v>
      </c>
      <c r="D26" s="26" t="s">
        <v>263</v>
      </c>
      <c r="E26" s="7">
        <v>448232</v>
      </c>
      <c r="F26" s="8"/>
    </row>
    <row r="27" spans="1:6" x14ac:dyDescent="0.25">
      <c r="A27" s="6">
        <v>20</v>
      </c>
      <c r="B27" s="10" t="s">
        <v>300</v>
      </c>
      <c r="C27" s="7" t="s">
        <v>301</v>
      </c>
      <c r="D27" s="26" t="s">
        <v>263</v>
      </c>
      <c r="E27" s="7"/>
      <c r="F27" s="8"/>
    </row>
    <row r="28" spans="1:6" x14ac:dyDescent="0.25">
      <c r="A28" s="6">
        <v>21</v>
      </c>
      <c r="B28" s="10" t="s">
        <v>302</v>
      </c>
      <c r="C28" s="7" t="s">
        <v>303</v>
      </c>
      <c r="D28" s="26" t="s">
        <v>263</v>
      </c>
      <c r="E28" s="7">
        <v>617123</v>
      </c>
      <c r="F28" s="8"/>
    </row>
    <row r="29" spans="1:6" x14ac:dyDescent="0.25">
      <c r="A29" s="6">
        <v>22</v>
      </c>
      <c r="B29" s="10" t="s">
        <v>304</v>
      </c>
      <c r="C29" s="7" t="s">
        <v>305</v>
      </c>
      <c r="D29" s="26" t="s">
        <v>263</v>
      </c>
      <c r="E29" s="7">
        <v>601236</v>
      </c>
      <c r="F29" s="8"/>
    </row>
    <row r="30" spans="1:6" x14ac:dyDescent="0.25">
      <c r="A30" s="6">
        <v>23</v>
      </c>
      <c r="B30" s="10" t="s">
        <v>306</v>
      </c>
      <c r="C30" s="7" t="s">
        <v>307</v>
      </c>
      <c r="D30" s="26" t="s">
        <v>263</v>
      </c>
      <c r="E30" s="7"/>
      <c r="F30" s="8"/>
    </row>
    <row r="31" spans="1:6" x14ac:dyDescent="0.25">
      <c r="A31" s="6">
        <v>24</v>
      </c>
      <c r="B31" s="10" t="s">
        <v>308</v>
      </c>
      <c r="C31" s="7" t="s">
        <v>309</v>
      </c>
      <c r="D31" s="26" t="s">
        <v>263</v>
      </c>
      <c r="E31" s="7">
        <v>570996</v>
      </c>
      <c r="F31" s="8"/>
    </row>
    <row r="32" spans="1:6" x14ac:dyDescent="0.25">
      <c r="A32" s="6">
        <v>25</v>
      </c>
      <c r="B32" s="10" t="s">
        <v>310</v>
      </c>
      <c r="C32" s="7" t="s">
        <v>311</v>
      </c>
      <c r="D32" s="26" t="s">
        <v>263</v>
      </c>
      <c r="E32" s="7">
        <v>570996</v>
      </c>
      <c r="F32" s="8"/>
    </row>
    <row r="33" spans="1:6" x14ac:dyDescent="0.25">
      <c r="A33" s="6">
        <v>26</v>
      </c>
      <c r="B33" s="10" t="s">
        <v>312</v>
      </c>
      <c r="C33" s="7" t="s">
        <v>313</v>
      </c>
      <c r="D33" s="26" t="s">
        <v>263</v>
      </c>
      <c r="E33" s="7">
        <v>357275</v>
      </c>
      <c r="F33" s="8"/>
    </row>
    <row r="34" spans="1:6" x14ac:dyDescent="0.25">
      <c r="A34" s="6">
        <v>27</v>
      </c>
      <c r="B34" s="10" t="s">
        <v>210</v>
      </c>
      <c r="C34" s="7" t="s">
        <v>211</v>
      </c>
      <c r="D34" s="26" t="s">
        <v>263</v>
      </c>
      <c r="E34" s="7">
        <v>576364</v>
      </c>
      <c r="F34" s="8"/>
    </row>
    <row r="35" spans="1:6" x14ac:dyDescent="0.25">
      <c r="A35" s="6">
        <v>28</v>
      </c>
      <c r="B35" s="10" t="s">
        <v>314</v>
      </c>
      <c r="C35" s="7" t="s">
        <v>315</v>
      </c>
      <c r="D35" s="26" t="s">
        <v>263</v>
      </c>
      <c r="E35" s="7">
        <v>336949</v>
      </c>
      <c r="F35" s="8"/>
    </row>
    <row r="36" spans="1:6" x14ac:dyDescent="0.25">
      <c r="A36" s="6">
        <v>29</v>
      </c>
      <c r="B36" s="10" t="s">
        <v>316</v>
      </c>
      <c r="C36" s="7" t="s">
        <v>317</v>
      </c>
      <c r="D36" s="26" t="s">
        <v>263</v>
      </c>
      <c r="E36" s="7">
        <v>323590</v>
      </c>
      <c r="F36" s="8"/>
    </row>
    <row r="37" spans="1:6" x14ac:dyDescent="0.25">
      <c r="A37" s="6">
        <v>30</v>
      </c>
      <c r="B37" s="10" t="s">
        <v>318</v>
      </c>
      <c r="C37" s="7" t="s">
        <v>319</v>
      </c>
      <c r="D37" s="26" t="s">
        <v>263</v>
      </c>
      <c r="E37" s="7">
        <v>289883</v>
      </c>
      <c r="F37" s="8"/>
    </row>
    <row r="38" spans="1:6" x14ac:dyDescent="0.25">
      <c r="A38" s="6">
        <v>31</v>
      </c>
      <c r="B38" s="10" t="s">
        <v>320</v>
      </c>
      <c r="C38" s="7" t="s">
        <v>321</v>
      </c>
      <c r="D38" s="26" t="s">
        <v>263</v>
      </c>
      <c r="E38" s="7">
        <v>283457</v>
      </c>
      <c r="F38" s="8"/>
    </row>
    <row r="39" spans="1:6" x14ac:dyDescent="0.25">
      <c r="A39" s="6">
        <v>32</v>
      </c>
      <c r="B39" s="10" t="s">
        <v>322</v>
      </c>
      <c r="C39" s="7" t="s">
        <v>323</v>
      </c>
      <c r="D39" s="26" t="s">
        <v>263</v>
      </c>
      <c r="E39" s="7">
        <v>283457</v>
      </c>
      <c r="F39" s="8"/>
    </row>
    <row r="40" spans="1:6" x14ac:dyDescent="0.25">
      <c r="A40" s="6">
        <v>33</v>
      </c>
      <c r="B40" s="10" t="s">
        <v>246</v>
      </c>
      <c r="C40" s="7" t="s">
        <v>247</v>
      </c>
      <c r="D40" s="26" t="s">
        <v>263</v>
      </c>
      <c r="E40" s="7">
        <v>642708</v>
      </c>
      <c r="F40" s="3"/>
    </row>
    <row r="41" spans="1:6" x14ac:dyDescent="0.25">
      <c r="A41" s="6">
        <v>34</v>
      </c>
      <c r="B41" s="10" t="s">
        <v>324</v>
      </c>
      <c r="C41" s="7" t="s">
        <v>325</v>
      </c>
      <c r="D41" s="26" t="s">
        <v>263</v>
      </c>
      <c r="E41" s="7">
        <v>396760</v>
      </c>
      <c r="F41" s="3"/>
    </row>
    <row r="42" spans="1:6" x14ac:dyDescent="0.25">
      <c r="A42" s="6">
        <v>35</v>
      </c>
      <c r="B42" s="10" t="s">
        <v>326</v>
      </c>
      <c r="C42" s="7" t="s">
        <v>327</v>
      </c>
      <c r="D42" s="26" t="s">
        <v>263</v>
      </c>
      <c r="E42" s="7">
        <v>236423</v>
      </c>
      <c r="F42" s="3"/>
    </row>
    <row r="43" spans="1:6" x14ac:dyDescent="0.25">
      <c r="A43" s="6">
        <v>36</v>
      </c>
      <c r="B43" s="10" t="s">
        <v>328</v>
      </c>
      <c r="C43" s="7" t="s">
        <v>329</v>
      </c>
      <c r="D43" s="26" t="s">
        <v>263</v>
      </c>
      <c r="E43" s="7">
        <v>185674</v>
      </c>
      <c r="F43" s="3"/>
    </row>
    <row r="44" spans="1:6" x14ac:dyDescent="0.25">
      <c r="A44" s="6">
        <v>37</v>
      </c>
      <c r="B44" s="10" t="s">
        <v>330</v>
      </c>
      <c r="C44" s="7" t="s">
        <v>331</v>
      </c>
      <c r="D44" s="26" t="s">
        <v>263</v>
      </c>
      <c r="E44" s="7">
        <v>675032</v>
      </c>
      <c r="F44" s="3"/>
    </row>
    <row r="45" spans="1:6" x14ac:dyDescent="0.25">
      <c r="A45" s="6">
        <v>38</v>
      </c>
      <c r="B45" s="10" t="s">
        <v>332</v>
      </c>
      <c r="C45" s="7" t="s">
        <v>333</v>
      </c>
      <c r="D45" s="26" t="s">
        <v>263</v>
      </c>
      <c r="E45" s="7">
        <v>681588</v>
      </c>
      <c r="F45" s="3"/>
    </row>
    <row r="46" spans="1:6" x14ac:dyDescent="0.25">
      <c r="A46" s="6">
        <v>39</v>
      </c>
      <c r="B46" s="10" t="s">
        <v>334</v>
      </c>
      <c r="C46" s="7" t="s">
        <v>335</v>
      </c>
      <c r="D46" s="26" t="s">
        <v>263</v>
      </c>
      <c r="E46" s="7">
        <v>382763</v>
      </c>
      <c r="F46" s="3"/>
    </row>
    <row r="47" spans="1:6" x14ac:dyDescent="0.25">
      <c r="A47" s="6">
        <v>40</v>
      </c>
      <c r="B47" s="10" t="s">
        <v>336</v>
      </c>
      <c r="C47" s="7" t="s">
        <v>337</v>
      </c>
      <c r="D47" s="26" t="s">
        <v>263</v>
      </c>
      <c r="E47" s="7">
        <v>373820</v>
      </c>
      <c r="F47" s="3"/>
    </row>
    <row r="48" spans="1:6" x14ac:dyDescent="0.25">
      <c r="A48" s="6">
        <v>41</v>
      </c>
      <c r="B48" s="10" t="s">
        <v>338</v>
      </c>
      <c r="C48" s="7" t="s">
        <v>339</v>
      </c>
      <c r="D48" s="26" t="s">
        <v>263</v>
      </c>
      <c r="E48" s="7">
        <v>380819</v>
      </c>
      <c r="F48" s="3"/>
    </row>
    <row r="49" spans="1:6" x14ac:dyDescent="0.25">
      <c r="A49" s="6">
        <v>42</v>
      </c>
      <c r="B49" s="10" t="s">
        <v>340</v>
      </c>
      <c r="C49" s="7" t="s">
        <v>341</v>
      </c>
      <c r="D49" s="26" t="s">
        <v>263</v>
      </c>
      <c r="E49" s="7">
        <v>370872</v>
      </c>
      <c r="F49" s="3"/>
    </row>
    <row r="50" spans="1:6" x14ac:dyDescent="0.25">
      <c r="A50" s="6">
        <v>43</v>
      </c>
      <c r="B50" s="10" t="s">
        <v>342</v>
      </c>
      <c r="C50" s="7" t="s">
        <v>343</v>
      </c>
      <c r="D50" s="26" t="s">
        <v>263</v>
      </c>
      <c r="E50" s="7"/>
      <c r="F50" s="3"/>
    </row>
    <row r="51" spans="1:6" x14ac:dyDescent="0.25">
      <c r="A51" s="6">
        <v>44</v>
      </c>
      <c r="B51" s="10" t="s">
        <v>344</v>
      </c>
      <c r="C51" s="7" t="s">
        <v>345</v>
      </c>
      <c r="D51" s="26" t="s">
        <v>263</v>
      </c>
      <c r="E51" s="7">
        <v>529200</v>
      </c>
      <c r="F51" s="3"/>
    </row>
    <row r="52" spans="1:6" x14ac:dyDescent="0.25">
      <c r="A52" s="6">
        <v>45</v>
      </c>
      <c r="B52" s="10" t="s">
        <v>346</v>
      </c>
      <c r="C52" s="7" t="s">
        <v>347</v>
      </c>
      <c r="D52" s="26" t="s">
        <v>263</v>
      </c>
      <c r="E52" s="7">
        <v>529200</v>
      </c>
      <c r="F52" s="3"/>
    </row>
    <row r="53" spans="1:6" x14ac:dyDescent="0.25">
      <c r="A53" s="6">
        <v>46</v>
      </c>
      <c r="B53" s="10" t="s">
        <v>348</v>
      </c>
      <c r="C53" s="7" t="s">
        <v>349</v>
      </c>
      <c r="D53" s="26" t="s">
        <v>263</v>
      </c>
      <c r="E53" s="7"/>
      <c r="F53" s="3"/>
    </row>
    <row r="54" spans="1:6" x14ac:dyDescent="0.25">
      <c r="A54" s="6">
        <v>47</v>
      </c>
      <c r="B54" s="10" t="s">
        <v>350</v>
      </c>
      <c r="C54" s="7" t="s">
        <v>351</v>
      </c>
      <c r="D54" s="26" t="s">
        <v>263</v>
      </c>
      <c r="E54" s="7">
        <v>367848</v>
      </c>
      <c r="F54" s="3"/>
    </row>
    <row r="55" spans="1:6" x14ac:dyDescent="0.25">
      <c r="A55" s="6">
        <v>48</v>
      </c>
      <c r="B55" s="10" t="s">
        <v>192</v>
      </c>
      <c r="C55" s="7" t="s">
        <v>193</v>
      </c>
      <c r="D55" s="26" t="s">
        <v>263</v>
      </c>
      <c r="E55" s="7">
        <v>367848</v>
      </c>
      <c r="F55" s="3"/>
    </row>
    <row r="56" spans="1:6" x14ac:dyDescent="0.25">
      <c r="A56" s="6">
        <v>49</v>
      </c>
      <c r="B56" s="10" t="s">
        <v>352</v>
      </c>
      <c r="C56" s="7" t="s">
        <v>353</v>
      </c>
      <c r="D56" s="26" t="s">
        <v>263</v>
      </c>
      <c r="E56" s="7">
        <v>275573</v>
      </c>
      <c r="F56" s="3"/>
    </row>
    <row r="57" spans="1:6" x14ac:dyDescent="0.25">
      <c r="A57" s="6">
        <v>50</v>
      </c>
      <c r="B57" s="10" t="s">
        <v>354</v>
      </c>
      <c r="C57" s="7" t="s">
        <v>355</v>
      </c>
      <c r="D57" s="26" t="s">
        <v>263</v>
      </c>
      <c r="E57" s="7">
        <v>275573</v>
      </c>
      <c r="F57" s="3"/>
    </row>
    <row r="58" spans="1:6" x14ac:dyDescent="0.25">
      <c r="A58" s="6">
        <v>51</v>
      </c>
      <c r="B58" s="10" t="s">
        <v>356</v>
      </c>
      <c r="C58" s="7" t="s">
        <v>357</v>
      </c>
      <c r="D58" s="26" t="s">
        <v>263</v>
      </c>
      <c r="E58" s="7">
        <v>471852</v>
      </c>
      <c r="F58" s="3"/>
    </row>
    <row r="59" spans="1:6" x14ac:dyDescent="0.25">
      <c r="A59" s="6">
        <v>52</v>
      </c>
      <c r="B59" s="10" t="s">
        <v>358</v>
      </c>
      <c r="C59" s="7" t="s">
        <v>359</v>
      </c>
      <c r="D59" s="26" t="s">
        <v>263</v>
      </c>
      <c r="E59" s="7">
        <v>439992</v>
      </c>
      <c r="F59" s="3"/>
    </row>
    <row r="60" spans="1:6" x14ac:dyDescent="0.25">
      <c r="A60" s="6">
        <v>53</v>
      </c>
      <c r="B60" s="10" t="s">
        <v>360</v>
      </c>
      <c r="C60" s="7" t="s">
        <v>361</v>
      </c>
      <c r="D60" s="26" t="s">
        <v>263</v>
      </c>
      <c r="E60" s="7">
        <v>423900</v>
      </c>
      <c r="F60" s="3"/>
    </row>
    <row r="61" spans="1:6" x14ac:dyDescent="0.25">
      <c r="A61" s="6">
        <v>54</v>
      </c>
      <c r="B61" s="10" t="s">
        <v>206</v>
      </c>
      <c r="C61" s="7" t="s">
        <v>207</v>
      </c>
      <c r="D61" s="26" t="s">
        <v>263</v>
      </c>
      <c r="E61" s="7">
        <v>606636</v>
      </c>
      <c r="F61" s="3"/>
    </row>
    <row r="62" spans="1:6" x14ac:dyDescent="0.25">
      <c r="A62" s="6">
        <v>55</v>
      </c>
      <c r="B62" s="10" t="s">
        <v>362</v>
      </c>
      <c r="C62" s="7" t="s">
        <v>363</v>
      </c>
      <c r="D62" s="26" t="s">
        <v>263</v>
      </c>
      <c r="E62" s="7">
        <v>472392</v>
      </c>
      <c r="F62" s="3"/>
    </row>
    <row r="63" spans="1:6" x14ac:dyDescent="0.25">
      <c r="A63" s="6">
        <v>56</v>
      </c>
      <c r="B63" s="10" t="s">
        <v>364</v>
      </c>
      <c r="C63" s="7" t="s">
        <v>365</v>
      </c>
      <c r="D63" s="26" t="s">
        <v>263</v>
      </c>
      <c r="E63" s="7">
        <v>440532</v>
      </c>
      <c r="F63" s="3"/>
    </row>
    <row r="64" spans="1:6" x14ac:dyDescent="0.25">
      <c r="A64" s="6">
        <v>57</v>
      </c>
      <c r="B64" s="10" t="s">
        <v>366</v>
      </c>
      <c r="C64" s="7" t="s">
        <v>367</v>
      </c>
      <c r="D64" s="26" t="s">
        <v>263</v>
      </c>
      <c r="E64" s="7">
        <v>424440</v>
      </c>
      <c r="F64" s="3"/>
    </row>
    <row r="65" spans="1:6" x14ac:dyDescent="0.25">
      <c r="A65" s="6">
        <v>58</v>
      </c>
      <c r="B65" s="10" t="s">
        <v>208</v>
      </c>
      <c r="C65" s="7" t="s">
        <v>209</v>
      </c>
      <c r="D65" s="26" t="s">
        <v>263</v>
      </c>
      <c r="E65" s="7">
        <v>12409</v>
      </c>
      <c r="F65" s="3"/>
    </row>
    <row r="66" spans="1:6" x14ac:dyDescent="0.25">
      <c r="A66" s="6">
        <v>59</v>
      </c>
      <c r="B66" s="10" t="s">
        <v>774</v>
      </c>
      <c r="C66" s="7" t="s">
        <v>368</v>
      </c>
      <c r="D66" s="26" t="s">
        <v>263</v>
      </c>
      <c r="E66" s="7">
        <v>8230</v>
      </c>
      <c r="F66" s="3"/>
    </row>
    <row r="67" spans="1:6" x14ac:dyDescent="0.25">
      <c r="A67" s="6">
        <v>60</v>
      </c>
      <c r="B67" s="10" t="s">
        <v>369</v>
      </c>
      <c r="C67" s="7" t="s">
        <v>370</v>
      </c>
      <c r="D67" s="26" t="s">
        <v>263</v>
      </c>
      <c r="E67" s="7">
        <v>12409</v>
      </c>
      <c r="F67" s="3"/>
    </row>
    <row r="68" spans="1:6" x14ac:dyDescent="0.25">
      <c r="A68" s="6">
        <v>61</v>
      </c>
      <c r="B68" s="10" t="s">
        <v>371</v>
      </c>
      <c r="C68" s="7" t="s">
        <v>372</v>
      </c>
      <c r="D68" s="26" t="s">
        <v>263</v>
      </c>
      <c r="E68" s="7">
        <v>12409</v>
      </c>
      <c r="F68" s="3"/>
    </row>
    <row r="69" spans="1:6" x14ac:dyDescent="0.25">
      <c r="A69" s="6">
        <v>62</v>
      </c>
      <c r="B69" s="10" t="s">
        <v>373</v>
      </c>
      <c r="C69" s="7" t="s">
        <v>374</v>
      </c>
      <c r="D69" s="26" t="s">
        <v>263</v>
      </c>
      <c r="E69" s="7">
        <v>8230</v>
      </c>
      <c r="F69" s="3"/>
    </row>
    <row r="70" spans="1:6" x14ac:dyDescent="0.25">
      <c r="A70" s="6">
        <v>63</v>
      </c>
      <c r="B70" s="10" t="s">
        <v>8</v>
      </c>
      <c r="C70" s="7" t="s">
        <v>9</v>
      </c>
      <c r="D70" s="26" t="s">
        <v>263</v>
      </c>
      <c r="E70" s="7">
        <v>13025</v>
      </c>
      <c r="F70" s="3"/>
    </row>
    <row r="71" spans="1:6" x14ac:dyDescent="0.25">
      <c r="A71" s="6">
        <v>64</v>
      </c>
      <c r="B71" s="10" t="s">
        <v>10</v>
      </c>
      <c r="C71" s="7" t="s">
        <v>11</v>
      </c>
      <c r="D71" s="26" t="s">
        <v>263</v>
      </c>
      <c r="E71" s="7">
        <v>8640</v>
      </c>
      <c r="F71" s="3"/>
    </row>
    <row r="72" spans="1:6" x14ac:dyDescent="0.25">
      <c r="A72" s="6">
        <v>65</v>
      </c>
      <c r="B72" s="10" t="s">
        <v>375</v>
      </c>
      <c r="C72" s="7" t="s">
        <v>376</v>
      </c>
      <c r="D72" s="26" t="s">
        <v>263</v>
      </c>
      <c r="E72" s="7"/>
      <c r="F72" s="3"/>
    </row>
    <row r="73" spans="1:6" x14ac:dyDescent="0.25">
      <c r="A73" s="6">
        <v>66</v>
      </c>
      <c r="B73" s="10" t="s">
        <v>377</v>
      </c>
      <c r="C73" s="7" t="s">
        <v>378</v>
      </c>
      <c r="D73" s="26" t="s">
        <v>263</v>
      </c>
      <c r="E73" s="7">
        <v>14807</v>
      </c>
      <c r="F73" s="3"/>
    </row>
    <row r="74" spans="1:6" x14ac:dyDescent="0.25">
      <c r="A74" s="6">
        <v>67</v>
      </c>
      <c r="B74" s="10" t="s">
        <v>379</v>
      </c>
      <c r="C74" s="7" t="s">
        <v>380</v>
      </c>
      <c r="D74" s="26" t="s">
        <v>263</v>
      </c>
      <c r="E74" s="7">
        <v>9180</v>
      </c>
      <c r="F74" s="3"/>
    </row>
    <row r="75" spans="1:6" x14ac:dyDescent="0.25">
      <c r="A75" s="6">
        <v>68</v>
      </c>
      <c r="B75" s="10" t="s">
        <v>251</v>
      </c>
      <c r="C75" s="7" t="s">
        <v>252</v>
      </c>
      <c r="D75" s="26" t="s">
        <v>263</v>
      </c>
      <c r="E75" s="7">
        <v>9180</v>
      </c>
      <c r="F75" s="3"/>
    </row>
    <row r="76" spans="1:6" x14ac:dyDescent="0.25">
      <c r="A76" s="6">
        <v>69</v>
      </c>
      <c r="B76" s="10" t="s">
        <v>381</v>
      </c>
      <c r="C76" s="7" t="s">
        <v>382</v>
      </c>
      <c r="D76" s="26" t="s">
        <v>263</v>
      </c>
      <c r="E76" s="7">
        <v>25974</v>
      </c>
      <c r="F76" s="3"/>
    </row>
    <row r="77" spans="1:6" x14ac:dyDescent="0.25">
      <c r="A77" s="6">
        <v>70</v>
      </c>
      <c r="B77" s="10" t="s">
        <v>383</v>
      </c>
      <c r="C77" s="7" t="s">
        <v>384</v>
      </c>
      <c r="D77" s="26" t="s">
        <v>263</v>
      </c>
      <c r="E77" s="7">
        <v>17604</v>
      </c>
      <c r="F77" s="3"/>
    </row>
    <row r="78" spans="1:6" x14ac:dyDescent="0.25">
      <c r="A78" s="6">
        <v>71</v>
      </c>
      <c r="B78" s="10" t="s">
        <v>385</v>
      </c>
      <c r="C78" s="7" t="s">
        <v>386</v>
      </c>
      <c r="D78" s="26" t="s">
        <v>263</v>
      </c>
      <c r="E78" s="7">
        <v>15012</v>
      </c>
      <c r="F78" s="1"/>
    </row>
    <row r="79" spans="1:6" x14ac:dyDescent="0.25">
      <c r="A79" s="6">
        <v>72</v>
      </c>
      <c r="B79" s="10" t="s">
        <v>387</v>
      </c>
      <c r="C79" s="7" t="s">
        <v>388</v>
      </c>
      <c r="D79" s="26" t="s">
        <v>263</v>
      </c>
      <c r="E79" s="7">
        <v>9396</v>
      </c>
      <c r="F79" s="1"/>
    </row>
    <row r="80" spans="1:6" x14ac:dyDescent="0.25">
      <c r="A80" s="6">
        <v>73</v>
      </c>
      <c r="B80" s="10" t="s">
        <v>389</v>
      </c>
      <c r="C80" s="7" t="s">
        <v>390</v>
      </c>
      <c r="D80" s="26" t="s">
        <v>263</v>
      </c>
      <c r="E80" s="7">
        <v>15746</v>
      </c>
      <c r="F80" s="1"/>
    </row>
    <row r="81" spans="1:6" x14ac:dyDescent="0.25">
      <c r="A81" s="6">
        <v>74</v>
      </c>
      <c r="B81" s="10" t="s">
        <v>391</v>
      </c>
      <c r="C81" s="7" t="s">
        <v>392</v>
      </c>
      <c r="D81" s="26" t="s">
        <v>263</v>
      </c>
      <c r="E81" s="7">
        <v>9860</v>
      </c>
      <c r="F81" s="1"/>
    </row>
    <row r="82" spans="1:6" x14ac:dyDescent="0.25">
      <c r="A82" s="6">
        <v>75</v>
      </c>
      <c r="B82" s="10" t="s">
        <v>240</v>
      </c>
      <c r="C82" s="7" t="s">
        <v>241</v>
      </c>
      <c r="D82" s="26" t="s">
        <v>393</v>
      </c>
      <c r="E82" s="7">
        <v>26978</v>
      </c>
      <c r="F82" s="1"/>
    </row>
    <row r="83" spans="1:6" x14ac:dyDescent="0.25">
      <c r="A83" s="6">
        <v>76</v>
      </c>
      <c r="B83" s="10" t="s">
        <v>394</v>
      </c>
      <c r="C83" s="7" t="s">
        <v>395</v>
      </c>
      <c r="D83" s="26" t="s">
        <v>263</v>
      </c>
      <c r="E83" s="7">
        <v>86724</v>
      </c>
      <c r="F83" s="1"/>
    </row>
    <row r="84" spans="1:6" x14ac:dyDescent="0.25">
      <c r="A84" s="6">
        <v>77</v>
      </c>
      <c r="B84" s="10" t="s">
        <v>396</v>
      </c>
      <c r="C84" s="7" t="s">
        <v>397</v>
      </c>
      <c r="D84" s="26" t="s">
        <v>263</v>
      </c>
      <c r="E84" s="7"/>
      <c r="F84" s="1"/>
    </row>
    <row r="85" spans="1:6" x14ac:dyDescent="0.25">
      <c r="A85" s="6">
        <v>78</v>
      </c>
      <c r="B85" s="10" t="s">
        <v>398</v>
      </c>
      <c r="C85" s="7" t="s">
        <v>399</v>
      </c>
      <c r="D85" s="26" t="s">
        <v>263</v>
      </c>
      <c r="E85" s="7">
        <v>86724</v>
      </c>
      <c r="F85" s="3"/>
    </row>
    <row r="86" spans="1:6" x14ac:dyDescent="0.25">
      <c r="A86" s="6">
        <v>79</v>
      </c>
      <c r="B86" s="10" t="s">
        <v>400</v>
      </c>
      <c r="C86" s="7" t="s">
        <v>401</v>
      </c>
      <c r="D86" s="26" t="s">
        <v>263</v>
      </c>
      <c r="E86" s="7"/>
      <c r="F86" s="3"/>
    </row>
    <row r="87" spans="1:6" x14ac:dyDescent="0.25">
      <c r="A87" s="6">
        <v>80</v>
      </c>
      <c r="B87" s="10" t="s">
        <v>402</v>
      </c>
      <c r="C87" s="7" t="s">
        <v>403</v>
      </c>
      <c r="D87" s="26" t="s">
        <v>263</v>
      </c>
      <c r="E87" s="7"/>
      <c r="F87" s="3"/>
    </row>
    <row r="88" spans="1:6" x14ac:dyDescent="0.25">
      <c r="A88" s="6">
        <v>81</v>
      </c>
      <c r="B88" s="10" t="s">
        <v>404</v>
      </c>
      <c r="C88" s="7" t="s">
        <v>405</v>
      </c>
      <c r="D88" s="26" t="s">
        <v>263</v>
      </c>
      <c r="E88" s="7">
        <v>95580</v>
      </c>
      <c r="F88" s="3"/>
    </row>
    <row r="89" spans="1:6" x14ac:dyDescent="0.25">
      <c r="A89" s="6">
        <v>82</v>
      </c>
      <c r="B89" s="10" t="s">
        <v>406</v>
      </c>
      <c r="C89" s="7" t="s">
        <v>407</v>
      </c>
      <c r="D89" s="26" t="s">
        <v>263</v>
      </c>
      <c r="E89" s="7"/>
      <c r="F89" s="3"/>
    </row>
    <row r="90" spans="1:6" x14ac:dyDescent="0.25">
      <c r="A90" s="6">
        <v>83</v>
      </c>
      <c r="B90" s="10" t="s">
        <v>408</v>
      </c>
      <c r="C90" s="7" t="s">
        <v>409</v>
      </c>
      <c r="D90" s="26" t="s">
        <v>263</v>
      </c>
      <c r="E90" s="7"/>
      <c r="F90" s="3"/>
    </row>
    <row r="91" spans="1:6" x14ac:dyDescent="0.25">
      <c r="A91" s="6">
        <v>84</v>
      </c>
      <c r="B91" s="10" t="s">
        <v>410</v>
      </c>
      <c r="C91" s="7" t="s">
        <v>411</v>
      </c>
      <c r="D91" s="26" t="s">
        <v>263</v>
      </c>
      <c r="E91" s="7"/>
      <c r="F91" s="3"/>
    </row>
    <row r="92" spans="1:6" x14ac:dyDescent="0.25">
      <c r="A92" s="6">
        <v>85</v>
      </c>
      <c r="B92" s="10" t="s">
        <v>412</v>
      </c>
      <c r="C92" s="7" t="s">
        <v>413</v>
      </c>
      <c r="D92" s="26" t="s">
        <v>263</v>
      </c>
      <c r="E92" s="7">
        <v>86832</v>
      </c>
      <c r="F92" s="3"/>
    </row>
    <row r="93" spans="1:6" x14ac:dyDescent="0.25">
      <c r="A93" s="6">
        <v>86</v>
      </c>
      <c r="B93" s="10" t="s">
        <v>414</v>
      </c>
      <c r="C93" s="7" t="s">
        <v>415</v>
      </c>
      <c r="D93" s="26" t="s">
        <v>263</v>
      </c>
      <c r="E93" s="7"/>
      <c r="F93" s="3"/>
    </row>
    <row r="94" spans="1:6" x14ac:dyDescent="0.25">
      <c r="A94" s="6">
        <v>87</v>
      </c>
      <c r="B94" s="10" t="s">
        <v>416</v>
      </c>
      <c r="C94" s="7" t="s">
        <v>417</v>
      </c>
      <c r="D94" s="26" t="s">
        <v>263</v>
      </c>
      <c r="E94" s="7"/>
      <c r="F94" s="3"/>
    </row>
    <row r="95" spans="1:6" x14ac:dyDescent="0.25">
      <c r="A95" s="6">
        <v>88</v>
      </c>
      <c r="B95" s="10" t="s">
        <v>418</v>
      </c>
      <c r="C95" s="7" t="s">
        <v>419</v>
      </c>
      <c r="D95" s="26" t="s">
        <v>263</v>
      </c>
      <c r="E95" s="7">
        <v>55728</v>
      </c>
      <c r="F95" s="3"/>
    </row>
    <row r="96" spans="1:6" x14ac:dyDescent="0.25">
      <c r="A96" s="6">
        <v>89</v>
      </c>
      <c r="B96" s="10" t="s">
        <v>420</v>
      </c>
      <c r="C96" s="7" t="s">
        <v>421</v>
      </c>
      <c r="D96" s="26" t="s">
        <v>263</v>
      </c>
      <c r="E96" s="7">
        <v>55728</v>
      </c>
      <c r="F96" s="3"/>
    </row>
    <row r="97" spans="1:6" x14ac:dyDescent="0.25">
      <c r="A97" s="6">
        <v>90</v>
      </c>
      <c r="B97" s="10" t="s">
        <v>422</v>
      </c>
      <c r="C97" s="7" t="s">
        <v>423</v>
      </c>
      <c r="D97" s="26" t="s">
        <v>263</v>
      </c>
      <c r="E97" s="7"/>
      <c r="F97" s="3"/>
    </row>
    <row r="98" spans="1:6" x14ac:dyDescent="0.25">
      <c r="A98" s="6">
        <v>91</v>
      </c>
      <c r="B98" s="10" t="s">
        <v>424</v>
      </c>
      <c r="C98" s="7" t="s">
        <v>425</v>
      </c>
      <c r="D98" s="26" t="s">
        <v>263</v>
      </c>
      <c r="E98" s="7"/>
      <c r="F98" s="3"/>
    </row>
    <row r="99" spans="1:6" x14ac:dyDescent="0.25">
      <c r="A99" s="6">
        <v>92</v>
      </c>
      <c r="B99" s="10" t="s">
        <v>426</v>
      </c>
      <c r="C99" s="7" t="s">
        <v>427</v>
      </c>
      <c r="D99" s="26" t="s">
        <v>263</v>
      </c>
      <c r="E99" s="7">
        <v>51300</v>
      </c>
      <c r="F99" s="3"/>
    </row>
    <row r="100" spans="1:6" x14ac:dyDescent="0.25">
      <c r="A100" s="6">
        <v>93</v>
      </c>
      <c r="B100" s="10" t="s">
        <v>428</v>
      </c>
      <c r="C100" s="7" t="s">
        <v>429</v>
      </c>
      <c r="D100" s="26" t="s">
        <v>263</v>
      </c>
      <c r="E100" s="7"/>
      <c r="F100" s="3"/>
    </row>
    <row r="101" spans="1:6" x14ac:dyDescent="0.25">
      <c r="A101" s="6">
        <v>94</v>
      </c>
      <c r="B101" s="10" t="s">
        <v>430</v>
      </c>
      <c r="C101" s="7" t="s">
        <v>431</v>
      </c>
      <c r="D101" s="26" t="s">
        <v>263</v>
      </c>
      <c r="E101" s="7">
        <v>53352</v>
      </c>
      <c r="F101" s="3"/>
    </row>
    <row r="102" spans="1:6" x14ac:dyDescent="0.25">
      <c r="A102" s="6">
        <v>95</v>
      </c>
      <c r="B102" s="10" t="s">
        <v>432</v>
      </c>
      <c r="C102" s="7" t="s">
        <v>433</v>
      </c>
      <c r="D102" s="26" t="s">
        <v>263</v>
      </c>
      <c r="E102" s="7">
        <v>62424</v>
      </c>
      <c r="F102" s="3"/>
    </row>
    <row r="103" spans="1:6" x14ac:dyDescent="0.25">
      <c r="A103" s="6">
        <v>96</v>
      </c>
      <c r="B103" s="10" t="s">
        <v>434</v>
      </c>
      <c r="C103" s="7" t="s">
        <v>435</v>
      </c>
      <c r="D103" s="26" t="s">
        <v>263</v>
      </c>
      <c r="E103" s="7">
        <v>82404</v>
      </c>
      <c r="F103" s="3"/>
    </row>
    <row r="104" spans="1:6" x14ac:dyDescent="0.25">
      <c r="A104" s="6">
        <v>97</v>
      </c>
      <c r="B104" s="10" t="s">
        <v>436</v>
      </c>
      <c r="C104" s="7" t="s">
        <v>437</v>
      </c>
      <c r="D104" s="26" t="s">
        <v>263</v>
      </c>
      <c r="E104" s="7"/>
      <c r="F104" s="3"/>
    </row>
    <row r="105" spans="1:6" x14ac:dyDescent="0.25">
      <c r="A105" s="6">
        <v>98</v>
      </c>
      <c r="B105" s="10" t="s">
        <v>438</v>
      </c>
      <c r="C105" s="7" t="s">
        <v>439</v>
      </c>
      <c r="D105" s="26" t="s">
        <v>263</v>
      </c>
      <c r="E105" s="7"/>
      <c r="F105" s="3"/>
    </row>
    <row r="106" spans="1:6" x14ac:dyDescent="0.25">
      <c r="A106" s="6">
        <v>99</v>
      </c>
      <c r="B106" s="10" t="s">
        <v>440</v>
      </c>
      <c r="C106" s="7" t="s">
        <v>441</v>
      </c>
      <c r="D106" s="26" t="s">
        <v>263</v>
      </c>
      <c r="E106" s="7"/>
      <c r="F106" s="3"/>
    </row>
    <row r="107" spans="1:6" x14ac:dyDescent="0.25">
      <c r="A107" s="6">
        <v>100</v>
      </c>
      <c r="B107" s="10" t="s">
        <v>442</v>
      </c>
      <c r="C107" s="7" t="s">
        <v>443</v>
      </c>
      <c r="D107" s="26" t="s">
        <v>263</v>
      </c>
      <c r="E107" s="7"/>
      <c r="F107" s="18"/>
    </row>
    <row r="108" spans="1:6" x14ac:dyDescent="0.25">
      <c r="A108" s="6">
        <v>101</v>
      </c>
      <c r="B108" s="10" t="s">
        <v>12</v>
      </c>
      <c r="C108" s="7" t="s">
        <v>13</v>
      </c>
      <c r="D108" s="26" t="s">
        <v>444</v>
      </c>
      <c r="E108" s="7">
        <v>24419</v>
      </c>
      <c r="F108" s="3"/>
    </row>
    <row r="109" spans="1:6" x14ac:dyDescent="0.25">
      <c r="A109" s="6">
        <v>102</v>
      </c>
      <c r="B109" s="10" t="s">
        <v>445</v>
      </c>
      <c r="C109" s="7" t="s">
        <v>446</v>
      </c>
      <c r="D109" s="26" t="s">
        <v>444</v>
      </c>
      <c r="E109" s="7">
        <v>24419</v>
      </c>
      <c r="F109" s="3"/>
    </row>
    <row r="110" spans="1:6" x14ac:dyDescent="0.25">
      <c r="A110" s="6">
        <v>103</v>
      </c>
      <c r="B110" s="10" t="s">
        <v>14</v>
      </c>
      <c r="C110" s="7" t="s">
        <v>15</v>
      </c>
      <c r="D110" s="26" t="s">
        <v>263</v>
      </c>
      <c r="E110" s="7">
        <v>24419</v>
      </c>
      <c r="F110" s="3"/>
    </row>
    <row r="111" spans="1:6" x14ac:dyDescent="0.25">
      <c r="A111" s="6">
        <v>104</v>
      </c>
      <c r="B111" s="10" t="s">
        <v>16</v>
      </c>
      <c r="C111" s="7" t="s">
        <v>17</v>
      </c>
      <c r="D111" s="26" t="s">
        <v>263</v>
      </c>
      <c r="E111" s="7">
        <v>53039</v>
      </c>
      <c r="F111" s="3"/>
    </row>
    <row r="112" spans="1:6" x14ac:dyDescent="0.25">
      <c r="A112" s="6">
        <v>105</v>
      </c>
      <c r="B112" s="10" t="s">
        <v>18</v>
      </c>
      <c r="C112" s="7" t="s">
        <v>19</v>
      </c>
      <c r="D112" s="26" t="s">
        <v>263</v>
      </c>
      <c r="E112" s="7">
        <v>19051</v>
      </c>
      <c r="F112" s="3"/>
    </row>
    <row r="113" spans="1:6" x14ac:dyDescent="0.25">
      <c r="A113" s="6">
        <v>106</v>
      </c>
      <c r="B113" s="10" t="s">
        <v>20</v>
      </c>
      <c r="C113" s="7" t="s">
        <v>21</v>
      </c>
      <c r="D113" s="26" t="s">
        <v>263</v>
      </c>
      <c r="E113" s="7">
        <v>19051</v>
      </c>
      <c r="F113" s="3"/>
    </row>
    <row r="114" spans="1:6" x14ac:dyDescent="0.25">
      <c r="A114" s="6">
        <v>107</v>
      </c>
      <c r="B114" s="10" t="s">
        <v>447</v>
      </c>
      <c r="C114" s="7" t="s">
        <v>448</v>
      </c>
      <c r="D114" s="26" t="s">
        <v>444</v>
      </c>
      <c r="E114" s="7"/>
      <c r="F114" s="3"/>
    </row>
    <row r="115" spans="1:6" x14ac:dyDescent="0.25">
      <c r="A115" s="6">
        <v>108</v>
      </c>
      <c r="B115" s="10" t="s">
        <v>22</v>
      </c>
      <c r="C115" s="7" t="s">
        <v>23</v>
      </c>
      <c r="D115" s="26" t="s">
        <v>263</v>
      </c>
      <c r="E115" s="7">
        <v>63256</v>
      </c>
      <c r="F115" s="3"/>
    </row>
    <row r="116" spans="1:6" x14ac:dyDescent="0.25">
      <c r="A116" s="6">
        <v>109</v>
      </c>
      <c r="B116" s="10" t="s">
        <v>24</v>
      </c>
      <c r="C116" s="7" t="s">
        <v>25</v>
      </c>
      <c r="D116" s="26" t="s">
        <v>444</v>
      </c>
      <c r="E116" s="7">
        <v>23339</v>
      </c>
      <c r="F116" s="3"/>
    </row>
    <row r="117" spans="1:6" x14ac:dyDescent="0.25">
      <c r="A117" s="6">
        <v>110</v>
      </c>
      <c r="B117" s="10" t="s">
        <v>26</v>
      </c>
      <c r="C117" s="7" t="s">
        <v>27</v>
      </c>
      <c r="D117" s="26" t="s">
        <v>263</v>
      </c>
      <c r="E117" s="7">
        <v>74099</v>
      </c>
      <c r="F117" s="3"/>
    </row>
    <row r="118" spans="1:6" x14ac:dyDescent="0.25">
      <c r="A118" s="6">
        <v>111</v>
      </c>
      <c r="B118" s="10" t="s">
        <v>28</v>
      </c>
      <c r="C118" s="7" t="s">
        <v>29</v>
      </c>
      <c r="D118" s="26" t="s">
        <v>263</v>
      </c>
      <c r="E118" s="7">
        <v>23339</v>
      </c>
      <c r="F118" s="3"/>
    </row>
    <row r="119" spans="1:6" x14ac:dyDescent="0.25">
      <c r="A119" s="6">
        <v>112</v>
      </c>
      <c r="B119" s="10" t="s">
        <v>30</v>
      </c>
      <c r="C119" s="7" t="s">
        <v>31</v>
      </c>
      <c r="D119" s="26" t="s">
        <v>449</v>
      </c>
      <c r="E119" s="7">
        <v>18468</v>
      </c>
      <c r="F119" s="3"/>
    </row>
    <row r="120" spans="1:6" x14ac:dyDescent="0.25">
      <c r="A120" s="6">
        <v>113</v>
      </c>
      <c r="B120" s="10" t="s">
        <v>32</v>
      </c>
      <c r="C120" s="7" t="s">
        <v>33</v>
      </c>
      <c r="D120" s="26" t="s">
        <v>444</v>
      </c>
      <c r="E120" s="7">
        <v>29786</v>
      </c>
      <c r="F120" s="3"/>
    </row>
    <row r="121" spans="1:6" x14ac:dyDescent="0.25">
      <c r="A121" s="6">
        <v>114</v>
      </c>
      <c r="B121" s="10" t="s">
        <v>34</v>
      </c>
      <c r="C121" s="7" t="s">
        <v>35</v>
      </c>
      <c r="D121" s="26" t="s">
        <v>263</v>
      </c>
      <c r="E121" s="7">
        <v>4320</v>
      </c>
      <c r="F121" s="3"/>
    </row>
    <row r="122" spans="1:6" x14ac:dyDescent="0.25">
      <c r="A122" s="6">
        <v>115</v>
      </c>
      <c r="B122" s="10" t="s">
        <v>202</v>
      </c>
      <c r="C122" s="7" t="s">
        <v>203</v>
      </c>
      <c r="D122" s="26" t="s">
        <v>263</v>
      </c>
      <c r="E122" s="7">
        <v>11988</v>
      </c>
      <c r="F122" s="3"/>
    </row>
    <row r="123" spans="1:6" x14ac:dyDescent="0.25">
      <c r="A123" s="6">
        <v>116</v>
      </c>
      <c r="B123" s="10" t="s">
        <v>220</v>
      </c>
      <c r="C123" s="7" t="s">
        <v>221</v>
      </c>
      <c r="D123" s="26" t="s">
        <v>263</v>
      </c>
      <c r="E123" s="7">
        <v>7906</v>
      </c>
      <c r="F123" s="3"/>
    </row>
    <row r="124" spans="1:6" x14ac:dyDescent="0.25">
      <c r="A124" s="6">
        <v>117</v>
      </c>
      <c r="B124" s="10" t="s">
        <v>450</v>
      </c>
      <c r="C124" s="7" t="s">
        <v>451</v>
      </c>
      <c r="D124" s="26" t="s">
        <v>263</v>
      </c>
      <c r="E124" s="7"/>
      <c r="F124" s="3"/>
    </row>
    <row r="125" spans="1:6" x14ac:dyDescent="0.25">
      <c r="A125" s="6">
        <v>118</v>
      </c>
      <c r="B125" s="10" t="s">
        <v>253</v>
      </c>
      <c r="C125" s="7" t="s">
        <v>254</v>
      </c>
      <c r="D125" s="26" t="s">
        <v>263</v>
      </c>
      <c r="E125" s="7">
        <v>7182</v>
      </c>
      <c r="F125" s="3"/>
    </row>
    <row r="126" spans="1:6" x14ac:dyDescent="0.25">
      <c r="A126" s="6">
        <v>119</v>
      </c>
      <c r="B126" s="10" t="s">
        <v>452</v>
      </c>
      <c r="C126" s="7" t="s">
        <v>453</v>
      </c>
      <c r="D126" s="26" t="s">
        <v>263</v>
      </c>
      <c r="E126" s="7"/>
      <c r="F126" s="3"/>
    </row>
    <row r="127" spans="1:6" x14ac:dyDescent="0.25">
      <c r="A127" s="6">
        <v>120</v>
      </c>
      <c r="B127" s="10" t="s">
        <v>454</v>
      </c>
      <c r="C127" s="7" t="s">
        <v>455</v>
      </c>
      <c r="D127" s="26" t="s">
        <v>263</v>
      </c>
      <c r="E127" s="7">
        <v>4590</v>
      </c>
      <c r="F127" s="3"/>
    </row>
    <row r="128" spans="1:6" x14ac:dyDescent="0.25">
      <c r="A128" s="6">
        <v>121</v>
      </c>
      <c r="B128" s="10" t="s">
        <v>456</v>
      </c>
      <c r="C128" s="7" t="s">
        <v>457</v>
      </c>
      <c r="D128" s="26" t="s">
        <v>263</v>
      </c>
      <c r="E128" s="7">
        <v>4590</v>
      </c>
      <c r="F128" s="3"/>
    </row>
    <row r="129" spans="1:6" x14ac:dyDescent="0.25">
      <c r="A129" s="6">
        <v>122</v>
      </c>
      <c r="B129" s="10" t="s">
        <v>458</v>
      </c>
      <c r="C129" s="7" t="s">
        <v>459</v>
      </c>
      <c r="D129" s="26" t="s">
        <v>263</v>
      </c>
      <c r="E129" s="7"/>
      <c r="F129" s="3"/>
    </row>
    <row r="130" spans="1:6" x14ac:dyDescent="0.25">
      <c r="A130" s="6">
        <v>123</v>
      </c>
      <c r="B130" s="10" t="s">
        <v>242</v>
      </c>
      <c r="C130" s="7" t="s">
        <v>243</v>
      </c>
      <c r="D130" s="26" t="s">
        <v>263</v>
      </c>
      <c r="E130" s="7">
        <v>7182</v>
      </c>
      <c r="F130" s="3"/>
    </row>
    <row r="131" spans="1:6" x14ac:dyDescent="0.25">
      <c r="A131" s="6">
        <v>124</v>
      </c>
      <c r="B131" s="10" t="s">
        <v>460</v>
      </c>
      <c r="C131" s="7" t="s">
        <v>461</v>
      </c>
      <c r="D131" s="26" t="s">
        <v>263</v>
      </c>
      <c r="E131" s="7">
        <v>4590</v>
      </c>
      <c r="F131" s="3"/>
    </row>
    <row r="132" spans="1:6" x14ac:dyDescent="0.25">
      <c r="A132" s="6">
        <v>125</v>
      </c>
      <c r="B132" s="10" t="s">
        <v>462</v>
      </c>
      <c r="C132" s="7" t="s">
        <v>463</v>
      </c>
      <c r="D132" s="26" t="s">
        <v>263</v>
      </c>
      <c r="E132" s="7">
        <v>4590</v>
      </c>
      <c r="F132" s="3"/>
    </row>
    <row r="133" spans="1:6" x14ac:dyDescent="0.25">
      <c r="A133" s="6">
        <v>126</v>
      </c>
      <c r="B133" s="10" t="s">
        <v>464</v>
      </c>
      <c r="C133" s="7" t="s">
        <v>465</v>
      </c>
      <c r="D133" s="26" t="s">
        <v>263</v>
      </c>
      <c r="E133" s="7"/>
      <c r="F133" s="3"/>
    </row>
    <row r="134" spans="1:6" x14ac:dyDescent="0.25">
      <c r="A134" s="6">
        <v>127</v>
      </c>
      <c r="B134" s="10" t="s">
        <v>255</v>
      </c>
      <c r="C134" s="7" t="s">
        <v>256</v>
      </c>
      <c r="D134" s="26" t="s">
        <v>263</v>
      </c>
      <c r="E134" s="7">
        <v>7182</v>
      </c>
    </row>
    <row r="135" spans="1:6" x14ac:dyDescent="0.25">
      <c r="A135" s="6">
        <v>128</v>
      </c>
      <c r="B135" s="10" t="s">
        <v>466</v>
      </c>
      <c r="C135" s="7" t="s">
        <v>467</v>
      </c>
      <c r="D135" s="26" t="s">
        <v>263</v>
      </c>
      <c r="E135" s="7">
        <v>7182</v>
      </c>
    </row>
    <row r="136" spans="1:6" x14ac:dyDescent="0.25">
      <c r="A136" s="6">
        <v>129</v>
      </c>
      <c r="B136" s="10" t="s">
        <v>468</v>
      </c>
      <c r="C136" s="7" t="s">
        <v>469</v>
      </c>
      <c r="D136" s="26" t="s">
        <v>263</v>
      </c>
      <c r="E136" s="7"/>
    </row>
    <row r="137" spans="1:6" x14ac:dyDescent="0.25">
      <c r="A137" s="6">
        <v>130</v>
      </c>
      <c r="B137" s="10" t="s">
        <v>470</v>
      </c>
      <c r="C137" s="7" t="s">
        <v>471</v>
      </c>
      <c r="D137" s="26" t="s">
        <v>263</v>
      </c>
      <c r="E137" s="7"/>
    </row>
    <row r="138" spans="1:6" x14ac:dyDescent="0.25">
      <c r="A138" s="6">
        <v>131</v>
      </c>
      <c r="B138" s="10" t="s">
        <v>472</v>
      </c>
      <c r="C138" s="7" t="s">
        <v>473</v>
      </c>
      <c r="D138" s="26" t="s">
        <v>263</v>
      </c>
      <c r="E138" s="7">
        <v>4590</v>
      </c>
    </row>
    <row r="139" spans="1:6" x14ac:dyDescent="0.25">
      <c r="A139" s="6">
        <v>132</v>
      </c>
      <c r="B139" s="10" t="s">
        <v>474</v>
      </c>
      <c r="C139" s="7" t="s">
        <v>475</v>
      </c>
      <c r="D139" s="26" t="s">
        <v>263</v>
      </c>
      <c r="E139" s="7">
        <v>7182</v>
      </c>
    </row>
    <row r="140" spans="1:6" x14ac:dyDescent="0.25">
      <c r="A140" s="6">
        <v>133</v>
      </c>
      <c r="B140" s="10" t="s">
        <v>476</v>
      </c>
      <c r="C140" s="7" t="s">
        <v>477</v>
      </c>
      <c r="D140" s="26" t="s">
        <v>263</v>
      </c>
      <c r="E140" s="7">
        <v>4590</v>
      </c>
    </row>
    <row r="141" spans="1:6" x14ac:dyDescent="0.25">
      <c r="A141" s="6">
        <v>134</v>
      </c>
      <c r="B141" s="10" t="s">
        <v>257</v>
      </c>
      <c r="C141" s="7" t="s">
        <v>258</v>
      </c>
      <c r="D141" s="26" t="s">
        <v>263</v>
      </c>
      <c r="E141" s="7">
        <v>7182</v>
      </c>
    </row>
    <row r="142" spans="1:6" x14ac:dyDescent="0.25">
      <c r="A142" s="6">
        <v>135</v>
      </c>
      <c r="B142" s="10" t="s">
        <v>478</v>
      </c>
      <c r="C142" s="7" t="s">
        <v>479</v>
      </c>
      <c r="D142" s="26" t="s">
        <v>263</v>
      </c>
      <c r="E142" s="7">
        <v>4590</v>
      </c>
    </row>
    <row r="143" spans="1:6" x14ac:dyDescent="0.25">
      <c r="A143" s="6">
        <v>136</v>
      </c>
      <c r="B143" s="10" t="s">
        <v>480</v>
      </c>
      <c r="C143" s="7" t="s">
        <v>481</v>
      </c>
      <c r="D143" s="26" t="s">
        <v>393</v>
      </c>
      <c r="E143" s="7">
        <v>6372</v>
      </c>
    </row>
    <row r="144" spans="1:6" x14ac:dyDescent="0.25">
      <c r="A144" s="6">
        <v>137</v>
      </c>
      <c r="B144" s="10" t="s">
        <v>482</v>
      </c>
      <c r="C144" s="7" t="s">
        <v>483</v>
      </c>
      <c r="D144" s="26" t="s">
        <v>393</v>
      </c>
      <c r="E144" s="7">
        <v>6372</v>
      </c>
    </row>
    <row r="145" spans="1:5" x14ac:dyDescent="0.25">
      <c r="A145" s="6">
        <v>138</v>
      </c>
      <c r="B145" s="10" t="s">
        <v>36</v>
      </c>
      <c r="C145" s="7" t="s">
        <v>37</v>
      </c>
      <c r="D145" s="26" t="s">
        <v>484</v>
      </c>
      <c r="E145" s="7">
        <v>7193</v>
      </c>
    </row>
    <row r="146" spans="1:5" x14ac:dyDescent="0.25">
      <c r="A146" s="6">
        <v>139</v>
      </c>
      <c r="B146" s="10" t="s">
        <v>38</v>
      </c>
      <c r="C146" s="7" t="s">
        <v>39</v>
      </c>
      <c r="D146" s="26" t="s">
        <v>484</v>
      </c>
      <c r="E146" s="7">
        <v>7193</v>
      </c>
    </row>
    <row r="147" spans="1:5" x14ac:dyDescent="0.25">
      <c r="A147" s="6">
        <v>140</v>
      </c>
      <c r="B147" s="10" t="s">
        <v>40</v>
      </c>
      <c r="C147" s="7" t="s">
        <v>41</v>
      </c>
      <c r="D147" s="26" t="s">
        <v>484</v>
      </c>
      <c r="E147" s="7">
        <v>7193</v>
      </c>
    </row>
    <row r="148" spans="1:5" x14ac:dyDescent="0.25">
      <c r="A148" s="6">
        <v>141</v>
      </c>
      <c r="B148" s="10" t="s">
        <v>42</v>
      </c>
      <c r="C148" s="7" t="s">
        <v>43</v>
      </c>
      <c r="D148" s="26" t="s">
        <v>484</v>
      </c>
      <c r="E148" s="7">
        <v>7193</v>
      </c>
    </row>
    <row r="149" spans="1:5" x14ac:dyDescent="0.25">
      <c r="A149" s="6">
        <v>142</v>
      </c>
      <c r="B149" s="10" t="s">
        <v>44</v>
      </c>
      <c r="C149" s="7" t="s">
        <v>45</v>
      </c>
      <c r="D149" s="26" t="s">
        <v>484</v>
      </c>
      <c r="E149" s="7">
        <v>7193</v>
      </c>
    </row>
    <row r="150" spans="1:5" x14ac:dyDescent="0.25">
      <c r="A150" s="6">
        <v>143</v>
      </c>
      <c r="B150" s="10" t="s">
        <v>46</v>
      </c>
      <c r="C150" s="7" t="s">
        <v>47</v>
      </c>
      <c r="D150" s="26" t="s">
        <v>263</v>
      </c>
      <c r="E150" s="7">
        <v>8338</v>
      </c>
    </row>
    <row r="151" spans="1:5" x14ac:dyDescent="0.25">
      <c r="A151" s="6">
        <v>144</v>
      </c>
      <c r="B151" s="10" t="s">
        <v>48</v>
      </c>
      <c r="C151" s="7" t="s">
        <v>49</v>
      </c>
      <c r="D151" s="26" t="s">
        <v>263</v>
      </c>
      <c r="E151" s="7">
        <v>5314</v>
      </c>
    </row>
    <row r="152" spans="1:5" x14ac:dyDescent="0.25">
      <c r="A152" s="6">
        <v>145</v>
      </c>
      <c r="B152" s="10" t="s">
        <v>50</v>
      </c>
      <c r="C152" s="7" t="s">
        <v>51</v>
      </c>
      <c r="D152" s="26" t="s">
        <v>263</v>
      </c>
      <c r="E152" s="7">
        <v>8338</v>
      </c>
    </row>
    <row r="153" spans="1:5" x14ac:dyDescent="0.25">
      <c r="A153" s="6">
        <v>146</v>
      </c>
      <c r="B153" s="10" t="s">
        <v>759</v>
      </c>
      <c r="C153" s="7" t="s">
        <v>758</v>
      </c>
      <c r="D153" s="26" t="s">
        <v>263</v>
      </c>
      <c r="E153" s="7">
        <v>8338</v>
      </c>
    </row>
    <row r="154" spans="1:5" x14ac:dyDescent="0.25">
      <c r="A154" s="6">
        <v>147</v>
      </c>
      <c r="B154" s="10" t="s">
        <v>52</v>
      </c>
      <c r="C154" s="7" t="s">
        <v>53</v>
      </c>
      <c r="D154" s="26" t="s">
        <v>263</v>
      </c>
      <c r="E154" s="7">
        <v>5314</v>
      </c>
    </row>
    <row r="155" spans="1:5" x14ac:dyDescent="0.25">
      <c r="A155" s="6">
        <v>148</v>
      </c>
      <c r="B155" s="10" t="s">
        <v>54</v>
      </c>
      <c r="C155" s="7" t="s">
        <v>55</v>
      </c>
      <c r="D155" s="26" t="s">
        <v>263</v>
      </c>
      <c r="E155" s="7">
        <v>8338</v>
      </c>
    </row>
    <row r="156" spans="1:5" x14ac:dyDescent="0.25">
      <c r="A156" s="6">
        <v>149</v>
      </c>
      <c r="B156" s="10" t="s">
        <v>198</v>
      </c>
      <c r="C156" s="7" t="s">
        <v>199</v>
      </c>
      <c r="D156" s="26" t="s">
        <v>263</v>
      </c>
      <c r="E156" s="7">
        <v>7333</v>
      </c>
    </row>
    <row r="157" spans="1:5" x14ac:dyDescent="0.25">
      <c r="A157" s="6">
        <v>150</v>
      </c>
      <c r="B157" s="10" t="s">
        <v>56</v>
      </c>
      <c r="C157" s="7" t="s">
        <v>57</v>
      </c>
      <c r="D157" s="26" t="s">
        <v>263</v>
      </c>
      <c r="E157" s="7">
        <v>31169</v>
      </c>
    </row>
    <row r="158" spans="1:5" x14ac:dyDescent="0.25">
      <c r="A158" s="6">
        <v>151</v>
      </c>
      <c r="B158" s="10" t="s">
        <v>485</v>
      </c>
      <c r="C158" s="7" t="s">
        <v>486</v>
      </c>
      <c r="D158" s="26" t="s">
        <v>263</v>
      </c>
      <c r="E158" s="7"/>
    </row>
    <row r="159" spans="1:5" x14ac:dyDescent="0.25">
      <c r="A159" s="6">
        <v>152</v>
      </c>
      <c r="B159" s="10" t="s">
        <v>222</v>
      </c>
      <c r="C159" s="7" t="s">
        <v>223</v>
      </c>
      <c r="D159" s="26" t="s">
        <v>487</v>
      </c>
      <c r="E159" s="7">
        <v>4385</v>
      </c>
    </row>
    <row r="160" spans="1:5" x14ac:dyDescent="0.25">
      <c r="A160" s="6">
        <v>153</v>
      </c>
      <c r="B160" s="10" t="s">
        <v>488</v>
      </c>
      <c r="C160" s="7" t="s">
        <v>489</v>
      </c>
      <c r="D160" s="26" t="s">
        <v>393</v>
      </c>
      <c r="E160" s="7">
        <v>3910</v>
      </c>
    </row>
    <row r="161" spans="1:5" x14ac:dyDescent="0.25">
      <c r="A161" s="6">
        <v>154</v>
      </c>
      <c r="B161" s="10" t="s">
        <v>58</v>
      </c>
      <c r="C161" s="7" t="s">
        <v>59</v>
      </c>
      <c r="D161" s="26" t="s">
        <v>263</v>
      </c>
      <c r="E161" s="7">
        <v>7776</v>
      </c>
    </row>
    <row r="162" spans="1:5" x14ac:dyDescent="0.25">
      <c r="A162" s="6">
        <v>155</v>
      </c>
      <c r="B162" s="10" t="s">
        <v>60</v>
      </c>
      <c r="C162" s="7" t="s">
        <v>61</v>
      </c>
      <c r="D162" s="26" t="s">
        <v>263</v>
      </c>
      <c r="E162" s="7">
        <v>4936</v>
      </c>
    </row>
    <row r="163" spans="1:5" x14ac:dyDescent="0.25">
      <c r="A163" s="6">
        <v>156</v>
      </c>
      <c r="B163" s="10" t="s">
        <v>62</v>
      </c>
      <c r="C163" s="7" t="s">
        <v>63</v>
      </c>
      <c r="D163" s="26" t="s">
        <v>263</v>
      </c>
      <c r="E163" s="7">
        <v>7776</v>
      </c>
    </row>
    <row r="164" spans="1:5" x14ac:dyDescent="0.25">
      <c r="A164" s="6">
        <v>157</v>
      </c>
      <c r="B164" s="10" t="s">
        <v>64</v>
      </c>
      <c r="C164" s="7" t="s">
        <v>65</v>
      </c>
      <c r="D164" s="26" t="s">
        <v>263</v>
      </c>
      <c r="E164" s="7">
        <v>4936</v>
      </c>
    </row>
    <row r="165" spans="1:5" x14ac:dyDescent="0.25">
      <c r="A165" s="6">
        <v>158</v>
      </c>
      <c r="B165" s="10" t="s">
        <v>66</v>
      </c>
      <c r="C165" s="7" t="s">
        <v>67</v>
      </c>
      <c r="D165" s="26" t="s">
        <v>263</v>
      </c>
      <c r="E165" s="7">
        <v>34020</v>
      </c>
    </row>
    <row r="166" spans="1:5" x14ac:dyDescent="0.25">
      <c r="A166" s="6">
        <v>159</v>
      </c>
      <c r="B166" s="10" t="s">
        <v>68</v>
      </c>
      <c r="C166" s="7" t="s">
        <v>69</v>
      </c>
      <c r="D166" s="26" t="s">
        <v>263</v>
      </c>
      <c r="E166" s="7">
        <v>7776</v>
      </c>
    </row>
    <row r="167" spans="1:5" x14ac:dyDescent="0.25">
      <c r="A167" s="6">
        <v>160</v>
      </c>
      <c r="B167" s="10" t="s">
        <v>490</v>
      </c>
      <c r="C167" s="7" t="s">
        <v>491</v>
      </c>
      <c r="D167" s="26" t="s">
        <v>263</v>
      </c>
      <c r="E167" s="7">
        <v>7776</v>
      </c>
    </row>
    <row r="168" spans="1:5" x14ac:dyDescent="0.25">
      <c r="A168" s="6">
        <v>161</v>
      </c>
      <c r="B168" s="10" t="s">
        <v>70</v>
      </c>
      <c r="C168" s="7" t="s">
        <v>71</v>
      </c>
      <c r="D168" s="26" t="s">
        <v>263</v>
      </c>
      <c r="E168" s="7">
        <v>4936</v>
      </c>
    </row>
    <row r="169" spans="1:5" x14ac:dyDescent="0.25">
      <c r="A169" s="6">
        <v>162</v>
      </c>
      <c r="B169" s="10" t="s">
        <v>492</v>
      </c>
      <c r="C169" s="7" t="s">
        <v>493</v>
      </c>
      <c r="D169" s="26" t="s">
        <v>263</v>
      </c>
      <c r="E169" s="7"/>
    </row>
    <row r="170" spans="1:5" x14ac:dyDescent="0.25">
      <c r="A170" s="6">
        <v>163</v>
      </c>
      <c r="B170" s="10" t="s">
        <v>72</v>
      </c>
      <c r="C170" s="7" t="s">
        <v>73</v>
      </c>
      <c r="D170" s="26" t="s">
        <v>263</v>
      </c>
      <c r="E170" s="7">
        <v>34020</v>
      </c>
    </row>
    <row r="171" spans="1:5" x14ac:dyDescent="0.25">
      <c r="A171" s="6">
        <v>164</v>
      </c>
      <c r="B171" s="10" t="s">
        <v>74</v>
      </c>
      <c r="C171" s="7" t="s">
        <v>75</v>
      </c>
      <c r="D171" s="26" t="s">
        <v>263</v>
      </c>
      <c r="E171" s="7">
        <v>7776</v>
      </c>
    </row>
    <row r="172" spans="1:5" x14ac:dyDescent="0.25">
      <c r="A172" s="6">
        <v>165</v>
      </c>
      <c r="B172" s="10" t="s">
        <v>76</v>
      </c>
      <c r="C172" s="7" t="s">
        <v>77</v>
      </c>
      <c r="D172" s="26" t="s">
        <v>263</v>
      </c>
      <c r="E172" s="7">
        <v>4936</v>
      </c>
    </row>
    <row r="173" spans="1:5" x14ac:dyDescent="0.25">
      <c r="A173" s="6">
        <v>166</v>
      </c>
      <c r="B173" s="10" t="s">
        <v>78</v>
      </c>
      <c r="C173" s="7" t="s">
        <v>79</v>
      </c>
      <c r="D173" s="26" t="s">
        <v>263</v>
      </c>
      <c r="E173" s="7">
        <v>52056</v>
      </c>
    </row>
    <row r="174" spans="1:5" x14ac:dyDescent="0.25">
      <c r="A174" s="6">
        <v>167</v>
      </c>
      <c r="B174" s="10" t="s">
        <v>80</v>
      </c>
      <c r="C174" s="7" t="s">
        <v>81</v>
      </c>
      <c r="D174" s="26" t="s">
        <v>263</v>
      </c>
      <c r="E174" s="7">
        <v>10422</v>
      </c>
    </row>
    <row r="175" spans="1:5" x14ac:dyDescent="0.25">
      <c r="A175" s="6">
        <v>168</v>
      </c>
      <c r="B175" s="10" t="s">
        <v>82</v>
      </c>
      <c r="C175" s="7" t="s">
        <v>83</v>
      </c>
      <c r="D175" s="26" t="s">
        <v>263</v>
      </c>
      <c r="E175" s="7">
        <v>7776</v>
      </c>
    </row>
    <row r="176" spans="1:5" x14ac:dyDescent="0.25">
      <c r="A176" s="6">
        <v>169</v>
      </c>
      <c r="B176" s="10" t="s">
        <v>494</v>
      </c>
      <c r="C176" s="7" t="s">
        <v>495</v>
      </c>
      <c r="D176" s="26" t="s">
        <v>263</v>
      </c>
      <c r="E176" s="7">
        <v>7776</v>
      </c>
    </row>
    <row r="177" spans="1:5" x14ac:dyDescent="0.25">
      <c r="A177" s="6">
        <v>170</v>
      </c>
      <c r="B177" s="10" t="s">
        <v>84</v>
      </c>
      <c r="C177" s="7" t="s">
        <v>85</v>
      </c>
      <c r="D177" s="26" t="s">
        <v>263</v>
      </c>
      <c r="E177" s="7">
        <v>34020</v>
      </c>
    </row>
    <row r="178" spans="1:5" x14ac:dyDescent="0.25">
      <c r="A178" s="6">
        <v>171</v>
      </c>
      <c r="B178" s="10" t="s">
        <v>200</v>
      </c>
      <c r="C178" s="7" t="s">
        <v>201</v>
      </c>
      <c r="D178" s="26" t="s">
        <v>263</v>
      </c>
      <c r="E178" s="7">
        <v>10692</v>
      </c>
    </row>
    <row r="179" spans="1:5" x14ac:dyDescent="0.25">
      <c r="A179" s="6">
        <v>172</v>
      </c>
      <c r="B179" s="10" t="s">
        <v>196</v>
      </c>
      <c r="C179" s="7" t="s">
        <v>197</v>
      </c>
      <c r="D179" s="26" t="s">
        <v>263</v>
      </c>
      <c r="E179" s="7">
        <v>4774</v>
      </c>
    </row>
    <row r="180" spans="1:5" x14ac:dyDescent="0.25">
      <c r="A180" s="6">
        <v>173</v>
      </c>
      <c r="B180" s="10" t="s">
        <v>194</v>
      </c>
      <c r="C180" s="7" t="s">
        <v>195</v>
      </c>
      <c r="D180" s="26" t="s">
        <v>263</v>
      </c>
      <c r="E180" s="7">
        <v>6426</v>
      </c>
    </row>
    <row r="181" spans="1:5" x14ac:dyDescent="0.25">
      <c r="A181" s="6">
        <v>174</v>
      </c>
      <c r="B181" s="10" t="s">
        <v>496</v>
      </c>
      <c r="C181" s="7" t="s">
        <v>497</v>
      </c>
      <c r="D181" s="26" t="s">
        <v>263</v>
      </c>
      <c r="E181" s="7">
        <v>4331</v>
      </c>
    </row>
    <row r="182" spans="1:5" x14ac:dyDescent="0.25">
      <c r="A182" s="6">
        <v>175</v>
      </c>
      <c r="B182" s="10" t="s">
        <v>86</v>
      </c>
      <c r="C182" s="7" t="s">
        <v>87</v>
      </c>
      <c r="D182" s="26" t="s">
        <v>263</v>
      </c>
      <c r="E182" s="7">
        <v>25607</v>
      </c>
    </row>
    <row r="183" spans="1:5" x14ac:dyDescent="0.25">
      <c r="A183" s="6">
        <v>176</v>
      </c>
      <c r="B183" s="10" t="s">
        <v>204</v>
      </c>
      <c r="C183" s="7" t="s">
        <v>205</v>
      </c>
      <c r="D183" s="26" t="s">
        <v>263</v>
      </c>
      <c r="E183" s="7"/>
    </row>
    <row r="184" spans="1:5" x14ac:dyDescent="0.25">
      <c r="A184" s="6">
        <v>177</v>
      </c>
      <c r="B184" s="10" t="s">
        <v>215</v>
      </c>
      <c r="C184" s="7" t="s">
        <v>216</v>
      </c>
      <c r="D184" s="26" t="s">
        <v>263</v>
      </c>
      <c r="E184" s="7">
        <v>6426</v>
      </c>
    </row>
    <row r="185" spans="1:5" x14ac:dyDescent="0.25">
      <c r="A185" s="6">
        <v>178</v>
      </c>
      <c r="B185" s="10" t="s">
        <v>217</v>
      </c>
      <c r="C185" s="7" t="s">
        <v>218</v>
      </c>
      <c r="D185" s="26" t="s">
        <v>263</v>
      </c>
      <c r="E185" s="7">
        <v>6426</v>
      </c>
    </row>
    <row r="186" spans="1:5" x14ac:dyDescent="0.25">
      <c r="A186" s="6">
        <v>179</v>
      </c>
      <c r="B186" s="10" t="s">
        <v>190</v>
      </c>
      <c r="C186" s="7" t="s">
        <v>191</v>
      </c>
      <c r="D186" s="26" t="s">
        <v>484</v>
      </c>
      <c r="E186" s="7">
        <v>3586</v>
      </c>
    </row>
    <row r="187" spans="1:5" x14ac:dyDescent="0.25">
      <c r="A187" s="6">
        <v>180</v>
      </c>
      <c r="B187" s="10" t="s">
        <v>498</v>
      </c>
      <c r="C187" s="7" t="s">
        <v>499</v>
      </c>
      <c r="D187" s="26" t="s">
        <v>393</v>
      </c>
      <c r="E187" s="7">
        <v>6372</v>
      </c>
    </row>
    <row r="188" spans="1:5" x14ac:dyDescent="0.25">
      <c r="A188" s="6">
        <v>181</v>
      </c>
      <c r="B188" s="10" t="s">
        <v>88</v>
      </c>
      <c r="C188" s="7" t="s">
        <v>89</v>
      </c>
      <c r="D188" s="26" t="s">
        <v>263</v>
      </c>
      <c r="E188" s="7">
        <v>4266</v>
      </c>
    </row>
    <row r="189" spans="1:5" x14ac:dyDescent="0.25">
      <c r="A189" s="6">
        <v>182</v>
      </c>
      <c r="B189" s="10" t="s">
        <v>90</v>
      </c>
      <c r="C189" s="7" t="s">
        <v>91</v>
      </c>
      <c r="D189" s="26" t="s">
        <v>393</v>
      </c>
      <c r="E189" s="7">
        <v>3910</v>
      </c>
    </row>
    <row r="190" spans="1:5" x14ac:dyDescent="0.25">
      <c r="A190" s="6">
        <v>183</v>
      </c>
      <c r="B190" s="10" t="s">
        <v>500</v>
      </c>
      <c r="C190" s="7" t="s">
        <v>501</v>
      </c>
      <c r="D190" s="26" t="s">
        <v>393</v>
      </c>
      <c r="E190" s="7"/>
    </row>
    <row r="191" spans="1:5" x14ac:dyDescent="0.25">
      <c r="A191" s="6">
        <v>184</v>
      </c>
      <c r="B191" s="10" t="s">
        <v>92</v>
      </c>
      <c r="C191" s="7" t="s">
        <v>93</v>
      </c>
      <c r="D191" s="26" t="s">
        <v>487</v>
      </c>
      <c r="E191" s="7">
        <v>4385</v>
      </c>
    </row>
    <row r="192" spans="1:5" x14ac:dyDescent="0.25">
      <c r="A192" s="6">
        <v>185</v>
      </c>
      <c r="B192" s="10" t="s">
        <v>502</v>
      </c>
      <c r="C192" s="7" t="s">
        <v>503</v>
      </c>
      <c r="D192" s="26" t="s">
        <v>487</v>
      </c>
      <c r="E192" s="7"/>
    </row>
    <row r="193" spans="1:5" x14ac:dyDescent="0.25">
      <c r="A193" s="6">
        <v>186</v>
      </c>
      <c r="B193" s="10" t="s">
        <v>94</v>
      </c>
      <c r="C193" s="7" t="s">
        <v>95</v>
      </c>
      <c r="D193" s="26" t="s">
        <v>263</v>
      </c>
      <c r="E193" s="7">
        <v>4266</v>
      </c>
    </row>
    <row r="194" spans="1:5" x14ac:dyDescent="0.25">
      <c r="A194" s="6">
        <v>187</v>
      </c>
      <c r="B194" s="10" t="s">
        <v>96</v>
      </c>
      <c r="C194" s="7" t="s">
        <v>97</v>
      </c>
      <c r="D194" s="26" t="s">
        <v>393</v>
      </c>
      <c r="E194" s="7">
        <v>3910</v>
      </c>
    </row>
    <row r="195" spans="1:5" x14ac:dyDescent="0.25">
      <c r="A195" s="6">
        <v>188</v>
      </c>
      <c r="B195" s="10" t="s">
        <v>98</v>
      </c>
      <c r="C195" s="7" t="s">
        <v>99</v>
      </c>
      <c r="D195" s="26" t="s">
        <v>487</v>
      </c>
      <c r="E195" s="7">
        <v>4385</v>
      </c>
    </row>
    <row r="196" spans="1:5" x14ac:dyDescent="0.25">
      <c r="A196" s="6">
        <v>189</v>
      </c>
      <c r="B196" s="10" t="s">
        <v>504</v>
      </c>
      <c r="C196" s="7" t="s">
        <v>505</v>
      </c>
      <c r="D196" s="26" t="s">
        <v>487</v>
      </c>
      <c r="E196" s="7">
        <v>4385</v>
      </c>
    </row>
    <row r="197" spans="1:5" x14ac:dyDescent="0.25">
      <c r="A197" s="6">
        <v>190</v>
      </c>
      <c r="B197" s="10" t="s">
        <v>100</v>
      </c>
      <c r="C197" s="7" t="s">
        <v>101</v>
      </c>
      <c r="D197" s="26" t="s">
        <v>263</v>
      </c>
      <c r="E197" s="7">
        <v>4266</v>
      </c>
    </row>
    <row r="198" spans="1:5" x14ac:dyDescent="0.25">
      <c r="A198" s="6">
        <v>191</v>
      </c>
      <c r="B198" s="10" t="s">
        <v>102</v>
      </c>
      <c r="C198" s="7" t="s">
        <v>103</v>
      </c>
      <c r="D198" s="26" t="s">
        <v>393</v>
      </c>
      <c r="E198" s="7">
        <v>3910</v>
      </c>
    </row>
    <row r="199" spans="1:5" x14ac:dyDescent="0.25">
      <c r="A199" s="6">
        <v>192</v>
      </c>
      <c r="B199" s="10" t="s">
        <v>506</v>
      </c>
      <c r="C199" s="7" t="s">
        <v>507</v>
      </c>
      <c r="D199" s="26" t="s">
        <v>263</v>
      </c>
      <c r="E199" s="7">
        <v>6869</v>
      </c>
    </row>
    <row r="200" spans="1:5" x14ac:dyDescent="0.25">
      <c r="A200" s="6">
        <v>193</v>
      </c>
      <c r="B200" s="10" t="s">
        <v>508</v>
      </c>
      <c r="C200" s="7" t="s">
        <v>509</v>
      </c>
      <c r="D200" s="26" t="s">
        <v>263</v>
      </c>
      <c r="E200" s="7"/>
    </row>
    <row r="201" spans="1:5" x14ac:dyDescent="0.25">
      <c r="A201" s="6">
        <v>194</v>
      </c>
      <c r="B201" s="10" t="s">
        <v>104</v>
      </c>
      <c r="C201" s="7" t="s">
        <v>105</v>
      </c>
      <c r="D201" s="26" t="s">
        <v>263</v>
      </c>
      <c r="E201" s="7">
        <v>6869</v>
      </c>
    </row>
    <row r="202" spans="1:5" x14ac:dyDescent="0.25">
      <c r="A202" s="6">
        <v>195</v>
      </c>
      <c r="B202" s="10" t="s">
        <v>510</v>
      </c>
      <c r="C202" s="7" t="s">
        <v>511</v>
      </c>
      <c r="D202" s="26" t="s">
        <v>263</v>
      </c>
      <c r="E202" s="7"/>
    </row>
    <row r="203" spans="1:5" x14ac:dyDescent="0.25">
      <c r="A203" s="6">
        <v>196</v>
      </c>
      <c r="B203" s="10" t="s">
        <v>512</v>
      </c>
      <c r="C203" s="7" t="s">
        <v>513</v>
      </c>
      <c r="D203" s="26" t="s">
        <v>263</v>
      </c>
      <c r="E203" s="7"/>
    </row>
    <row r="204" spans="1:5" x14ac:dyDescent="0.25">
      <c r="A204" s="6">
        <v>197</v>
      </c>
      <c r="B204" s="10" t="s">
        <v>106</v>
      </c>
      <c r="C204" s="7" t="s">
        <v>107</v>
      </c>
      <c r="D204" s="26" t="s">
        <v>263</v>
      </c>
      <c r="E204" s="7">
        <v>6869</v>
      </c>
    </row>
    <row r="205" spans="1:5" x14ac:dyDescent="0.25">
      <c r="A205" s="6">
        <v>198</v>
      </c>
      <c r="B205" s="10" t="s">
        <v>514</v>
      </c>
      <c r="C205" s="7" t="s">
        <v>515</v>
      </c>
      <c r="D205" s="26" t="s">
        <v>393</v>
      </c>
      <c r="E205" s="7"/>
    </row>
    <row r="206" spans="1:5" x14ac:dyDescent="0.25">
      <c r="A206" s="6">
        <v>199</v>
      </c>
      <c r="B206" s="10" t="s">
        <v>516</v>
      </c>
      <c r="C206" s="7" t="s">
        <v>517</v>
      </c>
      <c r="D206" s="26" t="s">
        <v>393</v>
      </c>
      <c r="E206" s="7">
        <v>7474</v>
      </c>
    </row>
    <row r="207" spans="1:5" x14ac:dyDescent="0.25">
      <c r="A207" s="6">
        <v>200</v>
      </c>
      <c r="B207" s="10" t="s">
        <v>518</v>
      </c>
      <c r="C207" s="7" t="s">
        <v>519</v>
      </c>
      <c r="D207" s="26" t="s">
        <v>393</v>
      </c>
      <c r="E207" s="7">
        <v>7474</v>
      </c>
    </row>
    <row r="208" spans="1:5" x14ac:dyDescent="0.25">
      <c r="A208" s="6">
        <v>201</v>
      </c>
      <c r="B208" s="10" t="s">
        <v>520</v>
      </c>
      <c r="C208" s="7" t="s">
        <v>521</v>
      </c>
      <c r="D208" s="26" t="s">
        <v>393</v>
      </c>
      <c r="E208" s="7">
        <v>7474</v>
      </c>
    </row>
    <row r="209" spans="1:5" x14ac:dyDescent="0.25">
      <c r="A209" s="6">
        <v>202</v>
      </c>
      <c r="B209" s="10" t="s">
        <v>108</v>
      </c>
      <c r="C209" s="7" t="s">
        <v>109</v>
      </c>
      <c r="D209" s="26" t="s">
        <v>263</v>
      </c>
      <c r="E209" s="7">
        <v>6264</v>
      </c>
    </row>
    <row r="210" spans="1:5" x14ac:dyDescent="0.25">
      <c r="A210" s="6">
        <v>203</v>
      </c>
      <c r="B210" s="10" t="s">
        <v>110</v>
      </c>
      <c r="C210" s="7" t="s">
        <v>111</v>
      </c>
      <c r="D210" s="26" t="s">
        <v>263</v>
      </c>
      <c r="E210" s="7">
        <v>3888</v>
      </c>
    </row>
    <row r="211" spans="1:5" x14ac:dyDescent="0.25">
      <c r="A211" s="6">
        <v>204</v>
      </c>
      <c r="B211" s="10" t="s">
        <v>522</v>
      </c>
      <c r="C211" s="7" t="s">
        <v>523</v>
      </c>
      <c r="D211" s="26" t="s">
        <v>263</v>
      </c>
      <c r="E211" s="7"/>
    </row>
    <row r="212" spans="1:5" x14ac:dyDescent="0.25">
      <c r="A212" s="6">
        <v>205</v>
      </c>
      <c r="B212" s="10" t="s">
        <v>112</v>
      </c>
      <c r="C212" s="7" t="s">
        <v>113</v>
      </c>
      <c r="D212" s="26" t="s">
        <v>263</v>
      </c>
      <c r="E212" s="7">
        <v>6264</v>
      </c>
    </row>
    <row r="213" spans="1:5" x14ac:dyDescent="0.25">
      <c r="A213" s="6">
        <v>206</v>
      </c>
      <c r="B213" s="10" t="s">
        <v>114</v>
      </c>
      <c r="C213" s="7" t="s">
        <v>115</v>
      </c>
      <c r="D213" s="26" t="s">
        <v>263</v>
      </c>
      <c r="E213" s="7">
        <v>3888</v>
      </c>
    </row>
    <row r="214" spans="1:5" x14ac:dyDescent="0.25">
      <c r="A214" s="6">
        <v>207</v>
      </c>
      <c r="B214" s="10" t="s">
        <v>116</v>
      </c>
      <c r="C214" s="7" t="s">
        <v>117</v>
      </c>
      <c r="D214" s="26" t="s">
        <v>263</v>
      </c>
      <c r="E214" s="7">
        <v>6264</v>
      </c>
    </row>
    <row r="215" spans="1:5" x14ac:dyDescent="0.25">
      <c r="A215" s="6">
        <v>208</v>
      </c>
      <c r="B215" s="10" t="s">
        <v>524</v>
      </c>
      <c r="C215" s="7" t="s">
        <v>525</v>
      </c>
      <c r="D215" s="26" t="s">
        <v>263</v>
      </c>
      <c r="E215" s="7"/>
    </row>
    <row r="216" spans="1:5" x14ac:dyDescent="0.25">
      <c r="A216" s="6">
        <v>209</v>
      </c>
      <c r="B216" s="10" t="s">
        <v>118</v>
      </c>
      <c r="C216" s="7" t="s">
        <v>119</v>
      </c>
      <c r="D216" s="26" t="s">
        <v>263</v>
      </c>
      <c r="E216" s="7">
        <v>3888</v>
      </c>
    </row>
    <row r="217" spans="1:5" x14ac:dyDescent="0.25">
      <c r="A217" s="6">
        <v>210</v>
      </c>
      <c r="B217" s="10" t="s">
        <v>526</v>
      </c>
      <c r="C217" s="7" t="s">
        <v>527</v>
      </c>
      <c r="D217" s="26" t="s">
        <v>263</v>
      </c>
      <c r="E217" s="7"/>
    </row>
    <row r="218" spans="1:5" x14ac:dyDescent="0.25">
      <c r="A218" s="6">
        <v>211</v>
      </c>
      <c r="B218" s="10" t="s">
        <v>120</v>
      </c>
      <c r="C218" s="7" t="s">
        <v>121</v>
      </c>
      <c r="D218" s="26" t="s">
        <v>263</v>
      </c>
      <c r="E218" s="7">
        <v>8597</v>
      </c>
    </row>
    <row r="219" spans="1:5" x14ac:dyDescent="0.25">
      <c r="A219" s="6">
        <v>212</v>
      </c>
      <c r="B219" s="10" t="s">
        <v>122</v>
      </c>
      <c r="C219" s="7" t="s">
        <v>123</v>
      </c>
      <c r="D219" s="26" t="s">
        <v>263</v>
      </c>
      <c r="E219" s="7">
        <v>7247</v>
      </c>
    </row>
    <row r="220" spans="1:5" x14ac:dyDescent="0.25">
      <c r="A220" s="6">
        <v>213</v>
      </c>
      <c r="B220" s="10" t="s">
        <v>259</v>
      </c>
      <c r="C220" s="7" t="s">
        <v>260</v>
      </c>
      <c r="D220" s="26" t="s">
        <v>263</v>
      </c>
      <c r="E220" s="7">
        <v>6512</v>
      </c>
    </row>
    <row r="221" spans="1:5" x14ac:dyDescent="0.25">
      <c r="A221" s="6">
        <v>214</v>
      </c>
      <c r="B221" s="10" t="s">
        <v>124</v>
      </c>
      <c r="C221" s="7" t="s">
        <v>125</v>
      </c>
      <c r="D221" s="26" t="s">
        <v>263</v>
      </c>
      <c r="E221" s="7">
        <v>6005</v>
      </c>
    </row>
    <row r="222" spans="1:5" x14ac:dyDescent="0.25">
      <c r="A222" s="6">
        <v>215</v>
      </c>
      <c r="B222" s="10" t="s">
        <v>126</v>
      </c>
      <c r="C222" s="7" t="s">
        <v>127</v>
      </c>
      <c r="D222" s="26" t="s">
        <v>263</v>
      </c>
      <c r="E222" s="7">
        <v>6005</v>
      </c>
    </row>
    <row r="223" spans="1:5" x14ac:dyDescent="0.25">
      <c r="A223" s="6">
        <v>216</v>
      </c>
      <c r="B223" s="10" t="s">
        <v>128</v>
      </c>
      <c r="C223" s="7" t="s">
        <v>129</v>
      </c>
      <c r="D223" s="26" t="s">
        <v>263</v>
      </c>
      <c r="E223" s="7">
        <v>7247</v>
      </c>
    </row>
    <row r="224" spans="1:5" x14ac:dyDescent="0.25">
      <c r="A224" s="6">
        <v>217</v>
      </c>
      <c r="B224" s="10" t="s">
        <v>130</v>
      </c>
      <c r="C224" s="7" t="s">
        <v>131</v>
      </c>
      <c r="D224" s="26" t="s">
        <v>263</v>
      </c>
      <c r="E224" s="7">
        <v>7819</v>
      </c>
    </row>
    <row r="225" spans="1:5" x14ac:dyDescent="0.25">
      <c r="A225" s="6">
        <v>218</v>
      </c>
      <c r="B225" s="10" t="s">
        <v>132</v>
      </c>
      <c r="C225" s="7" t="s">
        <v>133</v>
      </c>
      <c r="D225" s="26" t="s">
        <v>263</v>
      </c>
      <c r="E225" s="7">
        <v>7247</v>
      </c>
    </row>
    <row r="226" spans="1:5" x14ac:dyDescent="0.25">
      <c r="A226" s="6">
        <v>219</v>
      </c>
      <c r="B226" s="10" t="s">
        <v>134</v>
      </c>
      <c r="C226" s="7" t="s">
        <v>135</v>
      </c>
      <c r="D226" s="26" t="s">
        <v>263</v>
      </c>
      <c r="E226" s="7">
        <v>6944</v>
      </c>
    </row>
    <row r="227" spans="1:5" x14ac:dyDescent="0.25">
      <c r="A227" s="6">
        <v>220</v>
      </c>
      <c r="B227" s="10" t="s">
        <v>136</v>
      </c>
      <c r="C227" s="7" t="s">
        <v>137</v>
      </c>
      <c r="D227" s="26" t="s">
        <v>263</v>
      </c>
      <c r="E227" s="7">
        <v>6944</v>
      </c>
    </row>
    <row r="228" spans="1:5" x14ac:dyDescent="0.25">
      <c r="A228" s="6">
        <v>221</v>
      </c>
      <c r="B228" s="10" t="s">
        <v>138</v>
      </c>
      <c r="C228" s="7" t="s">
        <v>139</v>
      </c>
      <c r="D228" s="26" t="s">
        <v>263</v>
      </c>
      <c r="E228" s="7">
        <v>6944</v>
      </c>
    </row>
    <row r="229" spans="1:5" x14ac:dyDescent="0.25">
      <c r="A229" s="6">
        <v>222</v>
      </c>
      <c r="B229" s="10" t="s">
        <v>140</v>
      </c>
      <c r="C229" s="7" t="s">
        <v>141</v>
      </c>
      <c r="D229" s="26" t="s">
        <v>263</v>
      </c>
      <c r="E229" s="7">
        <v>7247</v>
      </c>
    </row>
    <row r="230" spans="1:5" x14ac:dyDescent="0.25">
      <c r="A230" s="6">
        <v>223</v>
      </c>
      <c r="B230" s="10" t="s">
        <v>142</v>
      </c>
      <c r="C230" s="7" t="s">
        <v>143</v>
      </c>
      <c r="D230" s="26" t="s">
        <v>263</v>
      </c>
      <c r="E230" s="7">
        <v>6005</v>
      </c>
    </row>
    <row r="231" spans="1:5" x14ac:dyDescent="0.25">
      <c r="A231" s="6">
        <v>224</v>
      </c>
      <c r="B231" s="10" t="s">
        <v>144</v>
      </c>
      <c r="C231" s="7" t="s">
        <v>145</v>
      </c>
      <c r="D231" s="26" t="s">
        <v>393</v>
      </c>
      <c r="E231" s="7">
        <v>4871</v>
      </c>
    </row>
    <row r="232" spans="1:5" x14ac:dyDescent="0.25">
      <c r="A232" s="6">
        <v>225</v>
      </c>
      <c r="B232" s="10" t="s">
        <v>146</v>
      </c>
      <c r="C232" s="7" t="s">
        <v>147</v>
      </c>
      <c r="D232" s="26" t="s">
        <v>393</v>
      </c>
      <c r="E232" s="7">
        <v>4871</v>
      </c>
    </row>
    <row r="233" spans="1:5" x14ac:dyDescent="0.25">
      <c r="A233" s="6">
        <v>226</v>
      </c>
      <c r="B233" s="10" t="s">
        <v>148</v>
      </c>
      <c r="C233" s="7" t="s">
        <v>149</v>
      </c>
      <c r="D233" s="26" t="s">
        <v>393</v>
      </c>
      <c r="E233" s="7">
        <v>4871</v>
      </c>
    </row>
    <row r="234" spans="1:5" x14ac:dyDescent="0.25">
      <c r="A234" s="6">
        <v>227</v>
      </c>
      <c r="B234" s="10" t="s">
        <v>150</v>
      </c>
      <c r="C234" s="7" t="s">
        <v>151</v>
      </c>
      <c r="D234" s="26" t="s">
        <v>393</v>
      </c>
      <c r="E234" s="7">
        <v>8748</v>
      </c>
    </row>
    <row r="235" spans="1:5" x14ac:dyDescent="0.25">
      <c r="A235" s="6">
        <v>228</v>
      </c>
      <c r="B235" s="10" t="s">
        <v>152</v>
      </c>
      <c r="C235" s="7" t="s">
        <v>153</v>
      </c>
      <c r="D235" s="26" t="s">
        <v>393</v>
      </c>
      <c r="E235" s="7">
        <v>9461</v>
      </c>
    </row>
    <row r="236" spans="1:5" x14ac:dyDescent="0.25">
      <c r="A236" s="6">
        <v>229</v>
      </c>
      <c r="B236" s="10" t="s">
        <v>154</v>
      </c>
      <c r="C236" s="7" t="s">
        <v>155</v>
      </c>
      <c r="D236" s="26" t="s">
        <v>393</v>
      </c>
      <c r="E236" s="7">
        <v>4871</v>
      </c>
    </row>
    <row r="237" spans="1:5" x14ac:dyDescent="0.25">
      <c r="A237" s="6">
        <v>230</v>
      </c>
      <c r="B237" s="10" t="s">
        <v>156</v>
      </c>
      <c r="C237" s="7" t="s">
        <v>157</v>
      </c>
      <c r="D237" s="26" t="s">
        <v>393</v>
      </c>
      <c r="E237" s="7">
        <v>8748</v>
      </c>
    </row>
    <row r="238" spans="1:5" x14ac:dyDescent="0.25">
      <c r="A238" s="6">
        <v>231</v>
      </c>
      <c r="B238" s="10" t="s">
        <v>158</v>
      </c>
      <c r="C238" s="7" t="s">
        <v>159</v>
      </c>
      <c r="D238" s="26" t="s">
        <v>393</v>
      </c>
      <c r="E238" s="7">
        <v>4871</v>
      </c>
    </row>
    <row r="239" spans="1:5" x14ac:dyDescent="0.25">
      <c r="A239" s="6">
        <v>232</v>
      </c>
      <c r="B239" s="10" t="s">
        <v>160</v>
      </c>
      <c r="C239" s="7" t="s">
        <v>161</v>
      </c>
      <c r="D239" s="26" t="s">
        <v>393</v>
      </c>
      <c r="E239" s="7">
        <v>4871</v>
      </c>
    </row>
    <row r="240" spans="1:5" x14ac:dyDescent="0.25">
      <c r="A240" s="6">
        <v>233</v>
      </c>
      <c r="B240" s="10" t="s">
        <v>162</v>
      </c>
      <c r="C240" s="7" t="s">
        <v>163</v>
      </c>
      <c r="D240" s="26" t="s">
        <v>393</v>
      </c>
      <c r="E240" s="7">
        <v>8748</v>
      </c>
    </row>
    <row r="241" spans="1:5" x14ac:dyDescent="0.25">
      <c r="A241" s="6">
        <v>234</v>
      </c>
      <c r="B241" s="10" t="s">
        <v>528</v>
      </c>
      <c r="C241" s="7" t="s">
        <v>529</v>
      </c>
      <c r="D241" s="26" t="s">
        <v>393</v>
      </c>
      <c r="E241" s="7"/>
    </row>
    <row r="242" spans="1:5" x14ac:dyDescent="0.25">
      <c r="A242" s="6">
        <v>235</v>
      </c>
      <c r="B242" s="10" t="s">
        <v>185</v>
      </c>
      <c r="C242" s="7" t="s">
        <v>186</v>
      </c>
      <c r="D242" s="26" t="s">
        <v>393</v>
      </c>
      <c r="E242" s="7">
        <v>42098</v>
      </c>
    </row>
    <row r="243" spans="1:5" x14ac:dyDescent="0.25">
      <c r="A243" s="6">
        <v>236</v>
      </c>
      <c r="B243" s="10" t="s">
        <v>530</v>
      </c>
      <c r="C243" s="7" t="s">
        <v>531</v>
      </c>
      <c r="D243" s="26" t="s">
        <v>263</v>
      </c>
      <c r="E243" s="7">
        <v>6242</v>
      </c>
    </row>
    <row r="244" spans="1:5" x14ac:dyDescent="0.25">
      <c r="A244" s="6">
        <v>237</v>
      </c>
      <c r="B244" s="10" t="s">
        <v>212</v>
      </c>
      <c r="C244" s="7" t="s">
        <v>213</v>
      </c>
      <c r="D244" s="26" t="s">
        <v>263</v>
      </c>
      <c r="E244" s="7">
        <v>29387</v>
      </c>
    </row>
    <row r="245" spans="1:5" x14ac:dyDescent="0.25">
      <c r="A245" s="6">
        <v>238</v>
      </c>
      <c r="B245" s="10" t="s">
        <v>532</v>
      </c>
      <c r="C245" s="7" t="s">
        <v>533</v>
      </c>
      <c r="D245" s="26" t="s">
        <v>263</v>
      </c>
      <c r="E245" s="7">
        <v>6696</v>
      </c>
    </row>
    <row r="246" spans="1:5" x14ac:dyDescent="0.25">
      <c r="A246" s="6">
        <v>239</v>
      </c>
      <c r="B246" s="10" t="s">
        <v>534</v>
      </c>
      <c r="C246" s="7" t="s">
        <v>535</v>
      </c>
      <c r="D246" s="26" t="s">
        <v>263</v>
      </c>
      <c r="E246" s="7">
        <v>6696</v>
      </c>
    </row>
    <row r="247" spans="1:5" x14ac:dyDescent="0.25">
      <c r="A247" s="6">
        <v>240</v>
      </c>
      <c r="B247" s="10" t="s">
        <v>536</v>
      </c>
      <c r="C247" s="7" t="s">
        <v>537</v>
      </c>
      <c r="D247" s="26" t="s">
        <v>263</v>
      </c>
      <c r="E247" s="7"/>
    </row>
    <row r="248" spans="1:5" x14ac:dyDescent="0.25">
      <c r="A248" s="6">
        <v>241</v>
      </c>
      <c r="B248" s="10" t="s">
        <v>538</v>
      </c>
      <c r="C248" s="7" t="s">
        <v>539</v>
      </c>
      <c r="D248" s="26" t="s">
        <v>263</v>
      </c>
      <c r="E248" s="7">
        <v>41418</v>
      </c>
    </row>
    <row r="249" spans="1:5" x14ac:dyDescent="0.25">
      <c r="A249" s="6">
        <v>242</v>
      </c>
      <c r="B249" s="10" t="s">
        <v>164</v>
      </c>
      <c r="C249" s="7" t="s">
        <v>165</v>
      </c>
      <c r="D249" s="26" t="s">
        <v>263</v>
      </c>
      <c r="E249" s="7">
        <v>35208</v>
      </c>
    </row>
    <row r="250" spans="1:5" x14ac:dyDescent="0.25">
      <c r="A250" s="6">
        <v>243</v>
      </c>
      <c r="B250" s="10" t="s">
        <v>166</v>
      </c>
      <c r="C250" s="7" t="s">
        <v>167</v>
      </c>
      <c r="D250" s="26" t="s">
        <v>263</v>
      </c>
      <c r="E250" s="7">
        <v>35208</v>
      </c>
    </row>
    <row r="251" spans="1:5" x14ac:dyDescent="0.25">
      <c r="A251" s="6">
        <v>244</v>
      </c>
      <c r="B251" s="10" t="s">
        <v>168</v>
      </c>
      <c r="C251" s="7" t="s">
        <v>169</v>
      </c>
      <c r="D251" s="26" t="s">
        <v>263</v>
      </c>
      <c r="E251" s="7">
        <v>47682</v>
      </c>
    </row>
    <row r="252" spans="1:5" x14ac:dyDescent="0.25">
      <c r="A252" s="6">
        <v>245</v>
      </c>
      <c r="B252" s="10" t="s">
        <v>170</v>
      </c>
      <c r="C252" s="7" t="s">
        <v>171</v>
      </c>
      <c r="D252" s="26" t="s">
        <v>263</v>
      </c>
      <c r="E252" s="7">
        <v>41472</v>
      </c>
    </row>
    <row r="253" spans="1:5" x14ac:dyDescent="0.25">
      <c r="A253" s="6">
        <v>246</v>
      </c>
      <c r="B253" s="10" t="s">
        <v>232</v>
      </c>
      <c r="C253" s="7" t="s">
        <v>233</v>
      </c>
      <c r="D253" s="26" t="s">
        <v>263</v>
      </c>
      <c r="E253" s="7">
        <v>17550</v>
      </c>
    </row>
    <row r="254" spans="1:5" x14ac:dyDescent="0.25">
      <c r="A254" s="6">
        <v>247</v>
      </c>
      <c r="B254" s="10" t="s">
        <v>172</v>
      </c>
      <c r="C254" s="7" t="s">
        <v>173</v>
      </c>
      <c r="D254" s="26" t="s">
        <v>263</v>
      </c>
      <c r="E254" s="7">
        <v>38934</v>
      </c>
    </row>
    <row r="255" spans="1:5" x14ac:dyDescent="0.25">
      <c r="A255" s="6">
        <v>248</v>
      </c>
      <c r="B255" s="10" t="s">
        <v>174</v>
      </c>
      <c r="C255" s="7" t="s">
        <v>175</v>
      </c>
      <c r="D255" s="26" t="s">
        <v>263</v>
      </c>
      <c r="E255" s="7">
        <v>14245</v>
      </c>
    </row>
    <row r="256" spans="1:5" x14ac:dyDescent="0.25">
      <c r="A256" s="6">
        <v>249</v>
      </c>
      <c r="B256" s="10" t="s">
        <v>244</v>
      </c>
      <c r="C256" s="7" t="s">
        <v>245</v>
      </c>
      <c r="D256" s="26" t="s">
        <v>263</v>
      </c>
      <c r="E256" s="7">
        <v>34765</v>
      </c>
    </row>
    <row r="257" spans="1:5" x14ac:dyDescent="0.25">
      <c r="A257" s="6">
        <v>250</v>
      </c>
      <c r="B257" s="10" t="s">
        <v>176</v>
      </c>
      <c r="C257" s="7" t="s">
        <v>177</v>
      </c>
      <c r="D257" s="26" t="s">
        <v>393</v>
      </c>
      <c r="E257" s="7">
        <v>9450</v>
      </c>
    </row>
    <row r="258" spans="1:5" x14ac:dyDescent="0.25">
      <c r="A258" s="6">
        <v>251</v>
      </c>
      <c r="B258" s="10" t="s">
        <v>178</v>
      </c>
      <c r="C258" s="7" t="s">
        <v>179</v>
      </c>
      <c r="D258" s="26" t="s">
        <v>393</v>
      </c>
      <c r="E258" s="7">
        <v>9450</v>
      </c>
    </row>
    <row r="259" spans="1:5" x14ac:dyDescent="0.25">
      <c r="A259" s="6">
        <v>252</v>
      </c>
      <c r="B259" s="10" t="s">
        <v>180</v>
      </c>
      <c r="C259" s="7" t="s">
        <v>181</v>
      </c>
      <c r="D259" s="26" t="s">
        <v>393</v>
      </c>
      <c r="E259" s="7">
        <v>9450</v>
      </c>
    </row>
    <row r="260" spans="1:5" x14ac:dyDescent="0.25">
      <c r="A260" s="6">
        <v>253</v>
      </c>
      <c r="B260" s="10" t="s">
        <v>182</v>
      </c>
      <c r="C260" s="7" t="s">
        <v>183</v>
      </c>
      <c r="D260" s="26" t="s">
        <v>393</v>
      </c>
      <c r="E260" s="7">
        <v>3780</v>
      </c>
    </row>
    <row r="261" spans="1:5" x14ac:dyDescent="0.25">
      <c r="A261" s="6">
        <v>254</v>
      </c>
      <c r="B261" s="10" t="s">
        <v>226</v>
      </c>
      <c r="C261" s="7" t="s">
        <v>227</v>
      </c>
      <c r="D261" s="26" t="s">
        <v>540</v>
      </c>
      <c r="E261" s="7">
        <v>6880</v>
      </c>
    </row>
    <row r="262" spans="1:5" x14ac:dyDescent="0.25">
      <c r="A262" s="6">
        <v>255</v>
      </c>
      <c r="B262" s="10" t="s">
        <v>541</v>
      </c>
      <c r="C262" s="7" t="s">
        <v>542</v>
      </c>
      <c r="D262" s="26" t="s">
        <v>540</v>
      </c>
      <c r="E262" s="7">
        <v>6880</v>
      </c>
    </row>
    <row r="263" spans="1:5" x14ac:dyDescent="0.25">
      <c r="A263" s="6">
        <v>256</v>
      </c>
      <c r="B263" s="10" t="s">
        <v>543</v>
      </c>
      <c r="C263" s="7" t="s">
        <v>544</v>
      </c>
      <c r="D263" s="26" t="s">
        <v>540</v>
      </c>
      <c r="E263" s="7">
        <v>8748</v>
      </c>
    </row>
    <row r="264" spans="1:5" x14ac:dyDescent="0.25">
      <c r="A264" s="6">
        <v>257</v>
      </c>
      <c r="B264" s="10" t="s">
        <v>545</v>
      </c>
      <c r="C264" s="7" t="s">
        <v>546</v>
      </c>
      <c r="D264" s="26" t="s">
        <v>540</v>
      </c>
      <c r="E264" s="7">
        <v>6880</v>
      </c>
    </row>
    <row r="265" spans="1:5" x14ac:dyDescent="0.25">
      <c r="A265" s="6">
        <v>258</v>
      </c>
      <c r="B265" s="10" t="s">
        <v>547</v>
      </c>
      <c r="C265" s="7" t="s">
        <v>548</v>
      </c>
      <c r="D265" s="26" t="s">
        <v>540</v>
      </c>
      <c r="E265" s="7">
        <v>6880</v>
      </c>
    </row>
    <row r="266" spans="1:5" x14ac:dyDescent="0.25">
      <c r="A266" s="6">
        <v>259</v>
      </c>
      <c r="B266" s="10" t="s">
        <v>549</v>
      </c>
      <c r="C266" s="7" t="s">
        <v>550</v>
      </c>
      <c r="D266" s="26" t="s">
        <v>540</v>
      </c>
      <c r="E266" s="7">
        <v>8748</v>
      </c>
    </row>
    <row r="267" spans="1:5" x14ac:dyDescent="0.25">
      <c r="A267" s="6">
        <v>260</v>
      </c>
      <c r="B267" s="10" t="s">
        <v>551</v>
      </c>
      <c r="C267" s="7" t="s">
        <v>552</v>
      </c>
      <c r="D267" s="26" t="s">
        <v>540</v>
      </c>
      <c r="E267" s="7">
        <v>8748</v>
      </c>
    </row>
    <row r="268" spans="1:5" x14ac:dyDescent="0.25">
      <c r="A268" s="6">
        <v>261</v>
      </c>
      <c r="B268" s="10" t="s">
        <v>553</v>
      </c>
      <c r="C268" s="7" t="s">
        <v>554</v>
      </c>
      <c r="D268" s="26" t="s">
        <v>540</v>
      </c>
      <c r="E268" s="7">
        <v>6880</v>
      </c>
    </row>
    <row r="269" spans="1:5" x14ac:dyDescent="0.25">
      <c r="A269" s="6">
        <v>262</v>
      </c>
      <c r="B269" s="10" t="s">
        <v>228</v>
      </c>
      <c r="C269" s="7" t="s">
        <v>229</v>
      </c>
      <c r="D269" s="26" t="s">
        <v>540</v>
      </c>
      <c r="E269" s="7">
        <v>8748</v>
      </c>
    </row>
    <row r="270" spans="1:5" x14ac:dyDescent="0.25">
      <c r="A270" s="6">
        <v>263</v>
      </c>
      <c r="B270" s="10" t="s">
        <v>555</v>
      </c>
      <c r="C270" s="7" t="s">
        <v>556</v>
      </c>
      <c r="D270" s="26" t="s">
        <v>540</v>
      </c>
      <c r="E270" s="7">
        <v>6880</v>
      </c>
    </row>
    <row r="271" spans="1:5" x14ac:dyDescent="0.25">
      <c r="A271" s="6">
        <v>264</v>
      </c>
      <c r="B271" s="10" t="s">
        <v>557</v>
      </c>
      <c r="C271" s="7" t="s">
        <v>558</v>
      </c>
      <c r="D271" s="26" t="s">
        <v>540</v>
      </c>
      <c r="E271" s="7">
        <v>6880</v>
      </c>
    </row>
    <row r="272" spans="1:5" x14ac:dyDescent="0.25">
      <c r="A272" s="6">
        <v>265</v>
      </c>
      <c r="B272" s="10" t="s">
        <v>559</v>
      </c>
      <c r="C272" s="7" t="s">
        <v>560</v>
      </c>
      <c r="D272" s="26" t="s">
        <v>561</v>
      </c>
      <c r="E272" s="7">
        <v>8705</v>
      </c>
    </row>
    <row r="273" spans="1:5" x14ac:dyDescent="0.25">
      <c r="A273" s="6">
        <v>266</v>
      </c>
      <c r="B273" s="10" t="s">
        <v>562</v>
      </c>
      <c r="C273" s="7" t="s">
        <v>563</v>
      </c>
      <c r="D273" s="26" t="s">
        <v>561</v>
      </c>
      <c r="E273" s="7">
        <v>8705</v>
      </c>
    </row>
    <row r="274" spans="1:5" x14ac:dyDescent="0.25">
      <c r="A274" s="6">
        <v>267</v>
      </c>
      <c r="B274" s="10" t="s">
        <v>564</v>
      </c>
      <c r="C274" s="7" t="s">
        <v>565</v>
      </c>
      <c r="D274" s="26" t="s">
        <v>561</v>
      </c>
      <c r="E274" s="7"/>
    </row>
    <row r="275" spans="1:5" x14ac:dyDescent="0.25">
      <c r="A275" s="6">
        <v>268</v>
      </c>
      <c r="B275" s="10" t="s">
        <v>566</v>
      </c>
      <c r="C275" s="7" t="s">
        <v>567</v>
      </c>
      <c r="D275" s="26" t="s">
        <v>561</v>
      </c>
      <c r="E275" s="7">
        <v>8705</v>
      </c>
    </row>
    <row r="276" spans="1:5" x14ac:dyDescent="0.25">
      <c r="A276" s="6">
        <v>269</v>
      </c>
      <c r="B276" s="10" t="s">
        <v>568</v>
      </c>
      <c r="C276" s="7" t="s">
        <v>569</v>
      </c>
      <c r="D276" s="26" t="s">
        <v>561</v>
      </c>
      <c r="E276" s="7">
        <v>8705</v>
      </c>
    </row>
    <row r="277" spans="1:5" x14ac:dyDescent="0.25">
      <c r="A277" s="6">
        <v>270</v>
      </c>
      <c r="B277" s="10" t="s">
        <v>570</v>
      </c>
      <c r="C277" s="7" t="s">
        <v>571</v>
      </c>
      <c r="D277" s="26" t="s">
        <v>561</v>
      </c>
      <c r="E277" s="7">
        <v>18155</v>
      </c>
    </row>
    <row r="278" spans="1:5" x14ac:dyDescent="0.25">
      <c r="A278" s="6">
        <v>271</v>
      </c>
      <c r="B278" s="10" t="s">
        <v>572</v>
      </c>
      <c r="C278" s="7" t="s">
        <v>573</v>
      </c>
      <c r="D278" s="26" t="s">
        <v>561</v>
      </c>
      <c r="E278" s="7">
        <v>8705</v>
      </c>
    </row>
    <row r="279" spans="1:5" x14ac:dyDescent="0.25">
      <c r="A279" s="6">
        <v>272</v>
      </c>
      <c r="B279" s="10" t="s">
        <v>574</v>
      </c>
      <c r="C279" s="7" t="s">
        <v>575</v>
      </c>
      <c r="D279" s="26" t="s">
        <v>561</v>
      </c>
      <c r="E279" s="7">
        <v>8834</v>
      </c>
    </row>
    <row r="280" spans="1:5" x14ac:dyDescent="0.25">
      <c r="A280" s="6">
        <v>273</v>
      </c>
      <c r="B280" s="10" t="s">
        <v>576</v>
      </c>
      <c r="C280" s="7" t="s">
        <v>577</v>
      </c>
      <c r="D280" s="26" t="s">
        <v>561</v>
      </c>
      <c r="E280" s="7">
        <v>8834</v>
      </c>
    </row>
    <row r="281" spans="1:5" x14ac:dyDescent="0.25">
      <c r="A281" s="6">
        <v>274</v>
      </c>
      <c r="B281" s="10" t="s">
        <v>578</v>
      </c>
      <c r="C281" s="7" t="s">
        <v>579</v>
      </c>
      <c r="D281" s="26" t="s">
        <v>561</v>
      </c>
      <c r="E281" s="7">
        <v>18155</v>
      </c>
    </row>
    <row r="282" spans="1:5" x14ac:dyDescent="0.25">
      <c r="A282" s="6">
        <v>275</v>
      </c>
      <c r="B282" s="10" t="s">
        <v>580</v>
      </c>
      <c r="C282" s="7" t="s">
        <v>581</v>
      </c>
      <c r="D282" s="26" t="s">
        <v>561</v>
      </c>
      <c r="E282" s="7">
        <v>8705</v>
      </c>
    </row>
    <row r="283" spans="1:5" x14ac:dyDescent="0.25">
      <c r="A283" s="6">
        <v>276</v>
      </c>
      <c r="B283" s="10" t="s">
        <v>582</v>
      </c>
      <c r="C283" s="7" t="s">
        <v>583</v>
      </c>
      <c r="D283" s="26" t="s">
        <v>561</v>
      </c>
      <c r="E283" s="7">
        <v>18155</v>
      </c>
    </row>
    <row r="284" spans="1:5" x14ac:dyDescent="0.25">
      <c r="A284" s="6">
        <v>277</v>
      </c>
      <c r="B284" s="10" t="s">
        <v>584</v>
      </c>
      <c r="C284" s="7" t="s">
        <v>585</v>
      </c>
      <c r="D284" s="26" t="s">
        <v>263</v>
      </c>
      <c r="E284" s="7">
        <v>78797</v>
      </c>
    </row>
    <row r="285" spans="1:5" x14ac:dyDescent="0.25">
      <c r="A285" s="6">
        <v>278</v>
      </c>
      <c r="B285" s="10" t="s">
        <v>586</v>
      </c>
      <c r="C285" s="7" t="s">
        <v>587</v>
      </c>
      <c r="D285" s="26" t="s">
        <v>263</v>
      </c>
      <c r="E285" s="7">
        <v>78797</v>
      </c>
    </row>
    <row r="286" spans="1:5" x14ac:dyDescent="0.25">
      <c r="A286" s="6">
        <v>279</v>
      </c>
      <c r="B286" s="10" t="s">
        <v>588</v>
      </c>
      <c r="C286" s="7" t="s">
        <v>589</v>
      </c>
      <c r="D286" s="26" t="s">
        <v>263</v>
      </c>
      <c r="E286" s="7">
        <v>78797</v>
      </c>
    </row>
    <row r="287" spans="1:5" x14ac:dyDescent="0.25">
      <c r="A287" s="6">
        <v>280</v>
      </c>
      <c r="B287" s="10" t="s">
        <v>590</v>
      </c>
      <c r="C287" s="7" t="s">
        <v>591</v>
      </c>
      <c r="D287" s="26" t="s">
        <v>263</v>
      </c>
      <c r="E287" s="7">
        <v>78797</v>
      </c>
    </row>
    <row r="288" spans="1:5" x14ac:dyDescent="0.25">
      <c r="A288" s="6">
        <v>281</v>
      </c>
      <c r="B288" s="10" t="s">
        <v>592</v>
      </c>
      <c r="C288" s="7" t="s">
        <v>593</v>
      </c>
      <c r="D288" s="26" t="s">
        <v>263</v>
      </c>
      <c r="E288" s="7">
        <v>78797</v>
      </c>
    </row>
    <row r="289" spans="1:5" x14ac:dyDescent="0.25">
      <c r="A289" s="6">
        <v>282</v>
      </c>
      <c r="B289" s="10" t="s">
        <v>594</v>
      </c>
      <c r="C289" s="7" t="s">
        <v>595</v>
      </c>
      <c r="D289" s="26" t="s">
        <v>263</v>
      </c>
      <c r="E289" s="7">
        <v>78797</v>
      </c>
    </row>
    <row r="290" spans="1:5" x14ac:dyDescent="0.25">
      <c r="A290" s="6">
        <v>283</v>
      </c>
      <c r="B290" s="10" t="s">
        <v>596</v>
      </c>
      <c r="C290" s="7" t="s">
        <v>597</v>
      </c>
      <c r="D290" s="26" t="s">
        <v>263</v>
      </c>
      <c r="E290" s="7">
        <v>78797</v>
      </c>
    </row>
    <row r="291" spans="1:5" x14ac:dyDescent="0.25">
      <c r="A291" s="6">
        <v>284</v>
      </c>
      <c r="B291" s="10" t="s">
        <v>238</v>
      </c>
      <c r="C291" s="7" t="s">
        <v>598</v>
      </c>
      <c r="D291" s="26" t="s">
        <v>263</v>
      </c>
      <c r="E291" s="7">
        <v>78797</v>
      </c>
    </row>
    <row r="292" spans="1:5" x14ac:dyDescent="0.25">
      <c r="A292" s="6">
        <v>285</v>
      </c>
      <c r="B292" s="10" t="s">
        <v>599</v>
      </c>
      <c r="C292" s="7" t="s">
        <v>600</v>
      </c>
      <c r="D292" s="26" t="s">
        <v>263</v>
      </c>
      <c r="E292" s="7">
        <v>78797</v>
      </c>
    </row>
    <row r="293" spans="1:5" x14ac:dyDescent="0.25">
      <c r="A293" s="6">
        <v>286</v>
      </c>
      <c r="B293" s="10" t="s">
        <v>601</v>
      </c>
      <c r="C293" s="7" t="s">
        <v>602</v>
      </c>
      <c r="D293" s="26" t="s">
        <v>263</v>
      </c>
      <c r="E293" s="7">
        <v>41764</v>
      </c>
    </row>
    <row r="294" spans="1:5" x14ac:dyDescent="0.25">
      <c r="A294" s="6">
        <v>287</v>
      </c>
      <c r="B294" s="10" t="s">
        <v>603</v>
      </c>
      <c r="C294" s="7" t="s">
        <v>604</v>
      </c>
      <c r="D294" s="26" t="s">
        <v>263</v>
      </c>
      <c r="E294" s="7">
        <v>41764</v>
      </c>
    </row>
    <row r="295" spans="1:5" x14ac:dyDescent="0.25">
      <c r="A295" s="6">
        <v>288</v>
      </c>
      <c r="B295" s="10" t="s">
        <v>605</v>
      </c>
      <c r="C295" s="7" t="s">
        <v>606</v>
      </c>
      <c r="D295" s="26" t="s">
        <v>263</v>
      </c>
      <c r="E295" s="7">
        <v>65005</v>
      </c>
    </row>
    <row r="296" spans="1:5" x14ac:dyDescent="0.25">
      <c r="A296" s="6">
        <v>289</v>
      </c>
      <c r="B296" s="10" t="s">
        <v>607</v>
      </c>
      <c r="C296" s="7" t="s">
        <v>608</v>
      </c>
      <c r="D296" s="26" t="s">
        <v>263</v>
      </c>
      <c r="E296" s="7">
        <v>41764</v>
      </c>
    </row>
    <row r="297" spans="1:5" x14ac:dyDescent="0.25">
      <c r="A297" s="6">
        <v>290</v>
      </c>
      <c r="B297" s="10" t="s">
        <v>609</v>
      </c>
      <c r="C297" s="7" t="s">
        <v>610</v>
      </c>
      <c r="D297" s="26" t="s">
        <v>263</v>
      </c>
      <c r="E297" s="7">
        <v>41764</v>
      </c>
    </row>
    <row r="298" spans="1:5" x14ac:dyDescent="0.25">
      <c r="A298" s="6">
        <v>291</v>
      </c>
      <c r="B298" s="10" t="s">
        <v>611</v>
      </c>
      <c r="C298" s="7" t="s">
        <v>612</v>
      </c>
      <c r="D298" s="26" t="s">
        <v>263</v>
      </c>
      <c r="E298" s="7">
        <v>41764</v>
      </c>
    </row>
    <row r="299" spans="1:5" x14ac:dyDescent="0.25">
      <c r="A299" s="6">
        <v>292</v>
      </c>
      <c r="B299" s="10" t="s">
        <v>613</v>
      </c>
      <c r="C299" s="7" t="s">
        <v>614</v>
      </c>
      <c r="D299" s="26" t="s">
        <v>263</v>
      </c>
      <c r="E299" s="7">
        <v>55296</v>
      </c>
    </row>
    <row r="300" spans="1:5" x14ac:dyDescent="0.25">
      <c r="A300" s="6">
        <v>293</v>
      </c>
      <c r="B300" s="10" t="s">
        <v>615</v>
      </c>
      <c r="C300" s="7" t="s">
        <v>616</v>
      </c>
      <c r="D300" s="26" t="s">
        <v>263</v>
      </c>
      <c r="E300" s="7">
        <v>65005</v>
      </c>
    </row>
    <row r="301" spans="1:5" x14ac:dyDescent="0.25">
      <c r="A301" s="6">
        <v>294</v>
      </c>
      <c r="B301" s="10" t="s">
        <v>617</v>
      </c>
      <c r="C301" s="7" t="s">
        <v>618</v>
      </c>
      <c r="D301" s="26" t="s">
        <v>263</v>
      </c>
      <c r="E301" s="7">
        <v>55296</v>
      </c>
    </row>
    <row r="302" spans="1:5" x14ac:dyDescent="0.25">
      <c r="A302" s="6">
        <v>295</v>
      </c>
      <c r="B302" s="10" t="s">
        <v>619</v>
      </c>
      <c r="C302" s="7" t="s">
        <v>620</v>
      </c>
      <c r="D302" s="26" t="s">
        <v>263</v>
      </c>
      <c r="E302" s="7">
        <v>41764</v>
      </c>
    </row>
    <row r="303" spans="1:5" x14ac:dyDescent="0.25">
      <c r="A303" s="6">
        <v>296</v>
      </c>
      <c r="B303" s="10" t="s">
        <v>621</v>
      </c>
      <c r="C303" s="7" t="s">
        <v>622</v>
      </c>
      <c r="D303" s="26" t="s">
        <v>263</v>
      </c>
      <c r="E303" s="7">
        <v>65005</v>
      </c>
    </row>
    <row r="304" spans="1:5" x14ac:dyDescent="0.25">
      <c r="A304" s="6">
        <v>297</v>
      </c>
      <c r="B304" s="10" t="s">
        <v>623</v>
      </c>
      <c r="C304" s="7" t="s">
        <v>624</v>
      </c>
      <c r="D304" s="26" t="s">
        <v>263</v>
      </c>
      <c r="E304" s="7">
        <v>41764</v>
      </c>
    </row>
    <row r="305" spans="1:5" x14ac:dyDescent="0.25">
      <c r="A305" s="6">
        <v>298</v>
      </c>
      <c r="B305" s="10" t="s">
        <v>625</v>
      </c>
      <c r="C305" s="7" t="s">
        <v>626</v>
      </c>
      <c r="D305" s="26" t="s">
        <v>263</v>
      </c>
      <c r="E305" s="7">
        <v>41764</v>
      </c>
    </row>
    <row r="306" spans="1:5" x14ac:dyDescent="0.25">
      <c r="A306" s="6">
        <v>299</v>
      </c>
      <c r="B306" s="10" t="s">
        <v>627</v>
      </c>
      <c r="C306" s="7" t="s">
        <v>628</v>
      </c>
      <c r="D306" s="26" t="s">
        <v>263</v>
      </c>
      <c r="E306" s="7">
        <v>65005</v>
      </c>
    </row>
    <row r="307" spans="1:5" x14ac:dyDescent="0.25">
      <c r="A307" s="6">
        <v>300</v>
      </c>
      <c r="B307" s="10" t="s">
        <v>629</v>
      </c>
      <c r="C307" s="7" t="s">
        <v>630</v>
      </c>
      <c r="D307" s="26" t="s">
        <v>540</v>
      </c>
      <c r="E307" s="7">
        <v>13424</v>
      </c>
    </row>
    <row r="308" spans="1:5" x14ac:dyDescent="0.25">
      <c r="A308" s="6">
        <v>301</v>
      </c>
      <c r="B308" s="10" t="s">
        <v>230</v>
      </c>
      <c r="C308" s="7" t="s">
        <v>231</v>
      </c>
      <c r="D308" s="26" t="s">
        <v>540</v>
      </c>
      <c r="E308" s="7">
        <v>13424</v>
      </c>
    </row>
    <row r="309" spans="1:5" x14ac:dyDescent="0.25">
      <c r="A309" s="6">
        <v>302</v>
      </c>
      <c r="B309" s="10" t="s">
        <v>631</v>
      </c>
      <c r="C309" s="7" t="s">
        <v>632</v>
      </c>
      <c r="D309" s="26" t="s">
        <v>540</v>
      </c>
      <c r="E309" s="7">
        <v>13424</v>
      </c>
    </row>
    <row r="310" spans="1:5" x14ac:dyDescent="0.25">
      <c r="A310" s="6">
        <v>303</v>
      </c>
      <c r="B310" s="10" t="s">
        <v>633</v>
      </c>
      <c r="C310" s="7" t="s">
        <v>634</v>
      </c>
      <c r="D310" s="26" t="s">
        <v>263</v>
      </c>
      <c r="E310" s="7">
        <v>78797</v>
      </c>
    </row>
    <row r="311" spans="1:5" x14ac:dyDescent="0.25">
      <c r="A311" s="6">
        <v>304</v>
      </c>
      <c r="B311" s="10" t="s">
        <v>635</v>
      </c>
      <c r="C311" s="7" t="s">
        <v>636</v>
      </c>
      <c r="D311" s="26" t="s">
        <v>540</v>
      </c>
      <c r="E311" s="7"/>
    </row>
    <row r="312" spans="1:5" x14ac:dyDescent="0.25">
      <c r="A312" s="6">
        <v>305</v>
      </c>
      <c r="B312" s="10" t="s">
        <v>637</v>
      </c>
      <c r="C312" s="7" t="s">
        <v>638</v>
      </c>
      <c r="D312" s="26" t="s">
        <v>540</v>
      </c>
      <c r="E312" s="7">
        <v>2884</v>
      </c>
    </row>
    <row r="313" spans="1:5" x14ac:dyDescent="0.25">
      <c r="A313" s="6">
        <v>306</v>
      </c>
      <c r="B313" s="10" t="s">
        <v>639</v>
      </c>
      <c r="C313" s="7" t="s">
        <v>640</v>
      </c>
      <c r="D313" s="26" t="s">
        <v>540</v>
      </c>
      <c r="E313" s="7">
        <v>2884</v>
      </c>
    </row>
    <row r="314" spans="1:5" x14ac:dyDescent="0.25">
      <c r="A314" s="6">
        <v>307</v>
      </c>
      <c r="B314" s="10" t="s">
        <v>641</v>
      </c>
      <c r="C314" s="7" t="s">
        <v>642</v>
      </c>
      <c r="D314" s="26" t="s">
        <v>540</v>
      </c>
      <c r="E314" s="7">
        <v>2884</v>
      </c>
    </row>
    <row r="315" spans="1:5" x14ac:dyDescent="0.25">
      <c r="A315" s="6">
        <v>308</v>
      </c>
      <c r="B315" s="10" t="s">
        <v>643</v>
      </c>
      <c r="C315" s="7" t="s">
        <v>644</v>
      </c>
      <c r="D315" s="26" t="s">
        <v>540</v>
      </c>
      <c r="E315" s="7">
        <v>2884</v>
      </c>
    </row>
    <row r="316" spans="1:5" x14ac:dyDescent="0.25">
      <c r="A316" s="6">
        <v>309</v>
      </c>
      <c r="B316" s="10" t="s">
        <v>224</v>
      </c>
      <c r="C316" s="7" t="s">
        <v>225</v>
      </c>
      <c r="D316" s="26" t="s">
        <v>540</v>
      </c>
      <c r="E316" s="7">
        <v>2884</v>
      </c>
    </row>
    <row r="317" spans="1:5" x14ac:dyDescent="0.25">
      <c r="A317" s="6">
        <v>310</v>
      </c>
      <c r="B317" s="10" t="s">
        <v>645</v>
      </c>
      <c r="C317" s="7" t="s">
        <v>646</v>
      </c>
      <c r="D317" s="26" t="s">
        <v>540</v>
      </c>
      <c r="E317" s="7">
        <v>2884</v>
      </c>
    </row>
    <row r="318" spans="1:5" x14ac:dyDescent="0.25">
      <c r="A318" s="6">
        <v>311</v>
      </c>
      <c r="B318" s="10" t="s">
        <v>647</v>
      </c>
      <c r="C318" s="7" t="s">
        <v>648</v>
      </c>
      <c r="D318" s="26" t="s">
        <v>649</v>
      </c>
      <c r="E318" s="7">
        <v>0</v>
      </c>
    </row>
    <row r="319" spans="1:5" x14ac:dyDescent="0.25">
      <c r="A319" s="6">
        <v>312</v>
      </c>
      <c r="B319" s="10" t="s">
        <v>650</v>
      </c>
      <c r="C319" s="7" t="s">
        <v>651</v>
      </c>
      <c r="D319" s="26" t="s">
        <v>649</v>
      </c>
      <c r="E319" s="7">
        <v>0</v>
      </c>
    </row>
    <row r="320" spans="1:5" x14ac:dyDescent="0.25">
      <c r="A320" s="6">
        <v>313</v>
      </c>
      <c r="B320" s="10" t="s">
        <v>652</v>
      </c>
      <c r="C320" s="7" t="s">
        <v>653</v>
      </c>
      <c r="D320" s="26" t="s">
        <v>484</v>
      </c>
      <c r="E320" s="7">
        <v>28119</v>
      </c>
    </row>
    <row r="321" spans="1:5" x14ac:dyDescent="0.25">
      <c r="A321" s="6">
        <v>314</v>
      </c>
      <c r="B321" s="10" t="s">
        <v>654</v>
      </c>
      <c r="C321" s="7" t="s">
        <v>655</v>
      </c>
      <c r="D321" s="26" t="s">
        <v>649</v>
      </c>
      <c r="E321" s="7">
        <v>0</v>
      </c>
    </row>
    <row r="322" spans="1:5" x14ac:dyDescent="0.25">
      <c r="A322" s="6">
        <v>315</v>
      </c>
      <c r="B322" s="10" t="s">
        <v>656</v>
      </c>
      <c r="C322" s="7" t="s">
        <v>657</v>
      </c>
      <c r="D322" s="26" t="s">
        <v>649</v>
      </c>
      <c r="E322" s="7"/>
    </row>
    <row r="323" spans="1:5" x14ac:dyDescent="0.25">
      <c r="A323" s="6">
        <v>316</v>
      </c>
      <c r="B323" s="10" t="s">
        <v>658</v>
      </c>
      <c r="C323" s="7" t="s">
        <v>659</v>
      </c>
      <c r="D323" s="26" t="s">
        <v>649</v>
      </c>
      <c r="E323" s="7"/>
    </row>
    <row r="324" spans="1:5" x14ac:dyDescent="0.25">
      <c r="A324" s="6">
        <v>317</v>
      </c>
      <c r="B324" s="10" t="s">
        <v>660</v>
      </c>
      <c r="C324" s="7" t="s">
        <v>661</v>
      </c>
      <c r="D324" s="26" t="s">
        <v>649</v>
      </c>
      <c r="E324" s="7"/>
    </row>
    <row r="325" spans="1:5" x14ac:dyDescent="0.25">
      <c r="A325" s="6">
        <v>318</v>
      </c>
      <c r="B325" s="10" t="s">
        <v>662</v>
      </c>
      <c r="C325" s="7" t="s">
        <v>663</v>
      </c>
      <c r="D325" s="26" t="s">
        <v>649</v>
      </c>
      <c r="E325" s="7"/>
    </row>
    <row r="326" spans="1:5" x14ac:dyDescent="0.25">
      <c r="A326" s="6">
        <v>319</v>
      </c>
      <c r="B326" s="10" t="s">
        <v>664</v>
      </c>
      <c r="C326" s="7" t="s">
        <v>665</v>
      </c>
      <c r="D326" s="26" t="s">
        <v>649</v>
      </c>
      <c r="E326" s="7"/>
    </row>
    <row r="327" spans="1:5" x14ac:dyDescent="0.25">
      <c r="A327" s="6">
        <v>320</v>
      </c>
      <c r="B327" s="10" t="s">
        <v>666</v>
      </c>
      <c r="C327" s="7" t="s">
        <v>667</v>
      </c>
      <c r="D327" s="26" t="s">
        <v>649</v>
      </c>
      <c r="E327" s="7"/>
    </row>
    <row r="328" spans="1:5" x14ac:dyDescent="0.25">
      <c r="A328" s="6">
        <v>321</v>
      </c>
      <c r="B328" s="10" t="s">
        <v>668</v>
      </c>
      <c r="C328" s="7" t="s">
        <v>669</v>
      </c>
      <c r="D328" s="26" t="s">
        <v>649</v>
      </c>
      <c r="E328" s="7"/>
    </row>
    <row r="329" spans="1:5" x14ac:dyDescent="0.25">
      <c r="A329" s="6">
        <v>322</v>
      </c>
      <c r="B329" s="10" t="s">
        <v>670</v>
      </c>
      <c r="C329" s="7" t="s">
        <v>671</v>
      </c>
      <c r="D329" s="26" t="s">
        <v>649</v>
      </c>
      <c r="E329" s="7"/>
    </row>
    <row r="330" spans="1:5" x14ac:dyDescent="0.25">
      <c r="A330" s="6">
        <v>323</v>
      </c>
      <c r="B330" s="10" t="s">
        <v>672</v>
      </c>
      <c r="C330" s="7" t="s">
        <v>673</v>
      </c>
      <c r="D330" s="26" t="s">
        <v>649</v>
      </c>
      <c r="E330" s="7"/>
    </row>
    <row r="331" spans="1:5" x14ac:dyDescent="0.25">
      <c r="A331" s="6">
        <v>324</v>
      </c>
      <c r="B331" s="10" t="s">
        <v>674</v>
      </c>
      <c r="C331" s="7" t="s">
        <v>675</v>
      </c>
      <c r="D331" s="26" t="s">
        <v>649</v>
      </c>
      <c r="E331" s="7"/>
    </row>
    <row r="332" spans="1:5" x14ac:dyDescent="0.25">
      <c r="A332" s="6">
        <v>325</v>
      </c>
      <c r="B332" s="10" t="s">
        <v>676</v>
      </c>
      <c r="C332" s="7" t="s">
        <v>677</v>
      </c>
      <c r="D332" s="26" t="s">
        <v>649</v>
      </c>
      <c r="E332" s="7"/>
    </row>
    <row r="333" spans="1:5" x14ac:dyDescent="0.25">
      <c r="A333" s="6">
        <v>326</v>
      </c>
      <c r="B333" s="10" t="s">
        <v>678</v>
      </c>
      <c r="C333" s="7" t="s">
        <v>679</v>
      </c>
      <c r="D333" s="26" t="s">
        <v>649</v>
      </c>
      <c r="E333" s="7"/>
    </row>
    <row r="334" spans="1:5" x14ac:dyDescent="0.25">
      <c r="A334" s="6">
        <v>327</v>
      </c>
      <c r="B334" s="10" t="s">
        <v>680</v>
      </c>
      <c r="C334" s="7" t="s">
        <v>681</v>
      </c>
      <c r="D334" s="26" t="s">
        <v>649</v>
      </c>
      <c r="E334" s="7"/>
    </row>
    <row r="335" spans="1:5" x14ac:dyDescent="0.25">
      <c r="A335" s="6">
        <v>328</v>
      </c>
      <c r="B335" s="10" t="s">
        <v>682</v>
      </c>
      <c r="C335" s="7" t="s">
        <v>683</v>
      </c>
      <c r="D335" s="26" t="s">
        <v>649</v>
      </c>
      <c r="E335" s="7"/>
    </row>
    <row r="336" spans="1:5" x14ac:dyDescent="0.25">
      <c r="A336" s="6">
        <v>329</v>
      </c>
      <c r="B336" s="10" t="s">
        <v>684</v>
      </c>
      <c r="C336" s="7" t="s">
        <v>685</v>
      </c>
      <c r="D336" s="26" t="s">
        <v>649</v>
      </c>
      <c r="E336" s="7"/>
    </row>
    <row r="337" spans="1:5" x14ac:dyDescent="0.25">
      <c r="A337" s="6">
        <v>330</v>
      </c>
      <c r="B337" s="10" t="s">
        <v>686</v>
      </c>
      <c r="C337" s="7" t="s">
        <v>687</v>
      </c>
      <c r="D337" s="26" t="s">
        <v>688</v>
      </c>
      <c r="E337" s="7"/>
    </row>
    <row r="338" spans="1:5" x14ac:dyDescent="0.25">
      <c r="A338" s="6">
        <v>331</v>
      </c>
      <c r="B338" s="10" t="s">
        <v>689</v>
      </c>
      <c r="C338" s="7" t="s">
        <v>690</v>
      </c>
      <c r="D338" s="26" t="s">
        <v>649</v>
      </c>
      <c r="E338" s="7"/>
    </row>
    <row r="339" spans="1:5" x14ac:dyDescent="0.25">
      <c r="A339" s="6">
        <v>332</v>
      </c>
      <c r="B339" s="10" t="s">
        <v>691</v>
      </c>
      <c r="C339" s="7" t="s">
        <v>692</v>
      </c>
      <c r="D339" s="26" t="s">
        <v>649</v>
      </c>
      <c r="E339" s="7">
        <v>0</v>
      </c>
    </row>
    <row r="340" spans="1:5" x14ac:dyDescent="0.25">
      <c r="A340" s="6">
        <v>333</v>
      </c>
      <c r="B340" s="10" t="s">
        <v>693</v>
      </c>
      <c r="C340" s="7" t="s">
        <v>694</v>
      </c>
      <c r="D340" s="26" t="s">
        <v>649</v>
      </c>
      <c r="E340" s="7"/>
    </row>
    <row r="341" spans="1:5" x14ac:dyDescent="0.25">
      <c r="A341" s="6">
        <v>334</v>
      </c>
      <c r="B341" s="10" t="s">
        <v>695</v>
      </c>
      <c r="C341" s="7" t="s">
        <v>696</v>
      </c>
      <c r="D341" s="26" t="s">
        <v>649</v>
      </c>
      <c r="E341" s="7"/>
    </row>
    <row r="342" spans="1:5" x14ac:dyDescent="0.25">
      <c r="A342" s="6">
        <v>335</v>
      </c>
      <c r="B342" s="10" t="s">
        <v>697</v>
      </c>
      <c r="C342" s="7" t="s">
        <v>698</v>
      </c>
      <c r="D342" s="26" t="s">
        <v>649</v>
      </c>
      <c r="E342" s="7"/>
    </row>
    <row r="343" spans="1:5" x14ac:dyDescent="0.25">
      <c r="A343" s="6">
        <v>336</v>
      </c>
      <c r="B343" s="10" t="s">
        <v>699</v>
      </c>
      <c r="C343" s="7" t="s">
        <v>700</v>
      </c>
      <c r="D343" s="26" t="s">
        <v>649</v>
      </c>
      <c r="E343" s="7"/>
    </row>
    <row r="344" spans="1:5" x14ac:dyDescent="0.25">
      <c r="A344" s="6">
        <v>337</v>
      </c>
      <c r="B344" s="10" t="s">
        <v>701</v>
      </c>
      <c r="C344" s="7" t="s">
        <v>702</v>
      </c>
      <c r="D344" s="26" t="s">
        <v>649</v>
      </c>
      <c r="E344" s="7"/>
    </row>
    <row r="345" spans="1:5" x14ac:dyDescent="0.25">
      <c r="A345" s="6">
        <v>338</v>
      </c>
      <c r="B345" s="10" t="s">
        <v>703</v>
      </c>
      <c r="C345" s="7" t="s">
        <v>704</v>
      </c>
      <c r="D345" s="26" t="s">
        <v>649</v>
      </c>
      <c r="E345" s="7"/>
    </row>
    <row r="346" spans="1:5" x14ac:dyDescent="0.25">
      <c r="A346" s="6">
        <v>339</v>
      </c>
      <c r="B346" s="10" t="s">
        <v>705</v>
      </c>
      <c r="C346" s="7" t="s">
        <v>706</v>
      </c>
      <c r="D346" s="26" t="s">
        <v>649</v>
      </c>
      <c r="E346" s="7"/>
    </row>
    <row r="347" spans="1:5" x14ac:dyDescent="0.25">
      <c r="A347" s="6">
        <v>340</v>
      </c>
      <c r="B347" s="10" t="s">
        <v>707</v>
      </c>
      <c r="C347" s="7" t="s">
        <v>708</v>
      </c>
      <c r="D347" s="26" t="s">
        <v>649</v>
      </c>
      <c r="E347" s="7"/>
    </row>
    <row r="348" spans="1:5" x14ac:dyDescent="0.25">
      <c r="A348" s="6">
        <v>341</v>
      </c>
      <c r="B348" s="10" t="s">
        <v>709</v>
      </c>
      <c r="C348" s="7" t="s">
        <v>710</v>
      </c>
      <c r="D348" s="26" t="s">
        <v>649</v>
      </c>
      <c r="E348" s="7"/>
    </row>
    <row r="349" spans="1:5" x14ac:dyDescent="0.25">
      <c r="A349" s="6">
        <v>342</v>
      </c>
      <c r="B349" s="10" t="s">
        <v>711</v>
      </c>
      <c r="C349" s="7" t="s">
        <v>712</v>
      </c>
      <c r="D349" s="26" t="s">
        <v>649</v>
      </c>
      <c r="E349" s="7"/>
    </row>
    <row r="350" spans="1:5" x14ac:dyDescent="0.25">
      <c r="A350" s="6">
        <v>343</v>
      </c>
      <c r="B350" s="10" t="s">
        <v>713</v>
      </c>
      <c r="C350" s="7" t="s">
        <v>714</v>
      </c>
      <c r="D350" s="26" t="s">
        <v>649</v>
      </c>
      <c r="E350" s="7"/>
    </row>
    <row r="351" spans="1:5" x14ac:dyDescent="0.25">
      <c r="A351" s="6">
        <v>344</v>
      </c>
      <c r="B351" s="10" t="s">
        <v>248</v>
      </c>
      <c r="C351" s="7" t="s">
        <v>715</v>
      </c>
      <c r="D351" s="26" t="s">
        <v>649</v>
      </c>
      <c r="E351" s="7"/>
    </row>
    <row r="352" spans="1:5" x14ac:dyDescent="0.25">
      <c r="A352" s="6">
        <v>345</v>
      </c>
      <c r="B352" s="10" t="s">
        <v>716</v>
      </c>
      <c r="C352" s="7" t="s">
        <v>717</v>
      </c>
      <c r="D352" s="26" t="s">
        <v>649</v>
      </c>
      <c r="E352" s="7"/>
    </row>
    <row r="353" spans="1:5" x14ac:dyDescent="0.25">
      <c r="A353" s="6">
        <v>346</v>
      </c>
      <c r="B353" s="10" t="s">
        <v>718</v>
      </c>
      <c r="C353" s="7" t="s">
        <v>719</v>
      </c>
      <c r="D353" s="26" t="s">
        <v>649</v>
      </c>
      <c r="E353" s="7"/>
    </row>
    <row r="354" spans="1:5" x14ac:dyDescent="0.25">
      <c r="A354" s="6">
        <v>347</v>
      </c>
      <c r="B354" s="10" t="s">
        <v>720</v>
      </c>
      <c r="C354" s="7" t="s">
        <v>721</v>
      </c>
      <c r="D354" s="26" t="s">
        <v>649</v>
      </c>
      <c r="E354" s="7"/>
    </row>
    <row r="355" spans="1:5" x14ac:dyDescent="0.25">
      <c r="A355" s="6">
        <v>348</v>
      </c>
      <c r="B355" s="10" t="s">
        <v>722</v>
      </c>
      <c r="C355" s="7" t="s">
        <v>723</v>
      </c>
      <c r="D355" s="26" t="s">
        <v>649</v>
      </c>
      <c r="E355" s="7"/>
    </row>
    <row r="356" spans="1:5" x14ac:dyDescent="0.25">
      <c r="A356" s="6">
        <v>349</v>
      </c>
      <c r="B356" s="10" t="s">
        <v>724</v>
      </c>
      <c r="C356" s="7" t="s">
        <v>725</v>
      </c>
      <c r="D356" s="26" t="s">
        <v>688</v>
      </c>
      <c r="E356" s="7"/>
    </row>
    <row r="357" spans="1:5" x14ac:dyDescent="0.25">
      <c r="A357" s="6">
        <v>350</v>
      </c>
      <c r="B357" s="10" t="s">
        <v>234</v>
      </c>
      <c r="C357" s="7" t="s">
        <v>235</v>
      </c>
      <c r="D357" s="26" t="s">
        <v>649</v>
      </c>
      <c r="E357" s="7"/>
    </row>
    <row r="358" spans="1:5" x14ac:dyDescent="0.25">
      <c r="A358" s="6">
        <v>351</v>
      </c>
      <c r="B358" s="10" t="s">
        <v>726</v>
      </c>
      <c r="C358" s="7" t="s">
        <v>727</v>
      </c>
      <c r="D358" s="26" t="s">
        <v>649</v>
      </c>
      <c r="E358" s="7"/>
    </row>
    <row r="359" spans="1:5" x14ac:dyDescent="0.25">
      <c r="A359" s="6">
        <v>352</v>
      </c>
      <c r="B359" s="10" t="s">
        <v>728</v>
      </c>
      <c r="C359" s="7" t="s">
        <v>729</v>
      </c>
      <c r="D359" s="26" t="s">
        <v>649</v>
      </c>
      <c r="E359" s="7"/>
    </row>
    <row r="360" spans="1:5" x14ac:dyDescent="0.25">
      <c r="A360" s="6">
        <v>353</v>
      </c>
      <c r="B360" s="10" t="s">
        <v>730</v>
      </c>
      <c r="C360" s="7" t="s">
        <v>731</v>
      </c>
      <c r="D360" s="26" t="s">
        <v>649</v>
      </c>
      <c r="E360" s="7"/>
    </row>
    <row r="361" spans="1:5" x14ac:dyDescent="0.25">
      <c r="A361" s="6">
        <v>354</v>
      </c>
      <c r="B361" s="10" t="s">
        <v>732</v>
      </c>
      <c r="C361" s="7" t="s">
        <v>733</v>
      </c>
      <c r="D361" s="26" t="s">
        <v>649</v>
      </c>
      <c r="E361" s="7"/>
    </row>
    <row r="362" spans="1:5" x14ac:dyDescent="0.25">
      <c r="A362" s="6">
        <v>355</v>
      </c>
      <c r="B362" s="10" t="s">
        <v>734</v>
      </c>
      <c r="C362" s="7" t="s">
        <v>735</v>
      </c>
      <c r="D362" s="26" t="s">
        <v>649</v>
      </c>
      <c r="E362" s="7"/>
    </row>
    <row r="363" spans="1:5" x14ac:dyDescent="0.25">
      <c r="A363" s="6">
        <v>356</v>
      </c>
      <c r="B363" s="10" t="s">
        <v>736</v>
      </c>
      <c r="C363" s="7" t="s">
        <v>737</v>
      </c>
      <c r="D363" s="26" t="s">
        <v>649</v>
      </c>
      <c r="E363" s="7"/>
    </row>
    <row r="364" spans="1:5" x14ac:dyDescent="0.25">
      <c r="A364" s="6">
        <v>357</v>
      </c>
      <c r="B364" s="10" t="s">
        <v>738</v>
      </c>
      <c r="C364" s="7" t="s">
        <v>739</v>
      </c>
      <c r="D364" s="26" t="s">
        <v>649</v>
      </c>
      <c r="E364" s="7"/>
    </row>
    <row r="365" spans="1:5" x14ac:dyDescent="0.25">
      <c r="A365" s="6">
        <v>358</v>
      </c>
      <c r="B365" s="10" t="s">
        <v>740</v>
      </c>
      <c r="C365" s="7" t="s">
        <v>741</v>
      </c>
      <c r="D365" s="26" t="s">
        <v>649</v>
      </c>
      <c r="E365" s="7"/>
    </row>
    <row r="366" spans="1:5" x14ac:dyDescent="0.25">
      <c r="A366" s="6">
        <v>359</v>
      </c>
      <c r="B366" s="10" t="s">
        <v>742</v>
      </c>
      <c r="C366" s="7" t="s">
        <v>743</v>
      </c>
      <c r="D366" s="26" t="s">
        <v>649</v>
      </c>
      <c r="E366" s="7"/>
    </row>
    <row r="367" spans="1:5" x14ac:dyDescent="0.25">
      <c r="A367" s="6">
        <v>360</v>
      </c>
      <c r="B367" s="10" t="s">
        <v>744</v>
      </c>
      <c r="C367" s="7" t="s">
        <v>745</v>
      </c>
      <c r="D367" s="26" t="s">
        <v>649</v>
      </c>
      <c r="E367" s="7"/>
    </row>
    <row r="368" spans="1:5" x14ac:dyDescent="0.25">
      <c r="A368" s="6">
        <v>361</v>
      </c>
      <c r="B368" s="10" t="s">
        <v>236</v>
      </c>
      <c r="C368" s="7" t="s">
        <v>237</v>
      </c>
      <c r="D368" s="26" t="s">
        <v>649</v>
      </c>
      <c r="E368" s="7"/>
    </row>
    <row r="369" spans="1:5" x14ac:dyDescent="0.25">
      <c r="A369" s="6">
        <v>362</v>
      </c>
      <c r="B369" s="10" t="s">
        <v>746</v>
      </c>
      <c r="C369" s="7" t="s">
        <v>747</v>
      </c>
      <c r="D369" s="26" t="s">
        <v>649</v>
      </c>
      <c r="E369" s="7"/>
    </row>
    <row r="370" spans="1:5" x14ac:dyDescent="0.25">
      <c r="A370" s="6">
        <v>363</v>
      </c>
      <c r="B370" s="10" t="s">
        <v>748</v>
      </c>
      <c r="C370" s="7" t="s">
        <v>749</v>
      </c>
      <c r="D370" s="26" t="s">
        <v>649</v>
      </c>
      <c r="E370" s="7"/>
    </row>
    <row r="371" spans="1:5" x14ac:dyDescent="0.25">
      <c r="A371" s="6">
        <v>364</v>
      </c>
      <c r="B371" s="10" t="s">
        <v>750</v>
      </c>
      <c r="C371" s="7" t="s">
        <v>751</v>
      </c>
      <c r="D371" s="26" t="s">
        <v>649</v>
      </c>
      <c r="E371" s="7"/>
    </row>
    <row r="372" spans="1:5" x14ac:dyDescent="0.25">
      <c r="A372" s="6">
        <v>365</v>
      </c>
      <c r="B372" s="10" t="s">
        <v>752</v>
      </c>
      <c r="C372" s="7" t="s">
        <v>753</v>
      </c>
      <c r="D372" s="26" t="s">
        <v>649</v>
      </c>
      <c r="E372" s="7"/>
    </row>
    <row r="373" spans="1:5" x14ac:dyDescent="0.25">
      <c r="A373" s="6">
        <v>366</v>
      </c>
      <c r="B373" s="10" t="s">
        <v>754</v>
      </c>
      <c r="C373" s="7" t="s">
        <v>755</v>
      </c>
      <c r="D373" s="26" t="s">
        <v>649</v>
      </c>
      <c r="E373" s="7"/>
    </row>
    <row r="374" spans="1:5" ht="15.75" x14ac:dyDescent="0.25">
      <c r="A374" s="6">
        <v>367</v>
      </c>
      <c r="B374" s="10" t="s">
        <v>756</v>
      </c>
      <c r="C374" s="31" t="s">
        <v>757</v>
      </c>
      <c r="D374" s="32" t="s">
        <v>263</v>
      </c>
    </row>
    <row r="802" spans="6:6" x14ac:dyDescent="0.25">
      <c r="F802" s="2">
        <v>12</v>
      </c>
    </row>
  </sheetData>
  <autoFilter ref="A7:F127"/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691"/>
  <sheetViews>
    <sheetView zoomScaleNormal="100" workbookViewId="0">
      <pane ySplit="6" topLeftCell="A7" activePane="bottomLeft" state="frozen"/>
      <selection activeCell="D943" activeCellId="1" sqref="F935 D943"/>
      <selection pane="bottomLeft" activeCell="E9" sqref="E9"/>
    </sheetView>
  </sheetViews>
  <sheetFormatPr defaultRowHeight="15" x14ac:dyDescent="0.25"/>
  <cols>
    <col min="1" max="1" width="5.7109375" style="25" customWidth="1"/>
    <col min="2" max="2" width="13.85546875" style="13" customWidth="1"/>
    <col min="3" max="3" width="20.5703125" style="25" customWidth="1"/>
    <col min="4" max="4" width="10.5703125" style="13" customWidth="1"/>
    <col min="5" max="5" width="42.5703125" style="13" customWidth="1"/>
    <col min="6" max="6" width="11.7109375" style="61" customWidth="1"/>
    <col min="7" max="7" width="14" style="19" customWidth="1"/>
    <col min="8" max="8" width="13.5703125" style="63" customWidth="1"/>
    <col min="9" max="9" width="15" style="49" customWidth="1"/>
    <col min="10" max="10" width="17.42578125" style="49" customWidth="1"/>
    <col min="11" max="11" width="17.7109375" style="49" customWidth="1"/>
    <col min="12" max="12" width="13.42578125" style="13" bestFit="1" customWidth="1"/>
    <col min="13" max="16384" width="9.140625" style="13"/>
  </cols>
  <sheetData>
    <row r="1" spans="1:11" x14ac:dyDescent="0.25">
      <c r="F1" s="95"/>
      <c r="I1" s="70"/>
    </row>
    <row r="2" spans="1:11" ht="15" hidden="1" customHeight="1" x14ac:dyDescent="0.25">
      <c r="F2" s="62"/>
    </row>
    <row r="3" spans="1:11" ht="15" hidden="1" customHeight="1" x14ac:dyDescent="0.25">
      <c r="F3" s="62"/>
    </row>
    <row r="4" spans="1:11" ht="15" hidden="1" customHeight="1" x14ac:dyDescent="0.25">
      <c r="F4" s="62"/>
    </row>
    <row r="5" spans="1:11" ht="15.75" thickBot="1" x14ac:dyDescent="0.3">
      <c r="A5" s="397" t="s">
        <v>955</v>
      </c>
      <c r="B5" s="397"/>
      <c r="C5" s="397"/>
      <c r="D5" s="397"/>
      <c r="E5" s="397"/>
      <c r="F5" s="397"/>
      <c r="G5" s="397"/>
      <c r="H5" s="397"/>
      <c r="I5" s="397"/>
      <c r="J5" s="397"/>
      <c r="K5" s="397"/>
    </row>
    <row r="6" spans="1:11" s="47" customFormat="1" ht="28.5" customHeight="1" x14ac:dyDescent="0.25">
      <c r="A6" s="43"/>
      <c r="B6" s="43" t="s">
        <v>5</v>
      </c>
      <c r="C6" s="43" t="s">
        <v>793</v>
      </c>
      <c r="D6" s="43" t="s">
        <v>6</v>
      </c>
      <c r="E6" s="43" t="s">
        <v>2</v>
      </c>
      <c r="F6" s="43" t="s">
        <v>790</v>
      </c>
      <c r="G6" s="50" t="s">
        <v>4</v>
      </c>
      <c r="H6" s="51" t="s">
        <v>791</v>
      </c>
      <c r="I6" s="51" t="s">
        <v>792</v>
      </c>
      <c r="J6" s="74" t="s">
        <v>803</v>
      </c>
      <c r="K6" s="74" t="s">
        <v>794</v>
      </c>
    </row>
    <row r="7" spans="1:11" s="25" customFormat="1" ht="15" customHeight="1" x14ac:dyDescent="0.25">
      <c r="A7" s="128"/>
      <c r="B7" s="108">
        <v>45505</v>
      </c>
      <c r="C7" s="109"/>
      <c r="D7" s="10" t="s">
        <v>10</v>
      </c>
      <c r="E7" s="7" t="s">
        <v>11</v>
      </c>
      <c r="F7" s="109">
        <v>80</v>
      </c>
      <c r="G7" s="141" t="s">
        <v>820</v>
      </c>
      <c r="H7" s="53">
        <v>8640</v>
      </c>
      <c r="I7" s="109">
        <f>H7*F7</f>
        <v>691200</v>
      </c>
      <c r="J7" s="361">
        <f>SUM(I7:I15)</f>
        <v>73006321</v>
      </c>
      <c r="K7" s="361">
        <v>68338257</v>
      </c>
    </row>
    <row r="8" spans="1:11" s="25" customFormat="1" ht="15" customHeight="1" x14ac:dyDescent="0.25">
      <c r="A8" s="142"/>
      <c r="B8" s="108">
        <v>45505</v>
      </c>
      <c r="C8" s="109"/>
      <c r="D8" s="10" t="s">
        <v>10</v>
      </c>
      <c r="E8" s="7" t="s">
        <v>11</v>
      </c>
      <c r="F8" s="109">
        <v>10</v>
      </c>
      <c r="G8" s="141" t="s">
        <v>821</v>
      </c>
      <c r="H8" s="80"/>
      <c r="I8" s="143"/>
      <c r="J8" s="353"/>
      <c r="K8" s="353"/>
    </row>
    <row r="9" spans="1:11" s="25" customFormat="1" ht="15" customHeight="1" x14ac:dyDescent="0.25">
      <c r="A9" s="128"/>
      <c r="B9" s="108">
        <v>45505</v>
      </c>
      <c r="C9" s="109" t="s">
        <v>843</v>
      </c>
      <c r="D9" s="10" t="s">
        <v>16</v>
      </c>
      <c r="E9" s="7" t="s">
        <v>17</v>
      </c>
      <c r="F9" s="109">
        <f>60+36</f>
        <v>96</v>
      </c>
      <c r="G9" s="141" t="s">
        <v>820</v>
      </c>
      <c r="H9" s="53">
        <v>55458</v>
      </c>
      <c r="I9" s="109">
        <f t="shared" ref="I9:I52" si="0">H9*F9</f>
        <v>5323968</v>
      </c>
      <c r="J9" s="353"/>
      <c r="K9" s="353"/>
    </row>
    <row r="10" spans="1:11" s="25" customFormat="1" ht="15" customHeight="1" x14ac:dyDescent="0.25">
      <c r="A10" s="128"/>
      <c r="B10" s="108">
        <v>45505</v>
      </c>
      <c r="C10" s="109"/>
      <c r="D10" s="21" t="s">
        <v>20</v>
      </c>
      <c r="E10" s="23" t="s">
        <v>21</v>
      </c>
      <c r="F10" s="109">
        <v>16</v>
      </c>
      <c r="G10" s="141" t="s">
        <v>820</v>
      </c>
      <c r="H10" s="53">
        <v>19948</v>
      </c>
      <c r="I10" s="109">
        <f t="shared" si="0"/>
        <v>319168</v>
      </c>
      <c r="J10" s="353"/>
      <c r="K10" s="353"/>
    </row>
    <row r="11" spans="1:11" s="25" customFormat="1" ht="15" customHeight="1" x14ac:dyDescent="0.25">
      <c r="A11" s="128"/>
      <c r="B11" s="108">
        <v>45505</v>
      </c>
      <c r="C11" s="109"/>
      <c r="D11" s="10" t="s">
        <v>22</v>
      </c>
      <c r="E11" s="7" t="s">
        <v>23</v>
      </c>
      <c r="F11" s="109">
        <f>42+12+60</f>
        <v>114</v>
      </c>
      <c r="G11" s="141" t="s">
        <v>820</v>
      </c>
      <c r="H11" s="53">
        <v>66107</v>
      </c>
      <c r="I11" s="109">
        <f t="shared" si="0"/>
        <v>7536198</v>
      </c>
      <c r="J11" s="353"/>
      <c r="K11" s="353"/>
    </row>
    <row r="12" spans="1:11" s="25" customFormat="1" ht="15" customHeight="1" x14ac:dyDescent="0.25">
      <c r="A12" s="128"/>
      <c r="B12" s="108">
        <v>45505</v>
      </c>
      <c r="C12" s="109" t="s">
        <v>843</v>
      </c>
      <c r="D12" s="10" t="s">
        <v>132</v>
      </c>
      <c r="E12" s="9" t="s">
        <v>133</v>
      </c>
      <c r="F12" s="109">
        <v>2719</v>
      </c>
      <c r="G12" s="141" t="s">
        <v>820</v>
      </c>
      <c r="H12" s="53">
        <v>7603</v>
      </c>
      <c r="I12" s="109">
        <f t="shared" si="0"/>
        <v>20672557</v>
      </c>
      <c r="J12" s="353"/>
      <c r="K12" s="353"/>
    </row>
    <row r="13" spans="1:11" s="25" customFormat="1" ht="15" customHeight="1" x14ac:dyDescent="0.25">
      <c r="A13" s="128"/>
      <c r="B13" s="108">
        <v>45505</v>
      </c>
      <c r="C13" s="109" t="s">
        <v>843</v>
      </c>
      <c r="D13" s="21" t="s">
        <v>142</v>
      </c>
      <c r="E13" s="22" t="s">
        <v>143</v>
      </c>
      <c r="F13" s="109">
        <f>1200+3628+297</f>
        <v>5125</v>
      </c>
      <c r="G13" s="141" t="s">
        <v>820</v>
      </c>
      <c r="H13" s="53">
        <v>6350</v>
      </c>
      <c r="I13" s="109">
        <f t="shared" si="0"/>
        <v>32543750</v>
      </c>
      <c r="J13" s="353"/>
      <c r="K13" s="353"/>
    </row>
    <row r="14" spans="1:11" s="25" customFormat="1" ht="15" customHeight="1" x14ac:dyDescent="0.25">
      <c r="A14" s="128"/>
      <c r="B14" s="108">
        <v>45505</v>
      </c>
      <c r="C14" s="109" t="s">
        <v>843</v>
      </c>
      <c r="D14" s="10" t="s">
        <v>24</v>
      </c>
      <c r="E14" s="7" t="s">
        <v>25</v>
      </c>
      <c r="F14" s="109">
        <v>240</v>
      </c>
      <c r="G14" s="141" t="s">
        <v>820</v>
      </c>
      <c r="H14" s="53">
        <v>24192</v>
      </c>
      <c r="I14" s="109">
        <f t="shared" si="0"/>
        <v>5806080</v>
      </c>
      <c r="J14" s="353"/>
      <c r="K14" s="353"/>
    </row>
    <row r="15" spans="1:11" s="25" customFormat="1" ht="15" customHeight="1" x14ac:dyDescent="0.25">
      <c r="A15" s="128"/>
      <c r="B15" s="108">
        <v>45505</v>
      </c>
      <c r="C15" s="109"/>
      <c r="D15" s="21" t="s">
        <v>30</v>
      </c>
      <c r="E15" s="23" t="s">
        <v>31</v>
      </c>
      <c r="F15" s="109">
        <v>6</v>
      </c>
      <c r="G15" s="141" t="s">
        <v>820</v>
      </c>
      <c r="H15" s="116">
        <v>18900</v>
      </c>
      <c r="I15" s="109">
        <f t="shared" si="0"/>
        <v>113400</v>
      </c>
      <c r="J15" s="354"/>
      <c r="K15" s="354"/>
    </row>
    <row r="16" spans="1:11" s="25" customFormat="1" ht="15" customHeight="1" x14ac:dyDescent="0.25">
      <c r="A16" s="128"/>
      <c r="B16" s="108">
        <v>45505</v>
      </c>
      <c r="C16" s="109" t="s">
        <v>840</v>
      </c>
      <c r="D16" s="10" t="s">
        <v>759</v>
      </c>
      <c r="E16" s="7" t="s">
        <v>758</v>
      </c>
      <c r="F16" s="109">
        <f>144-8</f>
        <v>136</v>
      </c>
      <c r="G16" s="144" t="s">
        <v>822</v>
      </c>
      <c r="H16" s="116"/>
      <c r="I16" s="109">
        <f t="shared" si="0"/>
        <v>0</v>
      </c>
      <c r="J16" s="133"/>
      <c r="K16" s="133"/>
    </row>
    <row r="17" spans="1:12" s="25" customFormat="1" ht="15.75" customHeight="1" x14ac:dyDescent="0.25">
      <c r="A17" s="128"/>
      <c r="B17" s="108">
        <v>45505</v>
      </c>
      <c r="C17" s="109" t="s">
        <v>840</v>
      </c>
      <c r="D17" s="10" t="s">
        <v>52</v>
      </c>
      <c r="E17" s="7" t="s">
        <v>53</v>
      </c>
      <c r="F17" s="109">
        <v>48</v>
      </c>
      <c r="G17" s="144" t="s">
        <v>822</v>
      </c>
      <c r="H17" s="116"/>
      <c r="I17" s="109">
        <f t="shared" si="0"/>
        <v>0</v>
      </c>
      <c r="J17" s="133"/>
      <c r="K17" s="133"/>
    </row>
    <row r="18" spans="1:12" s="25" customFormat="1" ht="15.75" customHeight="1" x14ac:dyDescent="0.25">
      <c r="A18" s="161"/>
      <c r="B18" s="108">
        <v>45505</v>
      </c>
      <c r="C18" s="157" t="s">
        <v>844</v>
      </c>
      <c r="D18" s="10" t="s">
        <v>22</v>
      </c>
      <c r="E18" s="7" t="s">
        <v>23</v>
      </c>
      <c r="F18" s="109">
        <v>24</v>
      </c>
      <c r="G18" s="144" t="s">
        <v>822</v>
      </c>
      <c r="H18" s="162"/>
      <c r="I18" s="157">
        <f t="shared" si="0"/>
        <v>0</v>
      </c>
      <c r="J18" s="163"/>
      <c r="K18" s="163"/>
    </row>
    <row r="19" spans="1:12" s="25" customFormat="1" ht="15" customHeight="1" x14ac:dyDescent="0.25">
      <c r="A19" s="128"/>
      <c r="B19" s="108">
        <v>45505</v>
      </c>
      <c r="C19" s="109" t="s">
        <v>836</v>
      </c>
      <c r="D19" s="10" t="s">
        <v>86</v>
      </c>
      <c r="E19" s="9" t="s">
        <v>87</v>
      </c>
      <c r="F19" s="109">
        <v>24</v>
      </c>
      <c r="G19" s="140" t="s">
        <v>823</v>
      </c>
      <c r="H19" s="116"/>
      <c r="I19" s="109">
        <f>H19*F19</f>
        <v>0</v>
      </c>
      <c r="J19" s="133"/>
      <c r="K19" s="133"/>
    </row>
    <row r="20" spans="1:12" s="25" customFormat="1" ht="15" customHeight="1" x14ac:dyDescent="0.25">
      <c r="A20" s="128"/>
      <c r="B20" s="108">
        <v>45505</v>
      </c>
      <c r="C20" s="109" t="s">
        <v>836</v>
      </c>
      <c r="D20" s="10" t="s">
        <v>16</v>
      </c>
      <c r="E20" s="7" t="s">
        <v>17</v>
      </c>
      <c r="F20" s="109">
        <v>60</v>
      </c>
      <c r="G20" s="140" t="s">
        <v>823</v>
      </c>
      <c r="H20" s="116"/>
      <c r="I20" s="109">
        <f t="shared" si="0"/>
        <v>0</v>
      </c>
      <c r="J20" s="133"/>
      <c r="K20" s="133"/>
    </row>
    <row r="21" spans="1:12" s="25" customFormat="1" ht="15" customHeight="1" x14ac:dyDescent="0.25">
      <c r="A21" s="128"/>
      <c r="B21" s="108">
        <v>45505</v>
      </c>
      <c r="C21" s="109" t="s">
        <v>836</v>
      </c>
      <c r="D21" s="69" t="s">
        <v>811</v>
      </c>
      <c r="E21" s="16" t="s">
        <v>810</v>
      </c>
      <c r="F21" s="109">
        <v>24</v>
      </c>
      <c r="G21" s="140" t="s">
        <v>823</v>
      </c>
      <c r="H21" s="116"/>
      <c r="I21" s="109">
        <f t="shared" si="0"/>
        <v>0</v>
      </c>
      <c r="J21" s="133"/>
      <c r="K21" s="133"/>
    </row>
    <row r="22" spans="1:12" s="25" customFormat="1" ht="15" customHeight="1" x14ac:dyDescent="0.25">
      <c r="A22" s="128"/>
      <c r="B22" s="108">
        <v>45505</v>
      </c>
      <c r="C22" s="109" t="s">
        <v>838</v>
      </c>
      <c r="D22" s="10" t="s">
        <v>124</v>
      </c>
      <c r="E22" s="9" t="s">
        <v>125</v>
      </c>
      <c r="F22" s="109">
        <f>20+48</f>
        <v>68</v>
      </c>
      <c r="G22" s="140" t="s">
        <v>823</v>
      </c>
      <c r="H22" s="116"/>
      <c r="I22" s="109">
        <f t="shared" si="0"/>
        <v>0</v>
      </c>
      <c r="J22" s="133"/>
      <c r="K22" s="133"/>
    </row>
    <row r="23" spans="1:12" s="25" customFormat="1" ht="15" customHeight="1" x14ac:dyDescent="0.25">
      <c r="A23" s="128"/>
      <c r="B23" s="108">
        <v>45505</v>
      </c>
      <c r="C23" s="109" t="s">
        <v>836</v>
      </c>
      <c r="D23" s="10" t="s">
        <v>164</v>
      </c>
      <c r="E23" s="9" t="s">
        <v>165</v>
      </c>
      <c r="F23" s="109">
        <v>5</v>
      </c>
      <c r="G23" s="140" t="s">
        <v>823</v>
      </c>
      <c r="H23" s="116"/>
      <c r="I23" s="109">
        <f t="shared" si="0"/>
        <v>0</v>
      </c>
      <c r="J23" s="133"/>
      <c r="K23" s="133"/>
    </row>
    <row r="24" spans="1:12" s="25" customFormat="1" ht="15" customHeight="1" x14ac:dyDescent="0.25">
      <c r="A24" s="128"/>
      <c r="B24" s="108">
        <v>45505</v>
      </c>
      <c r="C24" s="109" t="s">
        <v>836</v>
      </c>
      <c r="D24" s="21" t="s">
        <v>126</v>
      </c>
      <c r="E24" s="22" t="s">
        <v>127</v>
      </c>
      <c r="F24" s="109">
        <v>192</v>
      </c>
      <c r="G24" s="140" t="s">
        <v>823</v>
      </c>
      <c r="H24" s="116"/>
      <c r="I24" s="109">
        <f t="shared" si="0"/>
        <v>0</v>
      </c>
      <c r="J24" s="133"/>
      <c r="K24" s="133"/>
    </row>
    <row r="25" spans="1:12" s="25" customFormat="1" ht="15" customHeight="1" x14ac:dyDescent="0.25">
      <c r="A25" s="128"/>
      <c r="B25" s="108">
        <v>45505</v>
      </c>
      <c r="C25" s="109" t="s">
        <v>836</v>
      </c>
      <c r="D25" s="27" t="s">
        <v>244</v>
      </c>
      <c r="E25" s="28" t="s">
        <v>245</v>
      </c>
      <c r="F25" s="109">
        <v>5</v>
      </c>
      <c r="G25" s="140" t="s">
        <v>823</v>
      </c>
      <c r="H25" s="116"/>
      <c r="I25" s="109">
        <f t="shared" si="0"/>
        <v>0</v>
      </c>
      <c r="J25" s="133"/>
      <c r="K25" s="133"/>
    </row>
    <row r="26" spans="1:12" s="25" customFormat="1" ht="15" customHeight="1" x14ac:dyDescent="0.25">
      <c r="A26" s="128"/>
      <c r="B26" s="108">
        <v>45505</v>
      </c>
      <c r="C26" s="109" t="s">
        <v>837</v>
      </c>
      <c r="D26" s="29" t="s">
        <v>762</v>
      </c>
      <c r="E26" s="30" t="s">
        <v>85</v>
      </c>
      <c r="F26" s="109">
        <f>120+24</f>
        <v>144</v>
      </c>
      <c r="G26" s="140" t="s">
        <v>823</v>
      </c>
      <c r="H26" s="116"/>
      <c r="I26" s="109">
        <f t="shared" si="0"/>
        <v>0</v>
      </c>
      <c r="J26" s="133"/>
      <c r="K26" s="133"/>
    </row>
    <row r="27" spans="1:12" s="25" customFormat="1" ht="15" customHeight="1" x14ac:dyDescent="0.25">
      <c r="A27" s="128"/>
      <c r="B27" s="108">
        <v>45505</v>
      </c>
      <c r="C27" s="109" t="s">
        <v>831</v>
      </c>
      <c r="D27" s="10" t="s">
        <v>144</v>
      </c>
      <c r="E27" s="9" t="s">
        <v>145</v>
      </c>
      <c r="F27" s="109">
        <v>50</v>
      </c>
      <c r="G27" s="140" t="s">
        <v>823</v>
      </c>
      <c r="H27" s="116"/>
      <c r="I27" s="109">
        <f t="shared" si="0"/>
        <v>0</v>
      </c>
      <c r="J27" s="133"/>
      <c r="K27" s="133"/>
    </row>
    <row r="28" spans="1:12" s="25" customFormat="1" ht="15" customHeight="1" x14ac:dyDescent="0.25">
      <c r="A28" s="128"/>
      <c r="B28" s="108">
        <v>45505</v>
      </c>
      <c r="C28" s="109" t="s">
        <v>831</v>
      </c>
      <c r="D28" s="10" t="s">
        <v>146</v>
      </c>
      <c r="E28" s="9" t="s">
        <v>147</v>
      </c>
      <c r="F28" s="109">
        <v>50</v>
      </c>
      <c r="G28" s="140" t="s">
        <v>823</v>
      </c>
      <c r="H28" s="116"/>
      <c r="I28" s="109">
        <f t="shared" si="0"/>
        <v>0</v>
      </c>
      <c r="J28" s="133"/>
      <c r="K28" s="133"/>
    </row>
    <row r="29" spans="1:12" s="25" customFormat="1" ht="15" customHeight="1" x14ac:dyDescent="0.25">
      <c r="A29" s="128"/>
      <c r="B29" s="108">
        <v>45505</v>
      </c>
      <c r="C29" s="109" t="s">
        <v>831</v>
      </c>
      <c r="D29" s="10" t="s">
        <v>148</v>
      </c>
      <c r="E29" s="9" t="s">
        <v>149</v>
      </c>
      <c r="F29" s="109">
        <v>50</v>
      </c>
      <c r="G29" s="140" t="s">
        <v>823</v>
      </c>
      <c r="H29" s="116"/>
      <c r="I29" s="109">
        <f t="shared" si="0"/>
        <v>0</v>
      </c>
      <c r="J29" s="133"/>
      <c r="K29" s="133"/>
      <c r="L29" s="76"/>
    </row>
    <row r="30" spans="1:12" s="25" customFormat="1" ht="15" customHeight="1" x14ac:dyDescent="0.25">
      <c r="A30" s="128"/>
      <c r="B30" s="108">
        <v>45505</v>
      </c>
      <c r="C30" s="109" t="s">
        <v>831</v>
      </c>
      <c r="D30" s="10" t="s">
        <v>154</v>
      </c>
      <c r="E30" s="9" t="s">
        <v>155</v>
      </c>
      <c r="F30" s="109">
        <v>50</v>
      </c>
      <c r="G30" s="140" t="s">
        <v>823</v>
      </c>
      <c r="H30" s="116"/>
      <c r="I30" s="109">
        <f t="shared" si="0"/>
        <v>0</v>
      </c>
      <c r="J30" s="133"/>
      <c r="K30" s="133"/>
      <c r="L30" s="76"/>
    </row>
    <row r="31" spans="1:12" s="25" customFormat="1" ht="15" customHeight="1" x14ac:dyDescent="0.25">
      <c r="A31" s="128"/>
      <c r="B31" s="108">
        <v>45505</v>
      </c>
      <c r="C31" s="109" t="s">
        <v>831</v>
      </c>
      <c r="D31" s="29" t="s">
        <v>528</v>
      </c>
      <c r="E31" s="9" t="s">
        <v>529</v>
      </c>
      <c r="F31" s="109">
        <v>5</v>
      </c>
      <c r="G31" s="140" t="s">
        <v>823</v>
      </c>
      <c r="H31" s="116"/>
      <c r="I31" s="109">
        <f t="shared" si="0"/>
        <v>0</v>
      </c>
      <c r="J31" s="133"/>
      <c r="K31" s="133"/>
      <c r="L31" s="76"/>
    </row>
    <row r="32" spans="1:12" s="25" customFormat="1" ht="15" customHeight="1" x14ac:dyDescent="0.25">
      <c r="A32" s="128"/>
      <c r="B32" s="108">
        <v>45505</v>
      </c>
      <c r="C32" s="109" t="s">
        <v>831</v>
      </c>
      <c r="D32" s="21" t="s">
        <v>142</v>
      </c>
      <c r="E32" s="22" t="s">
        <v>143</v>
      </c>
      <c r="F32" s="109">
        <v>48</v>
      </c>
      <c r="G32" s="140" t="s">
        <v>823</v>
      </c>
      <c r="H32" s="116"/>
      <c r="I32" s="109">
        <f t="shared" si="0"/>
        <v>0</v>
      </c>
      <c r="J32" s="133"/>
      <c r="K32" s="133"/>
      <c r="L32" s="76"/>
    </row>
    <row r="33" spans="1:12" s="25" customFormat="1" ht="15" customHeight="1" x14ac:dyDescent="0.25">
      <c r="A33" s="128"/>
      <c r="B33" s="108">
        <v>45505</v>
      </c>
      <c r="C33" s="109" t="s">
        <v>831</v>
      </c>
      <c r="D33" s="10" t="s">
        <v>120</v>
      </c>
      <c r="E33" s="9" t="s">
        <v>121</v>
      </c>
      <c r="F33" s="109">
        <v>24</v>
      </c>
      <c r="G33" s="140" t="s">
        <v>823</v>
      </c>
      <c r="H33" s="116"/>
      <c r="I33" s="109">
        <f t="shared" si="0"/>
        <v>0</v>
      </c>
      <c r="J33" s="133"/>
      <c r="K33" s="133"/>
      <c r="L33" s="76"/>
    </row>
    <row r="34" spans="1:12" s="25" customFormat="1" ht="15" customHeight="1" x14ac:dyDescent="0.25">
      <c r="A34" s="128"/>
      <c r="B34" s="108">
        <v>45505</v>
      </c>
      <c r="C34" s="109" t="s">
        <v>831</v>
      </c>
      <c r="D34" s="21" t="s">
        <v>797</v>
      </c>
      <c r="E34" s="23" t="s">
        <v>795</v>
      </c>
      <c r="F34" s="109">
        <v>24</v>
      </c>
      <c r="G34" s="140" t="s">
        <v>823</v>
      </c>
      <c r="H34" s="116"/>
      <c r="I34" s="109">
        <f t="shared" si="0"/>
        <v>0</v>
      </c>
      <c r="J34" s="133"/>
      <c r="K34" s="133"/>
      <c r="L34" s="76"/>
    </row>
    <row r="35" spans="1:12" s="25" customFormat="1" ht="15.75" customHeight="1" x14ac:dyDescent="0.25">
      <c r="A35" s="128"/>
      <c r="B35" s="108">
        <v>45505</v>
      </c>
      <c r="C35" s="109" t="s">
        <v>831</v>
      </c>
      <c r="D35" s="21" t="s">
        <v>30</v>
      </c>
      <c r="E35" s="23" t="s">
        <v>31</v>
      </c>
      <c r="F35" s="109">
        <v>4</v>
      </c>
      <c r="G35" s="140" t="s">
        <v>823</v>
      </c>
      <c r="H35" s="116"/>
      <c r="I35" s="109">
        <f t="shared" si="0"/>
        <v>0</v>
      </c>
      <c r="J35" s="133"/>
      <c r="K35" s="133"/>
      <c r="L35" s="76"/>
    </row>
    <row r="36" spans="1:12" s="25" customFormat="1" ht="15" customHeight="1" x14ac:dyDescent="0.25">
      <c r="A36" s="128"/>
      <c r="B36" s="108">
        <v>45505</v>
      </c>
      <c r="C36" s="109" t="s">
        <v>831</v>
      </c>
      <c r="D36" s="21" t="s">
        <v>807</v>
      </c>
      <c r="E36" s="23" t="s">
        <v>806</v>
      </c>
      <c r="F36" s="109">
        <v>10</v>
      </c>
      <c r="G36" s="140" t="s">
        <v>823</v>
      </c>
      <c r="H36" s="116"/>
      <c r="I36" s="109">
        <f t="shared" si="0"/>
        <v>0</v>
      </c>
      <c r="J36" s="133"/>
      <c r="K36" s="133"/>
      <c r="L36" s="76"/>
    </row>
    <row r="37" spans="1:12" s="25" customFormat="1" ht="15" customHeight="1" x14ac:dyDescent="0.25">
      <c r="A37" s="128"/>
      <c r="B37" s="108">
        <v>45505</v>
      </c>
      <c r="C37" s="109" t="s">
        <v>831</v>
      </c>
      <c r="D37" s="21" t="s">
        <v>805</v>
      </c>
      <c r="E37" s="23" t="s">
        <v>804</v>
      </c>
      <c r="F37" s="109">
        <v>10</v>
      </c>
      <c r="G37" s="140" t="s">
        <v>823</v>
      </c>
      <c r="H37" s="116"/>
      <c r="I37" s="109">
        <f t="shared" si="0"/>
        <v>0</v>
      </c>
      <c r="J37" s="133"/>
      <c r="K37" s="133"/>
      <c r="L37" s="76"/>
    </row>
    <row r="38" spans="1:12" s="25" customFormat="1" ht="15" customHeight="1" x14ac:dyDescent="0.25">
      <c r="A38" s="128"/>
      <c r="B38" s="108">
        <v>45505</v>
      </c>
      <c r="C38" s="109" t="s">
        <v>827</v>
      </c>
      <c r="D38" s="10" t="s">
        <v>132</v>
      </c>
      <c r="E38" s="9" t="s">
        <v>133</v>
      </c>
      <c r="F38" s="109">
        <v>144</v>
      </c>
      <c r="G38" s="140" t="s">
        <v>823</v>
      </c>
      <c r="H38" s="116"/>
      <c r="I38" s="109">
        <f t="shared" si="0"/>
        <v>0</v>
      </c>
      <c r="J38" s="133"/>
      <c r="K38" s="133"/>
      <c r="L38" s="76"/>
    </row>
    <row r="39" spans="1:12" s="25" customFormat="1" ht="15" customHeight="1" x14ac:dyDescent="0.25">
      <c r="A39" s="128"/>
      <c r="B39" s="166">
        <v>45506</v>
      </c>
      <c r="C39" s="137"/>
      <c r="D39" s="10" t="s">
        <v>22</v>
      </c>
      <c r="E39" s="7" t="s">
        <v>23</v>
      </c>
      <c r="F39" s="109">
        <v>12</v>
      </c>
      <c r="G39" s="144" t="s">
        <v>822</v>
      </c>
      <c r="H39" s="116"/>
      <c r="I39" s="109">
        <f t="shared" si="0"/>
        <v>0</v>
      </c>
      <c r="J39" s="133"/>
      <c r="K39" s="133"/>
      <c r="L39" s="76"/>
    </row>
    <row r="40" spans="1:12" s="25" customFormat="1" ht="15" customHeight="1" x14ac:dyDescent="0.25">
      <c r="A40" s="128"/>
      <c r="B40" s="166">
        <v>45506</v>
      </c>
      <c r="C40" s="137"/>
      <c r="D40" s="29" t="s">
        <v>762</v>
      </c>
      <c r="E40" s="30" t="s">
        <v>85</v>
      </c>
      <c r="F40" s="109">
        <v>24</v>
      </c>
      <c r="G40" s="144" t="s">
        <v>822</v>
      </c>
      <c r="H40" s="116"/>
      <c r="I40" s="109">
        <f t="shared" si="0"/>
        <v>0</v>
      </c>
      <c r="J40" s="133"/>
      <c r="K40" s="133"/>
      <c r="L40" s="76"/>
    </row>
    <row r="41" spans="1:12" s="25" customFormat="1" ht="15" customHeight="1" x14ac:dyDescent="0.25">
      <c r="A41" s="128"/>
      <c r="B41" s="166">
        <v>45506</v>
      </c>
      <c r="C41" s="137"/>
      <c r="D41" s="21" t="s">
        <v>126</v>
      </c>
      <c r="E41" s="22" t="s">
        <v>127</v>
      </c>
      <c r="F41" s="109">
        <v>192</v>
      </c>
      <c r="G41" s="144" t="s">
        <v>822</v>
      </c>
      <c r="H41" s="116"/>
      <c r="I41" s="109">
        <f t="shared" si="0"/>
        <v>0</v>
      </c>
      <c r="J41" s="133"/>
      <c r="K41" s="133"/>
      <c r="L41" s="76"/>
    </row>
    <row r="42" spans="1:12" s="25" customFormat="1" ht="15" customHeight="1" x14ac:dyDescent="0.25">
      <c r="A42" s="128"/>
      <c r="B42" s="166">
        <v>45506</v>
      </c>
      <c r="C42" s="137" t="s">
        <v>836</v>
      </c>
      <c r="D42" s="10" t="s">
        <v>56</v>
      </c>
      <c r="E42" s="7" t="s">
        <v>57</v>
      </c>
      <c r="F42" s="109">
        <v>36</v>
      </c>
      <c r="G42" s="140" t="s">
        <v>823</v>
      </c>
      <c r="H42" s="116"/>
      <c r="I42" s="109">
        <f t="shared" si="0"/>
        <v>0</v>
      </c>
      <c r="J42" s="133"/>
      <c r="K42" s="133"/>
      <c r="L42" s="76"/>
    </row>
    <row r="43" spans="1:12" s="25" customFormat="1" ht="15" customHeight="1" x14ac:dyDescent="0.25">
      <c r="A43" s="128"/>
      <c r="B43" s="166">
        <v>45506</v>
      </c>
      <c r="C43" s="137" t="s">
        <v>836</v>
      </c>
      <c r="D43" s="21" t="s">
        <v>126</v>
      </c>
      <c r="E43" s="22" t="s">
        <v>127</v>
      </c>
      <c r="F43" s="109">
        <f>384-4*48</f>
        <v>192</v>
      </c>
      <c r="G43" s="140" t="s">
        <v>823</v>
      </c>
      <c r="H43" s="116"/>
      <c r="I43" s="109">
        <f t="shared" si="0"/>
        <v>0</v>
      </c>
      <c r="J43" s="133"/>
      <c r="K43" s="133"/>
      <c r="L43" s="76"/>
    </row>
    <row r="44" spans="1:12" s="25" customFormat="1" ht="15" customHeight="1" x14ac:dyDescent="0.25">
      <c r="A44" s="128"/>
      <c r="B44" s="166">
        <v>45506</v>
      </c>
      <c r="C44" s="137" t="s">
        <v>836</v>
      </c>
      <c r="D44" s="10" t="s">
        <v>86</v>
      </c>
      <c r="E44" s="9" t="s">
        <v>87</v>
      </c>
      <c r="F44" s="109">
        <f>14*12</f>
        <v>168</v>
      </c>
      <c r="G44" s="140" t="s">
        <v>823</v>
      </c>
      <c r="H44" s="116"/>
      <c r="I44" s="109">
        <f t="shared" si="0"/>
        <v>0</v>
      </c>
      <c r="J44" s="133"/>
      <c r="K44" s="133"/>
      <c r="L44" s="76"/>
    </row>
    <row r="45" spans="1:12" s="25" customFormat="1" ht="15" customHeight="1" x14ac:dyDescent="0.25">
      <c r="A45" s="128"/>
      <c r="B45" s="166">
        <v>45506</v>
      </c>
      <c r="C45" s="137" t="s">
        <v>836</v>
      </c>
      <c r="D45" s="10" t="s">
        <v>124</v>
      </c>
      <c r="E45" s="9" t="s">
        <v>125</v>
      </c>
      <c r="F45" s="109">
        <v>8</v>
      </c>
      <c r="G45" s="140" t="s">
        <v>823</v>
      </c>
      <c r="H45" s="116"/>
      <c r="I45" s="109">
        <f t="shared" si="0"/>
        <v>0</v>
      </c>
      <c r="J45" s="133"/>
      <c r="K45" s="133"/>
    </row>
    <row r="46" spans="1:12" s="25" customFormat="1" ht="15" customHeight="1" x14ac:dyDescent="0.25">
      <c r="A46" s="128"/>
      <c r="B46" s="166">
        <v>45506</v>
      </c>
      <c r="C46" s="137" t="s">
        <v>836</v>
      </c>
      <c r="D46" s="21" t="s">
        <v>763</v>
      </c>
      <c r="E46" s="22" t="s">
        <v>83</v>
      </c>
      <c r="F46" s="109">
        <v>12</v>
      </c>
      <c r="G46" s="140" t="s">
        <v>823</v>
      </c>
      <c r="H46" s="116"/>
      <c r="I46" s="109">
        <f t="shared" si="0"/>
        <v>0</v>
      </c>
      <c r="J46" s="133"/>
      <c r="K46" s="133"/>
    </row>
    <row r="47" spans="1:12" s="25" customFormat="1" ht="15" customHeight="1" x14ac:dyDescent="0.25">
      <c r="A47" s="128"/>
      <c r="B47" s="166">
        <v>45506</v>
      </c>
      <c r="C47" s="137" t="s">
        <v>836</v>
      </c>
      <c r="D47" s="21" t="s">
        <v>28</v>
      </c>
      <c r="E47" s="23" t="s">
        <v>29</v>
      </c>
      <c r="F47" s="109">
        <v>1</v>
      </c>
      <c r="G47" s="140" t="s">
        <v>823</v>
      </c>
      <c r="H47" s="116"/>
      <c r="I47" s="109">
        <f t="shared" si="0"/>
        <v>0</v>
      </c>
      <c r="J47" s="133"/>
      <c r="K47" s="133"/>
    </row>
    <row r="48" spans="1:12" s="25" customFormat="1" ht="15" customHeight="1" x14ac:dyDescent="0.25">
      <c r="A48" s="128"/>
      <c r="B48" s="108">
        <v>45507</v>
      </c>
      <c r="C48" s="137" t="s">
        <v>775</v>
      </c>
      <c r="D48" s="10" t="s">
        <v>56</v>
      </c>
      <c r="E48" s="7" t="s">
        <v>57</v>
      </c>
      <c r="F48" s="109">
        <v>12</v>
      </c>
      <c r="G48" s="140" t="s">
        <v>823</v>
      </c>
      <c r="H48" s="116"/>
      <c r="I48" s="109">
        <f t="shared" si="0"/>
        <v>0</v>
      </c>
      <c r="J48" s="133"/>
      <c r="K48" s="133"/>
    </row>
    <row r="49" spans="1:11" s="25" customFormat="1" ht="15" customHeight="1" x14ac:dyDescent="0.25">
      <c r="A49" s="128"/>
      <c r="B49" s="108">
        <v>45507</v>
      </c>
      <c r="C49" s="137" t="s">
        <v>836</v>
      </c>
      <c r="D49" s="10" t="s">
        <v>86</v>
      </c>
      <c r="E49" s="9" t="s">
        <v>87</v>
      </c>
      <c r="F49" s="109">
        <v>60</v>
      </c>
      <c r="G49" s="140" t="s">
        <v>823</v>
      </c>
      <c r="H49" s="116"/>
      <c r="I49" s="109">
        <f t="shared" si="0"/>
        <v>0</v>
      </c>
      <c r="J49" s="133"/>
      <c r="K49" s="133"/>
    </row>
    <row r="50" spans="1:11" s="25" customFormat="1" ht="15" customHeight="1" x14ac:dyDescent="0.25">
      <c r="A50" s="128"/>
      <c r="B50" s="108">
        <v>45507</v>
      </c>
      <c r="C50" s="137" t="s">
        <v>836</v>
      </c>
      <c r="D50" s="10" t="s">
        <v>172</v>
      </c>
      <c r="E50" s="9" t="s">
        <v>173</v>
      </c>
      <c r="F50" s="109">
        <v>2</v>
      </c>
      <c r="G50" s="140" t="s">
        <v>823</v>
      </c>
      <c r="H50" s="116"/>
      <c r="I50" s="109">
        <f t="shared" si="0"/>
        <v>0</v>
      </c>
      <c r="J50" s="133"/>
      <c r="K50" s="133"/>
    </row>
    <row r="51" spans="1:11" s="25" customFormat="1" ht="15" customHeight="1" x14ac:dyDescent="0.25">
      <c r="A51" s="128"/>
      <c r="B51" s="108">
        <v>45507</v>
      </c>
      <c r="C51" s="137" t="s">
        <v>836</v>
      </c>
      <c r="D51" s="10" t="s">
        <v>16</v>
      </c>
      <c r="E51" s="7" t="s">
        <v>17</v>
      </c>
      <c r="F51" s="109">
        <v>60</v>
      </c>
      <c r="G51" s="140" t="s">
        <v>823</v>
      </c>
      <c r="H51" s="116"/>
      <c r="I51" s="109">
        <f t="shared" si="0"/>
        <v>0</v>
      </c>
      <c r="J51" s="133"/>
      <c r="K51" s="133"/>
    </row>
    <row r="52" spans="1:11" s="25" customFormat="1" ht="15" customHeight="1" x14ac:dyDescent="0.25">
      <c r="A52" s="128"/>
      <c r="B52" s="108">
        <v>45507</v>
      </c>
      <c r="C52" s="137" t="s">
        <v>836</v>
      </c>
      <c r="D52" s="29" t="s">
        <v>762</v>
      </c>
      <c r="E52" s="30" t="s">
        <v>85</v>
      </c>
      <c r="F52" s="109">
        <f>70*12</f>
        <v>840</v>
      </c>
      <c r="G52" s="140" t="s">
        <v>823</v>
      </c>
      <c r="H52" s="116"/>
      <c r="I52" s="109">
        <f t="shared" si="0"/>
        <v>0</v>
      </c>
      <c r="J52" s="133"/>
      <c r="K52" s="133"/>
    </row>
    <row r="53" spans="1:11" s="25" customFormat="1" ht="15" customHeight="1" x14ac:dyDescent="0.25">
      <c r="A53" s="128"/>
      <c r="B53" s="108">
        <v>45507</v>
      </c>
      <c r="C53" s="137" t="s">
        <v>853</v>
      </c>
      <c r="D53" s="10" t="s">
        <v>132</v>
      </c>
      <c r="E53" s="9" t="s">
        <v>133</v>
      </c>
      <c r="F53" s="109">
        <v>48</v>
      </c>
      <c r="G53" s="140" t="s">
        <v>823</v>
      </c>
      <c r="H53" s="116"/>
      <c r="I53" s="109">
        <f t="shared" ref="I53:I113" si="1">H53*F53</f>
        <v>0</v>
      </c>
      <c r="J53" s="133"/>
      <c r="K53" s="133"/>
    </row>
    <row r="54" spans="1:11" s="25" customFormat="1" ht="15" customHeight="1" x14ac:dyDescent="0.25">
      <c r="A54" s="128"/>
      <c r="B54" s="108">
        <v>45507</v>
      </c>
      <c r="C54" s="137" t="s">
        <v>853</v>
      </c>
      <c r="D54" s="21" t="s">
        <v>798</v>
      </c>
      <c r="E54" s="23" t="s">
        <v>796</v>
      </c>
      <c r="F54" s="109">
        <v>24</v>
      </c>
      <c r="G54" s="140" t="s">
        <v>823</v>
      </c>
      <c r="H54" s="116"/>
      <c r="I54" s="109">
        <f t="shared" si="1"/>
        <v>0</v>
      </c>
      <c r="J54" s="133"/>
      <c r="K54" s="133"/>
    </row>
    <row r="55" spans="1:11" s="25" customFormat="1" ht="15" customHeight="1" x14ac:dyDescent="0.25">
      <c r="A55" s="128"/>
      <c r="B55" s="108">
        <v>45507</v>
      </c>
      <c r="C55" s="137" t="s">
        <v>853</v>
      </c>
      <c r="D55" s="21" t="s">
        <v>142</v>
      </c>
      <c r="E55" s="22" t="s">
        <v>143</v>
      </c>
      <c r="F55" s="109">
        <v>192</v>
      </c>
      <c r="G55" s="140" t="s">
        <v>823</v>
      </c>
      <c r="H55" s="116"/>
      <c r="I55" s="109">
        <f t="shared" si="1"/>
        <v>0</v>
      </c>
      <c r="J55" s="133"/>
      <c r="K55" s="133"/>
    </row>
    <row r="56" spans="1:11" s="25" customFormat="1" ht="15" customHeight="1" x14ac:dyDescent="0.25">
      <c r="A56" s="128"/>
      <c r="B56" s="108">
        <v>45507</v>
      </c>
      <c r="C56" s="137" t="s">
        <v>853</v>
      </c>
      <c r="D56" s="21" t="s">
        <v>126</v>
      </c>
      <c r="E56" s="22" t="s">
        <v>127</v>
      </c>
      <c r="F56" s="109">
        <v>48</v>
      </c>
      <c r="G56" s="140" t="s">
        <v>823</v>
      </c>
      <c r="H56" s="116"/>
      <c r="I56" s="109">
        <f t="shared" si="1"/>
        <v>0</v>
      </c>
      <c r="J56" s="133"/>
      <c r="K56" s="133"/>
    </row>
    <row r="57" spans="1:11" s="25" customFormat="1" ht="15" customHeight="1" x14ac:dyDescent="0.25">
      <c r="A57" s="128"/>
      <c r="B57" s="108">
        <v>45507</v>
      </c>
      <c r="C57" s="137" t="s">
        <v>853</v>
      </c>
      <c r="D57" s="10" t="s">
        <v>124</v>
      </c>
      <c r="E57" s="9" t="s">
        <v>125</v>
      </c>
      <c r="F57" s="109">
        <v>96</v>
      </c>
      <c r="G57" s="140" t="s">
        <v>823</v>
      </c>
      <c r="H57" s="116"/>
      <c r="I57" s="109">
        <f t="shared" si="1"/>
        <v>0</v>
      </c>
      <c r="J57" s="133"/>
      <c r="K57" s="133"/>
    </row>
    <row r="58" spans="1:11" s="25" customFormat="1" ht="15" customHeight="1" x14ac:dyDescent="0.25">
      <c r="A58" s="128"/>
      <c r="B58" s="108">
        <v>45507</v>
      </c>
      <c r="C58" s="184" t="s">
        <v>853</v>
      </c>
      <c r="D58" s="64" t="s">
        <v>140</v>
      </c>
      <c r="E58" s="185" t="s">
        <v>141</v>
      </c>
      <c r="F58" s="109">
        <v>48</v>
      </c>
      <c r="G58" s="140" t="s">
        <v>823</v>
      </c>
      <c r="H58" s="116"/>
      <c r="I58" s="109">
        <f t="shared" si="1"/>
        <v>0</v>
      </c>
      <c r="J58" s="133"/>
      <c r="K58" s="133"/>
    </row>
    <row r="59" spans="1:11" s="25" customFormat="1" ht="15" customHeight="1" x14ac:dyDescent="0.25">
      <c r="A59" s="128"/>
      <c r="B59" s="108">
        <v>45507</v>
      </c>
      <c r="C59" s="181" t="s">
        <v>848</v>
      </c>
      <c r="D59" s="186" t="s">
        <v>232</v>
      </c>
      <c r="E59" s="187" t="s">
        <v>233</v>
      </c>
      <c r="F59" s="109">
        <v>120</v>
      </c>
      <c r="G59" s="140" t="s">
        <v>823</v>
      </c>
      <c r="H59" s="116"/>
      <c r="I59" s="109">
        <f t="shared" si="1"/>
        <v>0</v>
      </c>
      <c r="J59" s="133"/>
      <c r="K59" s="133"/>
    </row>
    <row r="60" spans="1:11" s="25" customFormat="1" ht="15" customHeight="1" x14ac:dyDescent="0.25">
      <c r="A60" s="180"/>
      <c r="B60" s="166">
        <v>45508</v>
      </c>
      <c r="C60" s="181"/>
      <c r="D60" s="10" t="s">
        <v>22</v>
      </c>
      <c r="E60" s="7" t="s">
        <v>23</v>
      </c>
      <c r="F60" s="109">
        <f>18+16</f>
        <v>34</v>
      </c>
      <c r="G60" s="141" t="s">
        <v>820</v>
      </c>
      <c r="H60" s="53">
        <v>66107</v>
      </c>
      <c r="I60" s="109">
        <f t="shared" si="1"/>
        <v>2247638</v>
      </c>
      <c r="J60" s="362">
        <f>SUM(I60:I62)</f>
        <v>7598982</v>
      </c>
      <c r="K60" s="362">
        <v>7103567</v>
      </c>
    </row>
    <row r="61" spans="1:11" s="25" customFormat="1" ht="15" customHeight="1" x14ac:dyDescent="0.25">
      <c r="A61" s="180"/>
      <c r="B61" s="166">
        <v>45508</v>
      </c>
      <c r="C61" s="181"/>
      <c r="D61" s="10" t="s">
        <v>132</v>
      </c>
      <c r="E61" s="9" t="s">
        <v>133</v>
      </c>
      <c r="F61" s="109">
        <f>74*9+32</f>
        <v>698</v>
      </c>
      <c r="G61" s="141" t="s">
        <v>820</v>
      </c>
      <c r="H61" s="53">
        <v>7603</v>
      </c>
      <c r="I61" s="109">
        <f t="shared" si="1"/>
        <v>5306894</v>
      </c>
      <c r="J61" s="353"/>
      <c r="K61" s="353"/>
    </row>
    <row r="62" spans="1:11" s="25" customFormat="1" ht="15" customHeight="1" x14ac:dyDescent="0.25">
      <c r="A62" s="191"/>
      <c r="B62" s="166">
        <v>45508</v>
      </c>
      <c r="C62" s="192"/>
      <c r="D62" s="21" t="s">
        <v>142</v>
      </c>
      <c r="E62" s="22" t="s">
        <v>143</v>
      </c>
      <c r="F62" s="109">
        <v>7</v>
      </c>
      <c r="G62" s="141" t="s">
        <v>820</v>
      </c>
      <c r="H62" s="193">
        <v>6350</v>
      </c>
      <c r="I62" s="109">
        <f t="shared" si="1"/>
        <v>44450</v>
      </c>
      <c r="J62" s="354"/>
      <c r="K62" s="354"/>
    </row>
    <row r="63" spans="1:11" s="25" customFormat="1" ht="15" customHeight="1" x14ac:dyDescent="0.25">
      <c r="A63" s="128"/>
      <c r="B63" s="166">
        <v>45508</v>
      </c>
      <c r="C63" s="183" t="s">
        <v>836</v>
      </c>
      <c r="D63" s="188" t="s">
        <v>172</v>
      </c>
      <c r="E63" s="189" t="s">
        <v>173</v>
      </c>
      <c r="F63" s="109">
        <v>4</v>
      </c>
      <c r="G63" s="140" t="s">
        <v>823</v>
      </c>
      <c r="H63" s="116"/>
      <c r="I63" s="109">
        <f t="shared" si="1"/>
        <v>0</v>
      </c>
      <c r="J63" s="133"/>
      <c r="K63" s="133"/>
    </row>
    <row r="64" spans="1:11" s="25" customFormat="1" ht="15" customHeight="1" x14ac:dyDescent="0.25">
      <c r="A64" s="128"/>
      <c r="B64" s="166">
        <v>45508</v>
      </c>
      <c r="C64" s="183" t="s">
        <v>836</v>
      </c>
      <c r="D64" s="190" t="s">
        <v>763</v>
      </c>
      <c r="E64" s="182" t="s">
        <v>83</v>
      </c>
      <c r="F64" s="109">
        <v>8</v>
      </c>
      <c r="G64" s="140" t="s">
        <v>823</v>
      </c>
      <c r="H64" s="116"/>
      <c r="I64" s="109">
        <f t="shared" si="1"/>
        <v>0</v>
      </c>
      <c r="J64" s="133"/>
      <c r="K64" s="133"/>
    </row>
    <row r="65" spans="1:11" s="25" customFormat="1" ht="15" customHeight="1" x14ac:dyDescent="0.25">
      <c r="A65" s="128"/>
      <c r="B65" s="166">
        <v>45508</v>
      </c>
      <c r="C65" s="183" t="s">
        <v>775</v>
      </c>
      <c r="D65" s="186" t="s">
        <v>238</v>
      </c>
      <c r="E65" s="187" t="s">
        <v>239</v>
      </c>
      <c r="F65" s="109">
        <v>25</v>
      </c>
      <c r="G65" s="140" t="s">
        <v>823</v>
      </c>
      <c r="H65" s="116"/>
      <c r="I65" s="109">
        <f t="shared" si="1"/>
        <v>0</v>
      </c>
      <c r="J65" s="133"/>
      <c r="K65" s="133"/>
    </row>
    <row r="66" spans="1:11" s="25" customFormat="1" ht="15" customHeight="1" x14ac:dyDescent="0.25">
      <c r="A66" s="128"/>
      <c r="B66" s="166">
        <v>45508</v>
      </c>
      <c r="C66" s="183" t="s">
        <v>836</v>
      </c>
      <c r="D66" s="21" t="s">
        <v>44</v>
      </c>
      <c r="E66" s="23" t="s">
        <v>45</v>
      </c>
      <c r="F66" s="109">
        <v>5</v>
      </c>
      <c r="G66" s="140" t="s">
        <v>823</v>
      </c>
      <c r="H66" s="116"/>
      <c r="I66" s="109">
        <f t="shared" si="1"/>
        <v>0</v>
      </c>
      <c r="J66" s="133"/>
      <c r="K66" s="133"/>
    </row>
    <row r="67" spans="1:11" s="25" customFormat="1" ht="15" customHeight="1" x14ac:dyDescent="0.25">
      <c r="A67" s="128"/>
      <c r="B67" s="166">
        <v>45508</v>
      </c>
      <c r="C67" s="183" t="s">
        <v>836</v>
      </c>
      <c r="D67" s="21" t="s">
        <v>126</v>
      </c>
      <c r="E67" s="22" t="s">
        <v>127</v>
      </c>
      <c r="F67" s="109">
        <v>48</v>
      </c>
      <c r="G67" s="140" t="s">
        <v>823</v>
      </c>
      <c r="H67" s="116"/>
      <c r="I67" s="109">
        <f t="shared" si="1"/>
        <v>0</v>
      </c>
      <c r="J67" s="133"/>
      <c r="K67" s="133"/>
    </row>
    <row r="68" spans="1:11" s="25" customFormat="1" ht="15" customHeight="1" x14ac:dyDescent="0.25">
      <c r="A68" s="128"/>
      <c r="B68" s="108">
        <v>45509</v>
      </c>
      <c r="C68" s="137"/>
      <c r="D68" s="10" t="s">
        <v>22</v>
      </c>
      <c r="E68" s="7" t="s">
        <v>23</v>
      </c>
      <c r="F68" s="109">
        <f>24+6</f>
        <v>30</v>
      </c>
      <c r="G68" s="141" t="s">
        <v>820</v>
      </c>
      <c r="H68" s="53">
        <v>66107</v>
      </c>
      <c r="I68" s="109">
        <f t="shared" si="1"/>
        <v>1983210</v>
      </c>
      <c r="J68" s="352">
        <f>SUM(I68:I76)</f>
        <v>4177144</v>
      </c>
      <c r="K68" s="352">
        <v>3951287</v>
      </c>
    </row>
    <row r="69" spans="1:11" s="25" customFormat="1" ht="15" customHeight="1" x14ac:dyDescent="0.25">
      <c r="A69" s="128"/>
      <c r="B69" s="108">
        <v>45509</v>
      </c>
      <c r="C69" s="137"/>
      <c r="D69" s="10" t="s">
        <v>132</v>
      </c>
      <c r="E69" s="9" t="s">
        <v>133</v>
      </c>
      <c r="F69" s="109">
        <f>124+60</f>
        <v>184</v>
      </c>
      <c r="G69" s="141" t="s">
        <v>820</v>
      </c>
      <c r="H69" s="53">
        <v>7603</v>
      </c>
      <c r="I69" s="109">
        <f t="shared" si="1"/>
        <v>1398952</v>
      </c>
      <c r="J69" s="353"/>
      <c r="K69" s="353"/>
    </row>
    <row r="70" spans="1:11" s="25" customFormat="1" ht="15" customHeight="1" x14ac:dyDescent="0.25">
      <c r="A70" s="128"/>
      <c r="B70" s="108">
        <v>45509</v>
      </c>
      <c r="C70" s="137"/>
      <c r="D70" s="21" t="s">
        <v>36</v>
      </c>
      <c r="E70" s="23" t="s">
        <v>37</v>
      </c>
      <c r="F70" s="109">
        <v>10</v>
      </c>
      <c r="G70" s="141" t="s">
        <v>820</v>
      </c>
      <c r="H70" s="53">
        <v>7571</v>
      </c>
      <c r="I70" s="109">
        <f t="shared" si="1"/>
        <v>75710</v>
      </c>
      <c r="J70" s="353"/>
      <c r="K70" s="353"/>
    </row>
    <row r="71" spans="1:11" s="25" customFormat="1" ht="15" customHeight="1" x14ac:dyDescent="0.25">
      <c r="A71" s="128"/>
      <c r="B71" s="108">
        <v>45509</v>
      </c>
      <c r="C71" s="137"/>
      <c r="D71" s="21" t="s">
        <v>38</v>
      </c>
      <c r="E71" s="23" t="s">
        <v>39</v>
      </c>
      <c r="F71" s="109">
        <v>10</v>
      </c>
      <c r="G71" s="141" t="s">
        <v>820</v>
      </c>
      <c r="H71" s="53">
        <v>7571</v>
      </c>
      <c r="I71" s="109">
        <f t="shared" si="1"/>
        <v>75710</v>
      </c>
      <c r="J71" s="353"/>
      <c r="K71" s="353"/>
    </row>
    <row r="72" spans="1:11" s="25" customFormat="1" ht="15" customHeight="1" x14ac:dyDescent="0.25">
      <c r="A72" s="128"/>
      <c r="B72" s="108">
        <v>45509</v>
      </c>
      <c r="C72" s="137"/>
      <c r="D72" s="21" t="s">
        <v>42</v>
      </c>
      <c r="E72" s="23" t="s">
        <v>43</v>
      </c>
      <c r="F72" s="109">
        <v>14</v>
      </c>
      <c r="G72" s="141" t="s">
        <v>820</v>
      </c>
      <c r="H72" s="66">
        <v>7571</v>
      </c>
      <c r="I72" s="109">
        <f t="shared" si="1"/>
        <v>105994</v>
      </c>
      <c r="J72" s="353"/>
      <c r="K72" s="353"/>
    </row>
    <row r="73" spans="1:11" s="25" customFormat="1" ht="15" customHeight="1" x14ac:dyDescent="0.25">
      <c r="A73" s="128"/>
      <c r="B73" s="108">
        <v>45509</v>
      </c>
      <c r="C73" s="137"/>
      <c r="D73" s="21" t="s">
        <v>44</v>
      </c>
      <c r="E73" s="23" t="s">
        <v>45</v>
      </c>
      <c r="F73" s="109">
        <v>10</v>
      </c>
      <c r="G73" s="141" t="s">
        <v>820</v>
      </c>
      <c r="H73" s="225">
        <v>7571</v>
      </c>
      <c r="I73" s="109">
        <f t="shared" si="1"/>
        <v>75710</v>
      </c>
      <c r="J73" s="353"/>
      <c r="K73" s="353"/>
    </row>
    <row r="74" spans="1:11" s="25" customFormat="1" ht="15" customHeight="1" x14ac:dyDescent="0.25">
      <c r="A74" s="214"/>
      <c r="B74" s="108">
        <v>45509</v>
      </c>
      <c r="C74" s="215"/>
      <c r="D74" s="21" t="s">
        <v>20</v>
      </c>
      <c r="E74" s="23" t="s">
        <v>21</v>
      </c>
      <c r="F74" s="109">
        <v>6</v>
      </c>
      <c r="G74" s="141" t="s">
        <v>820</v>
      </c>
      <c r="H74" s="225">
        <v>19948</v>
      </c>
      <c r="I74" s="217">
        <f t="shared" si="1"/>
        <v>119688</v>
      </c>
      <c r="J74" s="353"/>
      <c r="K74" s="353"/>
    </row>
    <row r="75" spans="1:11" s="25" customFormat="1" ht="15" customHeight="1" x14ac:dyDescent="0.25">
      <c r="A75" s="214"/>
      <c r="B75" s="108">
        <v>45509</v>
      </c>
      <c r="C75" s="215"/>
      <c r="D75" s="10" t="s">
        <v>10</v>
      </c>
      <c r="E75" s="7" t="s">
        <v>11</v>
      </c>
      <c r="F75" s="109">
        <v>8</v>
      </c>
      <c r="G75" s="141" t="s">
        <v>820</v>
      </c>
      <c r="H75" s="225">
        <v>8640</v>
      </c>
      <c r="I75" s="217">
        <f t="shared" si="1"/>
        <v>69120</v>
      </c>
      <c r="J75" s="353"/>
      <c r="K75" s="353"/>
    </row>
    <row r="76" spans="1:11" s="25" customFormat="1" ht="15" customHeight="1" x14ac:dyDescent="0.25">
      <c r="A76" s="214"/>
      <c r="B76" s="108">
        <v>45509</v>
      </c>
      <c r="C76" s="215"/>
      <c r="D76" s="21" t="s">
        <v>142</v>
      </c>
      <c r="E76" s="22" t="s">
        <v>143</v>
      </c>
      <c r="F76" s="109">
        <v>43</v>
      </c>
      <c r="G76" s="141" t="s">
        <v>820</v>
      </c>
      <c r="H76" s="225">
        <v>6350</v>
      </c>
      <c r="I76" s="217">
        <f t="shared" si="1"/>
        <v>273050</v>
      </c>
      <c r="J76" s="354"/>
      <c r="K76" s="354"/>
    </row>
    <row r="77" spans="1:11" s="25" customFormat="1" ht="15" customHeight="1" x14ac:dyDescent="0.25">
      <c r="A77" s="214"/>
      <c r="B77" s="108">
        <v>45509</v>
      </c>
      <c r="C77" s="215"/>
      <c r="D77" s="10" t="s">
        <v>10</v>
      </c>
      <c r="E77" s="7" t="s">
        <v>11</v>
      </c>
      <c r="F77" s="109">
        <v>1</v>
      </c>
      <c r="G77" s="216" t="s">
        <v>821</v>
      </c>
      <c r="H77" s="225"/>
      <c r="I77" s="217"/>
      <c r="J77" s="218"/>
      <c r="K77" s="218"/>
    </row>
    <row r="78" spans="1:11" s="25" customFormat="1" ht="15" customHeight="1" x14ac:dyDescent="0.25">
      <c r="A78" s="128"/>
      <c r="B78" s="108">
        <v>45509</v>
      </c>
      <c r="C78" s="109" t="s">
        <v>775</v>
      </c>
      <c r="D78" s="29" t="s">
        <v>762</v>
      </c>
      <c r="E78" s="30" t="s">
        <v>85</v>
      </c>
      <c r="F78" s="109">
        <v>24</v>
      </c>
      <c r="G78" s="140" t="s">
        <v>823</v>
      </c>
      <c r="H78" s="226"/>
      <c r="I78" s="109">
        <f t="shared" si="1"/>
        <v>0</v>
      </c>
      <c r="J78" s="133"/>
      <c r="K78" s="133"/>
    </row>
    <row r="79" spans="1:11" s="25" customFormat="1" ht="15" customHeight="1" x14ac:dyDescent="0.25">
      <c r="A79" s="128"/>
      <c r="B79" s="108">
        <v>45509</v>
      </c>
      <c r="C79" s="109" t="s">
        <v>838</v>
      </c>
      <c r="D79" s="21" t="s">
        <v>40</v>
      </c>
      <c r="E79" s="23" t="s">
        <v>41</v>
      </c>
      <c r="F79" s="109">
        <f>96+10</f>
        <v>106</v>
      </c>
      <c r="G79" s="140" t="s">
        <v>823</v>
      </c>
      <c r="H79" s="226"/>
      <c r="I79" s="109">
        <f t="shared" si="1"/>
        <v>0</v>
      </c>
      <c r="J79" s="133"/>
      <c r="K79" s="133"/>
    </row>
    <row r="80" spans="1:11" s="25" customFormat="1" ht="15" customHeight="1" x14ac:dyDescent="0.25">
      <c r="A80" s="128"/>
      <c r="B80" s="108">
        <v>45509</v>
      </c>
      <c r="C80" s="109" t="s">
        <v>836</v>
      </c>
      <c r="D80" s="21" t="s">
        <v>767</v>
      </c>
      <c r="E80" s="23" t="s">
        <v>63</v>
      </c>
      <c r="F80" s="109">
        <v>48</v>
      </c>
      <c r="G80" s="140" t="s">
        <v>823</v>
      </c>
      <c r="H80" s="116"/>
      <c r="I80" s="109">
        <f t="shared" si="1"/>
        <v>0</v>
      </c>
      <c r="J80" s="133"/>
      <c r="K80" s="133"/>
    </row>
    <row r="81" spans="1:11" s="25" customFormat="1" ht="15" customHeight="1" x14ac:dyDescent="0.25">
      <c r="A81" s="128"/>
      <c r="B81" s="108">
        <v>45509</v>
      </c>
      <c r="C81" s="109" t="s">
        <v>867</v>
      </c>
      <c r="D81" s="10" t="s">
        <v>86</v>
      </c>
      <c r="E81" s="9" t="s">
        <v>87</v>
      </c>
      <c r="F81" s="109">
        <f>12+24</f>
        <v>36</v>
      </c>
      <c r="G81" s="140" t="s">
        <v>823</v>
      </c>
      <c r="H81" s="116"/>
      <c r="I81" s="109">
        <f t="shared" si="1"/>
        <v>0</v>
      </c>
      <c r="J81" s="133"/>
      <c r="K81" s="133"/>
    </row>
    <row r="82" spans="1:11" s="25" customFormat="1" ht="15" customHeight="1" x14ac:dyDescent="0.25">
      <c r="A82" s="128"/>
      <c r="B82" s="108">
        <v>45509</v>
      </c>
      <c r="C82" s="109" t="s">
        <v>827</v>
      </c>
      <c r="D82" s="10" t="s">
        <v>132</v>
      </c>
      <c r="E82" s="9" t="s">
        <v>133</v>
      </c>
      <c r="F82" s="109">
        <f>96-12</f>
        <v>84</v>
      </c>
      <c r="G82" s="140" t="s">
        <v>823</v>
      </c>
      <c r="H82" s="116"/>
      <c r="I82" s="109">
        <f t="shared" si="1"/>
        <v>0</v>
      </c>
      <c r="J82" s="133"/>
      <c r="K82" s="133"/>
    </row>
    <row r="83" spans="1:11" s="25" customFormat="1" ht="15" customHeight="1" x14ac:dyDescent="0.25">
      <c r="A83" s="128"/>
      <c r="B83" s="108">
        <v>45509</v>
      </c>
      <c r="C83" s="109" t="s">
        <v>863</v>
      </c>
      <c r="D83" s="10" t="s">
        <v>124</v>
      </c>
      <c r="E83" s="9" t="s">
        <v>125</v>
      </c>
      <c r="F83" s="109">
        <v>24</v>
      </c>
      <c r="G83" s="140" t="s">
        <v>823</v>
      </c>
      <c r="H83" s="116"/>
      <c r="I83" s="109">
        <f t="shared" si="1"/>
        <v>0</v>
      </c>
      <c r="J83" s="133"/>
      <c r="K83" s="133"/>
    </row>
    <row r="84" spans="1:11" s="25" customFormat="1" ht="15" customHeight="1" x14ac:dyDescent="0.25">
      <c r="A84" s="128"/>
      <c r="B84" s="108">
        <v>45509</v>
      </c>
      <c r="C84" s="109" t="s">
        <v>863</v>
      </c>
      <c r="D84" s="21" t="s">
        <v>126</v>
      </c>
      <c r="E84" s="22" t="s">
        <v>127</v>
      </c>
      <c r="F84" s="109">
        <v>24</v>
      </c>
      <c r="G84" s="140" t="s">
        <v>823</v>
      </c>
      <c r="H84" s="116"/>
      <c r="I84" s="109">
        <f t="shared" si="1"/>
        <v>0</v>
      </c>
      <c r="J84" s="133"/>
      <c r="K84" s="133"/>
    </row>
    <row r="85" spans="1:11" s="25" customFormat="1" ht="15" customHeight="1" x14ac:dyDescent="0.25">
      <c r="A85" s="128"/>
      <c r="B85" s="108">
        <v>45509</v>
      </c>
      <c r="C85" s="109" t="s">
        <v>863</v>
      </c>
      <c r="D85" s="21" t="s">
        <v>142</v>
      </c>
      <c r="E85" s="22" t="s">
        <v>143</v>
      </c>
      <c r="F85" s="109">
        <v>24</v>
      </c>
      <c r="G85" s="140" t="s">
        <v>823</v>
      </c>
      <c r="H85" s="116"/>
      <c r="I85" s="109">
        <f t="shared" si="1"/>
        <v>0</v>
      </c>
      <c r="J85" s="133"/>
      <c r="K85" s="133"/>
    </row>
    <row r="86" spans="1:11" s="25" customFormat="1" ht="15" customHeight="1" x14ac:dyDescent="0.25">
      <c r="A86" s="128"/>
      <c r="B86" s="108">
        <v>45509</v>
      </c>
      <c r="C86" s="109" t="s">
        <v>863</v>
      </c>
      <c r="D86" s="10" t="s">
        <v>759</v>
      </c>
      <c r="E86" s="7" t="s">
        <v>758</v>
      </c>
      <c r="F86" s="109">
        <v>96</v>
      </c>
      <c r="G86" s="140" t="s">
        <v>823</v>
      </c>
      <c r="H86" s="116"/>
      <c r="I86" s="109">
        <f t="shared" si="1"/>
        <v>0</v>
      </c>
      <c r="J86" s="133"/>
      <c r="K86" s="133"/>
    </row>
    <row r="87" spans="1:11" s="25" customFormat="1" ht="15" customHeight="1" x14ac:dyDescent="0.25">
      <c r="A87" s="128"/>
      <c r="B87" s="108">
        <v>45509</v>
      </c>
      <c r="C87" s="137" t="s">
        <v>778</v>
      </c>
      <c r="D87" s="21" t="s">
        <v>142</v>
      </c>
      <c r="E87" s="22" t="s">
        <v>143</v>
      </c>
      <c r="F87" s="109">
        <v>96</v>
      </c>
      <c r="G87" s="144" t="s">
        <v>822</v>
      </c>
      <c r="H87" s="116"/>
      <c r="I87" s="109">
        <f t="shared" si="1"/>
        <v>0</v>
      </c>
      <c r="J87" s="133"/>
      <c r="K87" s="133"/>
    </row>
    <row r="88" spans="1:11" s="25" customFormat="1" ht="15" customHeight="1" x14ac:dyDescent="0.25">
      <c r="A88" s="128"/>
      <c r="B88" s="108">
        <v>45509</v>
      </c>
      <c r="C88" s="137" t="s">
        <v>778</v>
      </c>
      <c r="D88" s="29" t="s">
        <v>762</v>
      </c>
      <c r="E88" s="30" t="s">
        <v>85</v>
      </c>
      <c r="F88" s="109">
        <v>96</v>
      </c>
      <c r="G88" s="144" t="s">
        <v>822</v>
      </c>
      <c r="H88" s="116"/>
      <c r="I88" s="109">
        <f t="shared" si="1"/>
        <v>0</v>
      </c>
      <c r="J88" s="133"/>
      <c r="K88" s="133"/>
    </row>
    <row r="89" spans="1:11" s="25" customFormat="1" ht="15" customHeight="1" x14ac:dyDescent="0.25">
      <c r="A89" s="128"/>
      <c r="B89" s="166">
        <v>45510</v>
      </c>
      <c r="C89" s="137" t="s">
        <v>880</v>
      </c>
      <c r="D89" s="72" t="s">
        <v>879</v>
      </c>
      <c r="E89" s="23" t="s">
        <v>878</v>
      </c>
      <c r="F89" s="109">
        <v>12</v>
      </c>
      <c r="G89" s="224" t="s">
        <v>881</v>
      </c>
      <c r="H89" s="116">
        <f>515000/12</f>
        <v>42916.666666666664</v>
      </c>
      <c r="I89" s="109">
        <f t="shared" si="1"/>
        <v>515000</v>
      </c>
      <c r="J89" s="133"/>
      <c r="K89" s="133"/>
    </row>
    <row r="90" spans="1:11" s="25" customFormat="1" ht="15" customHeight="1" x14ac:dyDescent="0.25">
      <c r="A90" s="128"/>
      <c r="B90" s="166">
        <v>45510</v>
      </c>
      <c r="C90" s="109" t="s">
        <v>844</v>
      </c>
      <c r="D90" s="21" t="s">
        <v>142</v>
      </c>
      <c r="E90" s="22" t="s">
        <v>143</v>
      </c>
      <c r="F90" s="109">
        <v>144</v>
      </c>
      <c r="G90" s="144" t="s">
        <v>822</v>
      </c>
      <c r="H90" s="116"/>
      <c r="I90" s="109">
        <f t="shared" si="1"/>
        <v>0</v>
      </c>
      <c r="J90" s="133"/>
      <c r="K90" s="133"/>
    </row>
    <row r="91" spans="1:11" s="25" customFormat="1" ht="15" customHeight="1" x14ac:dyDescent="0.25">
      <c r="A91" s="128"/>
      <c r="B91" s="166">
        <v>45510</v>
      </c>
      <c r="C91" s="109" t="s">
        <v>844</v>
      </c>
      <c r="D91" s="21" t="s">
        <v>126</v>
      </c>
      <c r="E91" s="22" t="s">
        <v>127</v>
      </c>
      <c r="F91" s="109">
        <v>144</v>
      </c>
      <c r="G91" s="144" t="s">
        <v>822</v>
      </c>
      <c r="H91" s="116"/>
      <c r="I91" s="109">
        <f t="shared" si="1"/>
        <v>0</v>
      </c>
      <c r="J91" s="133"/>
      <c r="K91" s="133"/>
    </row>
    <row r="92" spans="1:11" s="25" customFormat="1" ht="15" customHeight="1" x14ac:dyDescent="0.25">
      <c r="A92" s="128"/>
      <c r="B92" s="166">
        <v>45510</v>
      </c>
      <c r="C92" s="109" t="s">
        <v>836</v>
      </c>
      <c r="D92" s="21" t="s">
        <v>764</v>
      </c>
      <c r="E92" s="23" t="s">
        <v>69</v>
      </c>
      <c r="F92" s="109">
        <v>8</v>
      </c>
      <c r="G92" s="140" t="s">
        <v>823</v>
      </c>
      <c r="H92" s="116"/>
      <c r="I92" s="109">
        <f t="shared" si="1"/>
        <v>0</v>
      </c>
      <c r="J92" s="133"/>
      <c r="K92" s="133"/>
    </row>
    <row r="93" spans="1:11" s="25" customFormat="1" ht="15" customHeight="1" x14ac:dyDescent="0.25">
      <c r="A93" s="128"/>
      <c r="B93" s="166">
        <v>45510</v>
      </c>
      <c r="C93" s="109" t="s">
        <v>836</v>
      </c>
      <c r="D93" s="10" t="s">
        <v>86</v>
      </c>
      <c r="E93" s="9" t="s">
        <v>87</v>
      </c>
      <c r="F93" s="109">
        <v>48</v>
      </c>
      <c r="G93" s="140" t="s">
        <v>823</v>
      </c>
      <c r="H93" s="116"/>
      <c r="I93" s="109">
        <f t="shared" si="1"/>
        <v>0</v>
      </c>
      <c r="J93" s="133"/>
      <c r="K93" s="133"/>
    </row>
    <row r="94" spans="1:11" s="25" customFormat="1" ht="15" customHeight="1" x14ac:dyDescent="0.25">
      <c r="A94" s="128"/>
      <c r="B94" s="166">
        <v>45510</v>
      </c>
      <c r="C94" s="109" t="s">
        <v>836</v>
      </c>
      <c r="D94" s="21" t="s">
        <v>763</v>
      </c>
      <c r="E94" s="22" t="s">
        <v>83</v>
      </c>
      <c r="F94" s="109">
        <f>48+8</f>
        <v>56</v>
      </c>
      <c r="G94" s="140" t="s">
        <v>823</v>
      </c>
      <c r="H94" s="116"/>
      <c r="I94" s="109">
        <f t="shared" si="1"/>
        <v>0</v>
      </c>
      <c r="J94" s="133"/>
      <c r="K94" s="133"/>
    </row>
    <row r="95" spans="1:11" s="25" customFormat="1" ht="15" customHeight="1" x14ac:dyDescent="0.25">
      <c r="A95" s="128"/>
      <c r="B95" s="166">
        <v>45510</v>
      </c>
      <c r="C95" s="109" t="s">
        <v>836</v>
      </c>
      <c r="D95" s="21" t="s">
        <v>20</v>
      </c>
      <c r="E95" s="23" t="s">
        <v>21</v>
      </c>
      <c r="F95" s="109">
        <v>6</v>
      </c>
      <c r="G95" s="140" t="s">
        <v>823</v>
      </c>
      <c r="H95" s="116"/>
      <c r="I95" s="109">
        <f t="shared" si="1"/>
        <v>0</v>
      </c>
      <c r="J95" s="133"/>
      <c r="K95" s="133"/>
    </row>
    <row r="96" spans="1:11" s="25" customFormat="1" ht="15" customHeight="1" x14ac:dyDescent="0.25">
      <c r="A96" s="128"/>
      <c r="B96" s="166">
        <v>45510</v>
      </c>
      <c r="C96" s="109" t="s">
        <v>836</v>
      </c>
      <c r="D96" s="10" t="s">
        <v>172</v>
      </c>
      <c r="E96" s="9" t="s">
        <v>173</v>
      </c>
      <c r="F96" s="109">
        <v>1</v>
      </c>
      <c r="G96" s="140" t="s">
        <v>823</v>
      </c>
      <c r="H96" s="116"/>
      <c r="I96" s="109">
        <f t="shared" si="1"/>
        <v>0</v>
      </c>
      <c r="J96" s="133"/>
      <c r="K96" s="133"/>
    </row>
    <row r="97" spans="1:11" s="25" customFormat="1" ht="15" customHeight="1" x14ac:dyDescent="0.25">
      <c r="A97" s="128"/>
      <c r="B97" s="166">
        <v>45510</v>
      </c>
      <c r="C97" s="109" t="s">
        <v>836</v>
      </c>
      <c r="D97" s="10" t="s">
        <v>124</v>
      </c>
      <c r="E97" s="9" t="s">
        <v>125</v>
      </c>
      <c r="F97" s="109">
        <v>16</v>
      </c>
      <c r="G97" s="140" t="s">
        <v>823</v>
      </c>
      <c r="H97" s="116"/>
      <c r="I97" s="109">
        <f t="shared" si="1"/>
        <v>0</v>
      </c>
      <c r="J97" s="133"/>
      <c r="K97" s="133"/>
    </row>
    <row r="98" spans="1:11" s="25" customFormat="1" ht="15" customHeight="1" x14ac:dyDescent="0.25">
      <c r="A98" s="128"/>
      <c r="B98" s="166">
        <v>45510</v>
      </c>
      <c r="C98" s="109" t="s">
        <v>836</v>
      </c>
      <c r="D98" s="10" t="s">
        <v>16</v>
      </c>
      <c r="E98" s="7" t="s">
        <v>17</v>
      </c>
      <c r="F98" s="109">
        <v>60</v>
      </c>
      <c r="G98" s="140" t="s">
        <v>823</v>
      </c>
      <c r="H98" s="116"/>
      <c r="I98" s="109">
        <f t="shared" si="1"/>
        <v>0</v>
      </c>
      <c r="J98" s="133"/>
      <c r="K98" s="133"/>
    </row>
    <row r="99" spans="1:11" s="25" customFormat="1" ht="15" customHeight="1" x14ac:dyDescent="0.25">
      <c r="A99" s="128"/>
      <c r="B99" s="166">
        <v>45510</v>
      </c>
      <c r="C99" s="109" t="s">
        <v>836</v>
      </c>
      <c r="D99" s="15" t="s">
        <v>238</v>
      </c>
      <c r="E99" s="45" t="s">
        <v>239</v>
      </c>
      <c r="F99" s="109">
        <v>3</v>
      </c>
      <c r="G99" s="140" t="s">
        <v>823</v>
      </c>
      <c r="H99" s="116"/>
      <c r="I99" s="109">
        <f t="shared" si="1"/>
        <v>0</v>
      </c>
      <c r="J99" s="133"/>
      <c r="K99" s="133"/>
    </row>
    <row r="100" spans="1:11" s="25" customFormat="1" ht="15" customHeight="1" x14ac:dyDescent="0.25">
      <c r="A100" s="128"/>
      <c r="B100" s="166">
        <v>45510</v>
      </c>
      <c r="C100" s="109" t="s">
        <v>883</v>
      </c>
      <c r="D100" s="21" t="s">
        <v>142</v>
      </c>
      <c r="E100" s="22" t="s">
        <v>143</v>
      </c>
      <c r="F100" s="109">
        <f>48+6*48+144</f>
        <v>480</v>
      </c>
      <c r="G100" s="140" t="s">
        <v>823</v>
      </c>
      <c r="H100" s="116"/>
      <c r="I100" s="109">
        <f t="shared" si="1"/>
        <v>0</v>
      </c>
      <c r="J100" s="133"/>
      <c r="K100" s="133"/>
    </row>
    <row r="101" spans="1:11" s="25" customFormat="1" ht="15" customHeight="1" x14ac:dyDescent="0.25">
      <c r="A101" s="232"/>
      <c r="B101" s="166">
        <v>45510</v>
      </c>
      <c r="C101" s="128" t="s">
        <v>877</v>
      </c>
      <c r="D101" s="21" t="s">
        <v>768</v>
      </c>
      <c r="E101" s="23" t="s">
        <v>67</v>
      </c>
      <c r="F101" s="109">
        <v>12</v>
      </c>
      <c r="G101" s="140" t="s">
        <v>823</v>
      </c>
      <c r="H101" s="233"/>
      <c r="I101" s="109">
        <f t="shared" si="1"/>
        <v>0</v>
      </c>
      <c r="J101" s="234"/>
      <c r="K101" s="234"/>
    </row>
    <row r="102" spans="1:11" s="25" customFormat="1" ht="15" customHeight="1" x14ac:dyDescent="0.25">
      <c r="A102" s="128"/>
      <c r="B102" s="166">
        <v>45510</v>
      </c>
      <c r="C102" s="137"/>
      <c r="D102" s="21" t="s">
        <v>126</v>
      </c>
      <c r="E102" s="22" t="s">
        <v>127</v>
      </c>
      <c r="F102" s="109">
        <v>480</v>
      </c>
      <c r="G102" s="140" t="s">
        <v>823</v>
      </c>
      <c r="H102" s="116"/>
      <c r="I102" s="109">
        <f t="shared" si="1"/>
        <v>0</v>
      </c>
      <c r="J102" s="133"/>
      <c r="K102" s="133"/>
    </row>
    <row r="103" spans="1:11" s="25" customFormat="1" ht="15" customHeight="1" x14ac:dyDescent="0.25">
      <c r="A103" s="128"/>
      <c r="B103" s="166">
        <v>45510</v>
      </c>
      <c r="C103" s="137"/>
      <c r="D103" s="10" t="s">
        <v>174</v>
      </c>
      <c r="E103" s="7" t="s">
        <v>175</v>
      </c>
      <c r="F103" s="109">
        <v>24</v>
      </c>
      <c r="G103" s="141" t="s">
        <v>820</v>
      </c>
      <c r="H103" s="227">
        <v>16168</v>
      </c>
      <c r="I103" s="109">
        <f t="shared" si="1"/>
        <v>388032</v>
      </c>
      <c r="J103" s="359">
        <f>SUM(I103:I113)</f>
        <v>105449482</v>
      </c>
      <c r="K103" s="355">
        <v>91780325</v>
      </c>
    </row>
    <row r="104" spans="1:11" s="25" customFormat="1" ht="15" customHeight="1" x14ac:dyDescent="0.25">
      <c r="A104" s="128"/>
      <c r="B104" s="166">
        <v>45510</v>
      </c>
      <c r="C104" s="137" t="s">
        <v>843</v>
      </c>
      <c r="D104" s="10" t="s">
        <v>166</v>
      </c>
      <c r="E104" s="9" t="s">
        <v>167</v>
      </c>
      <c r="F104" s="109">
        <v>120</v>
      </c>
      <c r="G104" s="141" t="s">
        <v>820</v>
      </c>
      <c r="H104" s="227">
        <v>39722</v>
      </c>
      <c r="I104" s="109">
        <f t="shared" si="1"/>
        <v>4766640</v>
      </c>
      <c r="J104" s="353"/>
      <c r="K104" s="353"/>
    </row>
    <row r="105" spans="1:11" s="25" customFormat="1" ht="15" customHeight="1" x14ac:dyDescent="0.25">
      <c r="A105" s="128"/>
      <c r="B105" s="166">
        <v>45510</v>
      </c>
      <c r="C105" s="137" t="s">
        <v>843</v>
      </c>
      <c r="D105" s="10" t="s">
        <v>172</v>
      </c>
      <c r="E105" s="9" t="s">
        <v>173</v>
      </c>
      <c r="F105" s="109">
        <v>180</v>
      </c>
      <c r="G105" s="141" t="s">
        <v>820</v>
      </c>
      <c r="H105" s="227">
        <v>43924</v>
      </c>
      <c r="I105" s="109">
        <f t="shared" si="1"/>
        <v>7906320</v>
      </c>
      <c r="J105" s="353"/>
      <c r="K105" s="353"/>
    </row>
    <row r="106" spans="1:11" s="25" customFormat="1" ht="15" customHeight="1" x14ac:dyDescent="0.25">
      <c r="A106" s="128"/>
      <c r="B106" s="166">
        <v>45510</v>
      </c>
      <c r="C106" s="137"/>
      <c r="D106" s="10" t="s">
        <v>124</v>
      </c>
      <c r="E106" s="9" t="s">
        <v>125</v>
      </c>
      <c r="F106" s="109">
        <v>108</v>
      </c>
      <c r="G106" s="141" t="s">
        <v>820</v>
      </c>
      <c r="H106" s="227">
        <v>6350</v>
      </c>
      <c r="I106" s="109">
        <f t="shared" si="1"/>
        <v>685800</v>
      </c>
      <c r="J106" s="353"/>
      <c r="K106" s="353"/>
    </row>
    <row r="107" spans="1:11" s="25" customFormat="1" ht="15" customHeight="1" x14ac:dyDescent="0.25">
      <c r="A107" s="128"/>
      <c r="B107" s="166">
        <v>45510</v>
      </c>
      <c r="C107" s="137"/>
      <c r="D107" s="21" t="s">
        <v>126</v>
      </c>
      <c r="E107" s="22" t="s">
        <v>127</v>
      </c>
      <c r="F107" s="109">
        <v>475</v>
      </c>
      <c r="G107" s="141" t="s">
        <v>820</v>
      </c>
      <c r="H107" s="227">
        <v>6350</v>
      </c>
      <c r="I107" s="109">
        <f t="shared" si="1"/>
        <v>3016250</v>
      </c>
      <c r="J107" s="353"/>
      <c r="K107" s="353"/>
    </row>
    <row r="108" spans="1:11" s="25" customFormat="1" ht="15" customHeight="1" x14ac:dyDescent="0.25">
      <c r="A108" s="128"/>
      <c r="B108" s="166">
        <v>45510</v>
      </c>
      <c r="C108" s="137" t="s">
        <v>780</v>
      </c>
      <c r="D108" s="15" t="s">
        <v>217</v>
      </c>
      <c r="E108" s="17" t="s">
        <v>218</v>
      </c>
      <c r="F108" s="109">
        <v>96</v>
      </c>
      <c r="G108" s="141" t="s">
        <v>820</v>
      </c>
      <c r="H108" s="227">
        <v>6912</v>
      </c>
      <c r="I108" s="109">
        <f t="shared" si="1"/>
        <v>663552</v>
      </c>
      <c r="J108" s="353"/>
      <c r="K108" s="353"/>
    </row>
    <row r="109" spans="1:11" s="25" customFormat="1" ht="15" customHeight="1" x14ac:dyDescent="0.25">
      <c r="A109" s="128"/>
      <c r="B109" s="166">
        <v>45510</v>
      </c>
      <c r="C109" s="137" t="s">
        <v>843</v>
      </c>
      <c r="D109" s="10" t="s">
        <v>86</v>
      </c>
      <c r="E109" s="9" t="s">
        <v>87</v>
      </c>
      <c r="F109" s="109">
        <v>168</v>
      </c>
      <c r="G109" s="141" t="s">
        <v>820</v>
      </c>
      <c r="H109" s="227">
        <v>27508</v>
      </c>
      <c r="I109" s="109">
        <f t="shared" si="1"/>
        <v>4621344</v>
      </c>
      <c r="J109" s="353"/>
      <c r="K109" s="353"/>
    </row>
    <row r="110" spans="1:11" s="25" customFormat="1" ht="15" customHeight="1" x14ac:dyDescent="0.25">
      <c r="A110" s="128"/>
      <c r="B110" s="166">
        <v>45510</v>
      </c>
      <c r="C110" s="137"/>
      <c r="D110" s="21" t="s">
        <v>766</v>
      </c>
      <c r="E110" s="22" t="s">
        <v>77</v>
      </c>
      <c r="F110" s="109">
        <v>96</v>
      </c>
      <c r="G110" s="141" t="s">
        <v>820</v>
      </c>
      <c r="H110" s="227">
        <v>5184</v>
      </c>
      <c r="I110" s="109">
        <f t="shared" si="1"/>
        <v>497664</v>
      </c>
      <c r="J110" s="353"/>
      <c r="K110" s="353"/>
    </row>
    <row r="111" spans="1:11" s="25" customFormat="1" ht="15" customHeight="1" x14ac:dyDescent="0.25">
      <c r="A111" s="128"/>
      <c r="B111" s="166">
        <v>45510</v>
      </c>
      <c r="C111" s="137" t="s">
        <v>777</v>
      </c>
      <c r="D111" s="21" t="s">
        <v>765</v>
      </c>
      <c r="E111" s="22" t="s">
        <v>75</v>
      </c>
      <c r="F111" s="109">
        <v>66</v>
      </c>
      <c r="G111" s="141" t="s">
        <v>820</v>
      </c>
      <c r="H111" s="227">
        <v>8197</v>
      </c>
      <c r="I111" s="109">
        <f t="shared" si="1"/>
        <v>541002</v>
      </c>
      <c r="J111" s="353"/>
      <c r="K111" s="353"/>
    </row>
    <row r="112" spans="1:11" s="25" customFormat="1" ht="15" customHeight="1" x14ac:dyDescent="0.25">
      <c r="A112" s="128"/>
      <c r="B112" s="166">
        <v>45510</v>
      </c>
      <c r="C112" s="137" t="s">
        <v>843</v>
      </c>
      <c r="D112" s="29" t="s">
        <v>762</v>
      </c>
      <c r="E112" s="30" t="s">
        <v>85</v>
      </c>
      <c r="F112" s="109">
        <v>2278</v>
      </c>
      <c r="G112" s="141" t="s">
        <v>820</v>
      </c>
      <c r="H112" s="227">
        <v>35867</v>
      </c>
      <c r="I112" s="109">
        <f t="shared" si="1"/>
        <v>81705026</v>
      </c>
      <c r="J112" s="353"/>
      <c r="K112" s="353"/>
    </row>
    <row r="113" spans="1:11" s="25" customFormat="1" ht="15" customHeight="1" x14ac:dyDescent="0.25">
      <c r="A113" s="128"/>
      <c r="B113" s="166">
        <v>45510</v>
      </c>
      <c r="C113" s="137"/>
      <c r="D113" s="21" t="s">
        <v>78</v>
      </c>
      <c r="E113" s="22" t="s">
        <v>79</v>
      </c>
      <c r="F113" s="109">
        <v>12</v>
      </c>
      <c r="G113" s="141" t="s">
        <v>820</v>
      </c>
      <c r="H113" s="227">
        <v>54821</v>
      </c>
      <c r="I113" s="109">
        <f t="shared" si="1"/>
        <v>657852</v>
      </c>
      <c r="J113" s="354"/>
      <c r="K113" s="353"/>
    </row>
    <row r="114" spans="1:11" s="25" customFormat="1" ht="15.75" customHeight="1" x14ac:dyDescent="0.25">
      <c r="A114" s="128"/>
      <c r="B114" s="166">
        <v>45510</v>
      </c>
      <c r="C114" s="137" t="s">
        <v>836</v>
      </c>
      <c r="D114" s="21" t="s">
        <v>764</v>
      </c>
      <c r="E114" s="23" t="s">
        <v>69</v>
      </c>
      <c r="F114" s="109">
        <v>334</v>
      </c>
      <c r="G114" s="141" t="s">
        <v>820</v>
      </c>
      <c r="H114" s="227">
        <v>8197</v>
      </c>
      <c r="I114" s="109">
        <f t="shared" ref="I114:I178" si="2">H114*F114</f>
        <v>2737798</v>
      </c>
      <c r="J114" s="358">
        <f>I114+I115</f>
        <v>2986630</v>
      </c>
      <c r="K114" s="353"/>
    </row>
    <row r="115" spans="1:11" s="25" customFormat="1" ht="15.75" customHeight="1" x14ac:dyDescent="0.25">
      <c r="A115" s="128"/>
      <c r="B115" s="166">
        <v>45510</v>
      </c>
      <c r="C115" s="137" t="s">
        <v>780</v>
      </c>
      <c r="D115" s="21" t="s">
        <v>249</v>
      </c>
      <c r="E115" s="9" t="s">
        <v>250</v>
      </c>
      <c r="F115" s="109">
        <v>48</v>
      </c>
      <c r="G115" s="141" t="s">
        <v>820</v>
      </c>
      <c r="H115" s="116">
        <v>5184</v>
      </c>
      <c r="I115" s="109">
        <f t="shared" si="2"/>
        <v>248832</v>
      </c>
      <c r="J115" s="354"/>
      <c r="K115" s="354"/>
    </row>
    <row r="116" spans="1:11" s="25" customFormat="1" ht="15.75" customHeight="1" x14ac:dyDescent="0.25">
      <c r="A116" s="242"/>
      <c r="B116" s="132">
        <v>45511</v>
      </c>
      <c r="C116" s="250"/>
      <c r="D116" s="10" t="s">
        <v>106</v>
      </c>
      <c r="E116" s="9" t="s">
        <v>107</v>
      </c>
      <c r="F116" s="109">
        <f>8*48</f>
        <v>384</v>
      </c>
      <c r="G116" s="224" t="s">
        <v>881</v>
      </c>
      <c r="H116" s="251"/>
      <c r="I116" s="243"/>
      <c r="J116" s="235"/>
      <c r="K116" s="235"/>
    </row>
    <row r="117" spans="1:11" s="25" customFormat="1" ht="15.75" customHeight="1" x14ac:dyDescent="0.25">
      <c r="A117" s="128"/>
      <c r="B117" s="132">
        <v>45511</v>
      </c>
      <c r="C117" s="137" t="s">
        <v>775</v>
      </c>
      <c r="D117" s="29" t="s">
        <v>762</v>
      </c>
      <c r="E117" s="30" t="s">
        <v>85</v>
      </c>
      <c r="F117" s="109">
        <v>24</v>
      </c>
      <c r="G117" s="140" t="s">
        <v>823</v>
      </c>
      <c r="H117" s="116"/>
      <c r="I117" s="109">
        <f t="shared" si="2"/>
        <v>0</v>
      </c>
      <c r="J117" s="133"/>
      <c r="K117" s="133"/>
    </row>
    <row r="118" spans="1:11" s="25" customFormat="1" ht="15.75" customHeight="1" x14ac:dyDescent="0.25">
      <c r="A118" s="128"/>
      <c r="B118" s="132">
        <v>45511</v>
      </c>
      <c r="C118" s="137" t="s">
        <v>775</v>
      </c>
      <c r="D118" s="10" t="s">
        <v>56</v>
      </c>
      <c r="E118" s="7" t="s">
        <v>57</v>
      </c>
      <c r="F118" s="109">
        <v>12</v>
      </c>
      <c r="G118" s="140" t="s">
        <v>823</v>
      </c>
      <c r="H118" s="116"/>
      <c r="I118" s="109">
        <f t="shared" si="2"/>
        <v>0</v>
      </c>
      <c r="J118" s="133"/>
      <c r="K118" s="133"/>
    </row>
    <row r="119" spans="1:11" s="25" customFormat="1" ht="15.75" customHeight="1" x14ac:dyDescent="0.25">
      <c r="A119" s="128"/>
      <c r="B119" s="132">
        <v>45511</v>
      </c>
      <c r="C119" s="137" t="s">
        <v>775</v>
      </c>
      <c r="D119" s="10" t="s">
        <v>26</v>
      </c>
      <c r="E119" s="7" t="s">
        <v>27</v>
      </c>
      <c r="F119" s="109">
        <v>36</v>
      </c>
      <c r="G119" s="140" t="s">
        <v>823</v>
      </c>
      <c r="H119" s="116"/>
      <c r="I119" s="109">
        <f t="shared" si="2"/>
        <v>0</v>
      </c>
      <c r="J119" s="133"/>
      <c r="K119" s="133"/>
    </row>
    <row r="120" spans="1:11" s="25" customFormat="1" ht="15.75" customHeight="1" x14ac:dyDescent="0.25">
      <c r="A120" s="128"/>
      <c r="B120" s="132">
        <v>45511</v>
      </c>
      <c r="C120" s="109" t="s">
        <v>836</v>
      </c>
      <c r="D120" s="21" t="s">
        <v>40</v>
      </c>
      <c r="E120" s="23" t="s">
        <v>41</v>
      </c>
      <c r="F120" s="109">
        <v>96</v>
      </c>
      <c r="G120" s="140" t="s">
        <v>823</v>
      </c>
      <c r="H120" s="116"/>
      <c r="I120" s="109">
        <f t="shared" si="2"/>
        <v>0</v>
      </c>
      <c r="J120" s="133"/>
      <c r="K120" s="133"/>
    </row>
    <row r="121" spans="1:11" s="25" customFormat="1" ht="15.75" customHeight="1" x14ac:dyDescent="0.25">
      <c r="A121" s="128"/>
      <c r="B121" s="132">
        <v>45511</v>
      </c>
      <c r="C121" s="109" t="s">
        <v>836</v>
      </c>
      <c r="D121" s="10" t="s">
        <v>86</v>
      </c>
      <c r="E121" s="9" t="s">
        <v>87</v>
      </c>
      <c r="F121" s="109">
        <v>48</v>
      </c>
      <c r="G121" s="140" t="s">
        <v>823</v>
      </c>
      <c r="H121" s="116"/>
      <c r="I121" s="109">
        <f t="shared" si="2"/>
        <v>0</v>
      </c>
      <c r="J121" s="133"/>
      <c r="K121" s="133"/>
    </row>
    <row r="122" spans="1:11" s="25" customFormat="1" ht="15.75" customHeight="1" x14ac:dyDescent="0.25">
      <c r="A122" s="128"/>
      <c r="B122" s="132">
        <v>45511</v>
      </c>
      <c r="C122" s="109" t="s">
        <v>836</v>
      </c>
      <c r="D122" s="10" t="s">
        <v>172</v>
      </c>
      <c r="E122" s="9" t="s">
        <v>173</v>
      </c>
      <c r="F122" s="109">
        <v>4</v>
      </c>
      <c r="G122" s="140" t="s">
        <v>823</v>
      </c>
      <c r="H122" s="116"/>
      <c r="I122" s="109">
        <f t="shared" si="2"/>
        <v>0</v>
      </c>
      <c r="J122" s="133"/>
      <c r="K122" s="133"/>
    </row>
    <row r="123" spans="1:11" s="25" customFormat="1" ht="15.75" customHeight="1" x14ac:dyDescent="0.25">
      <c r="A123" s="128"/>
      <c r="B123" s="132">
        <v>45511</v>
      </c>
      <c r="C123" s="109" t="s">
        <v>836</v>
      </c>
      <c r="D123" s="21" t="s">
        <v>764</v>
      </c>
      <c r="E123" s="23" t="s">
        <v>69</v>
      </c>
      <c r="F123" s="109">
        <v>96</v>
      </c>
      <c r="G123" s="140" t="s">
        <v>823</v>
      </c>
      <c r="H123" s="116"/>
      <c r="I123" s="109">
        <f t="shared" si="2"/>
        <v>0</v>
      </c>
      <c r="J123" s="133"/>
      <c r="K123" s="133"/>
    </row>
    <row r="124" spans="1:11" x14ac:dyDescent="0.25">
      <c r="A124" s="128"/>
      <c r="B124" s="132">
        <v>45511</v>
      </c>
      <c r="C124" s="109" t="s">
        <v>836</v>
      </c>
      <c r="D124" s="21" t="s">
        <v>126</v>
      </c>
      <c r="E124" s="22" t="s">
        <v>127</v>
      </c>
      <c r="F124" s="109">
        <v>96</v>
      </c>
      <c r="G124" s="140" t="s">
        <v>823</v>
      </c>
      <c r="H124" s="110"/>
      <c r="I124" s="109">
        <f t="shared" si="2"/>
        <v>0</v>
      </c>
      <c r="J124" s="131"/>
      <c r="K124" s="131"/>
    </row>
    <row r="125" spans="1:11" x14ac:dyDescent="0.25">
      <c r="A125" s="128"/>
      <c r="B125" s="132">
        <v>45511</v>
      </c>
      <c r="C125" s="109" t="s">
        <v>836</v>
      </c>
      <c r="D125" s="33" t="s">
        <v>760</v>
      </c>
      <c r="E125" s="34" t="s">
        <v>761</v>
      </c>
      <c r="F125" s="109">
        <v>24</v>
      </c>
      <c r="G125" s="140" t="s">
        <v>823</v>
      </c>
      <c r="H125" s="110"/>
      <c r="I125" s="109">
        <f t="shared" si="2"/>
        <v>0</v>
      </c>
      <c r="J125" s="131"/>
      <c r="K125" s="131"/>
    </row>
    <row r="126" spans="1:11" x14ac:dyDescent="0.25">
      <c r="A126" s="128"/>
      <c r="B126" s="132">
        <v>45511</v>
      </c>
      <c r="C126" s="109" t="s">
        <v>886</v>
      </c>
      <c r="D126" s="10" t="s">
        <v>22</v>
      </c>
      <c r="E126" s="7" t="s">
        <v>23</v>
      </c>
      <c r="F126" s="109">
        <v>11</v>
      </c>
      <c r="G126" s="140" t="s">
        <v>823</v>
      </c>
      <c r="H126" s="110"/>
      <c r="I126" s="109">
        <f t="shared" si="2"/>
        <v>0</v>
      </c>
      <c r="J126" s="131"/>
      <c r="K126" s="131"/>
    </row>
    <row r="127" spans="1:11" x14ac:dyDescent="0.25">
      <c r="A127" s="128"/>
      <c r="B127" s="132">
        <v>45511</v>
      </c>
      <c r="C127" s="109" t="s">
        <v>886</v>
      </c>
      <c r="D127" s="21" t="s">
        <v>34</v>
      </c>
      <c r="E127" s="23" t="s">
        <v>35</v>
      </c>
      <c r="F127" s="109">
        <v>60</v>
      </c>
      <c r="G127" s="140" t="s">
        <v>823</v>
      </c>
      <c r="H127" s="110"/>
      <c r="I127" s="109">
        <f t="shared" si="2"/>
        <v>0</v>
      </c>
      <c r="J127" s="131"/>
      <c r="K127" s="131"/>
    </row>
    <row r="128" spans="1:11" x14ac:dyDescent="0.25">
      <c r="A128" s="128"/>
      <c r="B128" s="132">
        <v>45511</v>
      </c>
      <c r="C128" s="128"/>
      <c r="D128" s="10" t="s">
        <v>22</v>
      </c>
      <c r="E128" s="7" t="s">
        <v>23</v>
      </c>
      <c r="F128" s="109">
        <v>13</v>
      </c>
      <c r="G128" s="144" t="s">
        <v>822</v>
      </c>
      <c r="H128" s="110"/>
      <c r="I128" s="109">
        <f t="shared" si="2"/>
        <v>0</v>
      </c>
      <c r="J128" s="131"/>
      <c r="K128" s="131"/>
    </row>
    <row r="129" spans="1:11" x14ac:dyDescent="0.25">
      <c r="A129" s="128"/>
      <c r="B129" s="132">
        <v>45511</v>
      </c>
      <c r="C129" s="128"/>
      <c r="D129" s="29" t="s">
        <v>762</v>
      </c>
      <c r="E129" s="30" t="s">
        <v>85</v>
      </c>
      <c r="F129" s="109">
        <v>12</v>
      </c>
      <c r="G129" s="144" t="s">
        <v>822</v>
      </c>
      <c r="H129" s="110"/>
      <c r="I129" s="109">
        <f t="shared" si="2"/>
        <v>0</v>
      </c>
      <c r="J129" s="131"/>
      <c r="K129" s="131"/>
    </row>
    <row r="130" spans="1:11" x14ac:dyDescent="0.25">
      <c r="A130" s="128"/>
      <c r="B130" s="132">
        <v>45511</v>
      </c>
      <c r="C130" s="128"/>
      <c r="D130" s="29" t="s">
        <v>762</v>
      </c>
      <c r="E130" s="30" t="s">
        <v>85</v>
      </c>
      <c r="F130" s="109">
        <f>238*15</f>
        <v>3570</v>
      </c>
      <c r="G130" s="141" t="s">
        <v>820</v>
      </c>
      <c r="H130" s="53">
        <v>35867</v>
      </c>
      <c r="I130" s="109">
        <f t="shared" si="2"/>
        <v>128045190</v>
      </c>
      <c r="J130" s="357">
        <f>SUM(I130:I138)</f>
        <v>164356954</v>
      </c>
      <c r="K130" s="357">
        <v>139145848</v>
      </c>
    </row>
    <row r="131" spans="1:11" x14ac:dyDescent="0.25">
      <c r="A131" s="128"/>
      <c r="B131" s="132">
        <v>45511</v>
      </c>
      <c r="C131" s="128"/>
      <c r="D131" s="21" t="s">
        <v>765</v>
      </c>
      <c r="E131" s="22" t="s">
        <v>75</v>
      </c>
      <c r="F131" s="109">
        <f>150*3</f>
        <v>450</v>
      </c>
      <c r="G131" s="141" t="s">
        <v>820</v>
      </c>
      <c r="H131" s="53">
        <v>8197</v>
      </c>
      <c r="I131" s="109">
        <f t="shared" si="2"/>
        <v>3688650</v>
      </c>
      <c r="J131" s="353"/>
      <c r="K131" s="353"/>
    </row>
    <row r="132" spans="1:11" x14ac:dyDescent="0.25">
      <c r="A132" s="128"/>
      <c r="B132" s="132">
        <v>45511</v>
      </c>
      <c r="C132" s="128"/>
      <c r="D132" s="21" t="s">
        <v>126</v>
      </c>
      <c r="E132" s="22" t="s">
        <v>127</v>
      </c>
      <c r="F132" s="109">
        <f>238*6</f>
        <v>1428</v>
      </c>
      <c r="G132" s="141" t="s">
        <v>820</v>
      </c>
      <c r="H132" s="53">
        <v>6350</v>
      </c>
      <c r="I132" s="109">
        <f t="shared" si="2"/>
        <v>9067800</v>
      </c>
      <c r="J132" s="353"/>
      <c r="K132" s="353"/>
    </row>
    <row r="133" spans="1:11" x14ac:dyDescent="0.25">
      <c r="A133" s="128"/>
      <c r="B133" s="132">
        <v>45511</v>
      </c>
      <c r="C133" s="128"/>
      <c r="D133" s="10" t="s">
        <v>164</v>
      </c>
      <c r="E133" s="9" t="s">
        <v>165</v>
      </c>
      <c r="F133" s="109">
        <f>150*2</f>
        <v>300</v>
      </c>
      <c r="G133" s="141" t="s">
        <v>820</v>
      </c>
      <c r="H133" s="53">
        <v>39722</v>
      </c>
      <c r="I133" s="109">
        <f t="shared" si="2"/>
        <v>11916600</v>
      </c>
      <c r="J133" s="353"/>
      <c r="K133" s="353"/>
    </row>
    <row r="134" spans="1:11" ht="15" customHeight="1" x14ac:dyDescent="0.25">
      <c r="A134" s="128"/>
      <c r="B134" s="132">
        <v>45511</v>
      </c>
      <c r="C134" s="128"/>
      <c r="D134" s="10" t="s">
        <v>166</v>
      </c>
      <c r="E134" s="9" t="s">
        <v>167</v>
      </c>
      <c r="F134" s="109">
        <f>88*2</f>
        <v>176</v>
      </c>
      <c r="G134" s="141" t="s">
        <v>820</v>
      </c>
      <c r="H134" s="53">
        <v>39722</v>
      </c>
      <c r="I134" s="109">
        <f t="shared" si="2"/>
        <v>6991072</v>
      </c>
      <c r="J134" s="353"/>
      <c r="K134" s="353"/>
    </row>
    <row r="135" spans="1:11" x14ac:dyDescent="0.25">
      <c r="A135" s="128"/>
      <c r="B135" s="132">
        <v>45511</v>
      </c>
      <c r="C135" s="128"/>
      <c r="D135" s="21" t="s">
        <v>763</v>
      </c>
      <c r="E135" s="22" t="s">
        <v>83</v>
      </c>
      <c r="F135" s="109">
        <f>88*3</f>
        <v>264</v>
      </c>
      <c r="G135" s="141" t="s">
        <v>820</v>
      </c>
      <c r="H135" s="53">
        <v>8197</v>
      </c>
      <c r="I135" s="109">
        <f t="shared" si="2"/>
        <v>2164008</v>
      </c>
      <c r="J135" s="353"/>
      <c r="K135" s="353"/>
    </row>
    <row r="136" spans="1:11" x14ac:dyDescent="0.25">
      <c r="A136" s="128"/>
      <c r="B136" s="132">
        <v>45511</v>
      </c>
      <c r="C136" s="128"/>
      <c r="D136" s="10" t="s">
        <v>132</v>
      </c>
      <c r="E136" s="9" t="s">
        <v>133</v>
      </c>
      <c r="F136" s="109">
        <v>178</v>
      </c>
      <c r="G136" s="141" t="s">
        <v>820</v>
      </c>
      <c r="H136" s="53">
        <v>7603</v>
      </c>
      <c r="I136" s="109">
        <f t="shared" si="2"/>
        <v>1353334</v>
      </c>
      <c r="J136" s="353"/>
      <c r="K136" s="353"/>
    </row>
    <row r="137" spans="1:11" x14ac:dyDescent="0.25">
      <c r="A137" s="128"/>
      <c r="B137" s="132">
        <v>45511</v>
      </c>
      <c r="C137" s="128"/>
      <c r="D137" s="21" t="s">
        <v>142</v>
      </c>
      <c r="E137" s="22" t="s">
        <v>143</v>
      </c>
      <c r="F137" s="109">
        <f>234-48-8</f>
        <v>178</v>
      </c>
      <c r="G137" s="141" t="s">
        <v>820</v>
      </c>
      <c r="H137" s="53">
        <v>6350</v>
      </c>
      <c r="I137" s="109">
        <f t="shared" si="2"/>
        <v>1130300</v>
      </c>
      <c r="J137" s="354"/>
      <c r="K137" s="354"/>
    </row>
    <row r="138" spans="1:11" x14ac:dyDescent="0.25">
      <c r="A138" s="128"/>
      <c r="B138" s="132">
        <v>45511</v>
      </c>
      <c r="C138" s="128"/>
      <c r="D138" s="29" t="s">
        <v>893</v>
      </c>
      <c r="E138" s="22" t="s">
        <v>894</v>
      </c>
      <c r="F138" s="109">
        <v>21</v>
      </c>
      <c r="G138" s="141" t="s">
        <v>821</v>
      </c>
      <c r="H138" s="110"/>
      <c r="I138" s="109">
        <f t="shared" si="2"/>
        <v>0</v>
      </c>
      <c r="J138" s="131"/>
      <c r="K138" s="131"/>
    </row>
    <row r="139" spans="1:11" ht="15" customHeight="1" x14ac:dyDescent="0.25">
      <c r="A139" s="128"/>
      <c r="B139" s="166">
        <v>45512</v>
      </c>
      <c r="C139" s="109" t="s">
        <v>836</v>
      </c>
      <c r="D139" s="29" t="s">
        <v>762</v>
      </c>
      <c r="E139" s="30" t="s">
        <v>85</v>
      </c>
      <c r="F139" s="109">
        <f>40*12</f>
        <v>480</v>
      </c>
      <c r="G139" s="144" t="s">
        <v>822</v>
      </c>
      <c r="H139" s="110"/>
      <c r="I139" s="109">
        <f t="shared" si="2"/>
        <v>0</v>
      </c>
      <c r="J139" s="131"/>
      <c r="K139" s="131"/>
    </row>
    <row r="140" spans="1:11" ht="15" customHeight="1" x14ac:dyDescent="0.25">
      <c r="A140" s="242"/>
      <c r="B140" s="166">
        <v>45512</v>
      </c>
      <c r="C140" s="128" t="s">
        <v>853</v>
      </c>
      <c r="D140" s="21" t="s">
        <v>40</v>
      </c>
      <c r="E140" s="23" t="s">
        <v>41</v>
      </c>
      <c r="F140" s="109">
        <v>46</v>
      </c>
      <c r="G140" s="144" t="s">
        <v>822</v>
      </c>
      <c r="H140" s="244"/>
      <c r="I140" s="243"/>
      <c r="J140" s="246"/>
      <c r="K140" s="246"/>
    </row>
    <row r="141" spans="1:11" ht="15" customHeight="1" x14ac:dyDescent="0.25">
      <c r="A141" s="128"/>
      <c r="B141" s="166">
        <v>45512</v>
      </c>
      <c r="C141" s="128" t="s">
        <v>853</v>
      </c>
      <c r="D141" s="21" t="s">
        <v>44</v>
      </c>
      <c r="E141" s="23" t="s">
        <v>45</v>
      </c>
      <c r="F141" s="109">
        <v>48</v>
      </c>
      <c r="G141" s="144" t="s">
        <v>822</v>
      </c>
      <c r="H141" s="110"/>
      <c r="I141" s="109">
        <f t="shared" si="2"/>
        <v>0</v>
      </c>
      <c r="J141" s="131"/>
      <c r="K141" s="131"/>
    </row>
    <row r="142" spans="1:11" ht="15" customHeight="1" x14ac:dyDescent="0.25">
      <c r="A142" s="128"/>
      <c r="B142" s="166">
        <v>45512</v>
      </c>
      <c r="C142" s="109" t="s">
        <v>836</v>
      </c>
      <c r="D142" s="29" t="s">
        <v>762</v>
      </c>
      <c r="E142" s="30" t="s">
        <v>85</v>
      </c>
      <c r="F142" s="109">
        <f>20*12</f>
        <v>240</v>
      </c>
      <c r="G142" s="140" t="s">
        <v>823</v>
      </c>
      <c r="H142" s="116"/>
      <c r="I142" s="109">
        <f t="shared" si="2"/>
        <v>0</v>
      </c>
      <c r="J142" s="133"/>
      <c r="K142" s="133"/>
    </row>
    <row r="143" spans="1:11" ht="15" customHeight="1" x14ac:dyDescent="0.25">
      <c r="A143" s="128"/>
      <c r="B143" s="166">
        <v>45512</v>
      </c>
      <c r="C143" s="109" t="s">
        <v>836</v>
      </c>
      <c r="D143" s="33" t="s">
        <v>760</v>
      </c>
      <c r="E143" s="34" t="s">
        <v>761</v>
      </c>
      <c r="F143" s="109">
        <v>24</v>
      </c>
      <c r="G143" s="140" t="s">
        <v>823</v>
      </c>
      <c r="H143" s="116"/>
      <c r="I143" s="109">
        <f t="shared" si="2"/>
        <v>0</v>
      </c>
      <c r="J143" s="133"/>
      <c r="K143" s="133"/>
    </row>
    <row r="144" spans="1:11" ht="15" customHeight="1" x14ac:dyDescent="0.25">
      <c r="A144" s="128"/>
      <c r="B144" s="166">
        <v>45512</v>
      </c>
      <c r="C144" s="109" t="s">
        <v>836</v>
      </c>
      <c r="D144" s="10" t="s">
        <v>86</v>
      </c>
      <c r="E144" s="9" t="s">
        <v>87</v>
      </c>
      <c r="F144" s="109">
        <v>24</v>
      </c>
      <c r="G144" s="140" t="s">
        <v>823</v>
      </c>
      <c r="H144" s="116"/>
      <c r="I144" s="109">
        <f t="shared" si="2"/>
        <v>0</v>
      </c>
      <c r="J144" s="133"/>
      <c r="K144" s="133"/>
    </row>
    <row r="145" spans="1:11" ht="15" customHeight="1" x14ac:dyDescent="0.25">
      <c r="A145" s="128"/>
      <c r="B145" s="166">
        <v>45512</v>
      </c>
      <c r="C145" s="109" t="s">
        <v>836</v>
      </c>
      <c r="D145" s="21" t="s">
        <v>763</v>
      </c>
      <c r="E145" s="22" t="s">
        <v>83</v>
      </c>
      <c r="F145" s="109">
        <v>12</v>
      </c>
      <c r="G145" s="140" t="s">
        <v>823</v>
      </c>
      <c r="H145" s="116"/>
      <c r="I145" s="109">
        <f t="shared" si="2"/>
        <v>0</v>
      </c>
      <c r="J145" s="133"/>
      <c r="K145" s="133"/>
    </row>
    <row r="146" spans="1:11" ht="15" customHeight="1" x14ac:dyDescent="0.25">
      <c r="A146" s="128"/>
      <c r="B146" s="166">
        <v>45512</v>
      </c>
      <c r="C146" s="109" t="s">
        <v>836</v>
      </c>
      <c r="D146" s="10" t="s">
        <v>24</v>
      </c>
      <c r="E146" s="7" t="s">
        <v>25</v>
      </c>
      <c r="F146" s="109">
        <v>10</v>
      </c>
      <c r="G146" s="140" t="s">
        <v>823</v>
      </c>
      <c r="H146" s="116"/>
      <c r="I146" s="109">
        <f t="shared" si="2"/>
        <v>0</v>
      </c>
      <c r="J146" s="133"/>
      <c r="K146" s="133"/>
    </row>
    <row r="147" spans="1:11" ht="15" customHeight="1" x14ac:dyDescent="0.25">
      <c r="A147" s="128"/>
      <c r="B147" s="166">
        <v>45512</v>
      </c>
      <c r="C147" s="128" t="s">
        <v>836</v>
      </c>
      <c r="D147" s="10" t="s">
        <v>164</v>
      </c>
      <c r="E147" s="9" t="s">
        <v>165</v>
      </c>
      <c r="F147" s="109">
        <v>12</v>
      </c>
      <c r="G147" s="140" t="s">
        <v>823</v>
      </c>
      <c r="H147" s="116"/>
      <c r="I147" s="109">
        <f t="shared" si="2"/>
        <v>0</v>
      </c>
      <c r="J147" s="133"/>
      <c r="K147" s="133"/>
    </row>
    <row r="148" spans="1:11" ht="15" customHeight="1" x14ac:dyDescent="0.25">
      <c r="A148" s="128"/>
      <c r="B148" s="166">
        <v>45512</v>
      </c>
      <c r="C148" s="128" t="s">
        <v>896</v>
      </c>
      <c r="D148" s="21" t="s">
        <v>30</v>
      </c>
      <c r="E148" s="23" t="s">
        <v>31</v>
      </c>
      <c r="F148" s="109">
        <v>24</v>
      </c>
      <c r="G148" s="140" t="s">
        <v>823</v>
      </c>
      <c r="H148" s="116"/>
      <c r="I148" s="109">
        <f t="shared" si="2"/>
        <v>0</v>
      </c>
      <c r="J148" s="133"/>
      <c r="K148" s="133"/>
    </row>
    <row r="149" spans="1:11" ht="15" customHeight="1" x14ac:dyDescent="0.25">
      <c r="A149" s="128"/>
      <c r="B149" s="166">
        <v>45512</v>
      </c>
      <c r="C149" s="128" t="s">
        <v>891</v>
      </c>
      <c r="D149" s="15" t="s">
        <v>202</v>
      </c>
      <c r="E149" s="16" t="s">
        <v>203</v>
      </c>
      <c r="F149" s="109">
        <v>24</v>
      </c>
      <c r="G149" s="140" t="s">
        <v>823</v>
      </c>
      <c r="H149" s="116"/>
      <c r="I149" s="109">
        <f t="shared" si="2"/>
        <v>0</v>
      </c>
      <c r="J149" s="133"/>
      <c r="K149" s="133"/>
    </row>
    <row r="150" spans="1:11" ht="15" customHeight="1" x14ac:dyDescent="0.25">
      <c r="A150" s="128"/>
      <c r="B150" s="166">
        <v>45512</v>
      </c>
      <c r="C150" s="128" t="s">
        <v>853</v>
      </c>
      <c r="D150" s="10" t="s">
        <v>10</v>
      </c>
      <c r="E150" s="7" t="s">
        <v>11</v>
      </c>
      <c r="F150" s="109">
        <v>240</v>
      </c>
      <c r="G150" s="140" t="s">
        <v>823</v>
      </c>
      <c r="H150" s="116"/>
      <c r="I150" s="109">
        <f t="shared" si="2"/>
        <v>0</v>
      </c>
      <c r="J150" s="133"/>
      <c r="K150" s="133"/>
    </row>
    <row r="151" spans="1:11" ht="15" customHeight="1" x14ac:dyDescent="0.25">
      <c r="A151" s="128"/>
      <c r="B151" s="166">
        <v>45512</v>
      </c>
      <c r="C151" s="128" t="s">
        <v>853</v>
      </c>
      <c r="D151" s="10" t="s">
        <v>32</v>
      </c>
      <c r="E151" s="7" t="s">
        <v>33</v>
      </c>
      <c r="F151" s="109">
        <v>96</v>
      </c>
      <c r="G151" s="140" t="s">
        <v>823</v>
      </c>
      <c r="H151" s="116"/>
      <c r="I151" s="109">
        <f t="shared" si="2"/>
        <v>0</v>
      </c>
      <c r="J151" s="133"/>
      <c r="K151" s="133"/>
    </row>
    <row r="152" spans="1:11" ht="15" customHeight="1" x14ac:dyDescent="0.25">
      <c r="A152" s="128"/>
      <c r="B152" s="166">
        <v>45512</v>
      </c>
      <c r="C152" s="128" t="s">
        <v>853</v>
      </c>
      <c r="D152" s="21" t="s">
        <v>40</v>
      </c>
      <c r="E152" s="23" t="s">
        <v>41</v>
      </c>
      <c r="F152" s="109">
        <f>96-46</f>
        <v>50</v>
      </c>
      <c r="G152" s="140" t="s">
        <v>823</v>
      </c>
      <c r="H152" s="116"/>
      <c r="I152" s="109">
        <f t="shared" si="2"/>
        <v>0</v>
      </c>
      <c r="J152" s="133"/>
      <c r="K152" s="133"/>
    </row>
    <row r="153" spans="1:11" ht="15" customHeight="1" x14ac:dyDescent="0.25">
      <c r="A153" s="128"/>
      <c r="B153" s="166">
        <v>45512</v>
      </c>
      <c r="C153" s="128" t="s">
        <v>853</v>
      </c>
      <c r="D153" s="21" t="s">
        <v>44</v>
      </c>
      <c r="E153" s="23" t="s">
        <v>45</v>
      </c>
      <c r="F153" s="109">
        <v>48</v>
      </c>
      <c r="G153" s="140" t="s">
        <v>823</v>
      </c>
      <c r="H153" s="116"/>
      <c r="I153" s="109">
        <f t="shared" si="2"/>
        <v>0</v>
      </c>
      <c r="J153" s="133"/>
      <c r="K153" s="133"/>
    </row>
    <row r="154" spans="1:11" ht="15" customHeight="1" x14ac:dyDescent="0.25">
      <c r="A154" s="128"/>
      <c r="B154" s="166">
        <v>45512</v>
      </c>
      <c r="C154" s="128" t="s">
        <v>853</v>
      </c>
      <c r="D154" s="10" t="s">
        <v>144</v>
      </c>
      <c r="E154" s="9" t="s">
        <v>145</v>
      </c>
      <c r="F154" s="109">
        <v>50</v>
      </c>
      <c r="G154" s="140" t="s">
        <v>823</v>
      </c>
      <c r="H154" s="116"/>
      <c r="I154" s="109">
        <f t="shared" si="2"/>
        <v>0</v>
      </c>
      <c r="J154" s="133"/>
      <c r="K154" s="133"/>
    </row>
    <row r="155" spans="1:11" ht="15" customHeight="1" x14ac:dyDescent="0.25">
      <c r="A155" s="128"/>
      <c r="B155" s="166">
        <v>45512</v>
      </c>
      <c r="C155" s="128" t="s">
        <v>853</v>
      </c>
      <c r="D155" s="10" t="s">
        <v>146</v>
      </c>
      <c r="E155" s="9" t="s">
        <v>147</v>
      </c>
      <c r="F155" s="109">
        <v>50</v>
      </c>
      <c r="G155" s="140" t="s">
        <v>823</v>
      </c>
      <c r="H155" s="116"/>
      <c r="I155" s="109">
        <f t="shared" si="2"/>
        <v>0</v>
      </c>
      <c r="J155" s="133"/>
      <c r="K155" s="133"/>
    </row>
    <row r="156" spans="1:11" ht="15" customHeight="1" x14ac:dyDescent="0.25">
      <c r="A156" s="128"/>
      <c r="B156" s="166">
        <v>45512</v>
      </c>
      <c r="C156" s="128" t="s">
        <v>853</v>
      </c>
      <c r="D156" s="10" t="s">
        <v>148</v>
      </c>
      <c r="E156" s="9" t="s">
        <v>149</v>
      </c>
      <c r="F156" s="109">
        <v>100</v>
      </c>
      <c r="G156" s="140" t="s">
        <v>823</v>
      </c>
      <c r="H156" s="116"/>
      <c r="I156" s="109">
        <f t="shared" si="2"/>
        <v>0</v>
      </c>
      <c r="J156" s="133"/>
      <c r="K156" s="133"/>
    </row>
    <row r="157" spans="1:11" ht="15" customHeight="1" x14ac:dyDescent="0.25">
      <c r="A157" s="128"/>
      <c r="B157" s="166">
        <v>45512</v>
      </c>
      <c r="C157" s="128" t="s">
        <v>853</v>
      </c>
      <c r="D157" s="10" t="s">
        <v>154</v>
      </c>
      <c r="E157" s="9" t="s">
        <v>155</v>
      </c>
      <c r="F157" s="109">
        <v>100</v>
      </c>
      <c r="G157" s="140" t="s">
        <v>823</v>
      </c>
      <c r="H157" s="116"/>
      <c r="I157" s="109">
        <f t="shared" si="2"/>
        <v>0</v>
      </c>
      <c r="J157" s="133"/>
      <c r="K157" s="133"/>
    </row>
    <row r="158" spans="1:11" ht="15" customHeight="1" x14ac:dyDescent="0.25">
      <c r="A158" s="128"/>
      <c r="B158" s="166">
        <v>45512</v>
      </c>
      <c r="C158" s="128" t="s">
        <v>853</v>
      </c>
      <c r="D158" s="10" t="s">
        <v>158</v>
      </c>
      <c r="E158" s="9" t="s">
        <v>159</v>
      </c>
      <c r="F158" s="109">
        <v>100</v>
      </c>
      <c r="G158" s="140" t="s">
        <v>823</v>
      </c>
      <c r="H158" s="116"/>
      <c r="I158" s="109">
        <f t="shared" si="2"/>
        <v>0</v>
      </c>
      <c r="J158" s="133"/>
      <c r="K158" s="133"/>
    </row>
    <row r="159" spans="1:11" ht="15" customHeight="1" x14ac:dyDescent="0.25">
      <c r="A159" s="128"/>
      <c r="B159" s="166">
        <v>45512</v>
      </c>
      <c r="C159" s="128" t="s">
        <v>853</v>
      </c>
      <c r="D159" s="10" t="s">
        <v>150</v>
      </c>
      <c r="E159" s="9" t="s">
        <v>151</v>
      </c>
      <c r="F159" s="109">
        <v>24</v>
      </c>
      <c r="G159" s="140" t="s">
        <v>823</v>
      </c>
      <c r="H159" s="116"/>
      <c r="I159" s="109">
        <f t="shared" si="2"/>
        <v>0</v>
      </c>
      <c r="J159" s="133"/>
      <c r="K159" s="133"/>
    </row>
    <row r="160" spans="1:11" ht="15" customHeight="1" x14ac:dyDescent="0.25">
      <c r="A160" s="128"/>
      <c r="B160" s="166">
        <v>45512</v>
      </c>
      <c r="C160" s="128" t="s">
        <v>853</v>
      </c>
      <c r="D160" s="10" t="s">
        <v>156</v>
      </c>
      <c r="E160" s="9" t="s">
        <v>157</v>
      </c>
      <c r="F160" s="109">
        <v>24</v>
      </c>
      <c r="G160" s="140" t="s">
        <v>823</v>
      </c>
      <c r="H160" s="116"/>
      <c r="I160" s="109">
        <f t="shared" si="2"/>
        <v>0</v>
      </c>
      <c r="J160" s="133"/>
      <c r="K160" s="133"/>
    </row>
    <row r="161" spans="1:11" ht="15" customHeight="1" x14ac:dyDescent="0.25">
      <c r="A161" s="128"/>
      <c r="B161" s="166">
        <v>45512</v>
      </c>
      <c r="C161" s="128" t="s">
        <v>853</v>
      </c>
      <c r="D161" s="10" t="s">
        <v>162</v>
      </c>
      <c r="E161" s="9" t="s">
        <v>163</v>
      </c>
      <c r="F161" s="109">
        <v>24</v>
      </c>
      <c r="G161" s="140" t="s">
        <v>823</v>
      </c>
      <c r="H161" s="116"/>
      <c r="I161" s="109">
        <f t="shared" si="2"/>
        <v>0</v>
      </c>
      <c r="J161" s="133"/>
      <c r="K161" s="133"/>
    </row>
    <row r="162" spans="1:11" ht="15" customHeight="1" x14ac:dyDescent="0.25">
      <c r="A162" s="128"/>
      <c r="B162" s="166">
        <v>45512</v>
      </c>
      <c r="C162" s="128" t="s">
        <v>853</v>
      </c>
      <c r="D162" s="10" t="s">
        <v>160</v>
      </c>
      <c r="E162" s="9" t="s">
        <v>161</v>
      </c>
      <c r="F162" s="109">
        <v>5</v>
      </c>
      <c r="G162" s="140" t="s">
        <v>823</v>
      </c>
      <c r="H162" s="116"/>
      <c r="I162" s="109">
        <f t="shared" si="2"/>
        <v>0</v>
      </c>
      <c r="J162" s="133"/>
      <c r="K162" s="133"/>
    </row>
    <row r="163" spans="1:11" ht="15" customHeight="1" x14ac:dyDescent="0.25">
      <c r="A163" s="128"/>
      <c r="B163" s="166">
        <v>45512</v>
      </c>
      <c r="C163" s="128"/>
      <c r="D163" s="29" t="s">
        <v>762</v>
      </c>
      <c r="E163" s="30" t="s">
        <v>85</v>
      </c>
      <c r="F163" s="109">
        <v>5063</v>
      </c>
      <c r="G163" s="141" t="s">
        <v>820</v>
      </c>
      <c r="H163" s="53">
        <v>35867</v>
      </c>
      <c r="I163" s="109">
        <f t="shared" si="2"/>
        <v>181594621</v>
      </c>
      <c r="J163" s="357">
        <f>SUM(I163:I195)</f>
        <v>247577082</v>
      </c>
      <c r="K163" s="357">
        <v>210369591</v>
      </c>
    </row>
    <row r="164" spans="1:11" ht="15" customHeight="1" x14ac:dyDescent="0.25">
      <c r="A164" s="128"/>
      <c r="B164" s="166">
        <v>45512</v>
      </c>
      <c r="C164" s="128"/>
      <c r="D164" s="21" t="s">
        <v>765</v>
      </c>
      <c r="E164" s="22" t="s">
        <v>75</v>
      </c>
      <c r="F164" s="109">
        <f>43*3+2+5+17*5+12</f>
        <v>233</v>
      </c>
      <c r="G164" s="141" t="s">
        <v>820</v>
      </c>
      <c r="H164" s="53">
        <v>8197</v>
      </c>
      <c r="I164" s="109">
        <f t="shared" si="2"/>
        <v>1909901</v>
      </c>
      <c r="J164" s="353"/>
      <c r="K164" s="353"/>
    </row>
    <row r="165" spans="1:11" ht="15" customHeight="1" x14ac:dyDescent="0.25">
      <c r="A165" s="128"/>
      <c r="B165" s="166">
        <v>45512</v>
      </c>
      <c r="C165" s="128"/>
      <c r="D165" s="10" t="s">
        <v>124</v>
      </c>
      <c r="E165" s="9" t="s">
        <v>125</v>
      </c>
      <c r="F165" s="109">
        <f>91*6+12+12*6+40+17*4+1+4+9*13+10</f>
        <v>870</v>
      </c>
      <c r="G165" s="141" t="s">
        <v>820</v>
      </c>
      <c r="H165" s="53">
        <v>6350</v>
      </c>
      <c r="I165" s="109">
        <f t="shared" si="2"/>
        <v>5524500</v>
      </c>
      <c r="J165" s="353"/>
      <c r="K165" s="353"/>
    </row>
    <row r="166" spans="1:11" ht="15" customHeight="1" x14ac:dyDescent="0.25">
      <c r="A166" s="128"/>
      <c r="B166" s="166">
        <v>45512</v>
      </c>
      <c r="C166" s="128"/>
      <c r="D166" s="21" t="s">
        <v>126</v>
      </c>
      <c r="E166" s="22" t="s">
        <v>127</v>
      </c>
      <c r="F166" s="109">
        <v>323</v>
      </c>
      <c r="G166" s="141" t="s">
        <v>820</v>
      </c>
      <c r="H166" s="53">
        <v>6350</v>
      </c>
      <c r="I166" s="109">
        <f t="shared" si="2"/>
        <v>2051050</v>
      </c>
      <c r="J166" s="353"/>
      <c r="K166" s="353"/>
    </row>
    <row r="167" spans="1:11" ht="15" customHeight="1" x14ac:dyDescent="0.25">
      <c r="A167" s="128"/>
      <c r="B167" s="166">
        <v>45512</v>
      </c>
      <c r="C167" s="128"/>
      <c r="D167" s="10" t="s">
        <v>164</v>
      </c>
      <c r="E167" s="9" t="s">
        <v>165</v>
      </c>
      <c r="F167" s="109">
        <f>18+88</f>
        <v>106</v>
      </c>
      <c r="G167" s="141" t="s">
        <v>820</v>
      </c>
      <c r="H167" s="53">
        <v>39722</v>
      </c>
      <c r="I167" s="109">
        <f t="shared" si="2"/>
        <v>4210532</v>
      </c>
      <c r="J167" s="353"/>
      <c r="K167" s="353"/>
    </row>
    <row r="168" spans="1:11" ht="15" customHeight="1" x14ac:dyDescent="0.25">
      <c r="A168" s="128"/>
      <c r="B168" s="166">
        <v>45512</v>
      </c>
      <c r="C168" s="128"/>
      <c r="D168" s="21" t="s">
        <v>763</v>
      </c>
      <c r="E168" s="22" t="s">
        <v>83</v>
      </c>
      <c r="F168" s="109">
        <v>288</v>
      </c>
      <c r="G168" s="141" t="s">
        <v>820</v>
      </c>
      <c r="H168" s="53">
        <v>8197</v>
      </c>
      <c r="I168" s="109">
        <f t="shared" si="2"/>
        <v>2360736</v>
      </c>
      <c r="J168" s="353"/>
      <c r="K168" s="353"/>
    </row>
    <row r="169" spans="1:11" ht="15" customHeight="1" x14ac:dyDescent="0.25">
      <c r="A169" s="128"/>
      <c r="B169" s="166">
        <v>45512</v>
      </c>
      <c r="C169" s="128"/>
      <c r="D169" s="10" t="s">
        <v>166</v>
      </c>
      <c r="E169" s="9" t="s">
        <v>167</v>
      </c>
      <c r="F169" s="109">
        <v>4</v>
      </c>
      <c r="G169" s="141" t="s">
        <v>820</v>
      </c>
      <c r="H169" s="53">
        <v>8197</v>
      </c>
      <c r="I169" s="109">
        <f t="shared" si="2"/>
        <v>32788</v>
      </c>
      <c r="J169" s="353"/>
      <c r="K169" s="353"/>
    </row>
    <row r="170" spans="1:11" ht="15" customHeight="1" x14ac:dyDescent="0.25">
      <c r="A170" s="128"/>
      <c r="B170" s="166">
        <v>45512</v>
      </c>
      <c r="C170" s="128"/>
      <c r="D170" s="10" t="s">
        <v>172</v>
      </c>
      <c r="E170" s="9" t="s">
        <v>173</v>
      </c>
      <c r="F170" s="109">
        <f>91*2+70*2+40+60+35+25</f>
        <v>482</v>
      </c>
      <c r="G170" s="141" t="s">
        <v>820</v>
      </c>
      <c r="H170" s="53">
        <v>43924</v>
      </c>
      <c r="I170" s="109">
        <f t="shared" si="2"/>
        <v>21171368</v>
      </c>
      <c r="J170" s="353"/>
      <c r="K170" s="353"/>
    </row>
    <row r="171" spans="1:11" ht="15" customHeight="1" x14ac:dyDescent="0.25">
      <c r="A171" s="128"/>
      <c r="B171" s="166">
        <v>45512</v>
      </c>
      <c r="C171" s="128"/>
      <c r="D171" s="10" t="s">
        <v>86</v>
      </c>
      <c r="E171" s="9" t="s">
        <v>87</v>
      </c>
      <c r="F171" s="109">
        <f>70*3</f>
        <v>210</v>
      </c>
      <c r="G171" s="141" t="s">
        <v>820</v>
      </c>
      <c r="H171" s="53">
        <v>27508</v>
      </c>
      <c r="I171" s="109">
        <f t="shared" si="2"/>
        <v>5776680</v>
      </c>
      <c r="J171" s="353"/>
      <c r="K171" s="353"/>
    </row>
    <row r="172" spans="1:11" ht="15" customHeight="1" x14ac:dyDescent="0.25">
      <c r="A172" s="128"/>
      <c r="B172" s="166">
        <v>45512</v>
      </c>
      <c r="C172" s="128"/>
      <c r="D172" s="10" t="s">
        <v>772</v>
      </c>
      <c r="E172" s="22" t="s">
        <v>773</v>
      </c>
      <c r="F172" s="109">
        <v>24</v>
      </c>
      <c r="G172" s="141" t="s">
        <v>820</v>
      </c>
      <c r="H172" s="53">
        <v>27508</v>
      </c>
      <c r="I172" s="109">
        <f t="shared" si="2"/>
        <v>660192</v>
      </c>
      <c r="J172" s="353"/>
      <c r="K172" s="353"/>
    </row>
    <row r="173" spans="1:11" ht="15" customHeight="1" x14ac:dyDescent="0.25">
      <c r="A173" s="128"/>
      <c r="B173" s="166">
        <v>45512</v>
      </c>
      <c r="C173" s="128"/>
      <c r="D173" s="10" t="s">
        <v>122</v>
      </c>
      <c r="E173" s="9" t="s">
        <v>123</v>
      </c>
      <c r="F173" s="109">
        <v>90</v>
      </c>
      <c r="G173" s="141" t="s">
        <v>820</v>
      </c>
      <c r="H173" s="53">
        <v>7538</v>
      </c>
      <c r="I173" s="109">
        <f t="shared" si="2"/>
        <v>678420</v>
      </c>
      <c r="J173" s="353"/>
      <c r="K173" s="353"/>
    </row>
    <row r="174" spans="1:11" ht="15" customHeight="1" x14ac:dyDescent="0.25">
      <c r="A174" s="128"/>
      <c r="B174" s="166">
        <v>45512</v>
      </c>
      <c r="C174" s="128"/>
      <c r="D174" s="10" t="s">
        <v>80</v>
      </c>
      <c r="E174" s="9" t="s">
        <v>81</v>
      </c>
      <c r="F174" s="109">
        <f>66+50+36+3+6*13</f>
        <v>233</v>
      </c>
      <c r="G174" s="141" t="s">
        <v>820</v>
      </c>
      <c r="H174" s="53">
        <v>10973</v>
      </c>
      <c r="I174" s="109">
        <f t="shared" si="2"/>
        <v>2556709</v>
      </c>
      <c r="J174" s="353"/>
      <c r="K174" s="353"/>
    </row>
    <row r="175" spans="1:11" ht="15" customHeight="1" x14ac:dyDescent="0.25">
      <c r="A175" s="128"/>
      <c r="B175" s="166">
        <v>45512</v>
      </c>
      <c r="C175" s="128"/>
      <c r="D175" s="10" t="s">
        <v>140</v>
      </c>
      <c r="E175" s="9" t="s">
        <v>141</v>
      </c>
      <c r="F175" s="109">
        <v>144</v>
      </c>
      <c r="G175" s="141" t="s">
        <v>820</v>
      </c>
      <c r="H175" s="53">
        <v>7538</v>
      </c>
      <c r="I175" s="109">
        <f t="shared" si="2"/>
        <v>1085472</v>
      </c>
      <c r="J175" s="353"/>
      <c r="K175" s="353"/>
    </row>
    <row r="176" spans="1:11" ht="15" customHeight="1" x14ac:dyDescent="0.25">
      <c r="A176" s="128"/>
      <c r="B176" s="166">
        <v>45512</v>
      </c>
      <c r="C176" s="128"/>
      <c r="D176" s="10" t="s">
        <v>52</v>
      </c>
      <c r="E176" s="7" t="s">
        <v>53</v>
      </c>
      <c r="F176" s="109">
        <f>22*6+12*6</f>
        <v>204</v>
      </c>
      <c r="G176" s="141" t="s">
        <v>820</v>
      </c>
      <c r="H176" s="53">
        <v>5940</v>
      </c>
      <c r="I176" s="109">
        <f t="shared" si="2"/>
        <v>1211760</v>
      </c>
      <c r="J176" s="353"/>
      <c r="K176" s="353"/>
    </row>
    <row r="177" spans="1:11" ht="15" customHeight="1" x14ac:dyDescent="0.25">
      <c r="A177" s="128"/>
      <c r="B177" s="166">
        <v>45512</v>
      </c>
      <c r="C177" s="128"/>
      <c r="D177" s="15" t="s">
        <v>194</v>
      </c>
      <c r="E177" s="16" t="s">
        <v>195</v>
      </c>
      <c r="F177" s="109">
        <v>37</v>
      </c>
      <c r="G177" s="141" t="s">
        <v>820</v>
      </c>
      <c r="H177" s="53">
        <v>6912</v>
      </c>
      <c r="I177" s="109">
        <f t="shared" si="2"/>
        <v>255744</v>
      </c>
      <c r="J177" s="353"/>
      <c r="K177" s="353"/>
    </row>
    <row r="178" spans="1:11" ht="15" customHeight="1" x14ac:dyDescent="0.25">
      <c r="A178" s="128"/>
      <c r="B178" s="166">
        <v>45512</v>
      </c>
      <c r="C178" s="128"/>
      <c r="D178" s="15" t="s">
        <v>215</v>
      </c>
      <c r="E178" s="17" t="s">
        <v>216</v>
      </c>
      <c r="F178" s="109">
        <v>16</v>
      </c>
      <c r="G178" s="141" t="s">
        <v>820</v>
      </c>
      <c r="H178" s="53">
        <v>6912</v>
      </c>
      <c r="I178" s="109">
        <f t="shared" si="2"/>
        <v>110592</v>
      </c>
      <c r="J178" s="353"/>
      <c r="K178" s="353"/>
    </row>
    <row r="179" spans="1:11" ht="15" customHeight="1" x14ac:dyDescent="0.25">
      <c r="A179" s="128"/>
      <c r="B179" s="166">
        <v>45512</v>
      </c>
      <c r="C179" s="128"/>
      <c r="D179" s="15" t="s">
        <v>217</v>
      </c>
      <c r="E179" s="17" t="s">
        <v>218</v>
      </c>
      <c r="F179" s="109">
        <v>12</v>
      </c>
      <c r="G179" s="141" t="s">
        <v>820</v>
      </c>
      <c r="H179" s="53">
        <v>6912</v>
      </c>
      <c r="I179" s="109">
        <f t="shared" ref="I179:I238" si="3">H179*F179</f>
        <v>82944</v>
      </c>
      <c r="J179" s="353"/>
      <c r="K179" s="353"/>
    </row>
    <row r="180" spans="1:11" ht="15" customHeight="1" x14ac:dyDescent="0.25">
      <c r="A180" s="128"/>
      <c r="B180" s="166">
        <v>45512</v>
      </c>
      <c r="C180" s="128"/>
      <c r="D180" s="21" t="s">
        <v>766</v>
      </c>
      <c r="E180" s="22" t="s">
        <v>77</v>
      </c>
      <c r="F180" s="109">
        <v>16</v>
      </c>
      <c r="G180" s="141" t="s">
        <v>820</v>
      </c>
      <c r="H180" s="53">
        <v>5184</v>
      </c>
      <c r="I180" s="109">
        <f t="shared" si="3"/>
        <v>82944</v>
      </c>
      <c r="J180" s="353"/>
      <c r="K180" s="353"/>
    </row>
    <row r="181" spans="1:11" ht="15" customHeight="1" x14ac:dyDescent="0.25">
      <c r="A181" s="128"/>
      <c r="B181" s="166">
        <v>45512</v>
      </c>
      <c r="C181" s="128"/>
      <c r="D181" s="21" t="s">
        <v>768</v>
      </c>
      <c r="E181" s="23" t="s">
        <v>67</v>
      </c>
      <c r="F181" s="109">
        <v>9</v>
      </c>
      <c r="G181" s="141" t="s">
        <v>820</v>
      </c>
      <c r="H181" s="53">
        <v>35867</v>
      </c>
      <c r="I181" s="109">
        <f t="shared" si="3"/>
        <v>322803</v>
      </c>
      <c r="J181" s="353"/>
      <c r="K181" s="353"/>
    </row>
    <row r="182" spans="1:11" ht="15" customHeight="1" x14ac:dyDescent="0.25">
      <c r="A182" s="128"/>
      <c r="B182" s="166">
        <v>45512</v>
      </c>
      <c r="C182" s="128"/>
      <c r="D182" s="21" t="s">
        <v>801</v>
      </c>
      <c r="E182" s="22" t="s">
        <v>73</v>
      </c>
      <c r="F182" s="109">
        <v>8</v>
      </c>
      <c r="G182" s="141" t="s">
        <v>820</v>
      </c>
      <c r="H182" s="53">
        <v>35867</v>
      </c>
      <c r="I182" s="109">
        <f t="shared" si="3"/>
        <v>286936</v>
      </c>
      <c r="J182" s="353"/>
      <c r="K182" s="353"/>
    </row>
    <row r="183" spans="1:11" ht="15" customHeight="1" x14ac:dyDescent="0.25">
      <c r="A183" s="128"/>
      <c r="B183" s="166">
        <v>45512</v>
      </c>
      <c r="C183" s="128"/>
      <c r="D183" s="57" t="s">
        <v>808</v>
      </c>
      <c r="E183" s="58" t="s">
        <v>809</v>
      </c>
      <c r="F183" s="109">
        <v>48</v>
      </c>
      <c r="G183" s="141" t="s">
        <v>820</v>
      </c>
      <c r="H183" s="68">
        <v>9698</v>
      </c>
      <c r="I183" s="109">
        <f t="shared" si="3"/>
        <v>465504</v>
      </c>
      <c r="J183" s="353"/>
      <c r="K183" s="353"/>
    </row>
    <row r="184" spans="1:11" x14ac:dyDescent="0.25">
      <c r="A184" s="128"/>
      <c r="B184" s="166">
        <v>45512</v>
      </c>
      <c r="C184" s="128"/>
      <c r="D184" s="10" t="s">
        <v>156</v>
      </c>
      <c r="E184" s="9" t="s">
        <v>157</v>
      </c>
      <c r="F184" s="109">
        <v>5</v>
      </c>
      <c r="G184" s="141" t="s">
        <v>820</v>
      </c>
      <c r="H184" s="53">
        <v>8975</v>
      </c>
      <c r="I184" s="109">
        <f t="shared" si="3"/>
        <v>44875</v>
      </c>
      <c r="J184" s="353"/>
      <c r="K184" s="353"/>
    </row>
    <row r="185" spans="1:11" x14ac:dyDescent="0.25">
      <c r="A185" s="128"/>
      <c r="B185" s="166">
        <v>45512</v>
      </c>
      <c r="C185" s="128"/>
      <c r="D185" s="10" t="s">
        <v>162</v>
      </c>
      <c r="E185" s="9" t="s">
        <v>163</v>
      </c>
      <c r="F185" s="109">
        <v>19</v>
      </c>
      <c r="G185" s="141" t="s">
        <v>820</v>
      </c>
      <c r="H185" s="53">
        <v>8975</v>
      </c>
      <c r="I185" s="109">
        <f t="shared" si="3"/>
        <v>170525</v>
      </c>
      <c r="J185" s="353"/>
      <c r="K185" s="353"/>
    </row>
    <row r="186" spans="1:11" x14ac:dyDescent="0.25">
      <c r="A186" s="128"/>
      <c r="B186" s="166">
        <v>45512</v>
      </c>
      <c r="C186" s="128"/>
      <c r="D186" s="94" t="s">
        <v>818</v>
      </c>
      <c r="E186" s="22" t="s">
        <v>819</v>
      </c>
      <c r="F186" s="109">
        <f>3+3</f>
        <v>6</v>
      </c>
      <c r="G186" s="141" t="s">
        <v>821</v>
      </c>
      <c r="H186" s="110"/>
      <c r="I186" s="109">
        <f t="shared" si="3"/>
        <v>0</v>
      </c>
      <c r="J186" s="353"/>
      <c r="K186" s="353"/>
    </row>
    <row r="187" spans="1:11" x14ac:dyDescent="0.25">
      <c r="A187" s="128"/>
      <c r="B187" s="166">
        <v>45512</v>
      </c>
      <c r="C187" s="128"/>
      <c r="D187" s="10" t="s">
        <v>162</v>
      </c>
      <c r="E187" s="9" t="s">
        <v>163</v>
      </c>
      <c r="F187" s="109">
        <v>3</v>
      </c>
      <c r="G187" s="141" t="s">
        <v>821</v>
      </c>
      <c r="H187" s="110"/>
      <c r="I187" s="109">
        <f t="shared" si="3"/>
        <v>0</v>
      </c>
      <c r="J187" s="353"/>
      <c r="K187" s="353"/>
    </row>
    <row r="188" spans="1:11" x14ac:dyDescent="0.25">
      <c r="A188" s="128"/>
      <c r="B188" s="166">
        <v>45512</v>
      </c>
      <c r="C188" s="128"/>
      <c r="D188" s="29" t="s">
        <v>528</v>
      </c>
      <c r="E188" s="9" t="s">
        <v>529</v>
      </c>
      <c r="F188" s="109">
        <v>5</v>
      </c>
      <c r="G188" s="141" t="s">
        <v>820</v>
      </c>
      <c r="H188" s="53">
        <v>26114</v>
      </c>
      <c r="I188" s="109">
        <f t="shared" si="3"/>
        <v>130570</v>
      </c>
      <c r="J188" s="353"/>
      <c r="K188" s="353"/>
    </row>
    <row r="189" spans="1:11" x14ac:dyDescent="0.25">
      <c r="A189" s="128"/>
      <c r="B189" s="166">
        <v>45512</v>
      </c>
      <c r="C189" s="128"/>
      <c r="D189" s="10" t="s">
        <v>168</v>
      </c>
      <c r="E189" s="9" t="s">
        <v>169</v>
      </c>
      <c r="F189" s="109">
        <v>4</v>
      </c>
      <c r="G189" s="141" t="s">
        <v>820</v>
      </c>
      <c r="H189" s="53">
        <v>53784</v>
      </c>
      <c r="I189" s="109">
        <f t="shared" si="3"/>
        <v>215136</v>
      </c>
      <c r="J189" s="353"/>
      <c r="K189" s="353"/>
    </row>
    <row r="190" spans="1:11" x14ac:dyDescent="0.25">
      <c r="A190" s="128"/>
      <c r="B190" s="166">
        <v>45512</v>
      </c>
      <c r="C190" s="128"/>
      <c r="D190" s="10" t="s">
        <v>800</v>
      </c>
      <c r="E190" s="9" t="s">
        <v>799</v>
      </c>
      <c r="F190" s="109">
        <v>36</v>
      </c>
      <c r="G190" s="141" t="s">
        <v>820</v>
      </c>
      <c r="H190" s="53">
        <v>7193</v>
      </c>
      <c r="I190" s="109">
        <f t="shared" si="3"/>
        <v>258948</v>
      </c>
      <c r="J190" s="353"/>
      <c r="K190" s="353"/>
    </row>
    <row r="191" spans="1:11" ht="15" customHeight="1" x14ac:dyDescent="0.25">
      <c r="A191" s="128"/>
      <c r="B191" s="166">
        <v>45512</v>
      </c>
      <c r="C191" s="128"/>
      <c r="D191" s="10" t="s">
        <v>104</v>
      </c>
      <c r="E191" s="9" t="s">
        <v>105</v>
      </c>
      <c r="F191" s="109">
        <v>40</v>
      </c>
      <c r="G191" s="141" t="s">
        <v>820</v>
      </c>
      <c r="H191" s="53">
        <v>7193</v>
      </c>
      <c r="I191" s="109">
        <f t="shared" si="3"/>
        <v>287720</v>
      </c>
      <c r="J191" s="353"/>
      <c r="K191" s="353"/>
    </row>
    <row r="192" spans="1:11" ht="15" customHeight="1" x14ac:dyDescent="0.25">
      <c r="A192" s="128"/>
      <c r="B192" s="166">
        <v>45512</v>
      </c>
      <c r="C192" s="128"/>
      <c r="D192" s="10" t="s">
        <v>104</v>
      </c>
      <c r="E192" s="9" t="s">
        <v>105</v>
      </c>
      <c r="F192" s="109">
        <f>40/8</f>
        <v>5</v>
      </c>
      <c r="G192" s="141" t="s">
        <v>821</v>
      </c>
      <c r="H192" s="110"/>
      <c r="I192" s="109">
        <f t="shared" si="3"/>
        <v>0</v>
      </c>
      <c r="J192" s="353"/>
      <c r="K192" s="353"/>
    </row>
    <row r="193" spans="1:11" ht="15" customHeight="1" x14ac:dyDescent="0.25">
      <c r="A193" s="128"/>
      <c r="B193" s="166">
        <v>45512</v>
      </c>
      <c r="C193" s="128"/>
      <c r="D193" s="15" t="s">
        <v>238</v>
      </c>
      <c r="E193" s="31" t="s">
        <v>239</v>
      </c>
      <c r="F193" s="109">
        <v>13</v>
      </c>
      <c r="G193" s="141" t="s">
        <v>820</v>
      </c>
      <c r="H193" s="53">
        <v>91221</v>
      </c>
      <c r="I193" s="109">
        <f t="shared" si="3"/>
        <v>1185873</v>
      </c>
      <c r="J193" s="353"/>
      <c r="K193" s="353"/>
    </row>
    <row r="194" spans="1:11" ht="15" customHeight="1" x14ac:dyDescent="0.25">
      <c r="A194" s="128"/>
      <c r="B194" s="166">
        <v>45512</v>
      </c>
      <c r="C194" s="128"/>
      <c r="D194" s="10" t="s">
        <v>132</v>
      </c>
      <c r="E194" s="9" t="s">
        <v>133</v>
      </c>
      <c r="F194" s="109">
        <f>1391+22</f>
        <v>1413</v>
      </c>
      <c r="G194" s="141" t="s">
        <v>820</v>
      </c>
      <c r="H194" s="53">
        <v>7603</v>
      </c>
      <c r="I194" s="109">
        <f t="shared" si="3"/>
        <v>10743039</v>
      </c>
      <c r="J194" s="353"/>
      <c r="K194" s="353"/>
    </row>
    <row r="195" spans="1:11" ht="15" customHeight="1" x14ac:dyDescent="0.25">
      <c r="A195" s="128"/>
      <c r="B195" s="166">
        <v>45512</v>
      </c>
      <c r="C195" s="128"/>
      <c r="D195" s="21" t="s">
        <v>142</v>
      </c>
      <c r="E195" s="22" t="s">
        <v>143</v>
      </c>
      <c r="F195" s="109">
        <v>332</v>
      </c>
      <c r="G195" s="141" t="s">
        <v>820</v>
      </c>
      <c r="H195" s="53">
        <v>6350</v>
      </c>
      <c r="I195" s="109">
        <f t="shared" si="3"/>
        <v>2108200</v>
      </c>
      <c r="J195" s="354"/>
      <c r="K195" s="354"/>
    </row>
    <row r="196" spans="1:11" ht="15" customHeight="1" x14ac:dyDescent="0.25">
      <c r="A196" s="128"/>
      <c r="B196" s="132">
        <v>45513</v>
      </c>
      <c r="C196" s="109" t="s">
        <v>827</v>
      </c>
      <c r="D196" s="21" t="s">
        <v>142</v>
      </c>
      <c r="E196" s="22" t="s">
        <v>143</v>
      </c>
      <c r="F196" s="109">
        <f>8*48</f>
        <v>384</v>
      </c>
      <c r="G196" s="144" t="s">
        <v>822</v>
      </c>
      <c r="H196" s="116"/>
      <c r="I196" s="109">
        <f t="shared" si="3"/>
        <v>0</v>
      </c>
      <c r="J196" s="133"/>
      <c r="K196" s="133"/>
    </row>
    <row r="197" spans="1:11" ht="15" customHeight="1" x14ac:dyDescent="0.25">
      <c r="A197" s="128"/>
      <c r="B197" s="132">
        <v>45513</v>
      </c>
      <c r="C197" s="109" t="s">
        <v>775</v>
      </c>
      <c r="D197" s="29" t="s">
        <v>762</v>
      </c>
      <c r="E197" s="30" t="s">
        <v>85</v>
      </c>
      <c r="F197" s="109">
        <f>24+240</f>
        <v>264</v>
      </c>
      <c r="G197" s="140" t="s">
        <v>823</v>
      </c>
      <c r="H197" s="116"/>
      <c r="I197" s="109">
        <f t="shared" si="3"/>
        <v>0</v>
      </c>
      <c r="J197" s="133"/>
      <c r="K197" s="133"/>
    </row>
    <row r="198" spans="1:11" ht="15" customHeight="1" x14ac:dyDescent="0.25">
      <c r="A198" s="128"/>
      <c r="B198" s="132">
        <v>45513</v>
      </c>
      <c r="C198" s="109" t="s">
        <v>836</v>
      </c>
      <c r="D198" s="21" t="s">
        <v>126</v>
      </c>
      <c r="E198" s="22" t="s">
        <v>127</v>
      </c>
      <c r="F198" s="109">
        <f>144+336</f>
        <v>480</v>
      </c>
      <c r="G198" s="140" t="s">
        <v>823</v>
      </c>
      <c r="H198" s="116"/>
      <c r="I198" s="109">
        <f t="shared" si="3"/>
        <v>0</v>
      </c>
      <c r="J198" s="133"/>
      <c r="K198" s="133"/>
    </row>
    <row r="199" spans="1:11" ht="15" customHeight="1" x14ac:dyDescent="0.25">
      <c r="A199" s="128"/>
      <c r="B199" s="132">
        <v>45513</v>
      </c>
      <c r="C199" s="109" t="s">
        <v>836</v>
      </c>
      <c r="D199" s="10" t="s">
        <v>56</v>
      </c>
      <c r="E199" s="7" t="s">
        <v>57</v>
      </c>
      <c r="F199" s="109">
        <v>12</v>
      </c>
      <c r="G199" s="140" t="s">
        <v>823</v>
      </c>
      <c r="H199" s="116"/>
      <c r="I199" s="109">
        <f t="shared" si="3"/>
        <v>0</v>
      </c>
      <c r="J199" s="133"/>
      <c r="K199" s="133"/>
    </row>
    <row r="200" spans="1:11" ht="15" customHeight="1" x14ac:dyDescent="0.25">
      <c r="A200" s="128"/>
      <c r="B200" s="132">
        <v>45513</v>
      </c>
      <c r="C200" s="109" t="s">
        <v>836</v>
      </c>
      <c r="D200" s="15" t="s">
        <v>238</v>
      </c>
      <c r="E200" s="45" t="s">
        <v>239</v>
      </c>
      <c r="F200" s="109">
        <v>6</v>
      </c>
      <c r="G200" s="140" t="s">
        <v>823</v>
      </c>
      <c r="H200" s="116"/>
      <c r="I200" s="109">
        <f t="shared" si="3"/>
        <v>0</v>
      </c>
      <c r="J200" s="133"/>
      <c r="K200" s="133"/>
    </row>
    <row r="201" spans="1:11" ht="15" customHeight="1" x14ac:dyDescent="0.25">
      <c r="A201" s="128"/>
      <c r="B201" s="132">
        <v>45513</v>
      </c>
      <c r="C201" s="109" t="s">
        <v>836</v>
      </c>
      <c r="D201" s="21" t="s">
        <v>764</v>
      </c>
      <c r="E201" s="23" t="s">
        <v>69</v>
      </c>
      <c r="F201" s="109">
        <v>144</v>
      </c>
      <c r="G201" s="140" t="s">
        <v>823</v>
      </c>
      <c r="H201" s="116"/>
      <c r="I201" s="109">
        <f t="shared" si="3"/>
        <v>0</v>
      </c>
      <c r="J201" s="133"/>
      <c r="K201" s="133"/>
    </row>
    <row r="202" spans="1:11" ht="15" customHeight="1" x14ac:dyDescent="0.25">
      <c r="A202" s="128"/>
      <c r="B202" s="132">
        <v>45513</v>
      </c>
      <c r="C202" s="109" t="s">
        <v>836</v>
      </c>
      <c r="D202" s="10" t="s">
        <v>86</v>
      </c>
      <c r="E202" s="9" t="s">
        <v>87</v>
      </c>
      <c r="F202" s="109">
        <v>46</v>
      </c>
      <c r="G202" s="140" t="s">
        <v>823</v>
      </c>
      <c r="H202" s="116"/>
      <c r="I202" s="109">
        <f t="shared" si="3"/>
        <v>0</v>
      </c>
      <c r="J202" s="133"/>
      <c r="K202" s="133"/>
    </row>
    <row r="203" spans="1:11" ht="15" customHeight="1" x14ac:dyDescent="0.25">
      <c r="A203" s="128"/>
      <c r="B203" s="132">
        <v>45513</v>
      </c>
      <c r="C203" s="109" t="s">
        <v>898</v>
      </c>
      <c r="D203" s="21" t="s">
        <v>142</v>
      </c>
      <c r="E203" s="22" t="s">
        <v>143</v>
      </c>
      <c r="F203" s="109">
        <f>48+12*48</f>
        <v>624</v>
      </c>
      <c r="G203" s="140" t="s">
        <v>823</v>
      </c>
      <c r="H203" s="116"/>
      <c r="I203" s="109">
        <f t="shared" si="3"/>
        <v>0</v>
      </c>
      <c r="J203" s="133"/>
      <c r="K203" s="133"/>
    </row>
    <row r="204" spans="1:11" ht="15" customHeight="1" x14ac:dyDescent="0.25">
      <c r="A204" s="128"/>
      <c r="B204" s="132">
        <v>45513</v>
      </c>
      <c r="C204" s="109" t="s">
        <v>836</v>
      </c>
      <c r="D204" s="69" t="s">
        <v>811</v>
      </c>
      <c r="E204" s="16" t="s">
        <v>810</v>
      </c>
      <c r="F204" s="109">
        <v>12</v>
      </c>
      <c r="G204" s="140" t="s">
        <v>823</v>
      </c>
      <c r="H204" s="116"/>
      <c r="I204" s="109">
        <f t="shared" si="3"/>
        <v>0</v>
      </c>
      <c r="J204" s="133"/>
      <c r="K204" s="133"/>
    </row>
    <row r="205" spans="1:11" ht="15" customHeight="1" x14ac:dyDescent="0.25">
      <c r="A205" s="128"/>
      <c r="B205" s="132">
        <v>45513</v>
      </c>
      <c r="C205" s="109" t="s">
        <v>836</v>
      </c>
      <c r="D205" s="21" t="s">
        <v>44</v>
      </c>
      <c r="E205" s="23" t="s">
        <v>45</v>
      </c>
      <c r="F205" s="109">
        <v>5</v>
      </c>
      <c r="G205" s="140" t="s">
        <v>823</v>
      </c>
      <c r="H205" s="116"/>
      <c r="I205" s="109">
        <f t="shared" si="3"/>
        <v>0</v>
      </c>
      <c r="J205" s="133"/>
      <c r="K205" s="133"/>
    </row>
    <row r="206" spans="1:11" ht="15" customHeight="1" x14ac:dyDescent="0.25">
      <c r="A206" s="128"/>
      <c r="B206" s="252">
        <v>45514</v>
      </c>
      <c r="C206" s="109" t="s">
        <v>782</v>
      </c>
      <c r="D206" s="29" t="s">
        <v>762</v>
      </c>
      <c r="E206" s="30" t="s">
        <v>85</v>
      </c>
      <c r="F206" s="110">
        <v>60</v>
      </c>
      <c r="G206" s="144" t="s">
        <v>822</v>
      </c>
      <c r="H206" s="110"/>
      <c r="I206" s="109">
        <f>H206*F206</f>
        <v>0</v>
      </c>
      <c r="J206" s="131"/>
      <c r="K206" s="131"/>
    </row>
    <row r="207" spans="1:11" ht="15" customHeight="1" x14ac:dyDescent="0.25">
      <c r="A207" s="128"/>
      <c r="B207" s="252">
        <v>45514</v>
      </c>
      <c r="C207" s="128"/>
      <c r="D207" s="21" t="s">
        <v>142</v>
      </c>
      <c r="E207" s="22" t="s">
        <v>143</v>
      </c>
      <c r="F207" s="110">
        <f>28*48</f>
        <v>1344</v>
      </c>
      <c r="G207" s="140" t="s">
        <v>823</v>
      </c>
      <c r="H207" s="110"/>
      <c r="I207" s="109">
        <f t="shared" si="3"/>
        <v>0</v>
      </c>
      <c r="J207" s="131"/>
      <c r="K207" s="131"/>
    </row>
    <row r="208" spans="1:11" ht="15" customHeight="1" x14ac:dyDescent="0.25">
      <c r="A208" s="128"/>
      <c r="B208" s="252">
        <v>45514</v>
      </c>
      <c r="C208" s="128"/>
      <c r="D208" s="10" t="s">
        <v>132</v>
      </c>
      <c r="E208" s="9" t="s">
        <v>133</v>
      </c>
      <c r="F208" s="110">
        <f>25*48</f>
        <v>1200</v>
      </c>
      <c r="G208" s="140" t="s">
        <v>823</v>
      </c>
      <c r="H208" s="110"/>
      <c r="I208" s="109">
        <f t="shared" si="3"/>
        <v>0</v>
      </c>
      <c r="J208" s="131"/>
      <c r="K208" s="131"/>
    </row>
    <row r="209" spans="1:11" ht="15" customHeight="1" x14ac:dyDescent="0.25">
      <c r="A209" s="128"/>
      <c r="B209" s="252">
        <v>45514</v>
      </c>
      <c r="C209" s="128"/>
      <c r="D209" s="21" t="s">
        <v>126</v>
      </c>
      <c r="E209" s="22" t="s">
        <v>127</v>
      </c>
      <c r="F209" s="110">
        <v>144</v>
      </c>
      <c r="G209" s="140" t="s">
        <v>823</v>
      </c>
      <c r="H209" s="110"/>
      <c r="I209" s="109">
        <f t="shared" si="3"/>
        <v>0</v>
      </c>
      <c r="J209" s="131"/>
      <c r="K209" s="131"/>
    </row>
    <row r="210" spans="1:11" ht="15" customHeight="1" x14ac:dyDescent="0.25">
      <c r="A210" s="128"/>
      <c r="B210" s="252">
        <v>45514</v>
      </c>
      <c r="C210" s="128"/>
      <c r="D210" s="29" t="s">
        <v>762</v>
      </c>
      <c r="E210" s="30" t="s">
        <v>85</v>
      </c>
      <c r="F210" s="110">
        <v>12</v>
      </c>
      <c r="G210" s="140" t="s">
        <v>823</v>
      </c>
      <c r="H210" s="110"/>
      <c r="I210" s="109">
        <f t="shared" si="3"/>
        <v>0</v>
      </c>
      <c r="J210" s="131"/>
      <c r="K210" s="131"/>
    </row>
    <row r="211" spans="1:11" x14ac:dyDescent="0.25">
      <c r="A211" s="128"/>
      <c r="B211" s="252">
        <v>45514</v>
      </c>
      <c r="C211" s="128"/>
      <c r="D211" s="10" t="s">
        <v>56</v>
      </c>
      <c r="E211" s="7" t="s">
        <v>57</v>
      </c>
      <c r="F211" s="110">
        <v>12</v>
      </c>
      <c r="G211" s="140" t="s">
        <v>823</v>
      </c>
      <c r="H211" s="110"/>
      <c r="I211" s="109">
        <f t="shared" si="3"/>
        <v>0</v>
      </c>
      <c r="J211" s="131"/>
      <c r="K211" s="131"/>
    </row>
    <row r="212" spans="1:11" x14ac:dyDescent="0.25">
      <c r="A212" s="128"/>
      <c r="B212" s="252">
        <v>45514</v>
      </c>
      <c r="C212" s="128"/>
      <c r="D212" s="10" t="s">
        <v>86</v>
      </c>
      <c r="E212" s="9" t="s">
        <v>87</v>
      </c>
      <c r="F212" s="110">
        <v>41</v>
      </c>
      <c r="G212" s="140" t="s">
        <v>823</v>
      </c>
      <c r="H212" s="110"/>
      <c r="I212" s="109">
        <f t="shared" si="3"/>
        <v>0</v>
      </c>
      <c r="J212" s="131"/>
      <c r="K212" s="131"/>
    </row>
    <row r="213" spans="1:11" x14ac:dyDescent="0.25">
      <c r="A213" s="128"/>
      <c r="B213" s="132">
        <v>45515</v>
      </c>
      <c r="C213" s="109" t="s">
        <v>836</v>
      </c>
      <c r="D213" s="10" t="s">
        <v>772</v>
      </c>
      <c r="E213" s="22" t="s">
        <v>773</v>
      </c>
      <c r="F213" s="110">
        <v>6</v>
      </c>
      <c r="G213" s="140" t="s">
        <v>823</v>
      </c>
      <c r="H213" s="110"/>
      <c r="I213" s="109">
        <f t="shared" si="3"/>
        <v>0</v>
      </c>
      <c r="J213" s="131"/>
      <c r="K213" s="131"/>
    </row>
    <row r="214" spans="1:11" x14ac:dyDescent="0.25">
      <c r="A214" s="128"/>
      <c r="B214" s="132">
        <v>45515</v>
      </c>
      <c r="C214" s="109" t="s">
        <v>836</v>
      </c>
      <c r="D214" s="10" t="s">
        <v>172</v>
      </c>
      <c r="E214" s="9" t="s">
        <v>173</v>
      </c>
      <c r="F214" s="110">
        <v>2</v>
      </c>
      <c r="G214" s="140" t="s">
        <v>823</v>
      </c>
      <c r="H214" s="110"/>
      <c r="I214" s="109">
        <f t="shared" si="3"/>
        <v>0</v>
      </c>
      <c r="J214" s="131"/>
      <c r="K214" s="131"/>
    </row>
    <row r="215" spans="1:11" x14ac:dyDescent="0.25">
      <c r="A215" s="128"/>
      <c r="B215" s="132">
        <v>45515</v>
      </c>
      <c r="C215" s="109" t="s">
        <v>836</v>
      </c>
      <c r="D215" s="21" t="s">
        <v>126</v>
      </c>
      <c r="E215" s="22" t="s">
        <v>127</v>
      </c>
      <c r="F215" s="110">
        <v>48</v>
      </c>
      <c r="G215" s="140" t="s">
        <v>823</v>
      </c>
      <c r="H215" s="110"/>
      <c r="I215" s="109">
        <f t="shared" si="3"/>
        <v>0</v>
      </c>
      <c r="J215" s="131"/>
      <c r="K215" s="131"/>
    </row>
    <row r="216" spans="1:11" x14ac:dyDescent="0.25">
      <c r="A216" s="128"/>
      <c r="B216" s="252">
        <v>45516</v>
      </c>
      <c r="C216" s="128"/>
      <c r="D216" s="21" t="s">
        <v>20</v>
      </c>
      <c r="E216" s="23" t="s">
        <v>21</v>
      </c>
      <c r="F216" s="110">
        <v>48</v>
      </c>
      <c r="G216" s="144" t="s">
        <v>822</v>
      </c>
      <c r="H216" s="110"/>
      <c r="I216" s="109">
        <f t="shared" si="3"/>
        <v>0</v>
      </c>
      <c r="J216" s="131"/>
      <c r="K216" s="131"/>
    </row>
    <row r="217" spans="1:11" x14ac:dyDescent="0.25">
      <c r="A217" s="128"/>
      <c r="B217" s="252">
        <v>45516</v>
      </c>
      <c r="C217" s="128"/>
      <c r="D217" s="10" t="s">
        <v>759</v>
      </c>
      <c r="E217" s="7" t="s">
        <v>758</v>
      </c>
      <c r="F217" s="110">
        <v>96</v>
      </c>
      <c r="G217" s="144" t="s">
        <v>822</v>
      </c>
      <c r="H217" s="110"/>
      <c r="I217" s="109">
        <f t="shared" si="3"/>
        <v>0</v>
      </c>
      <c r="J217" s="131"/>
      <c r="K217" s="131"/>
    </row>
    <row r="218" spans="1:11" x14ac:dyDescent="0.25">
      <c r="A218" s="128"/>
      <c r="B218" s="252">
        <v>45516</v>
      </c>
      <c r="C218" s="128"/>
      <c r="D218" s="10" t="s">
        <v>52</v>
      </c>
      <c r="E218" s="7" t="s">
        <v>53</v>
      </c>
      <c r="F218" s="110">
        <v>96</v>
      </c>
      <c r="G218" s="144" t="s">
        <v>822</v>
      </c>
      <c r="H218" s="110"/>
      <c r="I218" s="109">
        <f t="shared" si="3"/>
        <v>0</v>
      </c>
      <c r="J218" s="131"/>
      <c r="K218" s="131"/>
    </row>
    <row r="219" spans="1:11" x14ac:dyDescent="0.25">
      <c r="A219" s="242"/>
      <c r="B219" s="252">
        <v>45516</v>
      </c>
      <c r="C219" s="242" t="s">
        <v>901</v>
      </c>
      <c r="D219" s="29" t="s">
        <v>762</v>
      </c>
      <c r="E219" s="30" t="s">
        <v>85</v>
      </c>
      <c r="F219" s="244">
        <f>80*12</f>
        <v>960</v>
      </c>
      <c r="G219" s="144" t="s">
        <v>822</v>
      </c>
      <c r="H219" s="244"/>
      <c r="I219" s="243"/>
      <c r="J219" s="246"/>
      <c r="K219" s="246"/>
    </row>
    <row r="220" spans="1:11" ht="15" customHeight="1" x14ac:dyDescent="0.25">
      <c r="A220" s="128"/>
      <c r="B220" s="252">
        <v>45516</v>
      </c>
      <c r="C220" s="128"/>
      <c r="D220" s="21" t="s">
        <v>20</v>
      </c>
      <c r="E220" s="23" t="s">
        <v>21</v>
      </c>
      <c r="F220" s="109">
        <v>10</v>
      </c>
      <c r="G220" s="140" t="s">
        <v>823</v>
      </c>
      <c r="H220" s="116"/>
      <c r="I220" s="109">
        <f t="shared" si="3"/>
        <v>0</v>
      </c>
      <c r="J220" s="133"/>
      <c r="K220" s="133"/>
    </row>
    <row r="221" spans="1:11" ht="15" customHeight="1" x14ac:dyDescent="0.25">
      <c r="A221" s="128"/>
      <c r="B221" s="252">
        <v>45516</v>
      </c>
      <c r="C221" s="128"/>
      <c r="D221" s="21" t="s">
        <v>132</v>
      </c>
      <c r="E221" s="22" t="s">
        <v>133</v>
      </c>
      <c r="F221" s="110">
        <v>96</v>
      </c>
      <c r="G221" s="140" t="s">
        <v>823</v>
      </c>
      <c r="H221" s="21"/>
      <c r="I221" s="109">
        <f t="shared" si="3"/>
        <v>0</v>
      </c>
      <c r="J221" s="133"/>
      <c r="K221" s="133"/>
    </row>
    <row r="222" spans="1:11" ht="15" customHeight="1" x14ac:dyDescent="0.25">
      <c r="A222" s="128"/>
      <c r="B222" s="252">
        <v>45516</v>
      </c>
      <c r="C222" s="128"/>
      <c r="D222" s="21" t="s">
        <v>142</v>
      </c>
      <c r="E222" s="23" t="s">
        <v>143</v>
      </c>
      <c r="F222" s="110">
        <f>7*48</f>
        <v>336</v>
      </c>
      <c r="G222" s="140" t="s">
        <v>823</v>
      </c>
      <c r="H222" s="21"/>
      <c r="I222" s="109">
        <f t="shared" si="3"/>
        <v>0</v>
      </c>
      <c r="J222" s="133"/>
      <c r="K222" s="133"/>
    </row>
    <row r="223" spans="1:11" ht="15" customHeight="1" x14ac:dyDescent="0.25">
      <c r="A223" s="128"/>
      <c r="B223" s="252">
        <v>45516</v>
      </c>
      <c r="C223" s="128"/>
      <c r="D223" s="10" t="s">
        <v>194</v>
      </c>
      <c r="E223" s="7" t="s">
        <v>195</v>
      </c>
      <c r="F223" s="110">
        <v>48</v>
      </c>
      <c r="G223" s="140" t="s">
        <v>823</v>
      </c>
      <c r="H223" s="10"/>
      <c r="I223" s="109">
        <f t="shared" si="3"/>
        <v>0</v>
      </c>
      <c r="J223" s="133"/>
      <c r="K223" s="133"/>
    </row>
    <row r="224" spans="1:11" ht="15" customHeight="1" x14ac:dyDescent="0.25">
      <c r="A224" s="128"/>
      <c r="B224" s="252">
        <v>45516</v>
      </c>
      <c r="C224" s="128"/>
      <c r="D224" s="21" t="s">
        <v>215</v>
      </c>
      <c r="E224" s="22" t="s">
        <v>216</v>
      </c>
      <c r="F224" s="110">
        <f>48+36</f>
        <v>84</v>
      </c>
      <c r="G224" s="140" t="s">
        <v>823</v>
      </c>
      <c r="H224" s="21"/>
      <c r="I224" s="109">
        <f t="shared" si="3"/>
        <v>0</v>
      </c>
      <c r="J224" s="133"/>
      <c r="K224" s="133"/>
    </row>
    <row r="225" spans="1:11" ht="15" customHeight="1" x14ac:dyDescent="0.25">
      <c r="A225" s="128"/>
      <c r="B225" s="252">
        <v>45516</v>
      </c>
      <c r="C225" s="128"/>
      <c r="D225" s="21" t="s">
        <v>768</v>
      </c>
      <c r="E225" s="23" t="s">
        <v>67</v>
      </c>
      <c r="F225" s="110">
        <v>2</v>
      </c>
      <c r="G225" s="140" t="s">
        <v>823</v>
      </c>
      <c r="H225" s="21"/>
      <c r="I225" s="109">
        <f t="shared" si="3"/>
        <v>0</v>
      </c>
      <c r="J225" s="133"/>
      <c r="K225" s="133"/>
    </row>
    <row r="226" spans="1:11" ht="15" customHeight="1" x14ac:dyDescent="0.25">
      <c r="A226" s="128"/>
      <c r="B226" s="252">
        <v>45516</v>
      </c>
      <c r="C226" s="128"/>
      <c r="D226" s="10" t="s">
        <v>801</v>
      </c>
      <c r="E226" s="7" t="s">
        <v>73</v>
      </c>
      <c r="F226" s="110">
        <v>6</v>
      </c>
      <c r="G226" s="140" t="s">
        <v>823</v>
      </c>
      <c r="H226" s="10"/>
      <c r="I226" s="109">
        <f t="shared" si="3"/>
        <v>0</v>
      </c>
      <c r="J226" s="133"/>
      <c r="K226" s="133"/>
    </row>
    <row r="227" spans="1:11" ht="15" customHeight="1" x14ac:dyDescent="0.25">
      <c r="A227" s="128"/>
      <c r="B227" s="252">
        <v>45516</v>
      </c>
      <c r="C227" s="128"/>
      <c r="D227" s="21" t="s">
        <v>86</v>
      </c>
      <c r="E227" s="22" t="s">
        <v>87</v>
      </c>
      <c r="F227" s="110">
        <v>36</v>
      </c>
      <c r="G227" s="140" t="s">
        <v>823</v>
      </c>
      <c r="H227" s="21"/>
      <c r="I227" s="109">
        <f t="shared" si="3"/>
        <v>0</v>
      </c>
      <c r="J227" s="133"/>
      <c r="K227" s="133"/>
    </row>
    <row r="228" spans="1:11" ht="15" customHeight="1" x14ac:dyDescent="0.25">
      <c r="A228" s="128"/>
      <c r="B228" s="252">
        <v>45516</v>
      </c>
      <c r="C228" s="128"/>
      <c r="D228" s="21" t="s">
        <v>762</v>
      </c>
      <c r="E228" s="23" t="s">
        <v>85</v>
      </c>
      <c r="F228" s="110">
        <v>24</v>
      </c>
      <c r="G228" s="140" t="s">
        <v>823</v>
      </c>
      <c r="H228" s="21"/>
      <c r="I228" s="109">
        <f t="shared" si="3"/>
        <v>0</v>
      </c>
      <c r="J228" s="133"/>
      <c r="K228" s="133"/>
    </row>
    <row r="229" spans="1:11" ht="15" customHeight="1" x14ac:dyDescent="0.25">
      <c r="A229" s="128"/>
      <c r="B229" s="252">
        <v>45516</v>
      </c>
      <c r="C229" s="128"/>
      <c r="D229" s="10" t="s">
        <v>124</v>
      </c>
      <c r="E229" s="7" t="s">
        <v>125</v>
      </c>
      <c r="F229" s="110">
        <v>48</v>
      </c>
      <c r="G229" s="140" t="s">
        <v>823</v>
      </c>
      <c r="H229" s="10"/>
      <c r="I229" s="109">
        <f t="shared" si="3"/>
        <v>0</v>
      </c>
      <c r="J229" s="133"/>
      <c r="K229" s="133"/>
    </row>
    <row r="230" spans="1:11" ht="15" customHeight="1" x14ac:dyDescent="0.25">
      <c r="A230" s="128"/>
      <c r="B230" s="252">
        <v>45516</v>
      </c>
      <c r="C230" s="128"/>
      <c r="D230" s="21" t="s">
        <v>244</v>
      </c>
      <c r="E230" s="22" t="s">
        <v>245</v>
      </c>
      <c r="F230" s="110">
        <v>12</v>
      </c>
      <c r="G230" s="140" t="s">
        <v>823</v>
      </c>
      <c r="H230" s="21"/>
      <c r="I230" s="109">
        <f t="shared" si="3"/>
        <v>0</v>
      </c>
      <c r="J230" s="133"/>
      <c r="K230" s="133"/>
    </row>
    <row r="231" spans="1:11" ht="15" customHeight="1" x14ac:dyDescent="0.25">
      <c r="A231" s="128"/>
      <c r="B231" s="252">
        <v>45516</v>
      </c>
      <c r="C231" s="128"/>
      <c r="D231" s="21" t="s">
        <v>764</v>
      </c>
      <c r="E231" s="23" t="s">
        <v>69</v>
      </c>
      <c r="F231" s="110">
        <v>8</v>
      </c>
      <c r="G231" s="140" t="s">
        <v>823</v>
      </c>
      <c r="H231" s="21"/>
      <c r="I231" s="109">
        <f t="shared" si="3"/>
        <v>0</v>
      </c>
      <c r="J231" s="131"/>
      <c r="K231" s="131"/>
    </row>
    <row r="232" spans="1:11" ht="15" customHeight="1" x14ac:dyDescent="0.25">
      <c r="A232" s="128"/>
      <c r="B232" s="252">
        <v>45516</v>
      </c>
      <c r="C232" s="128"/>
      <c r="D232" s="10" t="s">
        <v>763</v>
      </c>
      <c r="E232" s="7" t="s">
        <v>83</v>
      </c>
      <c r="F232" s="110">
        <v>12</v>
      </c>
      <c r="G232" s="140" t="s">
        <v>823</v>
      </c>
      <c r="H232" s="10"/>
      <c r="I232" s="109">
        <f t="shared" si="3"/>
        <v>0</v>
      </c>
      <c r="J232" s="131"/>
      <c r="K232" s="131"/>
    </row>
    <row r="233" spans="1:11" x14ac:dyDescent="0.25">
      <c r="A233" s="128"/>
      <c r="B233" s="252">
        <v>45516</v>
      </c>
      <c r="C233" s="128"/>
      <c r="D233" s="21" t="s">
        <v>798</v>
      </c>
      <c r="E233" s="23" t="s">
        <v>796</v>
      </c>
      <c r="F233" s="110">
        <v>24</v>
      </c>
      <c r="G233" s="140" t="s">
        <v>823</v>
      </c>
      <c r="H233" s="21"/>
      <c r="I233" s="109">
        <f t="shared" si="3"/>
        <v>0</v>
      </c>
      <c r="J233" s="131"/>
      <c r="K233" s="131"/>
    </row>
    <row r="234" spans="1:11" x14ac:dyDescent="0.25">
      <c r="A234" s="128"/>
      <c r="B234" s="252">
        <v>45516</v>
      </c>
      <c r="C234" s="128"/>
      <c r="D234" s="10" t="s">
        <v>759</v>
      </c>
      <c r="E234" s="7" t="s">
        <v>758</v>
      </c>
      <c r="F234" s="110">
        <v>48</v>
      </c>
      <c r="G234" s="140" t="s">
        <v>823</v>
      </c>
      <c r="H234" s="21"/>
      <c r="I234" s="109">
        <f t="shared" si="3"/>
        <v>0</v>
      </c>
      <c r="J234" s="131"/>
      <c r="K234" s="131"/>
    </row>
    <row r="235" spans="1:11" x14ac:dyDescent="0.25">
      <c r="A235" s="128"/>
      <c r="B235" s="252">
        <v>45516</v>
      </c>
      <c r="C235" s="128"/>
      <c r="D235" s="10" t="s">
        <v>52</v>
      </c>
      <c r="E235" s="7" t="s">
        <v>53</v>
      </c>
      <c r="F235" s="110">
        <v>48</v>
      </c>
      <c r="G235" s="140" t="s">
        <v>823</v>
      </c>
      <c r="H235" s="10"/>
      <c r="I235" s="109">
        <f t="shared" si="3"/>
        <v>0</v>
      </c>
      <c r="J235" s="131"/>
      <c r="K235" s="131"/>
    </row>
    <row r="236" spans="1:11" x14ac:dyDescent="0.25">
      <c r="A236" s="128"/>
      <c r="B236" s="252">
        <v>45516</v>
      </c>
      <c r="C236" s="128"/>
      <c r="D236" s="21" t="s">
        <v>766</v>
      </c>
      <c r="E236" s="22" t="s">
        <v>77</v>
      </c>
      <c r="F236" s="110">
        <v>48</v>
      </c>
      <c r="G236" s="140" t="s">
        <v>823</v>
      </c>
      <c r="H236" s="21"/>
      <c r="I236" s="109">
        <f t="shared" si="3"/>
        <v>0</v>
      </c>
      <c r="J236" s="131"/>
      <c r="K236" s="131"/>
    </row>
    <row r="237" spans="1:11" x14ac:dyDescent="0.25">
      <c r="A237" s="128"/>
      <c r="B237" s="252">
        <v>45516</v>
      </c>
      <c r="C237" s="128"/>
      <c r="D237" s="21" t="s">
        <v>767</v>
      </c>
      <c r="E237" s="23" t="s">
        <v>63</v>
      </c>
      <c r="F237" s="110">
        <v>96</v>
      </c>
      <c r="G237" s="140" t="s">
        <v>823</v>
      </c>
      <c r="H237" s="21"/>
      <c r="I237" s="109">
        <f t="shared" si="3"/>
        <v>0</v>
      </c>
      <c r="J237" s="131"/>
      <c r="K237" s="131"/>
    </row>
    <row r="238" spans="1:11" x14ac:dyDescent="0.25">
      <c r="A238" s="128"/>
      <c r="B238" s="252">
        <v>45516</v>
      </c>
      <c r="C238" s="128"/>
      <c r="D238" s="21" t="s">
        <v>126</v>
      </c>
      <c r="E238" s="22" t="s">
        <v>127</v>
      </c>
      <c r="F238" s="110">
        <v>48</v>
      </c>
      <c r="G238" s="140" t="s">
        <v>823</v>
      </c>
      <c r="H238" s="10"/>
      <c r="I238" s="109">
        <f t="shared" si="3"/>
        <v>0</v>
      </c>
      <c r="J238" s="131"/>
      <c r="K238" s="131"/>
    </row>
    <row r="239" spans="1:11" x14ac:dyDescent="0.25">
      <c r="A239" s="128"/>
      <c r="B239" s="132">
        <v>45517</v>
      </c>
      <c r="C239" s="109" t="s">
        <v>844</v>
      </c>
      <c r="D239" s="21" t="s">
        <v>126</v>
      </c>
      <c r="E239" s="22" t="s">
        <v>127</v>
      </c>
      <c r="F239" s="110">
        <v>144</v>
      </c>
      <c r="G239" s="144" t="s">
        <v>822</v>
      </c>
      <c r="H239" s="110"/>
      <c r="I239" s="109">
        <f t="shared" ref="I239:I283" si="4">H239*F239</f>
        <v>0</v>
      </c>
      <c r="J239" s="131"/>
      <c r="K239" s="131"/>
    </row>
    <row r="240" spans="1:11" x14ac:dyDescent="0.25">
      <c r="A240" s="128"/>
      <c r="B240" s="132">
        <v>45517</v>
      </c>
      <c r="C240" s="109" t="s">
        <v>914</v>
      </c>
      <c r="D240" s="21" t="s">
        <v>142</v>
      </c>
      <c r="E240" s="22" t="s">
        <v>143</v>
      </c>
      <c r="F240" s="110">
        <f>96+96</f>
        <v>192</v>
      </c>
      <c r="G240" s="144" t="s">
        <v>822</v>
      </c>
      <c r="H240" s="110"/>
      <c r="I240" s="109">
        <f t="shared" si="4"/>
        <v>0</v>
      </c>
      <c r="J240" s="131"/>
      <c r="K240" s="131"/>
    </row>
    <row r="241" spans="1:11" x14ac:dyDescent="0.25">
      <c r="A241" s="128"/>
      <c r="B241" s="132">
        <v>45517</v>
      </c>
      <c r="C241" s="109" t="s">
        <v>782</v>
      </c>
      <c r="D241" s="29" t="s">
        <v>762</v>
      </c>
      <c r="E241" s="30" t="s">
        <v>85</v>
      </c>
      <c r="F241" s="110">
        <v>24</v>
      </c>
      <c r="G241" s="144" t="s">
        <v>822</v>
      </c>
      <c r="H241" s="110"/>
      <c r="I241" s="109">
        <f t="shared" si="4"/>
        <v>0</v>
      </c>
      <c r="J241" s="131"/>
      <c r="K241" s="131"/>
    </row>
    <row r="242" spans="1:11" ht="15" customHeight="1" x14ac:dyDescent="0.25">
      <c r="A242" s="128"/>
      <c r="B242" s="132">
        <v>45517</v>
      </c>
      <c r="C242" s="109" t="s">
        <v>909</v>
      </c>
      <c r="D242" s="10" t="s">
        <v>22</v>
      </c>
      <c r="E242" s="7" t="s">
        <v>23</v>
      </c>
      <c r="F242" s="110">
        <f>12+1+8*12</f>
        <v>109</v>
      </c>
      <c r="G242" s="144" t="s">
        <v>822</v>
      </c>
      <c r="H242" s="116"/>
      <c r="I242" s="109">
        <f t="shared" si="4"/>
        <v>0</v>
      </c>
      <c r="J242" s="133"/>
      <c r="K242" s="133"/>
    </row>
    <row r="243" spans="1:11" ht="15" customHeight="1" x14ac:dyDescent="0.25">
      <c r="A243" s="128"/>
      <c r="B243" s="132">
        <v>45517</v>
      </c>
      <c r="C243" s="109" t="s">
        <v>907</v>
      </c>
      <c r="D243" s="10" t="s">
        <v>162</v>
      </c>
      <c r="E243" s="9" t="s">
        <v>163</v>
      </c>
      <c r="F243" s="110">
        <v>24</v>
      </c>
      <c r="G243" s="144" t="s">
        <v>822</v>
      </c>
      <c r="H243" s="116"/>
      <c r="I243" s="109">
        <f t="shared" si="4"/>
        <v>0</v>
      </c>
      <c r="J243" s="133"/>
      <c r="K243" s="133"/>
    </row>
    <row r="244" spans="1:11" ht="15" customHeight="1" x14ac:dyDescent="0.25">
      <c r="A244" s="128"/>
      <c r="B244" s="132">
        <v>45517</v>
      </c>
      <c r="C244" s="128"/>
      <c r="D244" s="10" t="s">
        <v>80</v>
      </c>
      <c r="E244" s="9" t="s">
        <v>81</v>
      </c>
      <c r="F244" s="110">
        <v>96</v>
      </c>
      <c r="G244" s="144" t="s">
        <v>822</v>
      </c>
      <c r="H244" s="116"/>
      <c r="I244" s="109">
        <f t="shared" si="4"/>
        <v>0</v>
      </c>
      <c r="J244" s="133"/>
      <c r="K244" s="133"/>
    </row>
    <row r="245" spans="1:11" ht="15" customHeight="1" x14ac:dyDescent="0.25">
      <c r="A245" s="128"/>
      <c r="B245" s="132">
        <v>45517</v>
      </c>
      <c r="C245" s="109" t="s">
        <v>910</v>
      </c>
      <c r="D245" s="10" t="s">
        <v>86</v>
      </c>
      <c r="E245" s="9" t="s">
        <v>87</v>
      </c>
      <c r="F245" s="277">
        <f>5*12+2+12</f>
        <v>74</v>
      </c>
      <c r="G245" s="140" t="s">
        <v>823</v>
      </c>
      <c r="H245" s="116"/>
      <c r="I245" s="109">
        <f t="shared" si="4"/>
        <v>0</v>
      </c>
      <c r="J245" s="133"/>
      <c r="K245" s="133"/>
    </row>
    <row r="246" spans="1:11" ht="15" customHeight="1" x14ac:dyDescent="0.25">
      <c r="A246" s="128"/>
      <c r="B246" s="132">
        <v>45517</v>
      </c>
      <c r="C246" s="109" t="s">
        <v>836</v>
      </c>
      <c r="D246" s="10" t="s">
        <v>772</v>
      </c>
      <c r="E246" s="22" t="s">
        <v>773</v>
      </c>
      <c r="F246" s="277">
        <v>12</v>
      </c>
      <c r="G246" s="140" t="s">
        <v>823</v>
      </c>
      <c r="H246" s="116"/>
      <c r="I246" s="109">
        <f t="shared" si="4"/>
        <v>0</v>
      </c>
      <c r="J246" s="133"/>
      <c r="K246" s="133"/>
    </row>
    <row r="247" spans="1:11" ht="15" customHeight="1" x14ac:dyDescent="0.25">
      <c r="A247" s="128"/>
      <c r="B247" s="132">
        <v>45517</v>
      </c>
      <c r="C247" s="109" t="s">
        <v>836</v>
      </c>
      <c r="D247" s="21" t="s">
        <v>126</v>
      </c>
      <c r="E247" s="22" t="s">
        <v>127</v>
      </c>
      <c r="F247" s="277">
        <f>6*48+144</f>
        <v>432</v>
      </c>
      <c r="G247" s="140" t="s">
        <v>823</v>
      </c>
      <c r="H247" s="116"/>
      <c r="I247" s="109">
        <f t="shared" si="4"/>
        <v>0</v>
      </c>
      <c r="J247" s="133"/>
      <c r="K247" s="133"/>
    </row>
    <row r="248" spans="1:11" ht="15" customHeight="1" x14ac:dyDescent="0.25">
      <c r="A248" s="128"/>
      <c r="B248" s="132">
        <v>45517</v>
      </c>
      <c r="C248" s="109" t="s">
        <v>836</v>
      </c>
      <c r="D248" s="21" t="s">
        <v>142</v>
      </c>
      <c r="E248" s="22" t="s">
        <v>143</v>
      </c>
      <c r="F248" s="277">
        <v>48</v>
      </c>
      <c r="G248" s="140" t="s">
        <v>823</v>
      </c>
      <c r="H248" s="116"/>
      <c r="I248" s="109">
        <f t="shared" si="4"/>
        <v>0</v>
      </c>
      <c r="J248" s="133"/>
      <c r="K248" s="133"/>
    </row>
    <row r="249" spans="1:11" ht="15" customHeight="1" x14ac:dyDescent="0.25">
      <c r="A249" s="128"/>
      <c r="B249" s="132">
        <v>45517</v>
      </c>
      <c r="C249" s="109" t="s">
        <v>836</v>
      </c>
      <c r="D249" s="10" t="s">
        <v>811</v>
      </c>
      <c r="E249" s="22" t="s">
        <v>810</v>
      </c>
      <c r="F249" s="277">
        <v>12</v>
      </c>
      <c r="G249" s="140" t="s">
        <v>823</v>
      </c>
      <c r="H249" s="116"/>
      <c r="I249" s="109">
        <f t="shared" si="4"/>
        <v>0</v>
      </c>
      <c r="J249" s="133"/>
      <c r="K249" s="133"/>
    </row>
    <row r="250" spans="1:11" ht="15" customHeight="1" x14ac:dyDescent="0.25">
      <c r="A250" s="128"/>
      <c r="B250" s="132">
        <v>45517</v>
      </c>
      <c r="C250" s="109" t="s">
        <v>836</v>
      </c>
      <c r="D250" s="21" t="s">
        <v>172</v>
      </c>
      <c r="E250" s="22" t="s">
        <v>173</v>
      </c>
      <c r="F250" s="277">
        <v>2</v>
      </c>
      <c r="G250" s="140" t="s">
        <v>823</v>
      </c>
      <c r="H250" s="116"/>
      <c r="I250" s="109">
        <f t="shared" si="4"/>
        <v>0</v>
      </c>
      <c r="J250" s="133"/>
      <c r="K250" s="133"/>
    </row>
    <row r="251" spans="1:11" x14ac:dyDescent="0.25">
      <c r="A251" s="128"/>
      <c r="B251" s="132">
        <v>45517</v>
      </c>
      <c r="C251" s="109" t="s">
        <v>836</v>
      </c>
      <c r="D251" s="21" t="s">
        <v>763</v>
      </c>
      <c r="E251" s="22" t="s">
        <v>83</v>
      </c>
      <c r="F251" s="277">
        <v>48</v>
      </c>
      <c r="G251" s="140" t="s">
        <v>823</v>
      </c>
      <c r="H251" s="110"/>
      <c r="I251" s="109">
        <f t="shared" si="4"/>
        <v>0</v>
      </c>
      <c r="J251" s="131"/>
      <c r="K251" s="131"/>
    </row>
    <row r="252" spans="1:11" x14ac:dyDescent="0.25">
      <c r="A252" s="128"/>
      <c r="B252" s="132">
        <v>45517</v>
      </c>
      <c r="C252" s="109" t="s">
        <v>775</v>
      </c>
      <c r="D252" s="10" t="s">
        <v>124</v>
      </c>
      <c r="E252" s="9" t="s">
        <v>125</v>
      </c>
      <c r="F252" s="277">
        <f>6*48</f>
        <v>288</v>
      </c>
      <c r="G252" s="140" t="s">
        <v>823</v>
      </c>
      <c r="H252" s="110"/>
      <c r="I252" s="109">
        <f t="shared" si="4"/>
        <v>0</v>
      </c>
      <c r="J252" s="131"/>
      <c r="K252" s="131"/>
    </row>
    <row r="253" spans="1:11" x14ac:dyDescent="0.25">
      <c r="A253" s="128"/>
      <c r="B253" s="132">
        <v>45517</v>
      </c>
      <c r="C253" s="109" t="s">
        <v>911</v>
      </c>
      <c r="D253" s="10" t="s">
        <v>144</v>
      </c>
      <c r="E253" s="9" t="s">
        <v>145</v>
      </c>
      <c r="F253" s="277">
        <v>75</v>
      </c>
      <c r="G253" s="140" t="s">
        <v>823</v>
      </c>
      <c r="H253" s="110"/>
      <c r="I253" s="109">
        <f t="shared" si="4"/>
        <v>0</v>
      </c>
      <c r="J253" s="131"/>
      <c r="K253" s="131"/>
    </row>
    <row r="254" spans="1:11" x14ac:dyDescent="0.25">
      <c r="A254" s="128"/>
      <c r="B254" s="132">
        <v>45517</v>
      </c>
      <c r="C254" s="109" t="s">
        <v>911</v>
      </c>
      <c r="D254" s="10" t="s">
        <v>146</v>
      </c>
      <c r="E254" s="9" t="s">
        <v>147</v>
      </c>
      <c r="F254" s="277">
        <v>75</v>
      </c>
      <c r="G254" s="140" t="s">
        <v>823</v>
      </c>
      <c r="H254" s="110"/>
      <c r="I254" s="109">
        <f t="shared" si="4"/>
        <v>0</v>
      </c>
      <c r="J254" s="131"/>
      <c r="K254" s="131"/>
    </row>
    <row r="255" spans="1:11" x14ac:dyDescent="0.25">
      <c r="A255" s="128"/>
      <c r="B255" s="132">
        <v>45517</v>
      </c>
      <c r="C255" s="109" t="s">
        <v>911</v>
      </c>
      <c r="D255" s="10" t="s">
        <v>148</v>
      </c>
      <c r="E255" s="9" t="s">
        <v>149</v>
      </c>
      <c r="F255" s="277">
        <f>75-35</f>
        <v>40</v>
      </c>
      <c r="G255" s="140" t="s">
        <v>823</v>
      </c>
      <c r="H255" s="110"/>
      <c r="I255" s="109">
        <f t="shared" si="4"/>
        <v>0</v>
      </c>
      <c r="J255" s="131"/>
      <c r="K255" s="131"/>
    </row>
    <row r="256" spans="1:11" x14ac:dyDescent="0.25">
      <c r="A256" s="128"/>
      <c r="B256" s="132">
        <v>45517</v>
      </c>
      <c r="C256" s="109" t="s">
        <v>911</v>
      </c>
      <c r="D256" s="10" t="s">
        <v>154</v>
      </c>
      <c r="E256" s="9" t="s">
        <v>155</v>
      </c>
      <c r="F256" s="277">
        <v>75</v>
      </c>
      <c r="G256" s="140" t="s">
        <v>823</v>
      </c>
      <c r="H256" s="110"/>
      <c r="I256" s="109">
        <f t="shared" si="4"/>
        <v>0</v>
      </c>
      <c r="J256" s="131"/>
      <c r="K256" s="131"/>
    </row>
    <row r="257" spans="1:11" ht="15" customHeight="1" x14ac:dyDescent="0.25">
      <c r="A257" s="128"/>
      <c r="B257" s="132">
        <v>45517</v>
      </c>
      <c r="C257" s="109" t="s">
        <v>831</v>
      </c>
      <c r="D257" s="72" t="s">
        <v>816</v>
      </c>
      <c r="E257" s="81" t="s">
        <v>817</v>
      </c>
      <c r="F257" s="277">
        <v>10</v>
      </c>
      <c r="G257" s="140" t="s">
        <v>823</v>
      </c>
      <c r="H257" s="116"/>
      <c r="I257" s="109">
        <f t="shared" si="4"/>
        <v>0</v>
      </c>
      <c r="J257" s="133"/>
      <c r="K257" s="133"/>
    </row>
    <row r="258" spans="1:11" ht="15" customHeight="1" x14ac:dyDescent="0.25">
      <c r="A258" s="128"/>
      <c r="B258" s="132">
        <v>45517</v>
      </c>
      <c r="C258" s="109" t="s">
        <v>908</v>
      </c>
      <c r="D258" s="10" t="s">
        <v>156</v>
      </c>
      <c r="E258" s="9" t="s">
        <v>157</v>
      </c>
      <c r="F258" s="277">
        <v>48</v>
      </c>
      <c r="G258" s="140" t="s">
        <v>823</v>
      </c>
      <c r="H258" s="116"/>
      <c r="I258" s="109">
        <f t="shared" si="4"/>
        <v>0</v>
      </c>
      <c r="J258" s="133"/>
      <c r="K258" s="133"/>
    </row>
    <row r="259" spans="1:11" ht="15" customHeight="1" x14ac:dyDescent="0.25">
      <c r="A259" s="128"/>
      <c r="B259" s="132">
        <v>45517</v>
      </c>
      <c r="C259" s="109" t="s">
        <v>908</v>
      </c>
      <c r="D259" s="10" t="s">
        <v>162</v>
      </c>
      <c r="E259" s="9" t="s">
        <v>163</v>
      </c>
      <c r="F259" s="277">
        <v>48</v>
      </c>
      <c r="G259" s="140" t="s">
        <v>823</v>
      </c>
      <c r="H259" s="116"/>
      <c r="I259" s="109">
        <f t="shared" si="4"/>
        <v>0</v>
      </c>
      <c r="J259" s="133"/>
      <c r="K259" s="133"/>
    </row>
    <row r="260" spans="1:11" ht="15" customHeight="1" x14ac:dyDescent="0.25">
      <c r="A260" s="128"/>
      <c r="B260" s="132">
        <v>45517</v>
      </c>
      <c r="C260" s="109" t="s">
        <v>908</v>
      </c>
      <c r="D260" s="10" t="s">
        <v>158</v>
      </c>
      <c r="E260" s="9" t="s">
        <v>159</v>
      </c>
      <c r="F260" s="277">
        <v>50</v>
      </c>
      <c r="G260" s="140" t="s">
        <v>823</v>
      </c>
      <c r="H260" s="116"/>
      <c r="I260" s="109">
        <f t="shared" si="4"/>
        <v>0</v>
      </c>
      <c r="J260" s="133"/>
      <c r="K260" s="133"/>
    </row>
    <row r="261" spans="1:11" ht="15" customHeight="1" x14ac:dyDescent="0.25">
      <c r="A261" s="128"/>
      <c r="B261" s="132">
        <v>45517</v>
      </c>
      <c r="C261" s="109" t="s">
        <v>908</v>
      </c>
      <c r="D261" s="10" t="s">
        <v>200</v>
      </c>
      <c r="E261" s="9" t="s">
        <v>201</v>
      </c>
      <c r="F261" s="277">
        <f>48-24</f>
        <v>24</v>
      </c>
      <c r="G261" s="140" t="s">
        <v>823</v>
      </c>
      <c r="H261" s="116"/>
      <c r="I261" s="109">
        <f t="shared" si="4"/>
        <v>0</v>
      </c>
      <c r="J261" s="133"/>
      <c r="K261" s="133"/>
    </row>
    <row r="262" spans="1:11" ht="15" customHeight="1" x14ac:dyDescent="0.25">
      <c r="A262" s="128"/>
      <c r="B262" s="132">
        <v>45517</v>
      </c>
      <c r="C262" s="109" t="s">
        <v>908</v>
      </c>
      <c r="D262" s="72" t="s">
        <v>194</v>
      </c>
      <c r="E262" s="81" t="s">
        <v>195</v>
      </c>
      <c r="F262" s="277">
        <v>48</v>
      </c>
      <c r="G262" s="140" t="s">
        <v>823</v>
      </c>
      <c r="H262" s="116"/>
      <c r="I262" s="109">
        <f t="shared" si="4"/>
        <v>0</v>
      </c>
      <c r="J262" s="133"/>
      <c r="K262" s="133"/>
    </row>
    <row r="263" spans="1:11" ht="15" customHeight="1" x14ac:dyDescent="0.25">
      <c r="A263" s="128"/>
      <c r="B263" s="132">
        <v>45517</v>
      </c>
      <c r="C263" s="109" t="s">
        <v>908</v>
      </c>
      <c r="D263" s="10" t="s">
        <v>215</v>
      </c>
      <c r="E263" s="9" t="s">
        <v>216</v>
      </c>
      <c r="F263" s="277">
        <v>48</v>
      </c>
      <c r="G263" s="140" t="s">
        <v>823</v>
      </c>
      <c r="H263" s="116"/>
      <c r="I263" s="109">
        <f t="shared" si="4"/>
        <v>0</v>
      </c>
      <c r="J263" s="133"/>
      <c r="K263" s="133"/>
    </row>
    <row r="264" spans="1:11" ht="15" customHeight="1" x14ac:dyDescent="0.25">
      <c r="A264" s="128"/>
      <c r="B264" s="132">
        <v>45517</v>
      </c>
      <c r="C264" s="109" t="s">
        <v>908</v>
      </c>
      <c r="D264" s="10" t="s">
        <v>217</v>
      </c>
      <c r="E264" s="9" t="s">
        <v>218</v>
      </c>
      <c r="F264" s="277">
        <v>48</v>
      </c>
      <c r="G264" s="140" t="s">
        <v>823</v>
      </c>
      <c r="H264" s="116"/>
      <c r="I264" s="109">
        <f t="shared" si="4"/>
        <v>0</v>
      </c>
      <c r="J264" s="133"/>
      <c r="K264" s="133"/>
    </row>
    <row r="265" spans="1:11" ht="15" customHeight="1" x14ac:dyDescent="0.25">
      <c r="A265" s="128"/>
      <c r="B265" s="132">
        <v>45517</v>
      </c>
      <c r="C265" s="109" t="s">
        <v>908</v>
      </c>
      <c r="D265" s="10" t="s">
        <v>807</v>
      </c>
      <c r="E265" s="9" t="s">
        <v>806</v>
      </c>
      <c r="F265" s="277">
        <v>5</v>
      </c>
      <c r="G265" s="140" t="s">
        <v>823</v>
      </c>
      <c r="H265" s="116"/>
      <c r="I265" s="109">
        <f t="shared" si="4"/>
        <v>0</v>
      </c>
      <c r="J265" s="133"/>
      <c r="K265" s="133"/>
    </row>
    <row r="266" spans="1:11" ht="15" customHeight="1" x14ac:dyDescent="0.25">
      <c r="A266" s="128"/>
      <c r="B266" s="132">
        <v>45517</v>
      </c>
      <c r="C266" s="109" t="s">
        <v>908</v>
      </c>
      <c r="D266" s="10" t="s">
        <v>244</v>
      </c>
      <c r="E266" s="9" t="s">
        <v>245</v>
      </c>
      <c r="F266" s="277">
        <f>12-6</f>
        <v>6</v>
      </c>
      <c r="G266" s="140" t="s">
        <v>823</v>
      </c>
      <c r="H266" s="116"/>
      <c r="I266" s="109">
        <f t="shared" si="4"/>
        <v>0</v>
      </c>
      <c r="J266" s="133"/>
      <c r="K266" s="133"/>
    </row>
    <row r="267" spans="1:11" ht="15" customHeight="1" x14ac:dyDescent="0.25">
      <c r="A267" s="128"/>
      <c r="B267" s="132">
        <v>45517</v>
      </c>
      <c r="C267" s="109" t="s">
        <v>853</v>
      </c>
      <c r="D267" s="72" t="s">
        <v>132</v>
      </c>
      <c r="E267" s="81" t="s">
        <v>133</v>
      </c>
      <c r="F267" s="277">
        <v>48</v>
      </c>
      <c r="G267" s="140" t="s">
        <v>823</v>
      </c>
      <c r="H267" s="116"/>
      <c r="I267" s="109">
        <f t="shared" si="4"/>
        <v>0</v>
      </c>
      <c r="J267" s="133"/>
      <c r="K267" s="133"/>
    </row>
    <row r="268" spans="1:11" ht="15" customHeight="1" x14ac:dyDescent="0.25">
      <c r="A268" s="128"/>
      <c r="B268" s="132">
        <v>45517</v>
      </c>
      <c r="C268" s="109" t="s">
        <v>853</v>
      </c>
      <c r="D268" s="10" t="s">
        <v>140</v>
      </c>
      <c r="E268" s="9" t="s">
        <v>141</v>
      </c>
      <c r="F268" s="277">
        <v>96</v>
      </c>
      <c r="G268" s="140" t="s">
        <v>823</v>
      </c>
      <c r="H268" s="116"/>
      <c r="I268" s="109">
        <f t="shared" si="4"/>
        <v>0</v>
      </c>
      <c r="J268" s="133"/>
      <c r="K268" s="133"/>
    </row>
    <row r="269" spans="1:11" ht="15" customHeight="1" x14ac:dyDescent="0.25">
      <c r="A269" s="128"/>
      <c r="B269" s="132">
        <v>45517</v>
      </c>
      <c r="C269" s="109" t="s">
        <v>853</v>
      </c>
      <c r="D269" s="10" t="s">
        <v>249</v>
      </c>
      <c r="E269" s="9" t="s">
        <v>250</v>
      </c>
      <c r="F269" s="277">
        <v>96</v>
      </c>
      <c r="G269" s="140" t="s">
        <v>823</v>
      </c>
      <c r="H269" s="110"/>
      <c r="I269" s="109">
        <f t="shared" si="4"/>
        <v>0</v>
      </c>
      <c r="J269" s="131"/>
      <c r="K269" s="131"/>
    </row>
    <row r="270" spans="1:11" ht="15" customHeight="1" x14ac:dyDescent="0.25">
      <c r="A270" s="128"/>
      <c r="B270" s="132">
        <v>45517</v>
      </c>
      <c r="C270" s="109" t="s">
        <v>853</v>
      </c>
      <c r="D270" s="10" t="s">
        <v>765</v>
      </c>
      <c r="E270" s="9" t="s">
        <v>75</v>
      </c>
      <c r="F270" s="277">
        <f>240-8</f>
        <v>232</v>
      </c>
      <c r="G270" s="140" t="s">
        <v>823</v>
      </c>
      <c r="H270" s="110"/>
      <c r="I270" s="109">
        <f t="shared" si="4"/>
        <v>0</v>
      </c>
      <c r="J270" s="131"/>
      <c r="K270" s="131"/>
    </row>
    <row r="271" spans="1:11" ht="15" customHeight="1" x14ac:dyDescent="0.25">
      <c r="A271" s="128"/>
      <c r="B271" s="132">
        <v>45517</v>
      </c>
      <c r="C271" s="109" t="s">
        <v>853</v>
      </c>
      <c r="D271" s="10" t="s">
        <v>766</v>
      </c>
      <c r="E271" s="9" t="s">
        <v>77</v>
      </c>
      <c r="F271" s="277">
        <f>144-8</f>
        <v>136</v>
      </c>
      <c r="G271" s="140" t="s">
        <v>823</v>
      </c>
      <c r="H271" s="110"/>
      <c r="I271" s="109">
        <f t="shared" si="4"/>
        <v>0</v>
      </c>
      <c r="J271" s="131"/>
      <c r="K271" s="131"/>
    </row>
    <row r="272" spans="1:11" ht="15" customHeight="1" x14ac:dyDescent="0.25">
      <c r="A272" s="128"/>
      <c r="B272" s="252">
        <v>45518</v>
      </c>
      <c r="C272" s="109"/>
      <c r="D272" s="21" t="s">
        <v>142</v>
      </c>
      <c r="E272" s="22" t="s">
        <v>143</v>
      </c>
      <c r="F272" s="110">
        <v>50</v>
      </c>
      <c r="G272" s="144" t="s">
        <v>822</v>
      </c>
      <c r="H272" s="110"/>
      <c r="I272" s="109">
        <f t="shared" si="4"/>
        <v>0</v>
      </c>
      <c r="J272" s="131"/>
      <c r="K272" s="131"/>
    </row>
    <row r="273" spans="1:11" ht="15" customHeight="1" x14ac:dyDescent="0.25">
      <c r="A273" s="128"/>
      <c r="B273" s="252">
        <v>45518</v>
      </c>
      <c r="C273" s="109"/>
      <c r="D273" s="259" t="s">
        <v>124</v>
      </c>
      <c r="E273" s="271" t="s">
        <v>125</v>
      </c>
      <c r="F273" s="110">
        <f>48+40</f>
        <v>88</v>
      </c>
      <c r="G273" s="144" t="s">
        <v>822</v>
      </c>
      <c r="H273" s="110"/>
      <c r="I273" s="109">
        <f t="shared" si="4"/>
        <v>0</v>
      </c>
      <c r="J273" s="131"/>
      <c r="K273" s="131"/>
    </row>
    <row r="274" spans="1:11" ht="15" customHeight="1" x14ac:dyDescent="0.25">
      <c r="A274" s="242"/>
      <c r="B274" s="252">
        <v>45518</v>
      </c>
      <c r="C274" s="243"/>
      <c r="D274" s="15" t="s">
        <v>788</v>
      </c>
      <c r="E274" s="34" t="s">
        <v>789</v>
      </c>
      <c r="F274" s="244">
        <v>48</v>
      </c>
      <c r="G274" s="144" t="s">
        <v>822</v>
      </c>
      <c r="H274" s="244"/>
      <c r="I274" s="243"/>
      <c r="J274" s="246"/>
      <c r="K274" s="246"/>
    </row>
    <row r="275" spans="1:11" x14ac:dyDescent="0.25">
      <c r="A275" s="128"/>
      <c r="B275" s="252">
        <v>45518</v>
      </c>
      <c r="C275" s="109" t="s">
        <v>917</v>
      </c>
      <c r="D275" s="263" t="s">
        <v>762</v>
      </c>
      <c r="E275" s="275" t="s">
        <v>85</v>
      </c>
      <c r="F275" s="110">
        <f>24+24</f>
        <v>48</v>
      </c>
      <c r="G275" s="140" t="s">
        <v>823</v>
      </c>
      <c r="H275" s="110"/>
      <c r="I275" s="109">
        <f t="shared" si="4"/>
        <v>0</v>
      </c>
      <c r="J275" s="131"/>
      <c r="K275" s="131"/>
    </row>
    <row r="276" spans="1:11" x14ac:dyDescent="0.25">
      <c r="A276" s="128"/>
      <c r="B276" s="252">
        <v>45518</v>
      </c>
      <c r="C276" s="109" t="s">
        <v>867</v>
      </c>
      <c r="D276" s="10" t="s">
        <v>56</v>
      </c>
      <c r="E276" s="7" t="s">
        <v>57</v>
      </c>
      <c r="F276" s="110">
        <f>12+36</f>
        <v>48</v>
      </c>
      <c r="G276" s="140" t="s">
        <v>823</v>
      </c>
      <c r="H276" s="110"/>
      <c r="I276" s="109">
        <f t="shared" si="4"/>
        <v>0</v>
      </c>
      <c r="J276" s="131"/>
      <c r="K276" s="131"/>
    </row>
    <row r="277" spans="1:11" x14ac:dyDescent="0.25">
      <c r="A277" s="128"/>
      <c r="B277" s="252">
        <v>45518</v>
      </c>
      <c r="C277" s="109" t="s">
        <v>836</v>
      </c>
      <c r="D277" s="10" t="s">
        <v>86</v>
      </c>
      <c r="E277" s="9" t="s">
        <v>87</v>
      </c>
      <c r="F277" s="110">
        <v>55</v>
      </c>
      <c r="G277" s="140" t="s">
        <v>823</v>
      </c>
      <c r="H277" s="110"/>
      <c r="I277" s="109">
        <f t="shared" si="4"/>
        <v>0</v>
      </c>
      <c r="J277" s="131"/>
      <c r="K277" s="131"/>
    </row>
    <row r="278" spans="1:11" x14ac:dyDescent="0.25">
      <c r="A278" s="128"/>
      <c r="B278" s="252">
        <v>45518</v>
      </c>
      <c r="C278" s="109" t="s">
        <v>836</v>
      </c>
      <c r="D278" s="21" t="s">
        <v>764</v>
      </c>
      <c r="E278" s="23" t="s">
        <v>69</v>
      </c>
      <c r="F278" s="110">
        <v>60</v>
      </c>
      <c r="G278" s="140" t="s">
        <v>823</v>
      </c>
      <c r="H278" s="244"/>
      <c r="I278" s="109">
        <f t="shared" si="4"/>
        <v>0</v>
      </c>
      <c r="J278" s="131"/>
      <c r="K278" s="131"/>
    </row>
    <row r="279" spans="1:11" x14ac:dyDescent="0.25">
      <c r="A279" s="128"/>
      <c r="B279" s="252">
        <v>45518</v>
      </c>
      <c r="C279" s="109" t="s">
        <v>836</v>
      </c>
      <c r="D279" s="10" t="s">
        <v>172</v>
      </c>
      <c r="E279" s="9" t="s">
        <v>173</v>
      </c>
      <c r="F279" s="110">
        <v>4</v>
      </c>
      <c r="G279" s="140" t="s">
        <v>823</v>
      </c>
      <c r="H279" s="244"/>
      <c r="I279" s="109">
        <f t="shared" si="4"/>
        <v>0</v>
      </c>
      <c r="J279" s="131"/>
      <c r="K279" s="131"/>
    </row>
    <row r="280" spans="1:11" x14ac:dyDescent="0.25">
      <c r="A280" s="128"/>
      <c r="B280" s="252">
        <v>45518</v>
      </c>
      <c r="C280" s="109" t="s">
        <v>836</v>
      </c>
      <c r="D280" s="261" t="s">
        <v>126</v>
      </c>
      <c r="E280" s="251" t="s">
        <v>127</v>
      </c>
      <c r="F280" s="110">
        <v>96</v>
      </c>
      <c r="G280" s="140" t="s">
        <v>823</v>
      </c>
      <c r="H280" s="244"/>
      <c r="I280" s="109">
        <f t="shared" si="4"/>
        <v>0</v>
      </c>
      <c r="J280" s="131"/>
      <c r="K280" s="131"/>
    </row>
    <row r="281" spans="1:11" x14ac:dyDescent="0.25">
      <c r="A281" s="242"/>
      <c r="B281" s="252">
        <v>45518</v>
      </c>
      <c r="C281" s="109" t="s">
        <v>836</v>
      </c>
      <c r="D281" s="259" t="s">
        <v>124</v>
      </c>
      <c r="E281" s="271" t="s">
        <v>125</v>
      </c>
      <c r="F281" s="244">
        <v>20</v>
      </c>
      <c r="G281" s="140" t="s">
        <v>823</v>
      </c>
      <c r="H281" s="244"/>
      <c r="I281" s="243"/>
      <c r="J281" s="282"/>
      <c r="K281" s="282"/>
    </row>
    <row r="282" spans="1:11" x14ac:dyDescent="0.25">
      <c r="A282" s="242"/>
      <c r="B282" s="252">
        <v>45518</v>
      </c>
      <c r="C282" s="243" t="s">
        <v>880</v>
      </c>
      <c r="D282" s="72" t="s">
        <v>879</v>
      </c>
      <c r="E282" s="23" t="s">
        <v>878</v>
      </c>
      <c r="F282" s="110">
        <v>12</v>
      </c>
      <c r="G282" s="317" t="s">
        <v>881</v>
      </c>
      <c r="H282" s="244"/>
      <c r="I282" s="243"/>
      <c r="J282" s="282"/>
      <c r="K282" s="282"/>
    </row>
    <row r="283" spans="1:11" x14ac:dyDescent="0.25">
      <c r="A283" s="128"/>
      <c r="B283" s="252">
        <v>45518</v>
      </c>
      <c r="C283" s="109" t="s">
        <v>877</v>
      </c>
      <c r="D283" s="21" t="s">
        <v>20</v>
      </c>
      <c r="E283" s="23" t="s">
        <v>21</v>
      </c>
      <c r="F283" s="110">
        <f>27*24</f>
        <v>648</v>
      </c>
      <c r="G283" s="141" t="s">
        <v>820</v>
      </c>
      <c r="H283" s="311">
        <v>19948</v>
      </c>
      <c r="I283" s="109">
        <f t="shared" si="4"/>
        <v>12926304</v>
      </c>
      <c r="J283" s="356">
        <f>SUM(I283:I287)</f>
        <v>73386226</v>
      </c>
      <c r="K283" s="356">
        <v>67902958</v>
      </c>
    </row>
    <row r="284" spans="1:11" ht="15" customHeight="1" x14ac:dyDescent="0.25">
      <c r="A284" s="128"/>
      <c r="B284" s="252">
        <v>45518</v>
      </c>
      <c r="C284" s="109" t="s">
        <v>877</v>
      </c>
      <c r="D284" s="21" t="s">
        <v>40</v>
      </c>
      <c r="E284" s="23" t="s">
        <v>41</v>
      </c>
      <c r="F284" s="110">
        <f>114*48</f>
        <v>5472</v>
      </c>
      <c r="G284" s="141" t="s">
        <v>820</v>
      </c>
      <c r="H284" s="67">
        <v>7571</v>
      </c>
      <c r="I284" s="109">
        <f t="shared" ref="I284:I372" si="5">H284*F284</f>
        <v>41428512</v>
      </c>
      <c r="J284" s="353"/>
      <c r="K284" s="353"/>
    </row>
    <row r="285" spans="1:11" ht="15" customHeight="1" x14ac:dyDescent="0.25">
      <c r="A285" s="128"/>
      <c r="B285" s="252">
        <v>45518</v>
      </c>
      <c r="C285" s="109" t="s">
        <v>877</v>
      </c>
      <c r="D285" s="21" t="s">
        <v>142</v>
      </c>
      <c r="E285" s="22" t="s">
        <v>143</v>
      </c>
      <c r="F285" s="110">
        <f>62*48</f>
        <v>2976</v>
      </c>
      <c r="G285" s="141" t="s">
        <v>820</v>
      </c>
      <c r="H285" s="53">
        <v>6350</v>
      </c>
      <c r="I285" s="109">
        <f t="shared" si="5"/>
        <v>18897600</v>
      </c>
      <c r="J285" s="353"/>
      <c r="K285" s="353"/>
    </row>
    <row r="286" spans="1:11" ht="15" customHeight="1" x14ac:dyDescent="0.25">
      <c r="A286" s="128"/>
      <c r="B286" s="252">
        <v>45518</v>
      </c>
      <c r="C286" s="128"/>
      <c r="D286" s="21" t="s">
        <v>249</v>
      </c>
      <c r="E286" s="9" t="s">
        <v>250</v>
      </c>
      <c r="F286" s="110">
        <v>10</v>
      </c>
      <c r="G286" s="141" t="s">
        <v>820</v>
      </c>
      <c r="H286" s="53">
        <v>5184</v>
      </c>
      <c r="I286" s="109">
        <f t="shared" si="5"/>
        <v>51840</v>
      </c>
      <c r="J286" s="353"/>
      <c r="K286" s="353"/>
    </row>
    <row r="287" spans="1:11" ht="15" customHeight="1" x14ac:dyDescent="0.25">
      <c r="A287" s="128"/>
      <c r="B287" s="252">
        <v>45518</v>
      </c>
      <c r="C287" s="128"/>
      <c r="D287" s="21" t="s">
        <v>764</v>
      </c>
      <c r="E287" s="23" t="s">
        <v>69</v>
      </c>
      <c r="F287" s="110">
        <v>10</v>
      </c>
      <c r="G287" s="141" t="s">
        <v>820</v>
      </c>
      <c r="H287" s="53">
        <v>8197</v>
      </c>
      <c r="I287" s="109">
        <f t="shared" si="5"/>
        <v>81970</v>
      </c>
      <c r="J287" s="354"/>
      <c r="K287" s="354"/>
    </row>
    <row r="288" spans="1:11" ht="15" customHeight="1" x14ac:dyDescent="0.25">
      <c r="A288" s="128"/>
      <c r="B288" s="132">
        <v>45519</v>
      </c>
      <c r="C288" s="109" t="s">
        <v>877</v>
      </c>
      <c r="D288" s="21" t="s">
        <v>20</v>
      </c>
      <c r="E288" s="23" t="s">
        <v>21</v>
      </c>
      <c r="F288" s="110">
        <f>30*24</f>
        <v>720</v>
      </c>
      <c r="G288" s="144" t="s">
        <v>822</v>
      </c>
      <c r="H288" s="110"/>
      <c r="I288" s="109">
        <f t="shared" si="5"/>
        <v>0</v>
      </c>
      <c r="J288" s="131"/>
      <c r="K288" s="131"/>
    </row>
    <row r="289" spans="1:11" ht="15" customHeight="1" x14ac:dyDescent="0.25">
      <c r="A289" s="128"/>
      <c r="B289" s="132">
        <v>45519</v>
      </c>
      <c r="C289" s="109" t="s">
        <v>877</v>
      </c>
      <c r="D289" s="21" t="s">
        <v>40</v>
      </c>
      <c r="E289" s="23" t="s">
        <v>41</v>
      </c>
      <c r="F289" s="110">
        <f>71*48</f>
        <v>3408</v>
      </c>
      <c r="G289" s="144" t="s">
        <v>822</v>
      </c>
      <c r="H289" s="110"/>
      <c r="I289" s="109">
        <f t="shared" si="5"/>
        <v>0</v>
      </c>
      <c r="J289" s="131"/>
      <c r="K289" s="131"/>
    </row>
    <row r="290" spans="1:11" x14ac:dyDescent="0.25">
      <c r="A290" s="128"/>
      <c r="B290" s="132">
        <v>45519</v>
      </c>
      <c r="C290" s="109" t="s">
        <v>877</v>
      </c>
      <c r="D290" s="21" t="s">
        <v>142</v>
      </c>
      <c r="E290" s="22" t="s">
        <v>143</v>
      </c>
      <c r="F290" s="110">
        <f>49*48</f>
        <v>2352</v>
      </c>
      <c r="G290" s="144" t="s">
        <v>822</v>
      </c>
      <c r="H290" s="110"/>
      <c r="I290" s="109">
        <f t="shared" si="5"/>
        <v>0</v>
      </c>
      <c r="J290" s="131"/>
      <c r="K290" s="131"/>
    </row>
    <row r="291" spans="1:11" x14ac:dyDescent="0.25">
      <c r="A291" s="128"/>
      <c r="B291" s="132">
        <v>45519</v>
      </c>
      <c r="C291" s="109" t="s">
        <v>778</v>
      </c>
      <c r="D291" s="263" t="s">
        <v>762</v>
      </c>
      <c r="E291" s="275" t="s">
        <v>85</v>
      </c>
      <c r="F291" s="110">
        <v>24</v>
      </c>
      <c r="G291" s="144" t="s">
        <v>822</v>
      </c>
      <c r="H291" s="110"/>
      <c r="I291" s="109">
        <f t="shared" si="5"/>
        <v>0</v>
      </c>
      <c r="J291" s="131"/>
      <c r="K291" s="131"/>
    </row>
    <row r="292" spans="1:11" x14ac:dyDescent="0.25">
      <c r="A292" s="128"/>
      <c r="B292" s="132">
        <v>45519</v>
      </c>
      <c r="C292" s="109" t="s">
        <v>778</v>
      </c>
      <c r="D292" s="10" t="s">
        <v>16</v>
      </c>
      <c r="E292" s="7" t="s">
        <v>17</v>
      </c>
      <c r="F292" s="244">
        <v>12</v>
      </c>
      <c r="G292" s="144" t="s">
        <v>822</v>
      </c>
      <c r="H292" s="110"/>
      <c r="I292" s="109">
        <f t="shared" ref="I292" si="6">H292*F292</f>
        <v>0</v>
      </c>
      <c r="J292" s="131"/>
      <c r="K292" s="131"/>
    </row>
    <row r="293" spans="1:11" x14ac:dyDescent="0.25">
      <c r="A293" s="128"/>
      <c r="B293" s="132">
        <v>45519</v>
      </c>
      <c r="C293" s="109" t="s">
        <v>836</v>
      </c>
      <c r="D293" s="10" t="s">
        <v>164</v>
      </c>
      <c r="E293" s="9" t="s">
        <v>165</v>
      </c>
      <c r="F293" s="110">
        <f>20*12+3</f>
        <v>243</v>
      </c>
      <c r="G293" s="140" t="s">
        <v>823</v>
      </c>
      <c r="H293" s="110"/>
      <c r="I293" s="109">
        <f t="shared" si="5"/>
        <v>0</v>
      </c>
      <c r="J293" s="131"/>
      <c r="K293" s="131"/>
    </row>
    <row r="294" spans="1:11" x14ac:dyDescent="0.25">
      <c r="A294" s="128"/>
      <c r="B294" s="132">
        <v>45519</v>
      </c>
      <c r="C294" s="109" t="s">
        <v>836</v>
      </c>
      <c r="D294" s="10" t="s">
        <v>86</v>
      </c>
      <c r="E294" s="9" t="s">
        <v>87</v>
      </c>
      <c r="F294" s="110">
        <v>12</v>
      </c>
      <c r="G294" s="140" t="s">
        <v>823</v>
      </c>
      <c r="H294" s="110"/>
      <c r="I294" s="109">
        <f t="shared" si="5"/>
        <v>0</v>
      </c>
      <c r="J294" s="131"/>
      <c r="K294" s="131"/>
    </row>
    <row r="295" spans="1:11" ht="15" customHeight="1" x14ac:dyDescent="0.25">
      <c r="A295" s="128"/>
      <c r="B295" s="132">
        <v>45519</v>
      </c>
      <c r="C295" s="109" t="s">
        <v>836</v>
      </c>
      <c r="D295" s="10" t="s">
        <v>172</v>
      </c>
      <c r="E295" s="9" t="s">
        <v>173</v>
      </c>
      <c r="F295" s="110">
        <v>1</v>
      </c>
      <c r="G295" s="140" t="s">
        <v>823</v>
      </c>
      <c r="H295" s="116"/>
      <c r="I295" s="109">
        <f t="shared" si="5"/>
        <v>0</v>
      </c>
      <c r="J295" s="133"/>
      <c r="K295" s="133"/>
    </row>
    <row r="296" spans="1:11" ht="15" customHeight="1" x14ac:dyDescent="0.25">
      <c r="A296" s="128"/>
      <c r="B296" s="132">
        <v>45519</v>
      </c>
      <c r="C296" s="109" t="s">
        <v>836</v>
      </c>
      <c r="D296" s="21" t="s">
        <v>763</v>
      </c>
      <c r="E296" s="22" t="s">
        <v>83</v>
      </c>
      <c r="F296" s="110">
        <v>24</v>
      </c>
      <c r="G296" s="140" t="s">
        <v>823</v>
      </c>
      <c r="H296" s="116"/>
      <c r="I296" s="109">
        <f t="shared" si="5"/>
        <v>0</v>
      </c>
      <c r="J296" s="133"/>
      <c r="K296" s="133"/>
    </row>
    <row r="297" spans="1:11" x14ac:dyDescent="0.25">
      <c r="A297" s="128"/>
      <c r="B297" s="132">
        <v>45519</v>
      </c>
      <c r="C297" s="109" t="s">
        <v>836</v>
      </c>
      <c r="D297" s="10" t="s">
        <v>166</v>
      </c>
      <c r="E297" s="9" t="s">
        <v>167</v>
      </c>
      <c r="F297" s="244">
        <v>12</v>
      </c>
      <c r="G297" s="140" t="s">
        <v>823</v>
      </c>
      <c r="H297" s="110"/>
      <c r="I297" s="109">
        <f t="shared" si="5"/>
        <v>0</v>
      </c>
      <c r="J297" s="131"/>
      <c r="K297" s="131"/>
    </row>
    <row r="298" spans="1:11" x14ac:dyDescent="0.25">
      <c r="A298" s="128"/>
      <c r="B298" s="252">
        <v>45520</v>
      </c>
      <c r="C298" s="243" t="s">
        <v>775</v>
      </c>
      <c r="D298" s="263" t="s">
        <v>762</v>
      </c>
      <c r="E298" s="275" t="s">
        <v>85</v>
      </c>
      <c r="F298" s="110">
        <v>24</v>
      </c>
      <c r="G298" s="140" t="s">
        <v>823</v>
      </c>
      <c r="H298" s="110"/>
      <c r="I298" s="109">
        <f t="shared" si="5"/>
        <v>0</v>
      </c>
      <c r="J298" s="131"/>
      <c r="K298" s="131"/>
    </row>
    <row r="299" spans="1:11" ht="15.75" x14ac:dyDescent="0.25">
      <c r="A299" s="128"/>
      <c r="B299" s="252">
        <v>45520</v>
      </c>
      <c r="C299" s="243" t="s">
        <v>836</v>
      </c>
      <c r="D299" s="15" t="s">
        <v>238</v>
      </c>
      <c r="E299" s="31" t="s">
        <v>239</v>
      </c>
      <c r="F299" s="110">
        <v>9</v>
      </c>
      <c r="G299" s="140" t="s">
        <v>823</v>
      </c>
      <c r="H299" s="110"/>
      <c r="I299" s="109">
        <f t="shared" si="5"/>
        <v>0</v>
      </c>
      <c r="J299" s="131"/>
      <c r="K299" s="131"/>
    </row>
    <row r="300" spans="1:11" x14ac:dyDescent="0.25">
      <c r="A300" s="128"/>
      <c r="B300" s="252">
        <v>45520</v>
      </c>
      <c r="C300" s="243" t="s">
        <v>836</v>
      </c>
      <c r="D300" s="10" t="s">
        <v>124</v>
      </c>
      <c r="E300" s="9" t="s">
        <v>125</v>
      </c>
      <c r="F300" s="110">
        <v>8</v>
      </c>
      <c r="G300" s="140" t="s">
        <v>823</v>
      </c>
      <c r="H300" s="110"/>
      <c r="I300" s="109">
        <f t="shared" si="5"/>
        <v>0</v>
      </c>
      <c r="J300" s="131"/>
      <c r="K300" s="131"/>
    </row>
    <row r="301" spans="1:11" x14ac:dyDescent="0.25">
      <c r="A301" s="128"/>
      <c r="B301" s="252">
        <v>45520</v>
      </c>
      <c r="C301" s="243" t="s">
        <v>836</v>
      </c>
      <c r="D301" s="10" t="s">
        <v>86</v>
      </c>
      <c r="E301" s="308" t="s">
        <v>87</v>
      </c>
      <c r="F301" s="244">
        <v>75</v>
      </c>
      <c r="G301" s="307" t="s">
        <v>823</v>
      </c>
      <c r="H301" s="244"/>
      <c r="I301" s="243">
        <f t="shared" si="5"/>
        <v>0</v>
      </c>
      <c r="J301" s="246"/>
      <c r="K301" s="131"/>
    </row>
    <row r="302" spans="1:11" x14ac:dyDescent="0.25">
      <c r="A302" s="128"/>
      <c r="B302" s="252">
        <v>45520</v>
      </c>
      <c r="C302" s="243" t="s">
        <v>836</v>
      </c>
      <c r="D302" s="21" t="s">
        <v>763</v>
      </c>
      <c r="E302" s="306" t="s">
        <v>83</v>
      </c>
      <c r="F302" s="244">
        <v>8</v>
      </c>
      <c r="G302" s="307" t="s">
        <v>823</v>
      </c>
      <c r="H302" s="244"/>
      <c r="I302" s="243">
        <f t="shared" si="5"/>
        <v>0</v>
      </c>
      <c r="J302" s="246"/>
      <c r="K302" s="131"/>
    </row>
    <row r="303" spans="1:11" ht="15" customHeight="1" x14ac:dyDescent="0.25">
      <c r="A303" s="128"/>
      <c r="B303" s="252">
        <v>45520</v>
      </c>
      <c r="C303" s="128"/>
      <c r="D303" s="261" t="s">
        <v>126</v>
      </c>
      <c r="E303" s="309" t="s">
        <v>127</v>
      </c>
      <c r="F303" s="244">
        <f>48+384</f>
        <v>432</v>
      </c>
      <c r="G303" s="307" t="s">
        <v>823</v>
      </c>
      <c r="H303" s="244"/>
      <c r="I303" s="243">
        <f t="shared" si="5"/>
        <v>0</v>
      </c>
      <c r="J303" s="246"/>
      <c r="K303" s="131"/>
    </row>
    <row r="304" spans="1:11" ht="15" customHeight="1" x14ac:dyDescent="0.25">
      <c r="A304" s="128"/>
      <c r="B304" s="252">
        <v>45520</v>
      </c>
      <c r="C304" s="128"/>
      <c r="D304" s="21" t="s">
        <v>142</v>
      </c>
      <c r="E304" s="306" t="s">
        <v>143</v>
      </c>
      <c r="F304" s="244">
        <v>96</v>
      </c>
      <c r="G304" s="307" t="s">
        <v>823</v>
      </c>
      <c r="H304" s="244"/>
      <c r="I304" s="243">
        <f t="shared" si="5"/>
        <v>0</v>
      </c>
      <c r="J304" s="246"/>
      <c r="K304" s="131"/>
    </row>
    <row r="305" spans="1:11" ht="15" customHeight="1" x14ac:dyDescent="0.25">
      <c r="A305" s="242"/>
      <c r="B305" s="252">
        <v>45520</v>
      </c>
      <c r="C305" s="312" t="s">
        <v>836</v>
      </c>
      <c r="D305" s="10" t="s">
        <v>22</v>
      </c>
      <c r="E305" s="7" t="s">
        <v>23</v>
      </c>
      <c r="F305" s="244">
        <v>48</v>
      </c>
      <c r="G305" s="307" t="s">
        <v>823</v>
      </c>
      <c r="H305" s="244"/>
      <c r="I305" s="243"/>
      <c r="J305" s="246"/>
      <c r="K305" s="246"/>
    </row>
    <row r="306" spans="1:11" ht="15" customHeight="1" x14ac:dyDescent="0.25">
      <c r="A306" s="242"/>
      <c r="B306" s="252">
        <v>45520</v>
      </c>
      <c r="C306" s="242" t="s">
        <v>901</v>
      </c>
      <c r="D306" s="21" t="s">
        <v>768</v>
      </c>
      <c r="E306" s="306" t="s">
        <v>67</v>
      </c>
      <c r="F306" s="244">
        <v>12</v>
      </c>
      <c r="G306" s="307" t="s">
        <v>823</v>
      </c>
      <c r="H306" s="244"/>
      <c r="I306" s="243"/>
      <c r="J306" s="246"/>
      <c r="K306" s="246"/>
    </row>
    <row r="307" spans="1:11" ht="15" customHeight="1" x14ac:dyDescent="0.25">
      <c r="A307" s="128"/>
      <c r="B307" s="252">
        <v>45520</v>
      </c>
      <c r="C307" s="128" t="s">
        <v>926</v>
      </c>
      <c r="D307" s="21" t="s">
        <v>764</v>
      </c>
      <c r="E307" s="306" t="s">
        <v>69</v>
      </c>
      <c r="F307" s="244">
        <v>173</v>
      </c>
      <c r="G307" s="310" t="s">
        <v>820</v>
      </c>
      <c r="H307" s="311">
        <v>8197</v>
      </c>
      <c r="I307" s="243">
        <f t="shared" si="5"/>
        <v>1418081</v>
      </c>
      <c r="J307" s="363">
        <f>SUM(I307:I311)</f>
        <v>2858397</v>
      </c>
      <c r="K307" s="357">
        <v>2550167</v>
      </c>
    </row>
    <row r="308" spans="1:11" ht="15" customHeight="1" x14ac:dyDescent="0.25">
      <c r="A308" s="128"/>
      <c r="B308" s="252">
        <v>45520</v>
      </c>
      <c r="C308" s="128" t="s">
        <v>926</v>
      </c>
      <c r="D308" s="21" t="s">
        <v>763</v>
      </c>
      <c r="E308" s="306" t="s">
        <v>83</v>
      </c>
      <c r="F308" s="244">
        <v>96</v>
      </c>
      <c r="G308" s="310" t="s">
        <v>820</v>
      </c>
      <c r="H308" s="311">
        <v>8197</v>
      </c>
      <c r="I308" s="243">
        <f t="shared" si="5"/>
        <v>786912</v>
      </c>
      <c r="J308" s="363"/>
      <c r="K308" s="353"/>
    </row>
    <row r="309" spans="1:11" ht="15" customHeight="1" x14ac:dyDescent="0.25">
      <c r="A309" s="128"/>
      <c r="B309" s="252">
        <v>45520</v>
      </c>
      <c r="C309" s="128"/>
      <c r="D309" s="10" t="s">
        <v>124</v>
      </c>
      <c r="E309" s="308" t="s">
        <v>125</v>
      </c>
      <c r="F309" s="244">
        <v>49</v>
      </c>
      <c r="G309" s="310" t="s">
        <v>820</v>
      </c>
      <c r="H309" s="311">
        <v>6350</v>
      </c>
      <c r="I309" s="243">
        <f t="shared" si="5"/>
        <v>311150</v>
      </c>
      <c r="J309" s="363"/>
      <c r="K309" s="353"/>
    </row>
    <row r="310" spans="1:11" ht="15" customHeight="1" x14ac:dyDescent="0.25">
      <c r="A310" s="128"/>
      <c r="B310" s="252">
        <v>45520</v>
      </c>
      <c r="C310" s="128"/>
      <c r="D310" s="21" t="s">
        <v>126</v>
      </c>
      <c r="E310" s="306" t="s">
        <v>127</v>
      </c>
      <c r="F310" s="244">
        <v>49</v>
      </c>
      <c r="G310" s="310" t="s">
        <v>820</v>
      </c>
      <c r="H310" s="311">
        <v>6350</v>
      </c>
      <c r="I310" s="243">
        <f t="shared" si="5"/>
        <v>311150</v>
      </c>
      <c r="J310" s="363"/>
      <c r="K310" s="353"/>
    </row>
    <row r="311" spans="1:11" ht="15" customHeight="1" x14ac:dyDescent="0.25">
      <c r="A311" s="128"/>
      <c r="B311" s="252">
        <v>45520</v>
      </c>
      <c r="C311" s="128"/>
      <c r="D311" s="21" t="s">
        <v>766</v>
      </c>
      <c r="E311" s="306" t="s">
        <v>77</v>
      </c>
      <c r="F311" s="244">
        <v>6</v>
      </c>
      <c r="G311" s="310" t="s">
        <v>820</v>
      </c>
      <c r="H311" s="311">
        <v>5184</v>
      </c>
      <c r="I311" s="243">
        <f t="shared" si="5"/>
        <v>31104</v>
      </c>
      <c r="J311" s="363"/>
      <c r="K311" s="354"/>
    </row>
    <row r="312" spans="1:11" x14ac:dyDescent="0.25">
      <c r="A312" s="128"/>
      <c r="B312" s="127">
        <v>45521</v>
      </c>
      <c r="C312" s="243" t="s">
        <v>930</v>
      </c>
      <c r="D312" s="297" t="s">
        <v>762</v>
      </c>
      <c r="E312" s="275" t="s">
        <v>85</v>
      </c>
      <c r="F312" s="110">
        <v>36</v>
      </c>
      <c r="G312" s="307" t="s">
        <v>823</v>
      </c>
      <c r="H312" s="244"/>
      <c r="I312" s="243">
        <f t="shared" si="5"/>
        <v>0</v>
      </c>
      <c r="J312" s="246"/>
      <c r="K312" s="131"/>
    </row>
    <row r="313" spans="1:11" x14ac:dyDescent="0.25">
      <c r="A313" s="128"/>
      <c r="B313" s="127">
        <v>45521</v>
      </c>
      <c r="C313" s="243" t="s">
        <v>775</v>
      </c>
      <c r="D313" s="10" t="s">
        <v>56</v>
      </c>
      <c r="E313" s="7" t="s">
        <v>57</v>
      </c>
      <c r="F313" s="110">
        <v>12</v>
      </c>
      <c r="G313" s="307" t="s">
        <v>823</v>
      </c>
      <c r="H313" s="110"/>
      <c r="I313" s="109">
        <f t="shared" si="5"/>
        <v>0</v>
      </c>
      <c r="J313" s="131"/>
      <c r="K313" s="131"/>
    </row>
    <row r="314" spans="1:11" x14ac:dyDescent="0.25">
      <c r="A314" s="128"/>
      <c r="B314" s="127">
        <v>45521</v>
      </c>
      <c r="C314" s="243" t="s">
        <v>929</v>
      </c>
      <c r="D314" s="298" t="s">
        <v>126</v>
      </c>
      <c r="E314" s="251" t="s">
        <v>127</v>
      </c>
      <c r="F314" s="110">
        <f>144+480+48</f>
        <v>672</v>
      </c>
      <c r="G314" s="307" t="s">
        <v>823</v>
      </c>
      <c r="H314" s="110"/>
      <c r="I314" s="109">
        <f t="shared" si="5"/>
        <v>0</v>
      </c>
      <c r="J314" s="131"/>
      <c r="K314" s="131"/>
    </row>
    <row r="315" spans="1:11" x14ac:dyDescent="0.25">
      <c r="A315" s="128"/>
      <c r="B315" s="127">
        <v>45521</v>
      </c>
      <c r="C315" s="243" t="s">
        <v>836</v>
      </c>
      <c r="D315" s="10" t="s">
        <v>172</v>
      </c>
      <c r="E315" s="9" t="s">
        <v>173</v>
      </c>
      <c r="F315" s="110">
        <v>3</v>
      </c>
      <c r="G315" s="307" t="s">
        <v>823</v>
      </c>
      <c r="H315" s="110"/>
      <c r="I315" s="109">
        <f t="shared" si="5"/>
        <v>0</v>
      </c>
      <c r="J315" s="131"/>
      <c r="K315" s="131"/>
    </row>
    <row r="316" spans="1:11" x14ac:dyDescent="0.25">
      <c r="A316" s="128"/>
      <c r="B316" s="127">
        <v>45521</v>
      </c>
      <c r="C316" s="243" t="s">
        <v>836</v>
      </c>
      <c r="D316" s="10" t="s">
        <v>22</v>
      </c>
      <c r="E316" s="7" t="s">
        <v>23</v>
      </c>
      <c r="F316" s="110">
        <v>60</v>
      </c>
      <c r="G316" s="307" t="s">
        <v>823</v>
      </c>
      <c r="H316" s="110"/>
      <c r="I316" s="109">
        <f t="shared" si="5"/>
        <v>0</v>
      </c>
      <c r="J316" s="131"/>
      <c r="K316" s="131"/>
    </row>
    <row r="317" spans="1:11" x14ac:dyDescent="0.25">
      <c r="A317" s="128"/>
      <c r="B317" s="127">
        <v>45521</v>
      </c>
      <c r="C317" s="128" t="s">
        <v>853</v>
      </c>
      <c r="D317" s="298" t="s">
        <v>142</v>
      </c>
      <c r="E317" s="251" t="s">
        <v>143</v>
      </c>
      <c r="F317" s="110">
        <v>240</v>
      </c>
      <c r="G317" s="307" t="s">
        <v>823</v>
      </c>
      <c r="H317" s="110"/>
      <c r="I317" s="109">
        <f t="shared" si="5"/>
        <v>0</v>
      </c>
      <c r="J317" s="131"/>
      <c r="K317" s="131"/>
    </row>
    <row r="318" spans="1:11" x14ac:dyDescent="0.25">
      <c r="A318" s="128"/>
      <c r="B318" s="127">
        <v>45521</v>
      </c>
      <c r="C318" s="128" t="s">
        <v>853</v>
      </c>
      <c r="D318" s="299" t="s">
        <v>124</v>
      </c>
      <c r="E318" s="271" t="s">
        <v>125</v>
      </c>
      <c r="F318" s="110">
        <v>96</v>
      </c>
      <c r="G318" s="307" t="s">
        <v>823</v>
      </c>
      <c r="H318" s="110"/>
      <c r="I318" s="109">
        <f t="shared" si="5"/>
        <v>0</v>
      </c>
      <c r="J318" s="131"/>
      <c r="K318" s="131"/>
    </row>
    <row r="319" spans="1:11" x14ac:dyDescent="0.25">
      <c r="A319" s="242"/>
      <c r="B319" s="127">
        <v>45521</v>
      </c>
      <c r="C319" s="128" t="s">
        <v>853</v>
      </c>
      <c r="D319" s="10" t="s">
        <v>132</v>
      </c>
      <c r="E319" s="9" t="s">
        <v>133</v>
      </c>
      <c r="F319" s="244">
        <v>48</v>
      </c>
      <c r="G319" s="307" t="s">
        <v>823</v>
      </c>
      <c r="H319" s="244"/>
      <c r="I319" s="243">
        <f t="shared" si="5"/>
        <v>0</v>
      </c>
      <c r="J319" s="246"/>
      <c r="K319" s="246"/>
    </row>
    <row r="320" spans="1:11" x14ac:dyDescent="0.25">
      <c r="A320" s="128"/>
      <c r="B320" s="127">
        <v>45521</v>
      </c>
      <c r="C320" s="128" t="s">
        <v>853</v>
      </c>
      <c r="D320" s="21" t="s">
        <v>798</v>
      </c>
      <c r="E320" s="23" t="s">
        <v>796</v>
      </c>
      <c r="F320" s="110">
        <v>48</v>
      </c>
      <c r="G320" s="307" t="s">
        <v>823</v>
      </c>
      <c r="H320" s="110"/>
      <c r="I320" s="109">
        <f t="shared" si="5"/>
        <v>0</v>
      </c>
      <c r="J320" s="131"/>
      <c r="K320" s="131"/>
    </row>
    <row r="321" spans="1:11" x14ac:dyDescent="0.25">
      <c r="A321" s="128"/>
      <c r="B321" s="127">
        <v>45521</v>
      </c>
      <c r="C321" s="128" t="s">
        <v>863</v>
      </c>
      <c r="D321" s="10" t="s">
        <v>185</v>
      </c>
      <c r="E321" s="9" t="s">
        <v>186</v>
      </c>
      <c r="F321" s="110">
        <v>5</v>
      </c>
      <c r="G321" s="307" t="s">
        <v>823</v>
      </c>
      <c r="H321" s="110"/>
      <c r="I321" s="109">
        <f t="shared" si="5"/>
        <v>0</v>
      </c>
      <c r="J321" s="131"/>
      <c r="K321" s="131"/>
    </row>
    <row r="322" spans="1:11" x14ac:dyDescent="0.25">
      <c r="A322" s="128"/>
      <c r="B322" s="127">
        <v>45521</v>
      </c>
      <c r="C322" s="128" t="s">
        <v>863</v>
      </c>
      <c r="D322" s="21" t="s">
        <v>797</v>
      </c>
      <c r="E322" s="23" t="s">
        <v>795</v>
      </c>
      <c r="F322" s="110">
        <v>24</v>
      </c>
      <c r="G322" s="307" t="s">
        <v>823</v>
      </c>
      <c r="H322" s="110"/>
      <c r="I322" s="109">
        <f t="shared" si="5"/>
        <v>0</v>
      </c>
      <c r="J322" s="131"/>
      <c r="K322" s="131"/>
    </row>
    <row r="323" spans="1:11" x14ac:dyDescent="0.25">
      <c r="A323" s="128"/>
      <c r="B323" s="127">
        <v>45521</v>
      </c>
      <c r="C323" s="128" t="s">
        <v>863</v>
      </c>
      <c r="D323" s="10" t="s">
        <v>140</v>
      </c>
      <c r="E323" s="9" t="s">
        <v>141</v>
      </c>
      <c r="F323" s="110">
        <v>20</v>
      </c>
      <c r="G323" s="307" t="s">
        <v>823</v>
      </c>
      <c r="H323" s="110"/>
      <c r="I323" s="109">
        <f t="shared" si="5"/>
        <v>0</v>
      </c>
      <c r="J323" s="131"/>
      <c r="K323" s="131"/>
    </row>
    <row r="324" spans="1:11" x14ac:dyDescent="0.25">
      <c r="A324" s="242"/>
      <c r="B324" s="127">
        <v>45521</v>
      </c>
      <c r="C324" s="242" t="s">
        <v>901</v>
      </c>
      <c r="D324" s="21" t="s">
        <v>768</v>
      </c>
      <c r="E324" s="23" t="s">
        <v>67</v>
      </c>
      <c r="F324" s="110">
        <v>12</v>
      </c>
      <c r="G324" s="307" t="s">
        <v>823</v>
      </c>
      <c r="H324" s="244"/>
      <c r="I324" s="109">
        <f t="shared" si="5"/>
        <v>0</v>
      </c>
      <c r="J324" s="246"/>
      <c r="K324" s="246"/>
    </row>
    <row r="325" spans="1:11" ht="15" customHeight="1" x14ac:dyDescent="0.25">
      <c r="A325" s="128"/>
      <c r="B325" s="127">
        <v>45521</v>
      </c>
      <c r="C325" s="243" t="s">
        <v>836</v>
      </c>
      <c r="D325" s="10" t="s">
        <v>22</v>
      </c>
      <c r="E325" s="7" t="s">
        <v>23</v>
      </c>
      <c r="F325" s="110">
        <v>60</v>
      </c>
      <c r="G325" s="144" t="s">
        <v>822</v>
      </c>
      <c r="H325" s="116"/>
      <c r="I325" s="109">
        <f t="shared" si="5"/>
        <v>0</v>
      </c>
      <c r="J325" s="133"/>
      <c r="K325" s="133"/>
    </row>
    <row r="326" spans="1:11" ht="15" customHeight="1" x14ac:dyDescent="0.25">
      <c r="A326" s="128"/>
      <c r="B326" s="127">
        <v>45521</v>
      </c>
      <c r="C326" s="243" t="s">
        <v>844</v>
      </c>
      <c r="D326" s="298" t="s">
        <v>142</v>
      </c>
      <c r="E326" s="251" t="s">
        <v>143</v>
      </c>
      <c r="F326" s="110">
        <v>144</v>
      </c>
      <c r="G326" s="144" t="s">
        <v>822</v>
      </c>
      <c r="H326" s="116"/>
      <c r="I326" s="109">
        <f t="shared" si="5"/>
        <v>0</v>
      </c>
      <c r="J326" s="133"/>
      <c r="K326" s="133"/>
    </row>
    <row r="327" spans="1:11" ht="15" customHeight="1" x14ac:dyDescent="0.25">
      <c r="A327" s="128"/>
      <c r="B327" s="127">
        <v>45521</v>
      </c>
      <c r="C327" s="128"/>
      <c r="D327" s="10" t="s">
        <v>759</v>
      </c>
      <c r="E327" s="7" t="s">
        <v>758</v>
      </c>
      <c r="F327" s="110">
        <v>175</v>
      </c>
      <c r="G327" s="310" t="s">
        <v>820</v>
      </c>
      <c r="H327" s="53">
        <v>9180</v>
      </c>
      <c r="I327" s="109">
        <f t="shared" si="5"/>
        <v>1606500</v>
      </c>
      <c r="J327" s="357">
        <f>SUM(I327:I364)</f>
        <v>98434273</v>
      </c>
      <c r="K327" s="357">
        <v>83954166</v>
      </c>
    </row>
    <row r="328" spans="1:11" ht="15" customHeight="1" x14ac:dyDescent="0.25">
      <c r="A328" s="128"/>
      <c r="B328" s="127">
        <v>45521</v>
      </c>
      <c r="C328" s="128"/>
      <c r="D328" s="10" t="s">
        <v>52</v>
      </c>
      <c r="E328" s="7" t="s">
        <v>53</v>
      </c>
      <c r="F328" s="110">
        <v>210</v>
      </c>
      <c r="G328" s="310" t="s">
        <v>820</v>
      </c>
      <c r="H328" s="53">
        <v>5940</v>
      </c>
      <c r="I328" s="109">
        <f t="shared" si="5"/>
        <v>1247400</v>
      </c>
      <c r="J328" s="353"/>
      <c r="K328" s="353"/>
    </row>
    <row r="329" spans="1:11" ht="15" customHeight="1" x14ac:dyDescent="0.25">
      <c r="A329" s="128"/>
      <c r="B329" s="127">
        <v>45521</v>
      </c>
      <c r="C329" s="128"/>
      <c r="D329" s="10" t="s">
        <v>56</v>
      </c>
      <c r="E329" s="7" t="s">
        <v>57</v>
      </c>
      <c r="F329" s="110">
        <v>12</v>
      </c>
      <c r="G329" s="310" t="s">
        <v>820</v>
      </c>
      <c r="H329" s="53">
        <v>33491</v>
      </c>
      <c r="I329" s="109">
        <f t="shared" si="5"/>
        <v>401892</v>
      </c>
      <c r="J329" s="353"/>
      <c r="K329" s="353"/>
    </row>
    <row r="330" spans="1:11" ht="15" customHeight="1" x14ac:dyDescent="0.25">
      <c r="A330" s="128"/>
      <c r="B330" s="127">
        <v>45521</v>
      </c>
      <c r="C330" s="128" t="s">
        <v>777</v>
      </c>
      <c r="D330" s="21" t="s">
        <v>767</v>
      </c>
      <c r="E330" s="23" t="s">
        <v>63</v>
      </c>
      <c r="F330" s="110">
        <v>66</v>
      </c>
      <c r="G330" s="310" t="s">
        <v>820</v>
      </c>
      <c r="H330" s="53">
        <v>8197</v>
      </c>
      <c r="I330" s="109">
        <f t="shared" si="5"/>
        <v>541002</v>
      </c>
      <c r="J330" s="353"/>
      <c r="K330" s="353"/>
    </row>
    <row r="331" spans="1:11" ht="15" customHeight="1" x14ac:dyDescent="0.25">
      <c r="A331" s="128"/>
      <c r="B331" s="127">
        <v>45521</v>
      </c>
      <c r="C331" s="128"/>
      <c r="D331" s="21" t="s">
        <v>768</v>
      </c>
      <c r="E331" s="23" t="s">
        <v>67</v>
      </c>
      <c r="F331" s="110">
        <v>21</v>
      </c>
      <c r="G331" s="310" t="s">
        <v>820</v>
      </c>
      <c r="H331" s="53">
        <v>35867</v>
      </c>
      <c r="I331" s="109">
        <f t="shared" si="5"/>
        <v>753207</v>
      </c>
      <c r="J331" s="353"/>
      <c r="K331" s="353"/>
    </row>
    <row r="332" spans="1:11" ht="15" customHeight="1" x14ac:dyDescent="0.25">
      <c r="A332" s="128"/>
      <c r="B332" s="127">
        <v>45521</v>
      </c>
      <c r="C332" s="128" t="s">
        <v>843</v>
      </c>
      <c r="D332" s="21" t="s">
        <v>765</v>
      </c>
      <c r="E332" s="22" t="s">
        <v>75</v>
      </c>
      <c r="F332" s="110">
        <f>60*2+466+80</f>
        <v>666</v>
      </c>
      <c r="G332" s="310" t="s">
        <v>820</v>
      </c>
      <c r="H332" s="53">
        <v>8197</v>
      </c>
      <c r="I332" s="109">
        <f t="shared" si="5"/>
        <v>5459202</v>
      </c>
      <c r="J332" s="353"/>
      <c r="K332" s="353"/>
    </row>
    <row r="333" spans="1:11" ht="15" customHeight="1" x14ac:dyDescent="0.25">
      <c r="A333" s="128"/>
      <c r="B333" s="127">
        <v>45521</v>
      </c>
      <c r="C333" s="128"/>
      <c r="D333" s="21" t="s">
        <v>766</v>
      </c>
      <c r="E333" s="22" t="s">
        <v>77</v>
      </c>
      <c r="F333" s="110">
        <v>304</v>
      </c>
      <c r="G333" s="310" t="s">
        <v>820</v>
      </c>
      <c r="H333" s="53">
        <v>5184</v>
      </c>
      <c r="I333" s="109">
        <f t="shared" si="5"/>
        <v>1575936</v>
      </c>
      <c r="J333" s="353"/>
      <c r="K333" s="353"/>
    </row>
    <row r="334" spans="1:11" ht="15" customHeight="1" x14ac:dyDescent="0.25">
      <c r="A334" s="128"/>
      <c r="B334" s="127">
        <v>45521</v>
      </c>
      <c r="C334" s="128"/>
      <c r="D334" s="21" t="s">
        <v>78</v>
      </c>
      <c r="E334" s="22" t="s">
        <v>79</v>
      </c>
      <c r="F334" s="110">
        <v>12</v>
      </c>
      <c r="G334" s="310" t="s">
        <v>820</v>
      </c>
      <c r="H334" s="53">
        <v>54821</v>
      </c>
      <c r="I334" s="109">
        <f t="shared" si="5"/>
        <v>657852</v>
      </c>
      <c r="J334" s="353"/>
      <c r="K334" s="353"/>
    </row>
    <row r="335" spans="1:11" ht="15" customHeight="1" x14ac:dyDescent="0.25">
      <c r="A335" s="128"/>
      <c r="B335" s="127">
        <v>45521</v>
      </c>
      <c r="C335" s="313"/>
      <c r="D335" s="64" t="s">
        <v>80</v>
      </c>
      <c r="E335" s="314" t="s">
        <v>81</v>
      </c>
      <c r="F335" s="292">
        <v>85</v>
      </c>
      <c r="G335" s="315" t="s">
        <v>820</v>
      </c>
      <c r="H335" s="66">
        <v>10973</v>
      </c>
      <c r="I335" s="289">
        <f t="shared" si="5"/>
        <v>932705</v>
      </c>
      <c r="J335" s="353"/>
      <c r="K335" s="353"/>
    </row>
    <row r="336" spans="1:11" ht="15" customHeight="1" x14ac:dyDescent="0.25">
      <c r="A336" s="242"/>
      <c r="B336" s="127">
        <v>45521</v>
      </c>
      <c r="C336" s="128" t="s">
        <v>843</v>
      </c>
      <c r="D336" s="298" t="s">
        <v>763</v>
      </c>
      <c r="E336" s="251" t="s">
        <v>83</v>
      </c>
      <c r="F336" s="244">
        <v>517</v>
      </c>
      <c r="G336" s="310" t="s">
        <v>820</v>
      </c>
      <c r="H336" s="311">
        <v>8197</v>
      </c>
      <c r="I336" s="243">
        <f t="shared" si="5"/>
        <v>4237849</v>
      </c>
      <c r="J336" s="353"/>
      <c r="K336" s="353"/>
    </row>
    <row r="337" spans="1:11" ht="15" customHeight="1" x14ac:dyDescent="0.25">
      <c r="A337" s="242"/>
      <c r="B337" s="127">
        <v>45521</v>
      </c>
      <c r="C337" s="128" t="s">
        <v>843</v>
      </c>
      <c r="D337" s="297" t="s">
        <v>762</v>
      </c>
      <c r="E337" s="275" t="s">
        <v>85</v>
      </c>
      <c r="F337" s="244">
        <f>8+978</f>
        <v>986</v>
      </c>
      <c r="G337" s="310" t="s">
        <v>820</v>
      </c>
      <c r="H337" s="311">
        <v>35867</v>
      </c>
      <c r="I337" s="243">
        <f t="shared" si="5"/>
        <v>35364862</v>
      </c>
      <c r="J337" s="353"/>
      <c r="K337" s="353"/>
    </row>
    <row r="338" spans="1:11" ht="15" customHeight="1" x14ac:dyDescent="0.25">
      <c r="A338" s="242"/>
      <c r="B338" s="127">
        <v>45521</v>
      </c>
      <c r="C338" s="128" t="s">
        <v>843</v>
      </c>
      <c r="D338" s="299" t="s">
        <v>86</v>
      </c>
      <c r="E338" s="271" t="s">
        <v>87</v>
      </c>
      <c r="F338" s="244">
        <v>357</v>
      </c>
      <c r="G338" s="310" t="s">
        <v>820</v>
      </c>
      <c r="H338" s="311">
        <v>27508</v>
      </c>
      <c r="I338" s="243">
        <f t="shared" si="5"/>
        <v>9820356</v>
      </c>
      <c r="J338" s="353"/>
      <c r="K338" s="353"/>
    </row>
    <row r="339" spans="1:11" ht="15" customHeight="1" x14ac:dyDescent="0.25">
      <c r="A339" s="242"/>
      <c r="B339" s="127">
        <v>45521</v>
      </c>
      <c r="C339" s="242"/>
      <c r="D339" s="10" t="s">
        <v>120</v>
      </c>
      <c r="E339" s="9" t="s">
        <v>121</v>
      </c>
      <c r="F339" s="244">
        <v>45</v>
      </c>
      <c r="G339" s="310" t="s">
        <v>820</v>
      </c>
      <c r="H339" s="53">
        <v>8932</v>
      </c>
      <c r="I339" s="243">
        <f t="shared" si="5"/>
        <v>401940</v>
      </c>
      <c r="J339" s="353"/>
      <c r="K339" s="353"/>
    </row>
    <row r="340" spans="1:11" ht="15" customHeight="1" x14ac:dyDescent="0.25">
      <c r="A340" s="242"/>
      <c r="B340" s="127">
        <v>45521</v>
      </c>
      <c r="C340" s="242"/>
      <c r="D340" s="10" t="s">
        <v>122</v>
      </c>
      <c r="E340" s="9" t="s">
        <v>123</v>
      </c>
      <c r="F340" s="244">
        <v>20</v>
      </c>
      <c r="G340" s="310" t="s">
        <v>820</v>
      </c>
      <c r="H340" s="53">
        <v>7538</v>
      </c>
      <c r="I340" s="243">
        <f t="shared" si="5"/>
        <v>150760</v>
      </c>
      <c r="J340" s="353"/>
      <c r="K340" s="353"/>
    </row>
    <row r="341" spans="1:11" ht="15" customHeight="1" x14ac:dyDescent="0.25">
      <c r="A341" s="242"/>
      <c r="B341" s="127">
        <v>45521</v>
      </c>
      <c r="C341" s="128" t="s">
        <v>843</v>
      </c>
      <c r="D341" s="10" t="s">
        <v>124</v>
      </c>
      <c r="E341" s="9" t="s">
        <v>125</v>
      </c>
      <c r="F341" s="244">
        <f>4+809+2</f>
        <v>815</v>
      </c>
      <c r="G341" s="310" t="s">
        <v>820</v>
      </c>
      <c r="H341" s="53">
        <v>6350</v>
      </c>
      <c r="I341" s="243">
        <f t="shared" si="5"/>
        <v>5175250</v>
      </c>
      <c r="J341" s="353"/>
      <c r="K341" s="353"/>
    </row>
    <row r="342" spans="1:11" ht="15" customHeight="1" x14ac:dyDescent="0.25">
      <c r="A342" s="242"/>
      <c r="B342" s="127">
        <v>45521</v>
      </c>
      <c r="C342" s="128" t="s">
        <v>843</v>
      </c>
      <c r="D342" s="21" t="s">
        <v>126</v>
      </c>
      <c r="E342" s="22" t="s">
        <v>127</v>
      </c>
      <c r="F342" s="244">
        <v>1445</v>
      </c>
      <c r="G342" s="310" t="s">
        <v>820</v>
      </c>
      <c r="H342" s="53">
        <v>6350</v>
      </c>
      <c r="I342" s="243">
        <f t="shared" si="5"/>
        <v>9175750</v>
      </c>
      <c r="J342" s="353"/>
      <c r="K342" s="353"/>
    </row>
    <row r="343" spans="1:11" ht="15" customHeight="1" x14ac:dyDescent="0.25">
      <c r="A343" s="242"/>
      <c r="B343" s="127">
        <v>45521</v>
      </c>
      <c r="C343" s="242"/>
      <c r="D343" s="10" t="s">
        <v>140</v>
      </c>
      <c r="E343" s="9" t="s">
        <v>141</v>
      </c>
      <c r="F343" s="244">
        <v>24</v>
      </c>
      <c r="G343" s="310" t="s">
        <v>820</v>
      </c>
      <c r="H343" s="53">
        <v>7538</v>
      </c>
      <c r="I343" s="243">
        <f t="shared" si="5"/>
        <v>180912</v>
      </c>
      <c r="J343" s="353"/>
      <c r="K343" s="353"/>
    </row>
    <row r="344" spans="1:11" ht="15" customHeight="1" x14ac:dyDescent="0.25">
      <c r="A344" s="242"/>
      <c r="B344" s="127">
        <v>45521</v>
      </c>
      <c r="C344" s="242"/>
      <c r="D344" s="10" t="s">
        <v>144</v>
      </c>
      <c r="E344" s="9" t="s">
        <v>145</v>
      </c>
      <c r="F344" s="244">
        <v>16</v>
      </c>
      <c r="G344" s="310" t="s">
        <v>820</v>
      </c>
      <c r="H344" s="53">
        <v>4990</v>
      </c>
      <c r="I344" s="243">
        <f t="shared" si="5"/>
        <v>79840</v>
      </c>
      <c r="J344" s="353"/>
      <c r="K344" s="353"/>
    </row>
    <row r="345" spans="1:11" ht="15" customHeight="1" x14ac:dyDescent="0.25">
      <c r="A345" s="242"/>
      <c r="B345" s="127">
        <v>45521</v>
      </c>
      <c r="C345" s="242"/>
      <c r="D345" s="10" t="s">
        <v>146</v>
      </c>
      <c r="E345" s="9" t="s">
        <v>147</v>
      </c>
      <c r="F345" s="244">
        <v>33</v>
      </c>
      <c r="G345" s="310" t="s">
        <v>820</v>
      </c>
      <c r="H345" s="53">
        <v>4990</v>
      </c>
      <c r="I345" s="243">
        <f t="shared" si="5"/>
        <v>164670</v>
      </c>
      <c r="J345" s="353"/>
      <c r="K345" s="353"/>
    </row>
    <row r="346" spans="1:11" ht="15" customHeight="1" x14ac:dyDescent="0.25">
      <c r="A346" s="242"/>
      <c r="B346" s="127">
        <v>45521</v>
      </c>
      <c r="C346" s="242"/>
      <c r="D346" s="10" t="s">
        <v>148</v>
      </c>
      <c r="E346" s="9" t="s">
        <v>149</v>
      </c>
      <c r="F346" s="244">
        <v>45</v>
      </c>
      <c r="G346" s="310" t="s">
        <v>820</v>
      </c>
      <c r="H346" s="53">
        <v>4990</v>
      </c>
      <c r="I346" s="243">
        <f t="shared" si="5"/>
        <v>224550</v>
      </c>
      <c r="J346" s="353"/>
      <c r="K346" s="353"/>
    </row>
    <row r="347" spans="1:11" ht="15" customHeight="1" x14ac:dyDescent="0.25">
      <c r="A347" s="242"/>
      <c r="B347" s="127">
        <v>45521</v>
      </c>
      <c r="C347" s="242"/>
      <c r="D347" s="10" t="s">
        <v>154</v>
      </c>
      <c r="E347" s="9" t="s">
        <v>155</v>
      </c>
      <c r="F347" s="244">
        <v>19</v>
      </c>
      <c r="G347" s="310" t="s">
        <v>820</v>
      </c>
      <c r="H347" s="53">
        <v>4990</v>
      </c>
      <c r="I347" s="243">
        <f t="shared" si="5"/>
        <v>94810</v>
      </c>
      <c r="J347" s="353"/>
      <c r="K347" s="353"/>
    </row>
    <row r="348" spans="1:11" ht="15" customHeight="1" x14ac:dyDescent="0.25">
      <c r="A348" s="242"/>
      <c r="B348" s="127">
        <v>45521</v>
      </c>
      <c r="C348" s="242"/>
      <c r="D348" s="10" t="s">
        <v>156</v>
      </c>
      <c r="E348" s="9" t="s">
        <v>157</v>
      </c>
      <c r="F348" s="244">
        <v>12</v>
      </c>
      <c r="G348" s="310" t="s">
        <v>820</v>
      </c>
      <c r="H348" s="53">
        <v>8975</v>
      </c>
      <c r="I348" s="243">
        <f t="shared" si="5"/>
        <v>107700</v>
      </c>
      <c r="J348" s="353"/>
      <c r="K348" s="353"/>
    </row>
    <row r="349" spans="1:11" ht="15" customHeight="1" x14ac:dyDescent="0.25">
      <c r="A349" s="242"/>
      <c r="B349" s="127">
        <v>45521</v>
      </c>
      <c r="C349" s="242"/>
      <c r="D349" s="10" t="s">
        <v>160</v>
      </c>
      <c r="E349" s="9" t="s">
        <v>161</v>
      </c>
      <c r="F349" s="244">
        <v>27</v>
      </c>
      <c r="G349" s="310" t="s">
        <v>820</v>
      </c>
      <c r="H349" s="53">
        <v>4990</v>
      </c>
      <c r="I349" s="243">
        <f t="shared" si="5"/>
        <v>134730</v>
      </c>
      <c r="J349" s="353"/>
      <c r="K349" s="353"/>
    </row>
    <row r="350" spans="1:11" ht="15" customHeight="1" x14ac:dyDescent="0.25">
      <c r="A350" s="242"/>
      <c r="B350" s="127">
        <v>45521</v>
      </c>
      <c r="C350" s="242"/>
      <c r="D350" s="10" t="s">
        <v>162</v>
      </c>
      <c r="E350" s="9" t="s">
        <v>163</v>
      </c>
      <c r="F350" s="244">
        <v>20</v>
      </c>
      <c r="G350" s="310" t="s">
        <v>820</v>
      </c>
      <c r="H350" s="53">
        <v>8975</v>
      </c>
      <c r="I350" s="243">
        <f t="shared" si="5"/>
        <v>179500</v>
      </c>
      <c r="J350" s="353"/>
      <c r="K350" s="353"/>
    </row>
    <row r="351" spans="1:11" ht="15" customHeight="1" x14ac:dyDescent="0.25">
      <c r="A351" s="242"/>
      <c r="B351" s="127">
        <v>45521</v>
      </c>
      <c r="C351" s="242"/>
      <c r="D351" s="29" t="s">
        <v>528</v>
      </c>
      <c r="E351" s="9" t="s">
        <v>529</v>
      </c>
      <c r="F351" s="244">
        <v>24</v>
      </c>
      <c r="G351" s="310" t="s">
        <v>820</v>
      </c>
      <c r="H351" s="53">
        <v>26114</v>
      </c>
      <c r="I351" s="243">
        <f t="shared" si="5"/>
        <v>626736</v>
      </c>
      <c r="J351" s="353"/>
      <c r="K351" s="353"/>
    </row>
    <row r="352" spans="1:11" ht="15" customHeight="1" x14ac:dyDescent="0.25">
      <c r="A352" s="242"/>
      <c r="B352" s="127">
        <v>45521</v>
      </c>
      <c r="C352" s="242"/>
      <c r="D352" s="10" t="s">
        <v>185</v>
      </c>
      <c r="E352" s="9" t="s">
        <v>186</v>
      </c>
      <c r="F352" s="244">
        <v>12</v>
      </c>
      <c r="G352" s="310" t="s">
        <v>820</v>
      </c>
      <c r="H352" s="53">
        <v>43146</v>
      </c>
      <c r="I352" s="243">
        <f t="shared" si="5"/>
        <v>517752</v>
      </c>
      <c r="J352" s="353"/>
      <c r="K352" s="353"/>
    </row>
    <row r="353" spans="1:11" ht="15" customHeight="1" x14ac:dyDescent="0.25">
      <c r="A353" s="242"/>
      <c r="B353" s="127">
        <v>45521</v>
      </c>
      <c r="C353" s="128" t="s">
        <v>843</v>
      </c>
      <c r="D353" s="10" t="s">
        <v>166</v>
      </c>
      <c r="E353" s="9" t="s">
        <v>167</v>
      </c>
      <c r="F353" s="244">
        <v>180</v>
      </c>
      <c r="G353" s="310" t="s">
        <v>820</v>
      </c>
      <c r="H353" s="53">
        <v>39722</v>
      </c>
      <c r="I353" s="243">
        <f t="shared" si="5"/>
        <v>7149960</v>
      </c>
      <c r="J353" s="353"/>
      <c r="K353" s="353"/>
    </row>
    <row r="354" spans="1:11" ht="15" customHeight="1" x14ac:dyDescent="0.25">
      <c r="A354" s="242"/>
      <c r="B354" s="127">
        <v>45521</v>
      </c>
      <c r="C354" s="128" t="s">
        <v>843</v>
      </c>
      <c r="D354" s="10" t="s">
        <v>172</v>
      </c>
      <c r="E354" s="9" t="s">
        <v>173</v>
      </c>
      <c r="F354" s="244">
        <v>180</v>
      </c>
      <c r="G354" s="310" t="s">
        <v>820</v>
      </c>
      <c r="H354" s="53">
        <v>43924</v>
      </c>
      <c r="I354" s="243">
        <f t="shared" si="5"/>
        <v>7906320</v>
      </c>
      <c r="J354" s="353"/>
      <c r="K354" s="353"/>
    </row>
    <row r="355" spans="1:11" ht="15" customHeight="1" x14ac:dyDescent="0.25">
      <c r="A355" s="242"/>
      <c r="B355" s="127">
        <v>45521</v>
      </c>
      <c r="C355" s="242"/>
      <c r="D355" s="10" t="s">
        <v>174</v>
      </c>
      <c r="E355" s="7" t="s">
        <v>175</v>
      </c>
      <c r="F355" s="244">
        <v>6</v>
      </c>
      <c r="G355" s="310" t="s">
        <v>820</v>
      </c>
      <c r="H355" s="53">
        <v>16168</v>
      </c>
      <c r="I355" s="243">
        <f t="shared" si="5"/>
        <v>97008</v>
      </c>
      <c r="J355" s="353"/>
      <c r="K355" s="353"/>
    </row>
    <row r="356" spans="1:11" ht="15" customHeight="1" x14ac:dyDescent="0.25">
      <c r="A356" s="242"/>
      <c r="B356" s="127">
        <v>45521</v>
      </c>
      <c r="C356" s="242"/>
      <c r="D356" s="27" t="s">
        <v>244</v>
      </c>
      <c r="E356" s="28" t="s">
        <v>245</v>
      </c>
      <c r="F356" s="244">
        <v>6</v>
      </c>
      <c r="G356" s="310" t="s">
        <v>820</v>
      </c>
      <c r="H356" s="53">
        <v>38362</v>
      </c>
      <c r="I356" s="243">
        <f t="shared" si="5"/>
        <v>230172</v>
      </c>
      <c r="J356" s="353"/>
      <c r="K356" s="353"/>
    </row>
    <row r="357" spans="1:11" ht="15" customHeight="1" x14ac:dyDescent="0.25">
      <c r="A357" s="242"/>
      <c r="B357" s="127">
        <v>45521</v>
      </c>
      <c r="C357" s="242"/>
      <c r="D357" s="15" t="s">
        <v>194</v>
      </c>
      <c r="E357" s="16" t="s">
        <v>195</v>
      </c>
      <c r="F357" s="244">
        <v>192</v>
      </c>
      <c r="G357" s="310" t="s">
        <v>820</v>
      </c>
      <c r="H357" s="53">
        <v>6912</v>
      </c>
      <c r="I357" s="243">
        <f t="shared" si="5"/>
        <v>1327104</v>
      </c>
      <c r="J357" s="353"/>
      <c r="K357" s="353"/>
    </row>
    <row r="358" spans="1:11" ht="15" customHeight="1" x14ac:dyDescent="0.25">
      <c r="A358" s="242"/>
      <c r="B358" s="127">
        <v>45521</v>
      </c>
      <c r="C358" s="242"/>
      <c r="D358" s="15" t="s">
        <v>215</v>
      </c>
      <c r="E358" s="17" t="s">
        <v>216</v>
      </c>
      <c r="F358" s="244">
        <v>14</v>
      </c>
      <c r="G358" s="310" t="s">
        <v>820</v>
      </c>
      <c r="H358" s="53">
        <v>6912</v>
      </c>
      <c r="I358" s="243">
        <f t="shared" si="5"/>
        <v>96768</v>
      </c>
      <c r="J358" s="353"/>
      <c r="K358" s="353"/>
    </row>
    <row r="359" spans="1:11" ht="15" customHeight="1" x14ac:dyDescent="0.25">
      <c r="A359" s="242"/>
      <c r="B359" s="127">
        <v>45521</v>
      </c>
      <c r="C359" s="242"/>
      <c r="D359" s="15" t="s">
        <v>217</v>
      </c>
      <c r="E359" s="17" t="s">
        <v>218</v>
      </c>
      <c r="F359" s="244">
        <v>2</v>
      </c>
      <c r="G359" s="310" t="s">
        <v>820</v>
      </c>
      <c r="H359" s="53">
        <v>6912</v>
      </c>
      <c r="I359" s="243">
        <f t="shared" si="5"/>
        <v>13824</v>
      </c>
      <c r="J359" s="353"/>
      <c r="K359" s="353"/>
    </row>
    <row r="360" spans="1:11" ht="15" customHeight="1" x14ac:dyDescent="0.25">
      <c r="A360" s="242"/>
      <c r="B360" s="127">
        <v>45521</v>
      </c>
      <c r="C360" s="242"/>
      <c r="D360" s="15" t="s">
        <v>198</v>
      </c>
      <c r="E360" s="16" t="s">
        <v>199</v>
      </c>
      <c r="F360" s="244">
        <v>24</v>
      </c>
      <c r="G360" s="310" t="s">
        <v>820</v>
      </c>
      <c r="H360" s="53">
        <v>7884</v>
      </c>
      <c r="I360" s="243">
        <f t="shared" si="5"/>
        <v>189216</v>
      </c>
      <c r="J360" s="353"/>
      <c r="K360" s="353"/>
    </row>
    <row r="361" spans="1:11" ht="15" customHeight="1" x14ac:dyDescent="0.25">
      <c r="A361" s="242"/>
      <c r="B361" s="127">
        <v>45521</v>
      </c>
      <c r="C361" s="242"/>
      <c r="D361" s="15" t="s">
        <v>200</v>
      </c>
      <c r="E361" s="16" t="s">
        <v>201</v>
      </c>
      <c r="F361" s="244">
        <v>25</v>
      </c>
      <c r="G361" s="310" t="s">
        <v>820</v>
      </c>
      <c r="H361" s="53">
        <v>11470</v>
      </c>
      <c r="I361" s="243">
        <f t="shared" si="5"/>
        <v>286750</v>
      </c>
      <c r="J361" s="353"/>
      <c r="K361" s="353"/>
    </row>
    <row r="362" spans="1:11" ht="15" customHeight="1" x14ac:dyDescent="0.25">
      <c r="A362" s="128"/>
      <c r="B362" s="127">
        <v>45521</v>
      </c>
      <c r="C362" s="242"/>
      <c r="D362" s="15" t="s">
        <v>212</v>
      </c>
      <c r="E362" s="31" t="s">
        <v>213</v>
      </c>
      <c r="F362" s="244">
        <v>4</v>
      </c>
      <c r="G362" s="310" t="s">
        <v>820</v>
      </c>
      <c r="H362" s="53">
        <v>30704</v>
      </c>
      <c r="I362" s="243">
        <f t="shared" si="5"/>
        <v>122816</v>
      </c>
      <c r="J362" s="353"/>
      <c r="K362" s="353"/>
    </row>
    <row r="363" spans="1:11" ht="15" customHeight="1" x14ac:dyDescent="0.25">
      <c r="A363" s="242"/>
      <c r="B363" s="127">
        <v>45521</v>
      </c>
      <c r="C363" s="242"/>
      <c r="D363" s="21" t="s">
        <v>797</v>
      </c>
      <c r="E363" s="23" t="s">
        <v>795</v>
      </c>
      <c r="F363" s="244">
        <v>32</v>
      </c>
      <c r="G363" s="310" t="s">
        <v>820</v>
      </c>
      <c r="H363" s="53">
        <v>8338</v>
      </c>
      <c r="I363" s="243">
        <f t="shared" si="5"/>
        <v>266816</v>
      </c>
      <c r="J363" s="353"/>
      <c r="K363" s="353"/>
    </row>
    <row r="364" spans="1:11" ht="15" customHeight="1" x14ac:dyDescent="0.25">
      <c r="A364" s="242"/>
      <c r="B364" s="127">
        <v>45521</v>
      </c>
      <c r="C364" s="242"/>
      <c r="D364" s="21" t="s">
        <v>798</v>
      </c>
      <c r="E364" s="23" t="s">
        <v>796</v>
      </c>
      <c r="F364" s="244">
        <v>112</v>
      </c>
      <c r="G364" s="310" t="s">
        <v>820</v>
      </c>
      <c r="H364" s="53">
        <v>8338</v>
      </c>
      <c r="I364" s="243">
        <f t="shared" si="5"/>
        <v>933856</v>
      </c>
      <c r="J364" s="354"/>
      <c r="K364" s="354"/>
    </row>
    <row r="365" spans="1:11" ht="15" customHeight="1" x14ac:dyDescent="0.25">
      <c r="A365" s="128"/>
      <c r="B365" s="127">
        <v>45521</v>
      </c>
      <c r="C365" s="242"/>
      <c r="D365" s="21" t="s">
        <v>797</v>
      </c>
      <c r="E365" s="23" t="s">
        <v>795</v>
      </c>
      <c r="F365" s="244">
        <f>(F363+F364)/4</f>
        <v>36</v>
      </c>
      <c r="G365" s="310" t="s">
        <v>821</v>
      </c>
      <c r="H365" s="244"/>
      <c r="I365" s="243">
        <f t="shared" si="5"/>
        <v>0</v>
      </c>
      <c r="J365" s="131"/>
      <c r="K365" s="131"/>
    </row>
    <row r="366" spans="1:11" ht="15.75" x14ac:dyDescent="0.25">
      <c r="A366" s="128"/>
      <c r="B366" s="127">
        <v>45521</v>
      </c>
      <c r="C366" s="242"/>
      <c r="D366" s="304" t="s">
        <v>198</v>
      </c>
      <c r="E366" s="272" t="s">
        <v>199</v>
      </c>
      <c r="F366" s="244">
        <f>6+3</f>
        <v>9</v>
      </c>
      <c r="G366" s="310" t="s">
        <v>821</v>
      </c>
      <c r="H366" s="244"/>
      <c r="I366" s="243">
        <f t="shared" si="5"/>
        <v>0</v>
      </c>
      <c r="J366" s="131"/>
      <c r="K366" s="131"/>
    </row>
    <row r="367" spans="1:11" x14ac:dyDescent="0.25">
      <c r="A367" s="128"/>
      <c r="B367" s="127">
        <v>45521</v>
      </c>
      <c r="C367" s="242"/>
      <c r="D367" s="10" t="s">
        <v>158</v>
      </c>
      <c r="E367" s="9" t="s">
        <v>159</v>
      </c>
      <c r="F367" s="244">
        <v>18</v>
      </c>
      <c r="G367" s="310" t="s">
        <v>821</v>
      </c>
      <c r="H367" s="244"/>
      <c r="I367" s="243">
        <f t="shared" si="5"/>
        <v>0</v>
      </c>
      <c r="J367" s="131"/>
      <c r="K367" s="131"/>
    </row>
    <row r="368" spans="1:11" x14ac:dyDescent="0.25">
      <c r="A368" s="128"/>
      <c r="B368" s="127">
        <v>45521</v>
      </c>
      <c r="C368" s="242"/>
      <c r="D368" s="10" t="s">
        <v>162</v>
      </c>
      <c r="E368" s="9" t="s">
        <v>163</v>
      </c>
      <c r="F368" s="244">
        <v>4</v>
      </c>
      <c r="G368" s="310" t="s">
        <v>821</v>
      </c>
      <c r="H368" s="244"/>
      <c r="I368" s="243">
        <f t="shared" si="5"/>
        <v>0</v>
      </c>
      <c r="J368" s="131"/>
      <c r="K368" s="131"/>
    </row>
    <row r="369" spans="1:11" x14ac:dyDescent="0.25">
      <c r="A369" s="128"/>
      <c r="B369" s="252">
        <v>45522</v>
      </c>
      <c r="C369" s="243" t="s">
        <v>836</v>
      </c>
      <c r="D369" s="299" t="s">
        <v>86</v>
      </c>
      <c r="E369" s="271" t="s">
        <v>87</v>
      </c>
      <c r="F369" s="110">
        <v>12</v>
      </c>
      <c r="G369" s="307" t="s">
        <v>823</v>
      </c>
      <c r="H369" s="110"/>
      <c r="I369" s="109">
        <f t="shared" si="5"/>
        <v>0</v>
      </c>
      <c r="J369" s="131"/>
      <c r="K369" s="131"/>
    </row>
    <row r="370" spans="1:11" x14ac:dyDescent="0.25">
      <c r="A370" s="128"/>
      <c r="B370" s="252">
        <v>45522</v>
      </c>
      <c r="C370" s="243" t="s">
        <v>775</v>
      </c>
      <c r="D370" s="10" t="s">
        <v>124</v>
      </c>
      <c r="E370" s="9" t="s">
        <v>125</v>
      </c>
      <c r="F370" s="110">
        <v>288</v>
      </c>
      <c r="G370" s="307" t="s">
        <v>823</v>
      </c>
      <c r="H370" s="110"/>
      <c r="I370" s="109">
        <f t="shared" si="5"/>
        <v>0</v>
      </c>
      <c r="J370" s="131"/>
      <c r="K370" s="131"/>
    </row>
    <row r="371" spans="1:11" x14ac:dyDescent="0.25">
      <c r="A371" s="128"/>
      <c r="B371" s="252">
        <v>45522</v>
      </c>
      <c r="C371" s="243" t="s">
        <v>836</v>
      </c>
      <c r="D371" s="10" t="s">
        <v>164</v>
      </c>
      <c r="E371" s="9" t="s">
        <v>165</v>
      </c>
      <c r="F371" s="244">
        <v>24</v>
      </c>
      <c r="G371" s="307" t="s">
        <v>823</v>
      </c>
      <c r="H371" s="110"/>
      <c r="I371" s="109">
        <f t="shared" si="5"/>
        <v>0</v>
      </c>
      <c r="J371" s="131"/>
      <c r="K371" s="131"/>
    </row>
    <row r="372" spans="1:11" x14ac:dyDescent="0.25">
      <c r="A372" s="128"/>
      <c r="B372" s="252">
        <v>45522</v>
      </c>
      <c r="C372" s="243" t="s">
        <v>836</v>
      </c>
      <c r="D372" s="10" t="s">
        <v>172</v>
      </c>
      <c r="E372" s="9" t="s">
        <v>173</v>
      </c>
      <c r="F372" s="244">
        <v>24</v>
      </c>
      <c r="G372" s="307" t="s">
        <v>823</v>
      </c>
      <c r="H372" s="110"/>
      <c r="I372" s="109">
        <f t="shared" si="5"/>
        <v>0</v>
      </c>
      <c r="J372" s="131"/>
      <c r="K372" s="131"/>
    </row>
    <row r="373" spans="1:11" ht="15" customHeight="1" x14ac:dyDescent="0.25">
      <c r="A373" s="128"/>
      <c r="B373" s="132">
        <v>45523</v>
      </c>
      <c r="C373" s="128"/>
      <c r="D373" s="15" t="s">
        <v>194</v>
      </c>
      <c r="E373" s="16" t="s">
        <v>195</v>
      </c>
      <c r="F373" s="110">
        <v>48</v>
      </c>
      <c r="G373" s="144" t="s">
        <v>822</v>
      </c>
      <c r="H373" s="116"/>
      <c r="I373" s="109">
        <f t="shared" ref="I373:I436" si="7">H373*F373</f>
        <v>0</v>
      </c>
      <c r="J373" s="131"/>
      <c r="K373" s="131"/>
    </row>
    <row r="374" spans="1:11" ht="15" customHeight="1" x14ac:dyDescent="0.25">
      <c r="A374" s="242"/>
      <c r="B374" s="132">
        <v>45523</v>
      </c>
      <c r="C374" s="242"/>
      <c r="D374" s="10" t="s">
        <v>124</v>
      </c>
      <c r="E374" s="9" t="s">
        <v>125</v>
      </c>
      <c r="F374" s="244">
        <v>96</v>
      </c>
      <c r="G374" s="144" t="s">
        <v>822</v>
      </c>
      <c r="H374" s="251"/>
      <c r="I374" s="243">
        <f t="shared" si="7"/>
        <v>0</v>
      </c>
      <c r="J374" s="246"/>
      <c r="K374" s="246"/>
    </row>
    <row r="375" spans="1:11" ht="15" customHeight="1" x14ac:dyDescent="0.25">
      <c r="A375" s="242"/>
      <c r="B375" s="132">
        <v>45523</v>
      </c>
      <c r="C375" s="242"/>
      <c r="D375" s="21" t="s">
        <v>126</v>
      </c>
      <c r="E375" s="22" t="s">
        <v>127</v>
      </c>
      <c r="F375" s="244">
        <v>144</v>
      </c>
      <c r="G375" s="144" t="s">
        <v>822</v>
      </c>
      <c r="H375" s="251"/>
      <c r="I375" s="243">
        <f t="shared" si="7"/>
        <v>0</v>
      </c>
      <c r="J375" s="246"/>
      <c r="K375" s="246"/>
    </row>
    <row r="376" spans="1:11" ht="15" customHeight="1" x14ac:dyDescent="0.25">
      <c r="A376" s="242"/>
      <c r="B376" s="132">
        <v>45523</v>
      </c>
      <c r="C376" s="242"/>
      <c r="D376" s="298" t="s">
        <v>142</v>
      </c>
      <c r="E376" s="251" t="s">
        <v>143</v>
      </c>
      <c r="F376" s="244">
        <v>96</v>
      </c>
      <c r="G376" s="144" t="s">
        <v>822</v>
      </c>
      <c r="H376" s="251"/>
      <c r="I376" s="243">
        <f t="shared" si="7"/>
        <v>0</v>
      </c>
      <c r="J376" s="246"/>
      <c r="K376" s="246"/>
    </row>
    <row r="377" spans="1:11" ht="15" customHeight="1" x14ac:dyDescent="0.25">
      <c r="A377" s="128"/>
      <c r="B377" s="132">
        <v>45523</v>
      </c>
      <c r="C377" s="109" t="s">
        <v>877</v>
      </c>
      <c r="D377" s="10" t="s">
        <v>12</v>
      </c>
      <c r="E377" s="7" t="s">
        <v>13</v>
      </c>
      <c r="F377" s="110">
        <v>48</v>
      </c>
      <c r="G377" s="307" t="s">
        <v>823</v>
      </c>
      <c r="H377" s="110"/>
      <c r="I377" s="109">
        <f t="shared" si="7"/>
        <v>0</v>
      </c>
      <c r="J377" s="131"/>
      <c r="K377" s="131"/>
    </row>
    <row r="378" spans="1:11" x14ac:dyDescent="0.25">
      <c r="A378" s="128"/>
      <c r="B378" s="132">
        <v>45523</v>
      </c>
      <c r="C378" s="109" t="s">
        <v>932</v>
      </c>
      <c r="D378" s="21" t="s">
        <v>44</v>
      </c>
      <c r="E378" s="23" t="s">
        <v>45</v>
      </c>
      <c r="F378" s="110">
        <v>30</v>
      </c>
      <c r="G378" s="307" t="s">
        <v>823</v>
      </c>
      <c r="H378" s="110"/>
      <c r="I378" s="109">
        <f t="shared" si="7"/>
        <v>0</v>
      </c>
      <c r="J378" s="131"/>
      <c r="K378" s="131"/>
    </row>
    <row r="379" spans="1:11" x14ac:dyDescent="0.25">
      <c r="A379" s="128"/>
      <c r="B379" s="132">
        <v>45523</v>
      </c>
      <c r="C379" s="243" t="s">
        <v>836</v>
      </c>
      <c r="D379" s="10" t="s">
        <v>172</v>
      </c>
      <c r="E379" s="9" t="s">
        <v>173</v>
      </c>
      <c r="F379" s="110">
        <v>4</v>
      </c>
      <c r="G379" s="307" t="s">
        <v>823</v>
      </c>
      <c r="H379" s="110"/>
      <c r="I379" s="109">
        <f t="shared" si="7"/>
        <v>0</v>
      </c>
      <c r="J379" s="131"/>
      <c r="K379" s="131"/>
    </row>
    <row r="380" spans="1:11" x14ac:dyDescent="0.25">
      <c r="A380" s="128"/>
      <c r="B380" s="132">
        <v>45523</v>
      </c>
      <c r="C380" s="243" t="s">
        <v>836</v>
      </c>
      <c r="D380" s="21" t="s">
        <v>763</v>
      </c>
      <c r="E380" s="22" t="s">
        <v>83</v>
      </c>
      <c r="F380" s="110">
        <v>12</v>
      </c>
      <c r="G380" s="307" t="s">
        <v>823</v>
      </c>
      <c r="H380" s="110"/>
      <c r="I380" s="109">
        <f t="shared" si="7"/>
        <v>0</v>
      </c>
      <c r="J380" s="131"/>
      <c r="K380" s="131"/>
    </row>
    <row r="381" spans="1:11" x14ac:dyDescent="0.25">
      <c r="A381" s="128"/>
      <c r="B381" s="132">
        <v>45523</v>
      </c>
      <c r="C381" s="243" t="s">
        <v>836</v>
      </c>
      <c r="D381" s="10" t="s">
        <v>86</v>
      </c>
      <c r="E381" s="9" t="s">
        <v>87</v>
      </c>
      <c r="F381" s="110">
        <v>24</v>
      </c>
      <c r="G381" s="307" t="s">
        <v>823</v>
      </c>
      <c r="H381" s="110"/>
      <c r="I381" s="109">
        <f t="shared" si="7"/>
        <v>0</v>
      </c>
      <c r="J381" s="131"/>
      <c r="K381" s="131"/>
    </row>
    <row r="382" spans="1:11" x14ac:dyDescent="0.25">
      <c r="A382" s="128"/>
      <c r="B382" s="252">
        <v>45524</v>
      </c>
      <c r="C382" s="243" t="s">
        <v>782</v>
      </c>
      <c r="D382" s="297" t="s">
        <v>762</v>
      </c>
      <c r="E382" s="275" t="s">
        <v>85</v>
      </c>
      <c r="F382" s="110">
        <v>48</v>
      </c>
      <c r="G382" s="144" t="s">
        <v>822</v>
      </c>
      <c r="H382" s="110"/>
      <c r="I382" s="109">
        <f t="shared" si="7"/>
        <v>0</v>
      </c>
      <c r="J382" s="131"/>
      <c r="K382" s="131"/>
    </row>
    <row r="383" spans="1:11" ht="15" customHeight="1" x14ac:dyDescent="0.25">
      <c r="A383" s="128"/>
      <c r="B383" s="252">
        <v>45524</v>
      </c>
      <c r="C383" s="243" t="s">
        <v>782</v>
      </c>
      <c r="D383" s="298" t="s">
        <v>126</v>
      </c>
      <c r="E383" s="251" t="s">
        <v>127</v>
      </c>
      <c r="F383" s="110">
        <v>48</v>
      </c>
      <c r="G383" s="144" t="s">
        <v>822</v>
      </c>
      <c r="H383" s="110"/>
      <c r="I383" s="109">
        <f t="shared" si="7"/>
        <v>0</v>
      </c>
      <c r="J383" s="131"/>
      <c r="K383" s="131"/>
    </row>
    <row r="384" spans="1:11" ht="15" customHeight="1" x14ac:dyDescent="0.25">
      <c r="A384" s="128"/>
      <c r="B384" s="252">
        <v>45524</v>
      </c>
      <c r="C384" s="243" t="s">
        <v>848</v>
      </c>
      <c r="D384" s="10" t="s">
        <v>164</v>
      </c>
      <c r="E384" s="9" t="s">
        <v>165</v>
      </c>
      <c r="F384" s="110">
        <v>60</v>
      </c>
      <c r="G384" s="144" t="s">
        <v>822</v>
      </c>
      <c r="H384" s="110"/>
      <c r="I384" s="109">
        <f t="shared" si="7"/>
        <v>0</v>
      </c>
      <c r="J384" s="131"/>
      <c r="K384" s="131"/>
    </row>
    <row r="385" spans="1:11" ht="15" customHeight="1" x14ac:dyDescent="0.25">
      <c r="A385" s="128"/>
      <c r="B385" s="252">
        <v>45524</v>
      </c>
      <c r="C385" s="128" t="s">
        <v>877</v>
      </c>
      <c r="D385" s="21" t="s">
        <v>20</v>
      </c>
      <c r="E385" s="23" t="s">
        <v>21</v>
      </c>
      <c r="F385" s="110">
        <f>18*24</f>
        <v>432</v>
      </c>
      <c r="G385" s="144" t="s">
        <v>822</v>
      </c>
      <c r="H385" s="116"/>
      <c r="I385" s="109">
        <f t="shared" si="7"/>
        <v>0</v>
      </c>
      <c r="J385" s="133"/>
      <c r="K385" s="133"/>
    </row>
    <row r="386" spans="1:11" ht="15" customHeight="1" x14ac:dyDescent="0.25">
      <c r="A386" s="128"/>
      <c r="B386" s="252">
        <v>45524</v>
      </c>
      <c r="C386" s="128" t="s">
        <v>877</v>
      </c>
      <c r="D386" s="21" t="s">
        <v>40</v>
      </c>
      <c r="E386" s="23" t="s">
        <v>41</v>
      </c>
      <c r="F386" s="110">
        <f>67*48</f>
        <v>3216</v>
      </c>
      <c r="G386" s="144" t="s">
        <v>822</v>
      </c>
      <c r="H386" s="116"/>
      <c r="I386" s="109">
        <f t="shared" si="7"/>
        <v>0</v>
      </c>
      <c r="J386" s="133"/>
      <c r="K386" s="133"/>
    </row>
    <row r="387" spans="1:11" ht="15" customHeight="1" x14ac:dyDescent="0.25">
      <c r="A387" s="128"/>
      <c r="B387" s="252">
        <v>45524</v>
      </c>
      <c r="C387" s="128" t="s">
        <v>877</v>
      </c>
      <c r="D387" s="21" t="s">
        <v>142</v>
      </c>
      <c r="E387" s="22" t="s">
        <v>143</v>
      </c>
      <c r="F387" s="110">
        <f>47*48</f>
        <v>2256</v>
      </c>
      <c r="G387" s="144" t="s">
        <v>822</v>
      </c>
      <c r="H387" s="116"/>
      <c r="I387" s="109">
        <f t="shared" si="7"/>
        <v>0</v>
      </c>
      <c r="J387" s="133"/>
      <c r="K387" s="133"/>
    </row>
    <row r="388" spans="1:11" ht="15" customHeight="1" x14ac:dyDescent="0.25">
      <c r="A388" s="128"/>
      <c r="B388" s="252">
        <v>45524</v>
      </c>
      <c r="C388" s="128" t="s">
        <v>938</v>
      </c>
      <c r="D388" s="10" t="s">
        <v>132</v>
      </c>
      <c r="E388" s="9" t="s">
        <v>133</v>
      </c>
      <c r="F388" s="110">
        <v>480</v>
      </c>
      <c r="G388" s="144" t="s">
        <v>822</v>
      </c>
      <c r="H388" s="116"/>
      <c r="I388" s="109">
        <f t="shared" si="7"/>
        <v>0</v>
      </c>
      <c r="J388" s="133"/>
      <c r="K388" s="133"/>
    </row>
    <row r="389" spans="1:11" ht="15" customHeight="1" x14ac:dyDescent="0.25">
      <c r="A389" s="128"/>
      <c r="B389" s="252">
        <v>45524</v>
      </c>
      <c r="C389" s="109" t="s">
        <v>853</v>
      </c>
      <c r="D389" s="21" t="s">
        <v>34</v>
      </c>
      <c r="E389" s="23" t="s">
        <v>35</v>
      </c>
      <c r="F389" s="110">
        <v>108</v>
      </c>
      <c r="G389" s="144" t="s">
        <v>822</v>
      </c>
      <c r="H389" s="116"/>
      <c r="I389" s="109">
        <f t="shared" si="7"/>
        <v>0</v>
      </c>
      <c r="J389" s="133"/>
      <c r="K389" s="133"/>
    </row>
    <row r="390" spans="1:11" ht="15" customHeight="1" x14ac:dyDescent="0.25">
      <c r="A390" s="128"/>
      <c r="B390" s="252">
        <v>45524</v>
      </c>
      <c r="C390" s="128" t="s">
        <v>901</v>
      </c>
      <c r="D390" s="21" t="s">
        <v>768</v>
      </c>
      <c r="E390" s="23" t="s">
        <v>67</v>
      </c>
      <c r="F390" s="110">
        <v>48</v>
      </c>
      <c r="G390" s="307" t="s">
        <v>823</v>
      </c>
      <c r="H390" s="116"/>
      <c r="I390" s="109">
        <f t="shared" si="7"/>
        <v>0</v>
      </c>
      <c r="J390" s="133"/>
      <c r="K390" s="133"/>
    </row>
    <row r="391" spans="1:11" ht="15" customHeight="1" x14ac:dyDescent="0.25">
      <c r="A391" s="128"/>
      <c r="B391" s="252">
        <v>45524</v>
      </c>
      <c r="C391" s="109" t="s">
        <v>853</v>
      </c>
      <c r="D391" s="21" t="s">
        <v>34</v>
      </c>
      <c r="E391" s="23" t="s">
        <v>35</v>
      </c>
      <c r="F391" s="110">
        <v>72</v>
      </c>
      <c r="G391" s="307" t="s">
        <v>823</v>
      </c>
      <c r="H391" s="116"/>
      <c r="I391" s="109">
        <f t="shared" si="7"/>
        <v>0</v>
      </c>
      <c r="J391" s="133"/>
      <c r="K391" s="133"/>
    </row>
    <row r="392" spans="1:11" ht="15" customHeight="1" x14ac:dyDescent="0.25">
      <c r="A392" s="128"/>
      <c r="B392" s="252">
        <v>45524</v>
      </c>
      <c r="C392" s="243" t="s">
        <v>775</v>
      </c>
      <c r="D392" s="10" t="s">
        <v>86</v>
      </c>
      <c r="E392" s="9" t="s">
        <v>87</v>
      </c>
      <c r="F392" s="110">
        <v>12</v>
      </c>
      <c r="G392" s="307" t="s">
        <v>823</v>
      </c>
      <c r="H392" s="110"/>
      <c r="I392" s="109">
        <f t="shared" si="7"/>
        <v>0</v>
      </c>
      <c r="J392" s="131"/>
      <c r="K392" s="131"/>
    </row>
    <row r="393" spans="1:11" ht="15" customHeight="1" x14ac:dyDescent="0.25">
      <c r="A393" s="128"/>
      <c r="B393" s="252">
        <v>45524</v>
      </c>
      <c r="C393" s="243" t="s">
        <v>775</v>
      </c>
      <c r="D393" s="297" t="s">
        <v>762</v>
      </c>
      <c r="E393" s="275" t="s">
        <v>85</v>
      </c>
      <c r="F393" s="110">
        <v>24</v>
      </c>
      <c r="G393" s="307" t="s">
        <v>823</v>
      </c>
      <c r="H393" s="110"/>
      <c r="I393" s="109">
        <f t="shared" si="7"/>
        <v>0</v>
      </c>
      <c r="J393" s="131"/>
      <c r="K393" s="131"/>
    </row>
    <row r="394" spans="1:11" ht="15" customHeight="1" x14ac:dyDescent="0.25">
      <c r="A394" s="128"/>
      <c r="B394" s="252">
        <v>45524</v>
      </c>
      <c r="C394" s="243" t="s">
        <v>836</v>
      </c>
      <c r="D394" s="21" t="s">
        <v>40</v>
      </c>
      <c r="E394" s="23" t="s">
        <v>41</v>
      </c>
      <c r="F394" s="110">
        <f>192-48</f>
        <v>144</v>
      </c>
      <c r="G394" s="307" t="s">
        <v>823</v>
      </c>
      <c r="H394" s="110"/>
      <c r="I394" s="109">
        <f t="shared" si="7"/>
        <v>0</v>
      </c>
      <c r="J394" s="131"/>
      <c r="K394" s="131"/>
    </row>
    <row r="395" spans="1:11" ht="15" customHeight="1" x14ac:dyDescent="0.25">
      <c r="A395" s="128"/>
      <c r="B395" s="252">
        <v>45524</v>
      </c>
      <c r="C395" s="243" t="s">
        <v>836</v>
      </c>
      <c r="D395" s="21" t="s">
        <v>764</v>
      </c>
      <c r="E395" s="23" t="s">
        <v>69</v>
      </c>
      <c r="F395" s="110">
        <v>96</v>
      </c>
      <c r="G395" s="307" t="s">
        <v>823</v>
      </c>
      <c r="H395" s="110"/>
      <c r="I395" s="109">
        <f t="shared" si="7"/>
        <v>0</v>
      </c>
      <c r="J395" s="131"/>
      <c r="K395" s="131"/>
    </row>
    <row r="396" spans="1:11" ht="15" customHeight="1" x14ac:dyDescent="0.25">
      <c r="A396" s="128"/>
      <c r="B396" s="252">
        <v>45524</v>
      </c>
      <c r="C396" s="243" t="s">
        <v>937</v>
      </c>
      <c r="D396" s="21" t="s">
        <v>126</v>
      </c>
      <c r="E396" s="22" t="s">
        <v>127</v>
      </c>
      <c r="F396" s="244">
        <f>48+480</f>
        <v>528</v>
      </c>
      <c r="G396" s="307" t="s">
        <v>823</v>
      </c>
      <c r="H396" s="110"/>
      <c r="I396" s="109">
        <f t="shared" si="7"/>
        <v>0</v>
      </c>
      <c r="J396" s="131"/>
      <c r="K396" s="131"/>
    </row>
    <row r="397" spans="1:11" ht="15" customHeight="1" x14ac:dyDescent="0.25">
      <c r="A397" s="128"/>
      <c r="B397" s="252">
        <v>45524</v>
      </c>
      <c r="C397" s="243" t="s">
        <v>836</v>
      </c>
      <c r="D397" s="10" t="s">
        <v>172</v>
      </c>
      <c r="E397" s="9" t="s">
        <v>173</v>
      </c>
      <c r="F397" s="110">
        <v>4</v>
      </c>
      <c r="G397" s="307" t="s">
        <v>823</v>
      </c>
      <c r="H397" s="110"/>
      <c r="I397" s="109">
        <f t="shared" si="7"/>
        <v>0</v>
      </c>
      <c r="J397" s="131"/>
      <c r="K397" s="131"/>
    </row>
    <row r="398" spans="1:11" x14ac:dyDescent="0.25">
      <c r="A398" s="128"/>
      <c r="B398" s="252">
        <v>45524</v>
      </c>
      <c r="C398" s="243" t="s">
        <v>836</v>
      </c>
      <c r="D398" s="33" t="s">
        <v>760</v>
      </c>
      <c r="E398" s="34" t="s">
        <v>761</v>
      </c>
      <c r="F398" s="110">
        <v>12</v>
      </c>
      <c r="G398" s="307" t="s">
        <v>823</v>
      </c>
      <c r="H398" s="110"/>
      <c r="I398" s="109">
        <f t="shared" si="7"/>
        <v>0</v>
      </c>
      <c r="J398" s="131"/>
      <c r="K398" s="131"/>
    </row>
    <row r="399" spans="1:11" x14ac:dyDescent="0.25">
      <c r="A399" s="128"/>
      <c r="B399" s="252">
        <v>45524</v>
      </c>
      <c r="C399" s="109" t="s">
        <v>853</v>
      </c>
      <c r="D399" s="21" t="s">
        <v>766</v>
      </c>
      <c r="E399" s="22" t="s">
        <v>77</v>
      </c>
      <c r="F399" s="110">
        <v>96</v>
      </c>
      <c r="G399" s="307" t="s">
        <v>823</v>
      </c>
      <c r="H399" s="110"/>
      <c r="I399" s="109">
        <f t="shared" si="7"/>
        <v>0</v>
      </c>
      <c r="J399" s="131"/>
      <c r="K399" s="131"/>
    </row>
    <row r="400" spans="1:11" x14ac:dyDescent="0.25">
      <c r="A400" s="128"/>
      <c r="B400" s="252">
        <v>45524</v>
      </c>
      <c r="C400" s="243"/>
      <c r="D400" s="21" t="s">
        <v>142</v>
      </c>
      <c r="E400" s="22" t="s">
        <v>143</v>
      </c>
      <c r="F400" s="110">
        <v>480</v>
      </c>
      <c r="G400" s="307" t="s">
        <v>823</v>
      </c>
      <c r="H400" s="110"/>
      <c r="I400" s="109">
        <f t="shared" si="7"/>
        <v>0</v>
      </c>
      <c r="J400" s="131"/>
      <c r="K400" s="131"/>
    </row>
    <row r="401" spans="1:11" x14ac:dyDescent="0.25">
      <c r="A401" s="128"/>
      <c r="B401" s="252">
        <v>45524</v>
      </c>
      <c r="C401" s="128"/>
      <c r="D401" s="10" t="s">
        <v>124</v>
      </c>
      <c r="E401" s="9" t="s">
        <v>125</v>
      </c>
      <c r="F401" s="110">
        <v>96</v>
      </c>
      <c r="G401" s="307" t="s">
        <v>823</v>
      </c>
      <c r="H401" s="244"/>
      <c r="I401" s="243">
        <f t="shared" si="7"/>
        <v>0</v>
      </c>
      <c r="J401" s="131"/>
      <c r="K401" s="131"/>
    </row>
    <row r="402" spans="1:11" x14ac:dyDescent="0.25">
      <c r="A402" s="242"/>
      <c r="B402" s="132">
        <v>45525</v>
      </c>
      <c r="C402" s="243" t="s">
        <v>844</v>
      </c>
      <c r="D402" s="10" t="s">
        <v>22</v>
      </c>
      <c r="E402" s="7" t="s">
        <v>23</v>
      </c>
      <c r="F402" s="110">
        <v>12</v>
      </c>
      <c r="G402" s="321" t="s">
        <v>822</v>
      </c>
      <c r="H402" s="244"/>
      <c r="I402" s="243">
        <f t="shared" si="7"/>
        <v>0</v>
      </c>
      <c r="J402" s="246"/>
      <c r="K402" s="246"/>
    </row>
    <row r="403" spans="1:11" x14ac:dyDescent="0.25">
      <c r="A403" s="242"/>
      <c r="B403" s="132">
        <v>45525</v>
      </c>
      <c r="C403" s="243" t="s">
        <v>844</v>
      </c>
      <c r="D403" s="21" t="s">
        <v>142</v>
      </c>
      <c r="E403" s="22" t="s">
        <v>143</v>
      </c>
      <c r="F403" s="110">
        <v>96</v>
      </c>
      <c r="G403" s="321" t="s">
        <v>822</v>
      </c>
      <c r="H403" s="244"/>
      <c r="I403" s="243">
        <f t="shared" si="7"/>
        <v>0</v>
      </c>
      <c r="J403" s="246"/>
      <c r="K403" s="246"/>
    </row>
    <row r="404" spans="1:11" x14ac:dyDescent="0.25">
      <c r="A404" s="242"/>
      <c r="B404" s="132">
        <v>45525</v>
      </c>
      <c r="C404" s="243" t="s">
        <v>836</v>
      </c>
      <c r="D404" s="21" t="s">
        <v>767</v>
      </c>
      <c r="E404" s="23" t="s">
        <v>63</v>
      </c>
      <c r="F404" s="244">
        <v>48</v>
      </c>
      <c r="G404" s="321" t="s">
        <v>822</v>
      </c>
      <c r="H404" s="244"/>
      <c r="I404" s="243">
        <f t="shared" si="7"/>
        <v>0</v>
      </c>
      <c r="J404" s="246"/>
      <c r="K404" s="246"/>
    </row>
    <row r="405" spans="1:11" x14ac:dyDescent="0.25">
      <c r="A405" s="242"/>
      <c r="B405" s="132">
        <v>45525</v>
      </c>
      <c r="C405" s="243" t="s">
        <v>836</v>
      </c>
      <c r="D405" s="10" t="s">
        <v>86</v>
      </c>
      <c r="E405" s="9" t="s">
        <v>87</v>
      </c>
      <c r="F405" s="244">
        <v>24</v>
      </c>
      <c r="G405" s="307" t="s">
        <v>823</v>
      </c>
      <c r="H405" s="244"/>
      <c r="I405" s="243">
        <f t="shared" si="7"/>
        <v>0</v>
      </c>
      <c r="J405" s="246"/>
      <c r="K405" s="246"/>
    </row>
    <row r="406" spans="1:11" x14ac:dyDescent="0.25">
      <c r="A406" s="242"/>
      <c r="B406" s="132">
        <v>45525</v>
      </c>
      <c r="C406" s="243" t="s">
        <v>836</v>
      </c>
      <c r="D406" s="21" t="s">
        <v>767</v>
      </c>
      <c r="E406" s="23" t="s">
        <v>63</v>
      </c>
      <c r="F406" s="110">
        <v>240</v>
      </c>
      <c r="G406" s="307" t="s">
        <v>823</v>
      </c>
      <c r="H406" s="244"/>
      <c r="I406" s="243">
        <f t="shared" si="7"/>
        <v>0</v>
      </c>
      <c r="J406" s="246"/>
      <c r="K406" s="246"/>
    </row>
    <row r="407" spans="1:11" x14ac:dyDescent="0.25">
      <c r="A407" s="242"/>
      <c r="B407" s="132">
        <v>45525</v>
      </c>
      <c r="C407" s="243" t="s">
        <v>836</v>
      </c>
      <c r="D407" s="298" t="s">
        <v>126</v>
      </c>
      <c r="E407" s="251" t="s">
        <v>127</v>
      </c>
      <c r="F407" s="110">
        <v>48</v>
      </c>
      <c r="G407" s="307" t="s">
        <v>823</v>
      </c>
      <c r="H407" s="244"/>
      <c r="I407" s="243">
        <f t="shared" si="7"/>
        <v>0</v>
      </c>
      <c r="J407" s="246"/>
      <c r="K407" s="246"/>
    </row>
    <row r="408" spans="1:11" x14ac:dyDescent="0.25">
      <c r="A408" s="242"/>
      <c r="B408" s="132">
        <v>45525</v>
      </c>
      <c r="C408" s="128" t="s">
        <v>942</v>
      </c>
      <c r="D408" s="10" t="s">
        <v>124</v>
      </c>
      <c r="E408" s="9" t="s">
        <v>125</v>
      </c>
      <c r="F408" s="110">
        <v>96</v>
      </c>
      <c r="G408" s="307" t="s">
        <v>823</v>
      </c>
      <c r="H408" s="244"/>
      <c r="I408" s="243">
        <f t="shared" si="7"/>
        <v>0</v>
      </c>
      <c r="J408" s="246"/>
      <c r="K408" s="246"/>
    </row>
    <row r="409" spans="1:11" x14ac:dyDescent="0.25">
      <c r="A409" s="242"/>
      <c r="B409" s="132">
        <v>45525</v>
      </c>
      <c r="C409" s="128" t="s">
        <v>942</v>
      </c>
      <c r="D409" s="21" t="s">
        <v>801</v>
      </c>
      <c r="E409" s="22" t="s">
        <v>73</v>
      </c>
      <c r="F409" s="110">
        <v>30</v>
      </c>
      <c r="G409" s="307" t="s">
        <v>823</v>
      </c>
      <c r="H409" s="244"/>
      <c r="I409" s="243">
        <f t="shared" si="7"/>
        <v>0</v>
      </c>
      <c r="J409" s="246"/>
      <c r="K409" s="246"/>
    </row>
    <row r="410" spans="1:11" x14ac:dyDescent="0.25">
      <c r="A410" s="242"/>
      <c r="B410" s="132">
        <v>45525</v>
      </c>
      <c r="C410" s="128" t="s">
        <v>942</v>
      </c>
      <c r="D410" s="10" t="s">
        <v>130</v>
      </c>
      <c r="E410" s="9" t="s">
        <v>131</v>
      </c>
      <c r="F410" s="110">
        <v>48</v>
      </c>
      <c r="G410" s="317" t="s">
        <v>881</v>
      </c>
      <c r="H410" s="244">
        <f>170000/24</f>
        <v>7083.333333333333</v>
      </c>
      <c r="I410" s="243">
        <f t="shared" si="7"/>
        <v>340000</v>
      </c>
      <c r="J410" s="246"/>
      <c r="K410" s="246"/>
    </row>
    <row r="411" spans="1:11" x14ac:dyDescent="0.25">
      <c r="A411" s="128"/>
      <c r="B411" s="132">
        <v>45525</v>
      </c>
      <c r="C411" s="128"/>
      <c r="D411" s="10" t="s">
        <v>132</v>
      </c>
      <c r="E411" s="9" t="s">
        <v>133</v>
      </c>
      <c r="F411" s="244">
        <v>3219</v>
      </c>
      <c r="G411" s="310" t="s">
        <v>820</v>
      </c>
      <c r="H411" s="324">
        <v>7603</v>
      </c>
      <c r="I411" s="243">
        <f t="shared" si="7"/>
        <v>24474057</v>
      </c>
      <c r="J411" s="357">
        <f>SUM(I411:I434)</f>
        <v>85035082</v>
      </c>
      <c r="K411" s="357">
        <v>78095383</v>
      </c>
    </row>
    <row r="412" spans="1:11" x14ac:dyDescent="0.25">
      <c r="A412" s="128"/>
      <c r="B412" s="132">
        <v>45525</v>
      </c>
      <c r="C412" s="128"/>
      <c r="D412" s="21" t="s">
        <v>764</v>
      </c>
      <c r="E412" s="23" t="s">
        <v>69</v>
      </c>
      <c r="F412" s="110">
        <v>370</v>
      </c>
      <c r="G412" s="310" t="s">
        <v>820</v>
      </c>
      <c r="H412" s="324">
        <v>8197</v>
      </c>
      <c r="I412" s="243">
        <f t="shared" si="7"/>
        <v>3032890</v>
      </c>
      <c r="J412" s="353"/>
      <c r="K412" s="353"/>
    </row>
    <row r="413" spans="1:11" x14ac:dyDescent="0.25">
      <c r="A413" s="128"/>
      <c r="B413" s="132">
        <v>45525</v>
      </c>
      <c r="C413" s="128"/>
      <c r="D413" s="10" t="s">
        <v>22</v>
      </c>
      <c r="E413" s="7" t="s">
        <v>23</v>
      </c>
      <c r="F413" s="110">
        <v>124</v>
      </c>
      <c r="G413" s="310" t="s">
        <v>820</v>
      </c>
      <c r="H413" s="324">
        <v>66107</v>
      </c>
      <c r="I413" s="243">
        <f t="shared" si="7"/>
        <v>8197268</v>
      </c>
      <c r="J413" s="353"/>
      <c r="K413" s="353"/>
    </row>
    <row r="414" spans="1:11" x14ac:dyDescent="0.25">
      <c r="A414" s="128"/>
      <c r="B414" s="132">
        <v>45525</v>
      </c>
      <c r="C414" s="128"/>
      <c r="D414" s="21" t="s">
        <v>142</v>
      </c>
      <c r="E414" s="22" t="s">
        <v>143</v>
      </c>
      <c r="F414" s="110">
        <v>4655</v>
      </c>
      <c r="G414" s="310" t="s">
        <v>820</v>
      </c>
      <c r="H414" s="324">
        <v>6350</v>
      </c>
      <c r="I414" s="243">
        <f t="shared" si="7"/>
        <v>29559250</v>
      </c>
      <c r="J414" s="353"/>
      <c r="K414" s="353"/>
    </row>
    <row r="415" spans="1:11" x14ac:dyDescent="0.25">
      <c r="A415" s="128"/>
      <c r="B415" s="132">
        <v>45525</v>
      </c>
      <c r="C415" s="128"/>
      <c r="D415" s="10" t="s">
        <v>158</v>
      </c>
      <c r="E415" s="9" t="s">
        <v>159</v>
      </c>
      <c r="F415" s="244">
        <v>160</v>
      </c>
      <c r="G415" s="310" t="s">
        <v>820</v>
      </c>
      <c r="H415" s="324">
        <v>4990</v>
      </c>
      <c r="I415" s="243">
        <f t="shared" ref="I415:I422" si="8">H415*F415</f>
        <v>798400</v>
      </c>
      <c r="J415" s="353"/>
      <c r="K415" s="353"/>
    </row>
    <row r="416" spans="1:11" x14ac:dyDescent="0.25">
      <c r="A416" s="128"/>
      <c r="B416" s="132">
        <v>45525</v>
      </c>
      <c r="C416" s="128" t="s">
        <v>944</v>
      </c>
      <c r="D416" s="21" t="s">
        <v>44</v>
      </c>
      <c r="E416" s="23" t="s">
        <v>45</v>
      </c>
      <c r="F416" s="110">
        <v>236</v>
      </c>
      <c r="G416" s="310" t="s">
        <v>820</v>
      </c>
      <c r="H416" s="324">
        <v>7571</v>
      </c>
      <c r="I416" s="243">
        <f t="shared" si="8"/>
        <v>1786756</v>
      </c>
      <c r="J416" s="353"/>
      <c r="K416" s="353"/>
    </row>
    <row r="417" spans="1:11" x14ac:dyDescent="0.25">
      <c r="A417" s="128"/>
      <c r="B417" s="132">
        <v>45525</v>
      </c>
      <c r="C417" s="128"/>
      <c r="D417" s="21" t="s">
        <v>249</v>
      </c>
      <c r="E417" s="9" t="s">
        <v>250</v>
      </c>
      <c r="F417" s="110">
        <v>14</v>
      </c>
      <c r="G417" s="310" t="s">
        <v>820</v>
      </c>
      <c r="H417" s="324">
        <v>5184</v>
      </c>
      <c r="I417" s="243">
        <f t="shared" si="8"/>
        <v>72576</v>
      </c>
      <c r="J417" s="353"/>
      <c r="K417" s="353"/>
    </row>
    <row r="418" spans="1:11" x14ac:dyDescent="0.25">
      <c r="A418" s="128"/>
      <c r="B418" s="132">
        <v>45525</v>
      </c>
      <c r="C418" s="128"/>
      <c r="D418" s="10" t="s">
        <v>16</v>
      </c>
      <c r="E418" s="7" t="s">
        <v>17</v>
      </c>
      <c r="F418" s="110">
        <v>39</v>
      </c>
      <c r="G418" s="310" t="s">
        <v>820</v>
      </c>
      <c r="H418" s="324">
        <v>55458</v>
      </c>
      <c r="I418" s="243">
        <f t="shared" si="8"/>
        <v>2162862</v>
      </c>
      <c r="J418" s="353"/>
      <c r="K418" s="353"/>
    </row>
    <row r="419" spans="1:11" x14ac:dyDescent="0.25">
      <c r="A419" s="242"/>
      <c r="B419" s="132">
        <v>45525</v>
      </c>
      <c r="C419" s="242"/>
      <c r="D419" s="10" t="s">
        <v>12</v>
      </c>
      <c r="E419" s="7" t="s">
        <v>13</v>
      </c>
      <c r="F419" s="110">
        <v>64</v>
      </c>
      <c r="G419" s="310" t="s">
        <v>820</v>
      </c>
      <c r="H419" s="325">
        <v>25326</v>
      </c>
      <c r="I419" s="243">
        <f t="shared" si="8"/>
        <v>1620864</v>
      </c>
      <c r="J419" s="353"/>
      <c r="K419" s="353"/>
    </row>
    <row r="420" spans="1:11" x14ac:dyDescent="0.25">
      <c r="A420" s="242"/>
      <c r="B420" s="132">
        <v>45525</v>
      </c>
      <c r="C420" s="242"/>
      <c r="D420" s="10" t="s">
        <v>18</v>
      </c>
      <c r="E420" s="7" t="s">
        <v>19</v>
      </c>
      <c r="F420" s="110">
        <v>5</v>
      </c>
      <c r="G420" s="310" t="s">
        <v>820</v>
      </c>
      <c r="H420" s="325">
        <v>19948</v>
      </c>
      <c r="I420" s="243">
        <f t="shared" si="8"/>
        <v>99740</v>
      </c>
      <c r="J420" s="353"/>
      <c r="K420" s="353"/>
    </row>
    <row r="421" spans="1:11" x14ac:dyDescent="0.25">
      <c r="A421" s="242"/>
      <c r="B421" s="132">
        <v>45525</v>
      </c>
      <c r="C421" s="242"/>
      <c r="D421" s="21" t="s">
        <v>20</v>
      </c>
      <c r="E421" s="23" t="s">
        <v>21</v>
      </c>
      <c r="F421" s="110">
        <v>46</v>
      </c>
      <c r="G421" s="310" t="s">
        <v>820</v>
      </c>
      <c r="H421" s="325">
        <v>19948</v>
      </c>
      <c r="I421" s="243">
        <f t="shared" si="8"/>
        <v>917608</v>
      </c>
      <c r="J421" s="353"/>
      <c r="K421" s="353"/>
    </row>
    <row r="422" spans="1:11" x14ac:dyDescent="0.25">
      <c r="A422" s="242"/>
      <c r="B422" s="132">
        <v>45525</v>
      </c>
      <c r="C422" s="242"/>
      <c r="D422" s="21" t="s">
        <v>807</v>
      </c>
      <c r="E422" s="23" t="s">
        <v>806</v>
      </c>
      <c r="F422" s="110">
        <v>5</v>
      </c>
      <c r="G422" s="310" t="s">
        <v>820</v>
      </c>
      <c r="H422" s="325">
        <v>18900</v>
      </c>
      <c r="I422" s="243">
        <f t="shared" si="8"/>
        <v>94500</v>
      </c>
      <c r="J422" s="353"/>
      <c r="K422" s="353"/>
    </row>
    <row r="423" spans="1:11" x14ac:dyDescent="0.25">
      <c r="A423" s="128"/>
      <c r="B423" s="132">
        <v>45525</v>
      </c>
      <c r="C423" s="128" t="s">
        <v>777</v>
      </c>
      <c r="D423" s="21" t="s">
        <v>767</v>
      </c>
      <c r="E423" s="23" t="s">
        <v>63</v>
      </c>
      <c r="F423" s="110">
        <v>65</v>
      </c>
      <c r="G423" s="310" t="s">
        <v>820</v>
      </c>
      <c r="H423" s="324">
        <v>8197</v>
      </c>
      <c r="I423" s="243">
        <f t="shared" si="7"/>
        <v>532805</v>
      </c>
      <c r="J423" s="353"/>
      <c r="K423" s="353"/>
    </row>
    <row r="424" spans="1:11" x14ac:dyDescent="0.25">
      <c r="A424" s="128"/>
      <c r="B424" s="132">
        <v>45525</v>
      </c>
      <c r="C424" s="128" t="s">
        <v>777</v>
      </c>
      <c r="D424" s="21" t="s">
        <v>126</v>
      </c>
      <c r="E424" s="22" t="s">
        <v>127</v>
      </c>
      <c r="F424" s="110">
        <v>553</v>
      </c>
      <c r="G424" s="310" t="s">
        <v>820</v>
      </c>
      <c r="H424" s="324">
        <v>6350</v>
      </c>
      <c r="I424" s="243">
        <f t="shared" si="7"/>
        <v>3511550</v>
      </c>
      <c r="J424" s="353"/>
      <c r="K424" s="353"/>
    </row>
    <row r="425" spans="1:11" x14ac:dyDescent="0.25">
      <c r="A425" s="128"/>
      <c r="B425" s="132">
        <v>45525</v>
      </c>
      <c r="C425" s="128"/>
      <c r="D425" s="10" t="s">
        <v>80</v>
      </c>
      <c r="E425" s="9" t="s">
        <v>81</v>
      </c>
      <c r="F425" s="110">
        <v>6</v>
      </c>
      <c r="G425" s="310" t="s">
        <v>820</v>
      </c>
      <c r="H425" s="324">
        <v>10973</v>
      </c>
      <c r="I425" s="243">
        <f t="shared" si="7"/>
        <v>65838</v>
      </c>
      <c r="J425" s="353"/>
      <c r="K425" s="353"/>
    </row>
    <row r="426" spans="1:11" x14ac:dyDescent="0.25">
      <c r="A426" s="242"/>
      <c r="B426" s="132">
        <v>45525</v>
      </c>
      <c r="C426" s="242"/>
      <c r="D426" s="257" t="s">
        <v>934</v>
      </c>
      <c r="E426" s="9" t="s">
        <v>933</v>
      </c>
      <c r="F426" s="110">
        <f>194+70-6</f>
        <v>258</v>
      </c>
      <c r="G426" s="310" t="s">
        <v>820</v>
      </c>
      <c r="H426" s="324">
        <v>10973</v>
      </c>
      <c r="I426" s="243">
        <f t="shared" si="7"/>
        <v>2831034</v>
      </c>
      <c r="J426" s="353"/>
      <c r="K426" s="353"/>
    </row>
    <row r="427" spans="1:11" x14ac:dyDescent="0.25">
      <c r="A427" s="128"/>
      <c r="B427" s="132">
        <v>45525</v>
      </c>
      <c r="C427" s="128"/>
      <c r="D427" s="21" t="s">
        <v>766</v>
      </c>
      <c r="E427" s="22" t="s">
        <v>77</v>
      </c>
      <c r="F427" s="244">
        <v>88</v>
      </c>
      <c r="G427" s="310" t="s">
        <v>820</v>
      </c>
      <c r="H427" s="324">
        <v>5184</v>
      </c>
      <c r="I427" s="243">
        <f t="shared" si="7"/>
        <v>456192</v>
      </c>
      <c r="J427" s="353"/>
      <c r="K427" s="353"/>
    </row>
    <row r="428" spans="1:11" x14ac:dyDescent="0.25">
      <c r="A428" s="128"/>
      <c r="B428" s="132">
        <v>45525</v>
      </c>
      <c r="C428" s="128"/>
      <c r="D428" s="21" t="s">
        <v>768</v>
      </c>
      <c r="E428" s="23" t="s">
        <v>67</v>
      </c>
      <c r="F428" s="110">
        <v>15</v>
      </c>
      <c r="G428" s="310" t="s">
        <v>820</v>
      </c>
      <c r="H428" s="324">
        <v>35867</v>
      </c>
      <c r="I428" s="243">
        <f t="shared" si="7"/>
        <v>538005</v>
      </c>
      <c r="J428" s="353"/>
      <c r="K428" s="353"/>
    </row>
    <row r="429" spans="1:11" ht="15" customHeight="1" x14ac:dyDescent="0.25">
      <c r="A429" s="128"/>
      <c r="B429" s="132">
        <v>45525</v>
      </c>
      <c r="C429" s="128"/>
      <c r="D429" s="10" t="s">
        <v>124</v>
      </c>
      <c r="E429" s="9" t="s">
        <v>125</v>
      </c>
      <c r="F429" s="110">
        <v>438</v>
      </c>
      <c r="G429" s="310" t="s">
        <v>820</v>
      </c>
      <c r="H429" s="324">
        <v>6350</v>
      </c>
      <c r="I429" s="243">
        <f t="shared" si="7"/>
        <v>2781300</v>
      </c>
      <c r="J429" s="353"/>
      <c r="K429" s="353"/>
    </row>
    <row r="430" spans="1:11" x14ac:dyDescent="0.25">
      <c r="A430" s="128"/>
      <c r="B430" s="132">
        <v>45525</v>
      </c>
      <c r="C430" s="128"/>
      <c r="D430" s="27" t="s">
        <v>244</v>
      </c>
      <c r="E430" s="28" t="s">
        <v>245</v>
      </c>
      <c r="F430" s="110">
        <v>12</v>
      </c>
      <c r="G430" s="310" t="s">
        <v>820</v>
      </c>
      <c r="H430" s="324">
        <v>38362</v>
      </c>
      <c r="I430" s="243">
        <f t="shared" si="7"/>
        <v>460344</v>
      </c>
      <c r="J430" s="353"/>
      <c r="K430" s="353"/>
    </row>
    <row r="431" spans="1:11" x14ac:dyDescent="0.25">
      <c r="A431" s="128"/>
      <c r="B431" s="132">
        <v>45525</v>
      </c>
      <c r="C431" s="128"/>
      <c r="D431" s="10" t="s">
        <v>174</v>
      </c>
      <c r="E431" s="7" t="s">
        <v>175</v>
      </c>
      <c r="F431" s="244">
        <v>24</v>
      </c>
      <c r="G431" s="310" t="s">
        <v>820</v>
      </c>
      <c r="H431" s="324">
        <v>16168</v>
      </c>
      <c r="I431" s="243">
        <f t="shared" si="7"/>
        <v>388032</v>
      </c>
      <c r="J431" s="353"/>
      <c r="K431" s="353"/>
    </row>
    <row r="432" spans="1:11" ht="15" customHeight="1" x14ac:dyDescent="0.25">
      <c r="A432" s="128"/>
      <c r="B432" s="132">
        <v>45525</v>
      </c>
      <c r="C432" s="128"/>
      <c r="D432" s="21" t="s">
        <v>813</v>
      </c>
      <c r="E432" s="23" t="s">
        <v>812</v>
      </c>
      <c r="F432" s="110">
        <v>5</v>
      </c>
      <c r="G432" s="310" t="s">
        <v>820</v>
      </c>
      <c r="H432" s="324">
        <v>15563</v>
      </c>
      <c r="I432" s="243">
        <f t="shared" si="7"/>
        <v>77815</v>
      </c>
      <c r="J432" s="353"/>
      <c r="K432" s="353"/>
    </row>
    <row r="433" spans="1:11" ht="15" customHeight="1" x14ac:dyDescent="0.25">
      <c r="A433" s="128"/>
      <c r="B433" s="132">
        <v>45525</v>
      </c>
      <c r="C433" s="128" t="s">
        <v>836</v>
      </c>
      <c r="D433" s="21" t="s">
        <v>40</v>
      </c>
      <c r="E433" s="23" t="s">
        <v>41</v>
      </c>
      <c r="F433" s="110">
        <v>74</v>
      </c>
      <c r="G433" s="310" t="s">
        <v>820</v>
      </c>
      <c r="H433" s="324">
        <v>7571</v>
      </c>
      <c r="I433" s="243">
        <f t="shared" si="7"/>
        <v>560254</v>
      </c>
      <c r="J433" s="353"/>
      <c r="K433" s="353"/>
    </row>
    <row r="434" spans="1:11" ht="15" customHeight="1" x14ac:dyDescent="0.25">
      <c r="A434" s="128"/>
      <c r="B434" s="132">
        <v>45525</v>
      </c>
      <c r="C434" s="128"/>
      <c r="D434" s="21" t="s">
        <v>42</v>
      </c>
      <c r="E434" s="23" t="s">
        <v>43</v>
      </c>
      <c r="F434" s="110">
        <v>2</v>
      </c>
      <c r="G434" s="310" t="s">
        <v>820</v>
      </c>
      <c r="H434" s="324">
        <v>7571</v>
      </c>
      <c r="I434" s="243">
        <f t="shared" si="7"/>
        <v>15142</v>
      </c>
      <c r="J434" s="354"/>
      <c r="K434" s="354"/>
    </row>
    <row r="435" spans="1:11" ht="15.75" x14ac:dyDescent="0.25">
      <c r="A435" s="128"/>
      <c r="B435" s="132">
        <v>45525</v>
      </c>
      <c r="C435" s="128"/>
      <c r="D435" s="78" t="s">
        <v>814</v>
      </c>
      <c r="E435" s="79" t="s">
        <v>815</v>
      </c>
      <c r="F435" s="244">
        <v>192</v>
      </c>
      <c r="G435" s="310" t="s">
        <v>821</v>
      </c>
      <c r="H435" s="110"/>
      <c r="I435" s="243">
        <f t="shared" si="7"/>
        <v>0</v>
      </c>
      <c r="J435" s="131"/>
      <c r="K435" s="131"/>
    </row>
    <row r="436" spans="1:11" x14ac:dyDescent="0.25">
      <c r="A436" s="128"/>
      <c r="B436" s="132">
        <v>45525</v>
      </c>
      <c r="C436" s="128"/>
      <c r="D436" s="10" t="s">
        <v>158</v>
      </c>
      <c r="E436" s="9" t="s">
        <v>159</v>
      </c>
      <c r="F436" s="110">
        <v>16</v>
      </c>
      <c r="G436" s="310" t="s">
        <v>821</v>
      </c>
      <c r="H436" s="110"/>
      <c r="I436" s="243">
        <f t="shared" si="7"/>
        <v>0</v>
      </c>
      <c r="J436" s="131"/>
      <c r="K436" s="131"/>
    </row>
    <row r="437" spans="1:11" x14ac:dyDescent="0.25">
      <c r="A437" s="242"/>
      <c r="B437" s="327">
        <v>45526</v>
      </c>
      <c r="C437" s="242"/>
      <c r="D437" s="297" t="s">
        <v>762</v>
      </c>
      <c r="E437" s="275" t="s">
        <v>85</v>
      </c>
      <c r="F437" s="110">
        <f>60+24+120</f>
        <v>204</v>
      </c>
      <c r="G437" s="307" t="s">
        <v>823</v>
      </c>
      <c r="H437" s="110"/>
      <c r="I437" s="243"/>
      <c r="J437" s="246"/>
      <c r="K437" s="246"/>
    </row>
    <row r="438" spans="1:11" x14ac:dyDescent="0.25">
      <c r="A438" s="242"/>
      <c r="B438" s="327">
        <v>45526</v>
      </c>
      <c r="C438" s="242"/>
      <c r="D438" s="21" t="s">
        <v>42</v>
      </c>
      <c r="E438" s="23" t="s">
        <v>43</v>
      </c>
      <c r="F438" s="110">
        <v>48</v>
      </c>
      <c r="G438" s="307" t="s">
        <v>823</v>
      </c>
      <c r="H438" s="110"/>
      <c r="I438" s="243"/>
      <c r="J438" s="246"/>
      <c r="K438" s="246"/>
    </row>
    <row r="439" spans="1:11" x14ac:dyDescent="0.25">
      <c r="A439" s="242"/>
      <c r="B439" s="327">
        <v>45526</v>
      </c>
      <c r="C439" s="242"/>
      <c r="D439" s="21" t="s">
        <v>142</v>
      </c>
      <c r="E439" s="22" t="s">
        <v>143</v>
      </c>
      <c r="F439" s="244">
        <v>48</v>
      </c>
      <c r="G439" s="307" t="s">
        <v>823</v>
      </c>
      <c r="H439" s="110"/>
      <c r="I439" s="243"/>
      <c r="J439" s="246"/>
      <c r="K439" s="246"/>
    </row>
    <row r="440" spans="1:11" x14ac:dyDescent="0.25">
      <c r="A440" s="242"/>
      <c r="B440" s="327">
        <v>45526</v>
      </c>
      <c r="C440" s="242"/>
      <c r="D440" s="10" t="s">
        <v>172</v>
      </c>
      <c r="E440" s="308" t="s">
        <v>173</v>
      </c>
      <c r="F440" s="244">
        <v>2</v>
      </c>
      <c r="G440" s="307" t="s">
        <v>823</v>
      </c>
      <c r="H440" s="244"/>
      <c r="I440" s="243"/>
      <c r="J440" s="246"/>
      <c r="K440" s="246"/>
    </row>
    <row r="441" spans="1:11" x14ac:dyDescent="0.25">
      <c r="A441" s="242"/>
      <c r="B441" s="327">
        <v>45526</v>
      </c>
      <c r="C441" s="242"/>
      <c r="D441" s="10" t="s">
        <v>16</v>
      </c>
      <c r="E441" s="308" t="s">
        <v>17</v>
      </c>
      <c r="F441" s="244">
        <v>60</v>
      </c>
      <c r="G441" s="307" t="s">
        <v>823</v>
      </c>
      <c r="H441" s="244"/>
      <c r="I441" s="243"/>
      <c r="J441" s="246"/>
      <c r="K441" s="246"/>
    </row>
    <row r="442" spans="1:11" x14ac:dyDescent="0.25">
      <c r="A442" s="242"/>
      <c r="B442" s="327">
        <v>45526</v>
      </c>
      <c r="C442" s="242"/>
      <c r="D442" s="21" t="s">
        <v>30</v>
      </c>
      <c r="E442" s="333" t="s">
        <v>31</v>
      </c>
      <c r="F442" s="110">
        <v>10</v>
      </c>
      <c r="G442" s="334" t="s">
        <v>823</v>
      </c>
      <c r="H442" s="244"/>
      <c r="I442" s="243"/>
      <c r="J442" s="246"/>
      <c r="K442" s="246"/>
    </row>
    <row r="443" spans="1:11" x14ac:dyDescent="0.25">
      <c r="A443" s="242"/>
      <c r="B443" s="327">
        <v>45526</v>
      </c>
      <c r="C443" s="242"/>
      <c r="D443" s="259" t="s">
        <v>568</v>
      </c>
      <c r="E443" s="251" t="s">
        <v>569</v>
      </c>
      <c r="F443" s="110">
        <v>34</v>
      </c>
      <c r="G443" s="307" t="s">
        <v>823</v>
      </c>
      <c r="H443" s="329"/>
      <c r="I443" s="243"/>
      <c r="J443" s="246"/>
      <c r="K443" s="246"/>
    </row>
    <row r="444" spans="1:11" x14ac:dyDescent="0.25">
      <c r="A444" s="242"/>
      <c r="B444" s="327">
        <v>45526</v>
      </c>
      <c r="C444" s="242"/>
      <c r="D444" s="259" t="s">
        <v>132</v>
      </c>
      <c r="E444" s="271" t="s">
        <v>133</v>
      </c>
      <c r="F444" s="110">
        <v>480</v>
      </c>
      <c r="G444" s="307" t="s">
        <v>823</v>
      </c>
      <c r="H444" s="329"/>
      <c r="I444" s="243"/>
      <c r="J444" s="246"/>
      <c r="K444" s="246"/>
    </row>
    <row r="445" spans="1:11" x14ac:dyDescent="0.25">
      <c r="A445" s="242"/>
      <c r="B445" s="327">
        <v>45526</v>
      </c>
      <c r="C445" s="242"/>
      <c r="D445" s="259" t="s">
        <v>22</v>
      </c>
      <c r="E445" s="271" t="s">
        <v>23</v>
      </c>
      <c r="F445" s="110">
        <v>12</v>
      </c>
      <c r="G445" s="321" t="s">
        <v>822</v>
      </c>
      <c r="H445" s="329"/>
      <c r="I445" s="243"/>
      <c r="J445" s="246"/>
      <c r="K445" s="246"/>
    </row>
    <row r="446" spans="1:11" x14ac:dyDescent="0.25">
      <c r="A446" s="128"/>
      <c r="B446" s="327">
        <v>45526</v>
      </c>
      <c r="C446" s="128"/>
      <c r="D446" s="261" t="s">
        <v>142</v>
      </c>
      <c r="E446" s="251" t="s">
        <v>143</v>
      </c>
      <c r="F446" s="110">
        <v>847</v>
      </c>
      <c r="G446" s="310" t="s">
        <v>820</v>
      </c>
      <c r="H446" s="330">
        <v>6350</v>
      </c>
      <c r="I446" s="243">
        <f t="shared" ref="I446:I498" si="9">H446*F446</f>
        <v>5378450</v>
      </c>
      <c r="J446" s="357">
        <f>SUM(I446:I449)</f>
        <v>8689752</v>
      </c>
      <c r="K446" s="357">
        <v>7994066</v>
      </c>
    </row>
    <row r="447" spans="1:11" x14ac:dyDescent="0.25">
      <c r="A447" s="128"/>
      <c r="B447" s="327">
        <v>45526</v>
      </c>
      <c r="C447" s="128"/>
      <c r="D447" s="259" t="s">
        <v>132</v>
      </c>
      <c r="E447" s="271" t="s">
        <v>133</v>
      </c>
      <c r="F447" s="110">
        <f>12*6+10*10+120+10+20</f>
        <v>322</v>
      </c>
      <c r="G447" s="310" t="s">
        <v>820</v>
      </c>
      <c r="H447" s="331">
        <v>7603</v>
      </c>
      <c r="I447" s="243">
        <f t="shared" si="9"/>
        <v>2448166</v>
      </c>
      <c r="J447" s="353"/>
      <c r="K447" s="353"/>
    </row>
    <row r="448" spans="1:11" x14ac:dyDescent="0.25">
      <c r="A448" s="128"/>
      <c r="B448" s="327">
        <v>45526</v>
      </c>
      <c r="C448" s="128"/>
      <c r="D448" s="261" t="s">
        <v>30</v>
      </c>
      <c r="E448" s="251" t="s">
        <v>31</v>
      </c>
      <c r="F448" s="110">
        <v>37</v>
      </c>
      <c r="G448" s="310" t="s">
        <v>820</v>
      </c>
      <c r="H448" s="332">
        <v>18900</v>
      </c>
      <c r="I448" s="243">
        <f t="shared" si="9"/>
        <v>699300</v>
      </c>
      <c r="J448" s="353"/>
      <c r="K448" s="353"/>
    </row>
    <row r="449" spans="1:11" x14ac:dyDescent="0.25">
      <c r="A449" s="128"/>
      <c r="B449" s="327">
        <v>45526</v>
      </c>
      <c r="C449" s="128"/>
      <c r="D449" s="21" t="s">
        <v>34</v>
      </c>
      <c r="E449" s="335" t="s">
        <v>35</v>
      </c>
      <c r="F449" s="110">
        <v>37</v>
      </c>
      <c r="G449" s="336" t="s">
        <v>820</v>
      </c>
      <c r="H449" s="53">
        <v>4428</v>
      </c>
      <c r="I449" s="243">
        <f t="shared" si="9"/>
        <v>163836</v>
      </c>
      <c r="J449" s="354"/>
      <c r="K449" s="354"/>
    </row>
    <row r="450" spans="1:11" x14ac:dyDescent="0.25">
      <c r="A450" s="128"/>
      <c r="B450" s="127">
        <v>45527</v>
      </c>
      <c r="C450" s="243" t="s">
        <v>951</v>
      </c>
      <c r="D450" s="297" t="s">
        <v>762</v>
      </c>
      <c r="E450" s="275" t="s">
        <v>85</v>
      </c>
      <c r="F450" s="110">
        <f>36+90*12</f>
        <v>1116</v>
      </c>
      <c r="G450" s="321" t="s">
        <v>822</v>
      </c>
      <c r="H450" s="110"/>
      <c r="I450" s="109">
        <f t="shared" si="9"/>
        <v>0</v>
      </c>
      <c r="J450" s="131"/>
      <c r="K450" s="131"/>
    </row>
    <row r="451" spans="1:11" x14ac:dyDescent="0.25">
      <c r="A451" s="128"/>
      <c r="B451" s="127">
        <v>45527</v>
      </c>
      <c r="C451" s="243" t="s">
        <v>778</v>
      </c>
      <c r="D451" s="21" t="s">
        <v>142</v>
      </c>
      <c r="E451" s="22" t="s">
        <v>143</v>
      </c>
      <c r="F451" s="110">
        <v>48</v>
      </c>
      <c r="G451" s="321" t="s">
        <v>822</v>
      </c>
      <c r="H451" s="110"/>
      <c r="I451" s="109">
        <f t="shared" si="9"/>
        <v>0</v>
      </c>
      <c r="J451" s="131"/>
      <c r="K451" s="131"/>
    </row>
    <row r="452" spans="1:11" x14ac:dyDescent="0.25">
      <c r="A452" s="128"/>
      <c r="B452" s="127">
        <v>45527</v>
      </c>
      <c r="C452" s="243" t="s">
        <v>836</v>
      </c>
      <c r="D452" s="10" t="s">
        <v>86</v>
      </c>
      <c r="E452" s="9" t="s">
        <v>87</v>
      </c>
      <c r="F452" s="110">
        <v>12</v>
      </c>
      <c r="G452" s="307" t="s">
        <v>823</v>
      </c>
      <c r="H452" s="110"/>
      <c r="I452" s="109">
        <f t="shared" si="9"/>
        <v>0</v>
      </c>
      <c r="J452" s="131"/>
      <c r="K452" s="131"/>
    </row>
    <row r="453" spans="1:11" x14ac:dyDescent="0.25">
      <c r="A453" s="128"/>
      <c r="B453" s="127">
        <v>45527</v>
      </c>
      <c r="C453" s="243" t="s">
        <v>836</v>
      </c>
      <c r="D453" s="298" t="s">
        <v>126</v>
      </c>
      <c r="E453" s="251" t="s">
        <v>127</v>
      </c>
      <c r="F453" s="110">
        <v>144</v>
      </c>
      <c r="G453" s="307" t="s">
        <v>823</v>
      </c>
      <c r="H453" s="110"/>
      <c r="I453" s="109">
        <f t="shared" si="9"/>
        <v>0</v>
      </c>
      <c r="J453" s="131"/>
      <c r="K453" s="131"/>
    </row>
    <row r="454" spans="1:11" x14ac:dyDescent="0.25">
      <c r="A454" s="128"/>
      <c r="B454" s="127">
        <v>45527</v>
      </c>
      <c r="C454" s="243" t="s">
        <v>836</v>
      </c>
      <c r="D454" s="21" t="s">
        <v>764</v>
      </c>
      <c r="E454" s="23" t="s">
        <v>69</v>
      </c>
      <c r="F454" s="110">
        <v>96</v>
      </c>
      <c r="G454" s="307" t="s">
        <v>823</v>
      </c>
      <c r="H454" s="110"/>
      <c r="I454" s="109">
        <f t="shared" si="9"/>
        <v>0</v>
      </c>
      <c r="J454" s="131"/>
      <c r="K454" s="131"/>
    </row>
    <row r="455" spans="1:11" ht="15" customHeight="1" x14ac:dyDescent="0.25">
      <c r="A455" s="128"/>
      <c r="B455" s="127">
        <v>45527</v>
      </c>
      <c r="C455" s="243" t="s">
        <v>836</v>
      </c>
      <c r="D455" s="10" t="s">
        <v>164</v>
      </c>
      <c r="E455" s="9" t="s">
        <v>165</v>
      </c>
      <c r="F455" s="110">
        <v>3</v>
      </c>
      <c r="G455" s="307" t="s">
        <v>823</v>
      </c>
      <c r="H455" s="116"/>
      <c r="I455" s="109">
        <f t="shared" si="9"/>
        <v>0</v>
      </c>
      <c r="J455" s="133"/>
      <c r="K455" s="133"/>
    </row>
    <row r="456" spans="1:11" ht="15" customHeight="1" x14ac:dyDescent="0.25">
      <c r="A456" s="128"/>
      <c r="B456" s="127">
        <v>45527</v>
      </c>
      <c r="C456" s="243" t="s">
        <v>836</v>
      </c>
      <c r="D456" s="297" t="s">
        <v>762</v>
      </c>
      <c r="E456" s="275" t="s">
        <v>85</v>
      </c>
      <c r="F456" s="110">
        <v>120</v>
      </c>
      <c r="G456" s="307" t="s">
        <v>823</v>
      </c>
      <c r="H456" s="116"/>
      <c r="I456" s="109">
        <f t="shared" si="9"/>
        <v>0</v>
      </c>
      <c r="J456" s="133"/>
      <c r="K456" s="133"/>
    </row>
    <row r="457" spans="1:11" ht="15" customHeight="1" x14ac:dyDescent="0.25">
      <c r="A457" s="128"/>
      <c r="B457" s="327">
        <v>45528</v>
      </c>
      <c r="C457" s="128" t="s">
        <v>877</v>
      </c>
      <c r="D457" s="21" t="s">
        <v>20</v>
      </c>
      <c r="E457" s="23" t="s">
        <v>21</v>
      </c>
      <c r="F457" s="110">
        <f>49*24</f>
        <v>1176</v>
      </c>
      <c r="G457" s="321" t="s">
        <v>822</v>
      </c>
      <c r="H457" s="116"/>
      <c r="I457" s="109">
        <f t="shared" si="9"/>
        <v>0</v>
      </c>
      <c r="J457" s="133"/>
      <c r="K457" s="133"/>
    </row>
    <row r="458" spans="1:11" ht="15" customHeight="1" x14ac:dyDescent="0.25">
      <c r="A458" s="128"/>
      <c r="B458" s="327">
        <v>45528</v>
      </c>
      <c r="C458" s="128" t="s">
        <v>877</v>
      </c>
      <c r="D458" s="21" t="s">
        <v>40</v>
      </c>
      <c r="E458" s="23" t="s">
        <v>41</v>
      </c>
      <c r="F458" s="110">
        <f>156*48</f>
        <v>7488</v>
      </c>
      <c r="G458" s="321" t="s">
        <v>822</v>
      </c>
      <c r="H458" s="116"/>
      <c r="I458" s="109">
        <f t="shared" si="9"/>
        <v>0</v>
      </c>
      <c r="J458" s="133"/>
      <c r="K458" s="133"/>
    </row>
    <row r="459" spans="1:11" ht="15" customHeight="1" x14ac:dyDescent="0.25">
      <c r="A459" s="128"/>
      <c r="B459" s="327">
        <v>45528</v>
      </c>
      <c r="C459" s="128" t="s">
        <v>877</v>
      </c>
      <c r="D459" s="21" t="s">
        <v>142</v>
      </c>
      <c r="E459" s="22" t="s">
        <v>143</v>
      </c>
      <c r="F459" s="110">
        <f>86*48</f>
        <v>4128</v>
      </c>
      <c r="G459" s="321" t="s">
        <v>822</v>
      </c>
      <c r="H459" s="116"/>
      <c r="I459" s="109">
        <f t="shared" si="9"/>
        <v>0</v>
      </c>
      <c r="J459" s="133"/>
      <c r="K459" s="133"/>
    </row>
    <row r="460" spans="1:11" ht="15" customHeight="1" x14ac:dyDescent="0.25">
      <c r="A460" s="128"/>
      <c r="B460" s="327">
        <v>45528</v>
      </c>
      <c r="C460" s="243" t="s">
        <v>775</v>
      </c>
      <c r="D460" s="297" t="s">
        <v>762</v>
      </c>
      <c r="E460" s="275" t="s">
        <v>85</v>
      </c>
      <c r="F460" s="110">
        <v>36</v>
      </c>
      <c r="G460" s="307" t="s">
        <v>823</v>
      </c>
      <c r="H460" s="110"/>
      <c r="I460" s="109">
        <f t="shared" si="9"/>
        <v>0</v>
      </c>
      <c r="J460" s="131"/>
      <c r="K460" s="131"/>
    </row>
    <row r="461" spans="1:11" ht="15" customHeight="1" x14ac:dyDescent="0.25">
      <c r="A461" s="128"/>
      <c r="B461" s="327">
        <v>45528</v>
      </c>
      <c r="C461" s="243" t="s">
        <v>775</v>
      </c>
      <c r="D461" s="10" t="s">
        <v>56</v>
      </c>
      <c r="E461" s="7" t="s">
        <v>57</v>
      </c>
      <c r="F461" s="110">
        <v>12</v>
      </c>
      <c r="G461" s="307" t="s">
        <v>823</v>
      </c>
      <c r="H461" s="110"/>
      <c r="I461" s="109">
        <f t="shared" si="9"/>
        <v>0</v>
      </c>
      <c r="J461" s="131"/>
      <c r="K461" s="131"/>
    </row>
    <row r="462" spans="1:11" ht="15" customHeight="1" x14ac:dyDescent="0.25">
      <c r="A462" s="128"/>
      <c r="B462" s="327">
        <v>45528</v>
      </c>
      <c r="C462" s="243" t="s">
        <v>836</v>
      </c>
      <c r="D462" s="21" t="s">
        <v>44</v>
      </c>
      <c r="E462" s="23" t="s">
        <v>45</v>
      </c>
      <c r="F462" s="110">
        <v>10</v>
      </c>
      <c r="G462" s="307" t="s">
        <v>823</v>
      </c>
      <c r="H462" s="110"/>
      <c r="I462" s="109">
        <f t="shared" si="9"/>
        <v>0</v>
      </c>
      <c r="J462" s="131"/>
      <c r="K462" s="131"/>
    </row>
    <row r="463" spans="1:11" x14ac:dyDescent="0.25">
      <c r="A463" s="128"/>
      <c r="B463" s="327">
        <v>45528</v>
      </c>
      <c r="C463" s="243" t="s">
        <v>836</v>
      </c>
      <c r="D463" s="21" t="s">
        <v>763</v>
      </c>
      <c r="E463" s="22" t="s">
        <v>83</v>
      </c>
      <c r="F463" s="110">
        <v>96</v>
      </c>
      <c r="G463" s="307" t="s">
        <v>823</v>
      </c>
      <c r="H463" s="110"/>
      <c r="I463" s="109">
        <f t="shared" si="9"/>
        <v>0</v>
      </c>
      <c r="J463" s="131"/>
      <c r="K463" s="131"/>
    </row>
    <row r="464" spans="1:11" x14ac:dyDescent="0.25">
      <c r="A464" s="128"/>
      <c r="B464" s="327">
        <v>45528</v>
      </c>
      <c r="C464" s="243" t="s">
        <v>836</v>
      </c>
      <c r="D464" s="10" t="s">
        <v>86</v>
      </c>
      <c r="E464" s="9" t="s">
        <v>87</v>
      </c>
      <c r="F464" s="110">
        <v>24</v>
      </c>
      <c r="G464" s="307" t="s">
        <v>823</v>
      </c>
      <c r="H464" s="110"/>
      <c r="I464" s="109">
        <f t="shared" si="9"/>
        <v>0</v>
      </c>
      <c r="J464" s="131"/>
      <c r="K464" s="131"/>
    </row>
    <row r="465" spans="1:11" x14ac:dyDescent="0.25">
      <c r="A465" s="128"/>
      <c r="B465" s="327">
        <v>45528</v>
      </c>
      <c r="C465" s="109" t="s">
        <v>827</v>
      </c>
      <c r="D465" s="21" t="s">
        <v>142</v>
      </c>
      <c r="E465" s="22" t="s">
        <v>143</v>
      </c>
      <c r="F465" s="110">
        <f>13*48</f>
        <v>624</v>
      </c>
      <c r="G465" s="307" t="s">
        <v>823</v>
      </c>
      <c r="H465" s="110"/>
      <c r="I465" s="109">
        <f t="shared" si="9"/>
        <v>0</v>
      </c>
      <c r="J465" s="131"/>
      <c r="K465" s="131"/>
    </row>
    <row r="466" spans="1:11" x14ac:dyDescent="0.25">
      <c r="A466" s="128"/>
      <c r="B466" s="132">
        <v>45529</v>
      </c>
      <c r="C466" s="128" t="s">
        <v>782</v>
      </c>
      <c r="D466" s="297" t="s">
        <v>762</v>
      </c>
      <c r="E466" s="275" t="s">
        <v>85</v>
      </c>
      <c r="F466" s="243">
        <v>24</v>
      </c>
      <c r="G466" s="321" t="s">
        <v>822</v>
      </c>
      <c r="H466" s="110"/>
      <c r="I466" s="109">
        <f t="shared" si="9"/>
        <v>0</v>
      </c>
      <c r="J466" s="131"/>
      <c r="K466" s="131"/>
    </row>
    <row r="467" spans="1:11" x14ac:dyDescent="0.25">
      <c r="A467" s="242"/>
      <c r="B467" s="132">
        <v>45529</v>
      </c>
      <c r="C467" s="242"/>
      <c r="D467" s="10" t="s">
        <v>568</v>
      </c>
      <c r="E467" s="22" t="s">
        <v>569</v>
      </c>
      <c r="F467" s="243">
        <v>28</v>
      </c>
      <c r="G467" s="321" t="s">
        <v>822</v>
      </c>
      <c r="H467" s="244"/>
      <c r="I467" s="243">
        <f t="shared" si="9"/>
        <v>0</v>
      </c>
      <c r="J467" s="246"/>
      <c r="K467" s="246"/>
    </row>
    <row r="468" spans="1:11" x14ac:dyDescent="0.25">
      <c r="A468" s="128"/>
      <c r="B468" s="132">
        <v>45529</v>
      </c>
      <c r="C468" s="243" t="s">
        <v>836</v>
      </c>
      <c r="D468" s="21" t="s">
        <v>142</v>
      </c>
      <c r="E468" s="22" t="s">
        <v>143</v>
      </c>
      <c r="F468" s="243">
        <v>48</v>
      </c>
      <c r="G468" s="307" t="s">
        <v>823</v>
      </c>
      <c r="H468" s="110"/>
      <c r="I468" s="109">
        <f t="shared" si="9"/>
        <v>0</v>
      </c>
      <c r="J468" s="131"/>
      <c r="K468" s="131"/>
    </row>
    <row r="469" spans="1:11" x14ac:dyDescent="0.25">
      <c r="A469" s="128"/>
      <c r="B469" s="132">
        <v>45529</v>
      </c>
      <c r="C469" s="243" t="s">
        <v>836</v>
      </c>
      <c r="D469" s="21" t="s">
        <v>764</v>
      </c>
      <c r="E469" s="23" t="s">
        <v>69</v>
      </c>
      <c r="F469" s="243">
        <v>8</v>
      </c>
      <c r="G469" s="307" t="s">
        <v>823</v>
      </c>
      <c r="H469" s="110"/>
      <c r="I469" s="109">
        <f t="shared" si="9"/>
        <v>0</v>
      </c>
      <c r="J469" s="131"/>
      <c r="K469" s="131"/>
    </row>
    <row r="470" spans="1:11" x14ac:dyDescent="0.25">
      <c r="A470" s="128"/>
      <c r="B470" s="132">
        <v>45529</v>
      </c>
      <c r="C470" s="243" t="s">
        <v>836</v>
      </c>
      <c r="D470" s="21" t="s">
        <v>763</v>
      </c>
      <c r="E470" s="22" t="s">
        <v>83</v>
      </c>
      <c r="F470" s="243">
        <v>20</v>
      </c>
      <c r="G470" s="307" t="s">
        <v>823</v>
      </c>
      <c r="H470" s="110"/>
      <c r="I470" s="109">
        <f t="shared" si="9"/>
        <v>0</v>
      </c>
      <c r="J470" s="131"/>
      <c r="K470" s="131"/>
    </row>
    <row r="471" spans="1:11" x14ac:dyDescent="0.25">
      <c r="A471" s="128"/>
      <c r="B471" s="132">
        <v>45529</v>
      </c>
      <c r="C471" s="243" t="s">
        <v>836</v>
      </c>
      <c r="D471" s="298" t="s">
        <v>126</v>
      </c>
      <c r="E471" s="251" t="s">
        <v>127</v>
      </c>
      <c r="F471" s="243">
        <v>96</v>
      </c>
      <c r="G471" s="307" t="s">
        <v>823</v>
      </c>
      <c r="H471" s="110"/>
      <c r="I471" s="109">
        <f t="shared" si="9"/>
        <v>0</v>
      </c>
      <c r="J471" s="131"/>
      <c r="K471" s="131"/>
    </row>
    <row r="472" spans="1:11" x14ac:dyDescent="0.25">
      <c r="A472" s="128"/>
      <c r="B472" s="252">
        <v>45530</v>
      </c>
      <c r="C472" s="128" t="s">
        <v>782</v>
      </c>
      <c r="D472" s="297" t="s">
        <v>762</v>
      </c>
      <c r="E472" s="275" t="s">
        <v>85</v>
      </c>
      <c r="F472" s="243">
        <v>24</v>
      </c>
      <c r="G472" s="321" t="s">
        <v>822</v>
      </c>
      <c r="H472" s="110"/>
      <c r="I472" s="109">
        <f t="shared" si="9"/>
        <v>0</v>
      </c>
      <c r="J472" s="131"/>
      <c r="K472" s="131"/>
    </row>
    <row r="473" spans="1:11" x14ac:dyDescent="0.25">
      <c r="A473" s="128"/>
      <c r="B473" s="252">
        <v>45530</v>
      </c>
      <c r="C473" s="128"/>
      <c r="D473" s="10" t="s">
        <v>164</v>
      </c>
      <c r="E473" s="9" t="s">
        <v>165</v>
      </c>
      <c r="F473" s="243">
        <v>96</v>
      </c>
      <c r="G473" s="321" t="s">
        <v>822</v>
      </c>
      <c r="H473" s="110"/>
      <c r="I473" s="109">
        <f t="shared" si="9"/>
        <v>0</v>
      </c>
      <c r="J473" s="131"/>
      <c r="K473" s="131"/>
    </row>
    <row r="474" spans="1:11" x14ac:dyDescent="0.25">
      <c r="A474" s="128"/>
      <c r="B474" s="252">
        <v>45530</v>
      </c>
      <c r="C474" s="243" t="s">
        <v>836</v>
      </c>
      <c r="D474" s="10" t="s">
        <v>172</v>
      </c>
      <c r="E474" s="9" t="s">
        <v>173</v>
      </c>
      <c r="F474" s="243">
        <v>5</v>
      </c>
      <c r="G474" s="307" t="s">
        <v>823</v>
      </c>
      <c r="H474" s="110"/>
      <c r="I474" s="109">
        <f t="shared" si="9"/>
        <v>0</v>
      </c>
      <c r="J474" s="131"/>
      <c r="K474" s="131"/>
    </row>
    <row r="475" spans="1:11" x14ac:dyDescent="0.25">
      <c r="A475" s="242"/>
      <c r="B475" s="252">
        <v>45530</v>
      </c>
      <c r="C475" s="243" t="s">
        <v>836</v>
      </c>
      <c r="D475" s="298" t="s">
        <v>126</v>
      </c>
      <c r="E475" s="251" t="s">
        <v>127</v>
      </c>
      <c r="F475" s="243">
        <v>240</v>
      </c>
      <c r="G475" s="307" t="s">
        <v>823</v>
      </c>
      <c r="H475" s="244"/>
      <c r="I475" s="109">
        <f t="shared" si="9"/>
        <v>0</v>
      </c>
      <c r="J475" s="246"/>
      <c r="K475" s="246"/>
    </row>
    <row r="476" spans="1:11" x14ac:dyDescent="0.25">
      <c r="A476" s="242"/>
      <c r="B476" s="252">
        <v>45530</v>
      </c>
      <c r="C476" s="243" t="s">
        <v>775</v>
      </c>
      <c r="D476" s="299" t="s">
        <v>86</v>
      </c>
      <c r="E476" s="271" t="s">
        <v>87</v>
      </c>
      <c r="F476" s="243">
        <v>12</v>
      </c>
      <c r="G476" s="307" t="s">
        <v>823</v>
      </c>
      <c r="H476" s="244"/>
      <c r="I476" s="109">
        <f t="shared" si="9"/>
        <v>0</v>
      </c>
      <c r="J476" s="246"/>
      <c r="K476" s="246"/>
    </row>
    <row r="477" spans="1:11" ht="15.75" x14ac:dyDescent="0.25">
      <c r="A477" s="128"/>
      <c r="B477" s="252">
        <v>45530</v>
      </c>
      <c r="C477" s="128"/>
      <c r="D477" s="15" t="s">
        <v>788</v>
      </c>
      <c r="E477" s="34" t="s">
        <v>789</v>
      </c>
      <c r="F477" s="110">
        <v>96</v>
      </c>
      <c r="G477" s="317" t="s">
        <v>881</v>
      </c>
      <c r="H477" s="110"/>
      <c r="I477" s="109">
        <f t="shared" si="9"/>
        <v>0</v>
      </c>
      <c r="J477" s="131"/>
      <c r="K477" s="131"/>
    </row>
    <row r="478" spans="1:11" x14ac:dyDescent="0.25">
      <c r="A478" s="128"/>
      <c r="B478" s="252">
        <v>45530</v>
      </c>
      <c r="C478" s="128" t="s">
        <v>880</v>
      </c>
      <c r="D478" s="72" t="s">
        <v>879</v>
      </c>
      <c r="E478" s="23" t="s">
        <v>878</v>
      </c>
      <c r="F478" s="109">
        <v>12</v>
      </c>
      <c r="G478" s="317" t="s">
        <v>881</v>
      </c>
      <c r="H478" s="110">
        <f>515000/12</f>
        <v>42916.666666666664</v>
      </c>
      <c r="I478" s="109">
        <f t="shared" si="9"/>
        <v>515000</v>
      </c>
      <c r="J478" s="131"/>
      <c r="K478" s="131"/>
    </row>
    <row r="479" spans="1:11" x14ac:dyDescent="0.25">
      <c r="A479" s="128"/>
      <c r="B479" s="132"/>
      <c r="C479" s="128"/>
      <c r="D479" s="115"/>
      <c r="E479" s="138"/>
      <c r="F479" s="110"/>
      <c r="G479" s="136"/>
      <c r="H479" s="110"/>
      <c r="I479" s="109">
        <f t="shared" si="9"/>
        <v>0</v>
      </c>
      <c r="J479" s="131"/>
      <c r="K479" s="131"/>
    </row>
    <row r="480" spans="1:11" x14ac:dyDescent="0.25">
      <c r="A480" s="128"/>
      <c r="B480" s="132"/>
      <c r="C480" s="128"/>
      <c r="D480" s="115"/>
      <c r="E480" s="138"/>
      <c r="F480" s="110"/>
      <c r="G480" s="136"/>
      <c r="H480" s="110"/>
      <c r="I480" s="109">
        <f t="shared" si="9"/>
        <v>0</v>
      </c>
      <c r="J480" s="131"/>
      <c r="K480" s="131"/>
    </row>
    <row r="481" spans="1:11" x14ac:dyDescent="0.25">
      <c r="A481" s="128"/>
      <c r="B481" s="132"/>
      <c r="C481" s="128"/>
      <c r="D481" s="115"/>
      <c r="E481" s="138"/>
      <c r="F481" s="110"/>
      <c r="G481" s="136"/>
      <c r="H481" s="110"/>
      <c r="I481" s="109">
        <f t="shared" si="9"/>
        <v>0</v>
      </c>
      <c r="J481" s="131"/>
      <c r="K481" s="131"/>
    </row>
    <row r="482" spans="1:11" x14ac:dyDescent="0.25">
      <c r="A482" s="128"/>
      <c r="B482" s="132"/>
      <c r="C482" s="128"/>
      <c r="D482" s="115"/>
      <c r="E482" s="138"/>
      <c r="F482" s="110"/>
      <c r="G482" s="136"/>
      <c r="H482" s="110"/>
      <c r="I482" s="109">
        <f t="shared" si="9"/>
        <v>0</v>
      </c>
      <c r="J482" s="131"/>
      <c r="K482" s="131"/>
    </row>
    <row r="483" spans="1:11" x14ac:dyDescent="0.25">
      <c r="A483" s="128"/>
      <c r="B483" s="132"/>
      <c r="C483" s="128"/>
      <c r="D483" s="115"/>
      <c r="E483" s="138"/>
      <c r="F483" s="110"/>
      <c r="G483" s="136"/>
      <c r="H483" s="110"/>
      <c r="I483" s="109">
        <f t="shared" si="9"/>
        <v>0</v>
      </c>
      <c r="J483" s="131"/>
      <c r="K483" s="131"/>
    </row>
    <row r="484" spans="1:11" x14ac:dyDescent="0.25">
      <c r="A484" s="128"/>
      <c r="B484" s="132"/>
      <c r="C484" s="128"/>
      <c r="D484" s="115"/>
      <c r="E484" s="138"/>
      <c r="F484" s="110"/>
      <c r="G484" s="136"/>
      <c r="H484" s="110"/>
      <c r="I484" s="109">
        <f t="shared" si="9"/>
        <v>0</v>
      </c>
      <c r="J484" s="131"/>
      <c r="K484" s="131"/>
    </row>
    <row r="485" spans="1:11" x14ac:dyDescent="0.25">
      <c r="A485" s="128"/>
      <c r="B485" s="132"/>
      <c r="C485" s="128"/>
      <c r="D485" s="115"/>
      <c r="E485" s="138"/>
      <c r="F485" s="110"/>
      <c r="G485" s="136"/>
      <c r="H485" s="110"/>
      <c r="I485" s="109">
        <f t="shared" si="9"/>
        <v>0</v>
      </c>
      <c r="J485" s="131"/>
      <c r="K485" s="131"/>
    </row>
    <row r="486" spans="1:11" x14ac:dyDescent="0.25">
      <c r="A486" s="128"/>
      <c r="B486" s="132"/>
      <c r="C486" s="128"/>
      <c r="D486" s="115"/>
      <c r="E486" s="138"/>
      <c r="F486" s="110"/>
      <c r="G486" s="136"/>
      <c r="H486" s="110"/>
      <c r="I486" s="109">
        <f t="shared" si="9"/>
        <v>0</v>
      </c>
      <c r="J486" s="131"/>
      <c r="K486" s="131"/>
    </row>
    <row r="487" spans="1:11" x14ac:dyDescent="0.25">
      <c r="A487" s="128"/>
      <c r="B487" s="132"/>
      <c r="C487" s="128"/>
      <c r="D487" s="115"/>
      <c r="E487" s="138"/>
      <c r="F487" s="110"/>
      <c r="G487" s="136"/>
      <c r="H487" s="110"/>
      <c r="I487" s="109">
        <f t="shared" si="9"/>
        <v>0</v>
      </c>
      <c r="J487" s="131"/>
      <c r="K487" s="131"/>
    </row>
    <row r="488" spans="1:11" x14ac:dyDescent="0.25">
      <c r="A488" s="128"/>
      <c r="B488" s="132"/>
      <c r="C488" s="128"/>
      <c r="D488" s="115"/>
      <c r="E488" s="138"/>
      <c r="F488" s="110"/>
      <c r="G488" s="136"/>
      <c r="H488" s="110"/>
      <c r="I488" s="109">
        <f t="shared" si="9"/>
        <v>0</v>
      </c>
      <c r="J488" s="131"/>
      <c r="K488" s="131"/>
    </row>
    <row r="489" spans="1:11" ht="15" customHeight="1" x14ac:dyDescent="0.25">
      <c r="A489" s="128"/>
      <c r="B489" s="132"/>
      <c r="C489" s="128"/>
      <c r="D489" s="115"/>
      <c r="E489" s="116"/>
      <c r="F489" s="110"/>
      <c r="G489" s="136"/>
      <c r="H489" s="139"/>
      <c r="I489" s="109">
        <f t="shared" si="9"/>
        <v>0</v>
      </c>
      <c r="J489" s="133"/>
      <c r="K489" s="133"/>
    </row>
    <row r="490" spans="1:11" ht="15" customHeight="1" x14ac:dyDescent="0.25">
      <c r="A490" s="128"/>
      <c r="B490" s="132"/>
      <c r="C490" s="128"/>
      <c r="D490" s="115"/>
      <c r="E490" s="116"/>
      <c r="F490" s="110"/>
      <c r="G490" s="136"/>
      <c r="H490" s="139"/>
      <c r="I490" s="109">
        <f t="shared" si="9"/>
        <v>0</v>
      </c>
      <c r="J490" s="133"/>
      <c r="K490" s="133"/>
    </row>
    <row r="491" spans="1:11" ht="15" customHeight="1" x14ac:dyDescent="0.25">
      <c r="A491" s="128"/>
      <c r="B491" s="132"/>
      <c r="C491" s="128"/>
      <c r="D491" s="115"/>
      <c r="E491" s="116"/>
      <c r="F491" s="110"/>
      <c r="G491" s="136"/>
      <c r="H491" s="139"/>
      <c r="I491" s="109">
        <f t="shared" si="9"/>
        <v>0</v>
      </c>
      <c r="J491" s="133"/>
      <c r="K491" s="133"/>
    </row>
    <row r="492" spans="1:11" ht="15" customHeight="1" x14ac:dyDescent="0.25">
      <c r="A492" s="128"/>
      <c r="B492" s="132"/>
      <c r="C492" s="128"/>
      <c r="D492" s="115"/>
      <c r="E492" s="116"/>
      <c r="F492" s="110"/>
      <c r="G492" s="136"/>
      <c r="H492" s="139"/>
      <c r="I492" s="109">
        <f t="shared" si="9"/>
        <v>0</v>
      </c>
      <c r="J492" s="133"/>
      <c r="K492" s="133"/>
    </row>
    <row r="493" spans="1:11" ht="15" customHeight="1" x14ac:dyDescent="0.25">
      <c r="A493" s="128"/>
      <c r="B493" s="132"/>
      <c r="C493" s="128"/>
      <c r="D493" s="115"/>
      <c r="E493" s="116"/>
      <c r="F493" s="110"/>
      <c r="G493" s="136"/>
      <c r="H493" s="139"/>
      <c r="I493" s="109">
        <f t="shared" si="9"/>
        <v>0</v>
      </c>
      <c r="J493" s="133"/>
      <c r="K493" s="133"/>
    </row>
    <row r="494" spans="1:11" ht="15" customHeight="1" x14ac:dyDescent="0.25">
      <c r="A494" s="128"/>
      <c r="B494" s="132"/>
      <c r="C494" s="128"/>
      <c r="D494" s="115"/>
      <c r="E494" s="116"/>
      <c r="F494" s="110"/>
      <c r="G494" s="136"/>
      <c r="H494" s="110"/>
      <c r="I494" s="109">
        <f t="shared" si="9"/>
        <v>0</v>
      </c>
      <c r="J494" s="133"/>
      <c r="K494" s="133"/>
    </row>
    <row r="495" spans="1:11" ht="15" customHeight="1" x14ac:dyDescent="0.25">
      <c r="A495" s="128"/>
      <c r="B495" s="132"/>
      <c r="C495" s="128"/>
      <c r="D495" s="115"/>
      <c r="E495" s="116"/>
      <c r="F495" s="110"/>
      <c r="G495" s="136"/>
      <c r="H495" s="139"/>
      <c r="I495" s="109">
        <f t="shared" si="9"/>
        <v>0</v>
      </c>
      <c r="J495" s="133"/>
      <c r="K495" s="133"/>
    </row>
    <row r="496" spans="1:11" ht="15" customHeight="1" x14ac:dyDescent="0.25">
      <c r="A496" s="128"/>
      <c r="B496" s="132"/>
      <c r="C496" s="128"/>
      <c r="D496" s="115"/>
      <c r="E496" s="138"/>
      <c r="F496" s="110"/>
      <c r="G496" s="136"/>
      <c r="H496" s="139"/>
      <c r="I496" s="109">
        <f t="shared" si="9"/>
        <v>0</v>
      </c>
      <c r="J496" s="133"/>
      <c r="K496" s="133"/>
    </row>
    <row r="497" spans="1:11" ht="15" customHeight="1" x14ac:dyDescent="0.25">
      <c r="A497" s="128"/>
      <c r="B497" s="132"/>
      <c r="C497" s="128"/>
      <c r="D497" s="115"/>
      <c r="E497" s="116"/>
      <c r="F497" s="110"/>
      <c r="G497" s="136"/>
      <c r="H497" s="139"/>
      <c r="I497" s="109">
        <f t="shared" si="9"/>
        <v>0</v>
      </c>
      <c r="J497" s="133"/>
      <c r="K497" s="133"/>
    </row>
    <row r="498" spans="1:11" ht="15" customHeight="1" x14ac:dyDescent="0.25">
      <c r="A498" s="128"/>
      <c r="B498" s="132"/>
      <c r="C498" s="128"/>
      <c r="D498" s="115"/>
      <c r="E498" s="116"/>
      <c r="F498" s="110"/>
      <c r="G498" s="136"/>
      <c r="H498" s="139"/>
      <c r="I498" s="109">
        <f t="shared" si="9"/>
        <v>0</v>
      </c>
      <c r="J498" s="133"/>
      <c r="K498" s="133"/>
    </row>
    <row r="499" spans="1:11" ht="15" customHeight="1" x14ac:dyDescent="0.25">
      <c r="A499" s="128"/>
      <c r="B499" s="132"/>
      <c r="C499" s="128"/>
      <c r="D499" s="115"/>
      <c r="E499" s="116"/>
      <c r="F499" s="110"/>
      <c r="G499" s="136"/>
      <c r="H499" s="139"/>
      <c r="I499" s="109">
        <f t="shared" ref="I499:I562" si="10">H499*F499</f>
        <v>0</v>
      </c>
      <c r="J499" s="133"/>
      <c r="K499" s="133"/>
    </row>
    <row r="500" spans="1:11" ht="15" customHeight="1" x14ac:dyDescent="0.25">
      <c r="A500" s="128"/>
      <c r="B500" s="132"/>
      <c r="C500" s="128"/>
      <c r="D500" s="115"/>
      <c r="E500" s="116"/>
      <c r="F500" s="110"/>
      <c r="G500" s="136"/>
      <c r="H500" s="139"/>
      <c r="I500" s="109">
        <f t="shared" si="10"/>
        <v>0</v>
      </c>
      <c r="J500" s="133"/>
      <c r="K500" s="133"/>
    </row>
    <row r="501" spans="1:11" ht="15" customHeight="1" x14ac:dyDescent="0.25">
      <c r="A501" s="128"/>
      <c r="B501" s="132"/>
      <c r="C501" s="128"/>
      <c r="D501" s="115"/>
      <c r="E501" s="116"/>
      <c r="F501" s="110"/>
      <c r="G501" s="136"/>
      <c r="H501" s="139"/>
      <c r="I501" s="109">
        <f t="shared" si="10"/>
        <v>0</v>
      </c>
      <c r="J501" s="133"/>
      <c r="K501" s="133"/>
    </row>
    <row r="502" spans="1:11" ht="15" customHeight="1" x14ac:dyDescent="0.25">
      <c r="A502" s="128"/>
      <c r="B502" s="132"/>
      <c r="C502" s="128"/>
      <c r="D502" s="115"/>
      <c r="E502" s="116"/>
      <c r="F502" s="110"/>
      <c r="G502" s="136"/>
      <c r="H502" s="139"/>
      <c r="I502" s="109">
        <f t="shared" si="10"/>
        <v>0</v>
      </c>
      <c r="J502" s="133"/>
      <c r="K502" s="133"/>
    </row>
    <row r="503" spans="1:11" ht="15" customHeight="1" x14ac:dyDescent="0.25">
      <c r="A503" s="128"/>
      <c r="B503" s="132"/>
      <c r="C503" s="128"/>
      <c r="D503" s="115"/>
      <c r="E503" s="116"/>
      <c r="F503" s="110"/>
      <c r="G503" s="136"/>
      <c r="H503" s="139"/>
      <c r="I503" s="109">
        <f t="shared" si="10"/>
        <v>0</v>
      </c>
      <c r="J503" s="133"/>
      <c r="K503" s="133"/>
    </row>
    <row r="504" spans="1:11" ht="15.75" customHeight="1" x14ac:dyDescent="0.25">
      <c r="A504" s="128"/>
      <c r="B504" s="132"/>
      <c r="C504" s="128"/>
      <c r="D504" s="125"/>
      <c r="E504" s="119"/>
      <c r="F504" s="110"/>
      <c r="G504" s="136"/>
      <c r="H504" s="139"/>
      <c r="I504" s="109">
        <f t="shared" si="10"/>
        <v>0</v>
      </c>
      <c r="J504" s="133"/>
      <c r="K504" s="133"/>
    </row>
    <row r="505" spans="1:11" ht="15.75" customHeight="1" x14ac:dyDescent="0.25">
      <c r="A505" s="128"/>
      <c r="B505" s="132"/>
      <c r="C505" s="128"/>
      <c r="D505" s="125"/>
      <c r="E505" s="126"/>
      <c r="F505" s="110"/>
      <c r="G505" s="136"/>
      <c r="H505" s="139"/>
      <c r="I505" s="109">
        <f t="shared" si="10"/>
        <v>0</v>
      </c>
      <c r="J505" s="133"/>
      <c r="K505" s="133"/>
    </row>
    <row r="506" spans="1:11" ht="15.75" customHeight="1" x14ac:dyDescent="0.25">
      <c r="A506" s="128"/>
      <c r="B506" s="132"/>
      <c r="C506" s="128"/>
      <c r="D506" s="125"/>
      <c r="E506" s="119"/>
      <c r="F506" s="110"/>
      <c r="G506" s="136"/>
      <c r="H506" s="139"/>
      <c r="I506" s="109">
        <f t="shared" si="10"/>
        <v>0</v>
      </c>
      <c r="J506" s="133"/>
      <c r="K506" s="133"/>
    </row>
    <row r="507" spans="1:11" ht="15" customHeight="1" x14ac:dyDescent="0.25">
      <c r="A507" s="128"/>
      <c r="B507" s="132"/>
      <c r="C507" s="128"/>
      <c r="D507" s="115"/>
      <c r="E507" s="116"/>
      <c r="F507" s="110"/>
      <c r="G507" s="136"/>
      <c r="H507" s="139"/>
      <c r="I507" s="109">
        <f t="shared" si="10"/>
        <v>0</v>
      </c>
      <c r="J507" s="133"/>
      <c r="K507" s="133"/>
    </row>
    <row r="508" spans="1:11" ht="15" customHeight="1" x14ac:dyDescent="0.25">
      <c r="A508" s="128"/>
      <c r="B508" s="132"/>
      <c r="C508" s="128"/>
      <c r="D508" s="115"/>
      <c r="E508" s="116"/>
      <c r="F508" s="110"/>
      <c r="G508" s="136"/>
      <c r="H508" s="139"/>
      <c r="I508" s="109">
        <f t="shared" si="10"/>
        <v>0</v>
      </c>
      <c r="J508" s="133"/>
      <c r="K508" s="133"/>
    </row>
    <row r="509" spans="1:11" ht="15" customHeight="1" x14ac:dyDescent="0.25">
      <c r="A509" s="128"/>
      <c r="B509" s="132"/>
      <c r="C509" s="128"/>
      <c r="D509" s="115"/>
      <c r="E509" s="116"/>
      <c r="F509" s="110"/>
      <c r="G509" s="136"/>
      <c r="H509" s="139"/>
      <c r="I509" s="109">
        <f t="shared" si="10"/>
        <v>0</v>
      </c>
      <c r="J509" s="133"/>
      <c r="K509" s="133"/>
    </row>
    <row r="510" spans="1:11" ht="15" customHeight="1" x14ac:dyDescent="0.25">
      <c r="A510" s="128"/>
      <c r="B510" s="132"/>
      <c r="C510" s="128"/>
      <c r="D510" s="115"/>
      <c r="E510" s="116"/>
      <c r="F510" s="110"/>
      <c r="G510" s="136"/>
      <c r="H510" s="139"/>
      <c r="I510" s="109">
        <f t="shared" si="10"/>
        <v>0</v>
      </c>
      <c r="J510" s="133"/>
      <c r="K510" s="133"/>
    </row>
    <row r="511" spans="1:11" ht="15" customHeight="1" x14ac:dyDescent="0.25">
      <c r="A511" s="128"/>
      <c r="B511" s="132"/>
      <c r="C511" s="128"/>
      <c r="D511" s="115"/>
      <c r="E511" s="116"/>
      <c r="F511" s="110"/>
      <c r="G511" s="136"/>
      <c r="H511" s="139"/>
      <c r="I511" s="109">
        <f t="shared" si="10"/>
        <v>0</v>
      </c>
      <c r="J511" s="133"/>
      <c r="K511" s="133"/>
    </row>
    <row r="512" spans="1:11" ht="15" customHeight="1" x14ac:dyDescent="0.25">
      <c r="A512" s="128"/>
      <c r="B512" s="127"/>
      <c r="C512" s="128"/>
      <c r="D512" s="115"/>
      <c r="E512" s="116"/>
      <c r="F512" s="110"/>
      <c r="G512" s="136"/>
      <c r="H512" s="110"/>
      <c r="I512" s="109">
        <f t="shared" si="10"/>
        <v>0</v>
      </c>
      <c r="J512" s="131"/>
      <c r="K512" s="131"/>
    </row>
    <row r="513" spans="1:11" ht="15" customHeight="1" x14ac:dyDescent="0.25">
      <c r="A513" s="128"/>
      <c r="B513" s="127"/>
      <c r="C513" s="128"/>
      <c r="D513" s="115"/>
      <c r="E513" s="116"/>
      <c r="F513" s="110"/>
      <c r="G513" s="136"/>
      <c r="H513" s="110"/>
      <c r="I513" s="109">
        <f t="shared" si="10"/>
        <v>0</v>
      </c>
      <c r="J513" s="131"/>
      <c r="K513" s="131"/>
    </row>
    <row r="514" spans="1:11" ht="15" customHeight="1" x14ac:dyDescent="0.25">
      <c r="A514" s="128"/>
      <c r="B514" s="127"/>
      <c r="C514" s="128"/>
      <c r="D514" s="115"/>
      <c r="E514" s="116"/>
      <c r="F514" s="110"/>
      <c r="G514" s="136"/>
      <c r="H514" s="110"/>
      <c r="I514" s="109">
        <f t="shared" si="10"/>
        <v>0</v>
      </c>
      <c r="J514" s="131"/>
      <c r="K514" s="131"/>
    </row>
    <row r="515" spans="1:11" ht="15" customHeight="1" x14ac:dyDescent="0.25">
      <c r="A515" s="128"/>
      <c r="B515" s="127"/>
      <c r="C515" s="128"/>
      <c r="D515" s="115"/>
      <c r="E515" s="116"/>
      <c r="F515" s="110"/>
      <c r="G515" s="136"/>
      <c r="H515" s="110"/>
      <c r="I515" s="109">
        <f t="shared" si="10"/>
        <v>0</v>
      </c>
      <c r="J515" s="131"/>
      <c r="K515" s="131"/>
    </row>
    <row r="516" spans="1:11" ht="15" customHeight="1" x14ac:dyDescent="0.25">
      <c r="A516" s="128"/>
      <c r="B516" s="127"/>
      <c r="C516" s="128"/>
      <c r="D516" s="115"/>
      <c r="E516" s="116"/>
      <c r="F516" s="110"/>
      <c r="G516" s="136"/>
      <c r="H516" s="110"/>
      <c r="I516" s="109">
        <f t="shared" si="10"/>
        <v>0</v>
      </c>
      <c r="J516" s="131"/>
      <c r="K516" s="131"/>
    </row>
    <row r="517" spans="1:11" ht="15" customHeight="1" x14ac:dyDescent="0.25">
      <c r="A517" s="128"/>
      <c r="B517" s="127"/>
      <c r="C517" s="128"/>
      <c r="D517" s="115"/>
      <c r="E517" s="116"/>
      <c r="F517" s="110"/>
      <c r="G517" s="136"/>
      <c r="H517" s="110"/>
      <c r="I517" s="109">
        <f t="shared" si="10"/>
        <v>0</v>
      </c>
      <c r="J517" s="131"/>
      <c r="K517" s="131"/>
    </row>
    <row r="518" spans="1:11" x14ac:dyDescent="0.25">
      <c r="A518" s="128"/>
      <c r="B518" s="127"/>
      <c r="C518" s="128"/>
      <c r="D518" s="117"/>
      <c r="E518" s="118"/>
      <c r="F518" s="110"/>
      <c r="G518" s="136"/>
      <c r="H518" s="110"/>
      <c r="I518" s="109">
        <f t="shared" si="10"/>
        <v>0</v>
      </c>
      <c r="J518" s="131"/>
      <c r="K518" s="131"/>
    </row>
    <row r="519" spans="1:11" x14ac:dyDescent="0.25">
      <c r="A519" s="128"/>
      <c r="B519" s="127"/>
      <c r="C519" s="128"/>
      <c r="D519" s="115"/>
      <c r="E519" s="116"/>
      <c r="F519" s="110"/>
      <c r="G519" s="136"/>
      <c r="H519" s="110"/>
      <c r="I519" s="109">
        <f t="shared" si="10"/>
        <v>0</v>
      </c>
      <c r="J519" s="131"/>
      <c r="K519" s="131"/>
    </row>
    <row r="520" spans="1:11" x14ac:dyDescent="0.25">
      <c r="A520" s="128"/>
      <c r="B520" s="127"/>
      <c r="C520" s="128"/>
      <c r="D520" s="115"/>
      <c r="E520" s="116"/>
      <c r="F520" s="110"/>
      <c r="G520" s="136"/>
      <c r="H520" s="110"/>
      <c r="I520" s="109">
        <f t="shared" si="10"/>
        <v>0</v>
      </c>
      <c r="J520" s="131"/>
      <c r="K520" s="131"/>
    </row>
    <row r="521" spans="1:11" x14ac:dyDescent="0.25">
      <c r="A521" s="128"/>
      <c r="B521" s="127"/>
      <c r="C521" s="128"/>
      <c r="D521" s="115"/>
      <c r="E521" s="116"/>
      <c r="F521" s="110"/>
      <c r="G521" s="136"/>
      <c r="H521" s="110"/>
      <c r="I521" s="109">
        <f t="shared" si="10"/>
        <v>0</v>
      </c>
      <c r="J521" s="131"/>
      <c r="K521" s="131"/>
    </row>
    <row r="522" spans="1:11" x14ac:dyDescent="0.25">
      <c r="A522" s="128"/>
      <c r="B522" s="127"/>
      <c r="C522" s="128"/>
      <c r="D522" s="115"/>
      <c r="E522" s="116"/>
      <c r="F522" s="110"/>
      <c r="G522" s="136"/>
      <c r="H522" s="110"/>
      <c r="I522" s="109">
        <f t="shared" si="10"/>
        <v>0</v>
      </c>
      <c r="J522" s="131"/>
      <c r="K522" s="131"/>
    </row>
    <row r="523" spans="1:11" x14ac:dyDescent="0.25">
      <c r="A523" s="128"/>
      <c r="B523" s="127"/>
      <c r="C523" s="128"/>
      <c r="D523" s="115"/>
      <c r="E523" s="116"/>
      <c r="F523" s="110"/>
      <c r="G523" s="136"/>
      <c r="H523" s="110"/>
      <c r="I523" s="109">
        <f t="shared" si="10"/>
        <v>0</v>
      </c>
      <c r="J523" s="131"/>
      <c r="K523" s="131"/>
    </row>
    <row r="524" spans="1:11" x14ac:dyDescent="0.25">
      <c r="A524" s="128"/>
      <c r="B524" s="127"/>
      <c r="C524" s="128"/>
      <c r="D524" s="115"/>
      <c r="E524" s="116"/>
      <c r="F524" s="110"/>
      <c r="G524" s="136"/>
      <c r="H524" s="110"/>
      <c r="I524" s="109">
        <f t="shared" si="10"/>
        <v>0</v>
      </c>
      <c r="J524" s="131"/>
      <c r="K524" s="131"/>
    </row>
    <row r="525" spans="1:11" x14ac:dyDescent="0.25">
      <c r="A525" s="128"/>
      <c r="B525" s="127"/>
      <c r="C525" s="128"/>
      <c r="D525" s="115"/>
      <c r="E525" s="116"/>
      <c r="F525" s="110"/>
      <c r="G525" s="136"/>
      <c r="H525" s="110"/>
      <c r="I525" s="109">
        <f t="shared" si="10"/>
        <v>0</v>
      </c>
      <c r="J525" s="131"/>
      <c r="K525" s="131"/>
    </row>
    <row r="526" spans="1:11" x14ac:dyDescent="0.25">
      <c r="A526" s="128"/>
      <c r="B526" s="127"/>
      <c r="C526" s="128"/>
      <c r="D526" s="115"/>
      <c r="E526" s="116"/>
      <c r="F526" s="110"/>
      <c r="G526" s="136"/>
      <c r="H526" s="110"/>
      <c r="I526" s="109">
        <f t="shared" si="10"/>
        <v>0</v>
      </c>
      <c r="J526" s="131"/>
      <c r="K526" s="131"/>
    </row>
    <row r="527" spans="1:11" ht="15" customHeight="1" x14ac:dyDescent="0.25">
      <c r="A527" s="128"/>
      <c r="B527" s="127"/>
      <c r="C527" s="128"/>
      <c r="D527" s="115"/>
      <c r="E527" s="116"/>
      <c r="F527" s="110"/>
      <c r="G527" s="136"/>
      <c r="H527" s="139"/>
      <c r="I527" s="109">
        <f t="shared" si="10"/>
        <v>0</v>
      </c>
      <c r="J527" s="133"/>
      <c r="K527" s="133"/>
    </row>
    <row r="528" spans="1:11" ht="15" customHeight="1" x14ac:dyDescent="0.25">
      <c r="A528" s="128"/>
      <c r="B528" s="127"/>
      <c r="C528" s="128"/>
      <c r="D528" s="115"/>
      <c r="E528" s="116"/>
      <c r="F528" s="110"/>
      <c r="G528" s="136"/>
      <c r="H528" s="139"/>
      <c r="I528" s="109">
        <f t="shared" si="10"/>
        <v>0</v>
      </c>
      <c r="J528" s="133"/>
      <c r="K528" s="133"/>
    </row>
    <row r="529" spans="1:11" ht="15" customHeight="1" x14ac:dyDescent="0.25">
      <c r="A529" s="128"/>
      <c r="B529" s="127"/>
      <c r="C529" s="128"/>
      <c r="D529" s="115"/>
      <c r="E529" s="116"/>
      <c r="F529" s="110"/>
      <c r="G529" s="136"/>
      <c r="H529" s="139"/>
      <c r="I529" s="109">
        <f t="shared" si="10"/>
        <v>0</v>
      </c>
      <c r="J529" s="133"/>
      <c r="K529" s="133"/>
    </row>
    <row r="530" spans="1:11" ht="15" customHeight="1" x14ac:dyDescent="0.25">
      <c r="A530" s="128"/>
      <c r="B530" s="127"/>
      <c r="C530" s="128"/>
      <c r="D530" s="115"/>
      <c r="E530" s="116"/>
      <c r="F530" s="110"/>
      <c r="G530" s="136"/>
      <c r="H530" s="139"/>
      <c r="I530" s="109">
        <f t="shared" si="10"/>
        <v>0</v>
      </c>
      <c r="J530" s="133"/>
      <c r="K530" s="133"/>
    </row>
    <row r="531" spans="1:11" ht="15" customHeight="1" x14ac:dyDescent="0.25">
      <c r="A531" s="128"/>
      <c r="B531" s="127"/>
      <c r="C531" s="128"/>
      <c r="D531" s="115"/>
      <c r="E531" s="116"/>
      <c r="F531" s="110"/>
      <c r="G531" s="136"/>
      <c r="H531" s="139"/>
      <c r="I531" s="109">
        <f t="shared" si="10"/>
        <v>0</v>
      </c>
      <c r="J531" s="133"/>
      <c r="K531" s="133"/>
    </row>
    <row r="532" spans="1:11" ht="15" customHeight="1" x14ac:dyDescent="0.25">
      <c r="A532" s="128"/>
      <c r="B532" s="127"/>
      <c r="C532" s="128"/>
      <c r="D532" s="115"/>
      <c r="E532" s="116"/>
      <c r="F532" s="110"/>
      <c r="G532" s="136"/>
      <c r="H532" s="139"/>
      <c r="I532" s="109">
        <f t="shared" si="10"/>
        <v>0</v>
      </c>
      <c r="J532" s="133"/>
      <c r="K532" s="133"/>
    </row>
    <row r="533" spans="1:11" ht="15" customHeight="1" x14ac:dyDescent="0.25">
      <c r="A533" s="128"/>
      <c r="B533" s="127"/>
      <c r="C533" s="128"/>
      <c r="D533" s="115"/>
      <c r="E533" s="116"/>
      <c r="F533" s="110"/>
      <c r="G533" s="136"/>
      <c r="H533" s="139"/>
      <c r="I533" s="109">
        <f t="shared" si="10"/>
        <v>0</v>
      </c>
      <c r="J533" s="133"/>
      <c r="K533" s="133"/>
    </row>
    <row r="534" spans="1:11" ht="15" customHeight="1" x14ac:dyDescent="0.25">
      <c r="A534" s="128"/>
      <c r="B534" s="127"/>
      <c r="C534" s="128"/>
      <c r="D534" s="115"/>
      <c r="E534" s="116"/>
      <c r="F534" s="110"/>
      <c r="G534" s="136"/>
      <c r="H534" s="139"/>
      <c r="I534" s="109">
        <f t="shared" si="10"/>
        <v>0</v>
      </c>
      <c r="J534" s="133"/>
      <c r="K534" s="133"/>
    </row>
    <row r="535" spans="1:11" ht="15" customHeight="1" x14ac:dyDescent="0.25">
      <c r="A535" s="128"/>
      <c r="B535" s="127"/>
      <c r="C535" s="128"/>
      <c r="D535" s="115"/>
      <c r="E535" s="116"/>
      <c r="F535" s="110"/>
      <c r="G535" s="136"/>
      <c r="H535" s="139"/>
      <c r="I535" s="109">
        <f t="shared" si="10"/>
        <v>0</v>
      </c>
      <c r="J535" s="133"/>
      <c r="K535" s="133"/>
    </row>
    <row r="536" spans="1:11" ht="15" customHeight="1" x14ac:dyDescent="0.25">
      <c r="A536" s="128"/>
      <c r="B536" s="127"/>
      <c r="C536" s="128"/>
      <c r="D536" s="129"/>
      <c r="E536" s="130"/>
      <c r="F536" s="110"/>
      <c r="G536" s="136"/>
      <c r="H536" s="139"/>
      <c r="I536" s="109">
        <f t="shared" si="10"/>
        <v>0</v>
      </c>
      <c r="J536" s="133"/>
      <c r="K536" s="133"/>
    </row>
    <row r="537" spans="1:11" ht="15" customHeight="1" x14ac:dyDescent="0.25">
      <c r="A537" s="128"/>
      <c r="B537" s="127"/>
      <c r="C537" s="128"/>
      <c r="D537" s="115"/>
      <c r="E537" s="116"/>
      <c r="F537" s="110"/>
      <c r="G537" s="136"/>
      <c r="H537" s="139"/>
      <c r="I537" s="109">
        <f t="shared" si="10"/>
        <v>0</v>
      </c>
      <c r="J537" s="133"/>
      <c r="K537" s="133"/>
    </row>
    <row r="538" spans="1:11" ht="15" customHeight="1" x14ac:dyDescent="0.25">
      <c r="A538" s="128"/>
      <c r="B538" s="127"/>
      <c r="C538" s="128"/>
      <c r="D538" s="115"/>
      <c r="E538" s="116"/>
      <c r="F538" s="110"/>
      <c r="G538" s="136"/>
      <c r="H538" s="139"/>
      <c r="I538" s="109">
        <f t="shared" si="10"/>
        <v>0</v>
      </c>
      <c r="J538" s="133"/>
      <c r="K538" s="133"/>
    </row>
    <row r="539" spans="1:11" ht="15" customHeight="1" x14ac:dyDescent="0.25">
      <c r="A539" s="128"/>
      <c r="B539" s="127"/>
      <c r="C539" s="128"/>
      <c r="D539" s="115"/>
      <c r="E539" s="116"/>
      <c r="F539" s="110"/>
      <c r="G539" s="136"/>
      <c r="H539" s="139"/>
      <c r="I539" s="109">
        <f t="shared" si="10"/>
        <v>0</v>
      </c>
      <c r="J539" s="133"/>
      <c r="K539" s="133"/>
    </row>
    <row r="540" spans="1:11" ht="15" customHeight="1" x14ac:dyDescent="0.25">
      <c r="A540" s="128"/>
      <c r="B540" s="127"/>
      <c r="C540" s="128"/>
      <c r="D540" s="115"/>
      <c r="E540" s="116"/>
      <c r="F540" s="110"/>
      <c r="G540" s="136"/>
      <c r="H540" s="139"/>
      <c r="I540" s="109">
        <f t="shared" si="10"/>
        <v>0</v>
      </c>
      <c r="J540" s="133"/>
      <c r="K540" s="133"/>
    </row>
    <row r="541" spans="1:11" ht="15" customHeight="1" x14ac:dyDescent="0.25">
      <c r="A541" s="128"/>
      <c r="B541" s="127"/>
      <c r="C541" s="128"/>
      <c r="D541" s="115"/>
      <c r="E541" s="116"/>
      <c r="F541" s="110"/>
      <c r="G541" s="136"/>
      <c r="H541" s="139"/>
      <c r="I541" s="109">
        <f t="shared" si="10"/>
        <v>0</v>
      </c>
      <c r="J541" s="133"/>
      <c r="K541" s="133"/>
    </row>
    <row r="542" spans="1:11" ht="15.75" customHeight="1" x14ac:dyDescent="0.25">
      <c r="A542" s="128"/>
      <c r="B542" s="127"/>
      <c r="C542" s="128"/>
      <c r="D542" s="125"/>
      <c r="E542" s="126"/>
      <c r="F542" s="110"/>
      <c r="G542" s="136"/>
      <c r="H542" s="139"/>
      <c r="I542" s="109">
        <f t="shared" si="10"/>
        <v>0</v>
      </c>
      <c r="J542" s="133"/>
      <c r="K542" s="133"/>
    </row>
    <row r="543" spans="1:11" ht="15.75" customHeight="1" x14ac:dyDescent="0.25">
      <c r="A543" s="128"/>
      <c r="B543" s="127"/>
      <c r="C543" s="128"/>
      <c r="D543" s="125"/>
      <c r="E543" s="126"/>
      <c r="F543" s="110"/>
      <c r="G543" s="136"/>
      <c r="H543" s="139"/>
      <c r="I543" s="109">
        <f t="shared" si="10"/>
        <v>0</v>
      </c>
      <c r="J543" s="133"/>
      <c r="K543" s="133"/>
    </row>
    <row r="544" spans="1:11" ht="15.75" customHeight="1" x14ac:dyDescent="0.25">
      <c r="A544" s="128"/>
      <c r="B544" s="127"/>
      <c r="C544" s="128"/>
      <c r="D544" s="125"/>
      <c r="E544" s="119"/>
      <c r="F544" s="110"/>
      <c r="G544" s="136"/>
      <c r="H544" s="139"/>
      <c r="I544" s="109">
        <f t="shared" si="10"/>
        <v>0</v>
      </c>
      <c r="J544" s="133"/>
      <c r="K544" s="133"/>
    </row>
    <row r="545" spans="1:11" ht="15" customHeight="1" x14ac:dyDescent="0.25">
      <c r="A545" s="128"/>
      <c r="B545" s="127"/>
      <c r="C545" s="128"/>
      <c r="D545" s="115"/>
      <c r="E545" s="116"/>
      <c r="F545" s="110"/>
      <c r="G545" s="136"/>
      <c r="H545" s="110"/>
      <c r="I545" s="109">
        <f t="shared" si="10"/>
        <v>0</v>
      </c>
      <c r="J545" s="131"/>
      <c r="K545" s="131"/>
    </row>
    <row r="546" spans="1:11" ht="15" customHeight="1" x14ac:dyDescent="0.25">
      <c r="A546" s="128"/>
      <c r="B546" s="127"/>
      <c r="C546" s="128"/>
      <c r="D546" s="115"/>
      <c r="E546" s="116"/>
      <c r="F546" s="110"/>
      <c r="G546" s="136"/>
      <c r="H546" s="110"/>
      <c r="I546" s="109">
        <f t="shared" si="10"/>
        <v>0</v>
      </c>
      <c r="J546" s="131"/>
      <c r="K546" s="131"/>
    </row>
    <row r="547" spans="1:11" ht="15" customHeight="1" x14ac:dyDescent="0.25">
      <c r="A547" s="128"/>
      <c r="B547" s="132"/>
      <c r="C547" s="128"/>
      <c r="D547" s="115"/>
      <c r="E547" s="116"/>
      <c r="F547" s="110"/>
      <c r="G547" s="136"/>
      <c r="H547" s="139"/>
      <c r="I547" s="109">
        <f t="shared" si="10"/>
        <v>0</v>
      </c>
      <c r="J547" s="133"/>
      <c r="K547" s="133"/>
    </row>
    <row r="548" spans="1:11" ht="15" customHeight="1" x14ac:dyDescent="0.25">
      <c r="A548" s="128"/>
      <c r="B548" s="132"/>
      <c r="C548" s="128"/>
      <c r="D548" s="115"/>
      <c r="E548" s="116"/>
      <c r="F548" s="110"/>
      <c r="G548" s="136"/>
      <c r="H548" s="139"/>
      <c r="I548" s="109">
        <f t="shared" si="10"/>
        <v>0</v>
      </c>
      <c r="J548" s="133"/>
      <c r="K548" s="133"/>
    </row>
    <row r="549" spans="1:11" ht="15" customHeight="1" x14ac:dyDescent="0.25">
      <c r="A549" s="128"/>
      <c r="B549" s="132"/>
      <c r="C549" s="128"/>
      <c r="D549" s="115"/>
      <c r="E549" s="116"/>
      <c r="F549" s="110"/>
      <c r="G549" s="136"/>
      <c r="H549" s="110"/>
      <c r="I549" s="109">
        <f t="shared" si="10"/>
        <v>0</v>
      </c>
      <c r="J549" s="133"/>
      <c r="K549" s="133"/>
    </row>
    <row r="550" spans="1:11" x14ac:dyDescent="0.25">
      <c r="A550" s="128"/>
      <c r="B550" s="132"/>
      <c r="C550" s="128"/>
      <c r="D550" s="115"/>
      <c r="E550" s="116"/>
      <c r="F550" s="110"/>
      <c r="G550" s="136"/>
      <c r="H550" s="110"/>
      <c r="I550" s="109">
        <f t="shared" si="10"/>
        <v>0</v>
      </c>
      <c r="J550" s="131"/>
      <c r="K550" s="131"/>
    </row>
    <row r="551" spans="1:11" x14ac:dyDescent="0.25">
      <c r="A551" s="128"/>
      <c r="B551" s="132"/>
      <c r="C551" s="128"/>
      <c r="D551" s="115"/>
      <c r="E551" s="116"/>
      <c r="F551" s="110"/>
      <c r="G551" s="136"/>
      <c r="H551" s="110"/>
      <c r="I551" s="109">
        <f t="shared" si="10"/>
        <v>0</v>
      </c>
      <c r="J551" s="131"/>
      <c r="K551" s="131"/>
    </row>
    <row r="552" spans="1:11" x14ac:dyDescent="0.25">
      <c r="A552" s="128"/>
      <c r="B552" s="132"/>
      <c r="C552" s="128"/>
      <c r="D552" s="115"/>
      <c r="E552" s="116"/>
      <c r="F552" s="110"/>
      <c r="G552" s="136"/>
      <c r="H552" s="110"/>
      <c r="I552" s="109">
        <f t="shared" si="10"/>
        <v>0</v>
      </c>
      <c r="J552" s="131"/>
      <c r="K552" s="131"/>
    </row>
    <row r="553" spans="1:11" x14ac:dyDescent="0.25">
      <c r="A553" s="128"/>
      <c r="B553" s="132"/>
      <c r="C553" s="128"/>
      <c r="D553" s="115"/>
      <c r="E553" s="116"/>
      <c r="F553" s="110"/>
      <c r="G553" s="136"/>
      <c r="H553" s="110"/>
      <c r="I553" s="109">
        <f t="shared" si="10"/>
        <v>0</v>
      </c>
      <c r="J553" s="131"/>
      <c r="K553" s="131"/>
    </row>
    <row r="554" spans="1:11" x14ac:dyDescent="0.25">
      <c r="A554" s="128"/>
      <c r="B554" s="132"/>
      <c r="C554" s="128"/>
      <c r="D554" s="117"/>
      <c r="E554" s="118"/>
      <c r="F554" s="110"/>
      <c r="G554" s="136"/>
      <c r="H554" s="110"/>
      <c r="I554" s="109">
        <f t="shared" si="10"/>
        <v>0</v>
      </c>
      <c r="J554" s="131"/>
      <c r="K554" s="131"/>
    </row>
    <row r="555" spans="1:11" x14ac:dyDescent="0.25">
      <c r="A555" s="128"/>
      <c r="B555" s="132"/>
      <c r="C555" s="128"/>
      <c r="D555" s="115"/>
      <c r="E555" s="116"/>
      <c r="F555" s="110"/>
      <c r="G555" s="136"/>
      <c r="H555" s="110"/>
      <c r="I555" s="109">
        <f t="shared" si="10"/>
        <v>0</v>
      </c>
      <c r="J555" s="131"/>
      <c r="K555" s="131"/>
    </row>
    <row r="556" spans="1:11" x14ac:dyDescent="0.25">
      <c r="A556" s="128"/>
      <c r="B556" s="132"/>
      <c r="C556" s="128"/>
      <c r="D556" s="115"/>
      <c r="E556" s="116"/>
      <c r="F556" s="110"/>
      <c r="G556" s="136"/>
      <c r="H556" s="110"/>
      <c r="I556" s="109">
        <f t="shared" si="10"/>
        <v>0</v>
      </c>
      <c r="J556" s="131"/>
      <c r="K556" s="131"/>
    </row>
    <row r="557" spans="1:11" x14ac:dyDescent="0.25">
      <c r="A557" s="128"/>
      <c r="B557" s="132"/>
      <c r="C557" s="128"/>
      <c r="D557" s="115"/>
      <c r="E557" s="116"/>
      <c r="F557" s="110"/>
      <c r="G557" s="136"/>
      <c r="H557" s="110"/>
      <c r="I557" s="109">
        <f t="shared" si="10"/>
        <v>0</v>
      </c>
      <c r="J557" s="131"/>
      <c r="K557" s="131"/>
    </row>
    <row r="558" spans="1:11" x14ac:dyDescent="0.25">
      <c r="A558" s="128"/>
      <c r="B558" s="132"/>
      <c r="C558" s="128"/>
      <c r="D558" s="115"/>
      <c r="E558" s="116"/>
      <c r="F558" s="110"/>
      <c r="G558" s="136"/>
      <c r="H558" s="110"/>
      <c r="I558" s="109">
        <f t="shared" si="10"/>
        <v>0</v>
      </c>
      <c r="J558" s="131"/>
      <c r="K558" s="131"/>
    </row>
    <row r="559" spans="1:11" x14ac:dyDescent="0.25">
      <c r="A559" s="128"/>
      <c r="B559" s="132"/>
      <c r="C559" s="128"/>
      <c r="D559" s="115"/>
      <c r="E559" s="116"/>
      <c r="F559" s="110"/>
      <c r="G559" s="136"/>
      <c r="H559" s="110"/>
      <c r="I559" s="109">
        <f t="shared" si="10"/>
        <v>0</v>
      </c>
      <c r="J559" s="131"/>
      <c r="K559" s="131"/>
    </row>
    <row r="560" spans="1:11" x14ac:dyDescent="0.25">
      <c r="A560" s="128"/>
      <c r="B560" s="132"/>
      <c r="C560" s="128"/>
      <c r="D560" s="115"/>
      <c r="E560" s="116"/>
      <c r="F560" s="110"/>
      <c r="G560" s="136"/>
      <c r="H560" s="110"/>
      <c r="I560" s="109">
        <f t="shared" si="10"/>
        <v>0</v>
      </c>
      <c r="J560" s="131"/>
      <c r="K560" s="131"/>
    </row>
    <row r="561" spans="1:11" x14ac:dyDescent="0.25">
      <c r="A561" s="128"/>
      <c r="B561" s="132"/>
      <c r="C561" s="128"/>
      <c r="D561" s="115"/>
      <c r="E561" s="116"/>
      <c r="F561" s="110"/>
      <c r="G561" s="136"/>
      <c r="H561" s="110"/>
      <c r="I561" s="109">
        <f t="shared" si="10"/>
        <v>0</v>
      </c>
      <c r="J561" s="131"/>
      <c r="K561" s="131"/>
    </row>
    <row r="562" spans="1:11" x14ac:dyDescent="0.25">
      <c r="A562" s="128"/>
      <c r="B562" s="132"/>
      <c r="C562" s="128"/>
      <c r="D562" s="117"/>
      <c r="E562" s="116"/>
      <c r="F562" s="110"/>
      <c r="G562" s="136"/>
      <c r="H562" s="110"/>
      <c r="I562" s="109">
        <f t="shared" si="10"/>
        <v>0</v>
      </c>
      <c r="J562" s="131"/>
      <c r="K562" s="131"/>
    </row>
    <row r="563" spans="1:11" x14ac:dyDescent="0.25">
      <c r="A563" s="128"/>
      <c r="B563" s="132"/>
      <c r="C563" s="128"/>
      <c r="D563" s="115"/>
      <c r="E563" s="116"/>
      <c r="F563" s="110"/>
      <c r="G563" s="136"/>
      <c r="H563" s="110"/>
      <c r="I563" s="109">
        <f t="shared" ref="I563:I626" si="11">H563*F563</f>
        <v>0</v>
      </c>
      <c r="J563" s="131"/>
      <c r="K563" s="131"/>
    </row>
    <row r="564" spans="1:11" x14ac:dyDescent="0.25">
      <c r="A564" s="128"/>
      <c r="B564" s="132"/>
      <c r="C564" s="128"/>
      <c r="D564" s="115"/>
      <c r="E564" s="116"/>
      <c r="F564" s="110"/>
      <c r="G564" s="136"/>
      <c r="H564" s="110"/>
      <c r="I564" s="109">
        <f t="shared" si="11"/>
        <v>0</v>
      </c>
      <c r="J564" s="131"/>
      <c r="K564" s="131"/>
    </row>
    <row r="565" spans="1:11" x14ac:dyDescent="0.25">
      <c r="A565" s="128"/>
      <c r="B565" s="132"/>
      <c r="C565" s="128"/>
      <c r="D565" s="115"/>
      <c r="E565" s="116"/>
      <c r="F565" s="110"/>
      <c r="G565" s="136"/>
      <c r="H565" s="110"/>
      <c r="I565" s="109">
        <f t="shared" si="11"/>
        <v>0</v>
      </c>
      <c r="J565" s="131"/>
      <c r="K565" s="131"/>
    </row>
    <row r="566" spans="1:11" x14ac:dyDescent="0.25">
      <c r="A566" s="128"/>
      <c r="B566" s="132"/>
      <c r="C566" s="128"/>
      <c r="D566" s="115"/>
      <c r="E566" s="116"/>
      <c r="F566" s="110"/>
      <c r="G566" s="136"/>
      <c r="H566" s="110"/>
      <c r="I566" s="109">
        <f t="shared" si="11"/>
        <v>0</v>
      </c>
      <c r="J566" s="131"/>
      <c r="K566" s="131"/>
    </row>
    <row r="567" spans="1:11" x14ac:dyDescent="0.25">
      <c r="A567" s="128"/>
      <c r="B567" s="132"/>
      <c r="C567" s="128"/>
      <c r="D567" s="115"/>
      <c r="E567" s="116"/>
      <c r="F567" s="110"/>
      <c r="G567" s="136"/>
      <c r="H567" s="110"/>
      <c r="I567" s="109">
        <f t="shared" si="11"/>
        <v>0</v>
      </c>
      <c r="J567" s="131"/>
      <c r="K567" s="131"/>
    </row>
    <row r="568" spans="1:11" ht="15" customHeight="1" x14ac:dyDescent="0.25">
      <c r="A568" s="128"/>
      <c r="B568" s="127"/>
      <c r="C568" s="137"/>
      <c r="D568" s="115"/>
      <c r="E568" s="116"/>
      <c r="F568" s="110"/>
      <c r="G568" s="136"/>
      <c r="H568" s="139"/>
      <c r="I568" s="109">
        <f t="shared" si="11"/>
        <v>0</v>
      </c>
      <c r="J568" s="133"/>
      <c r="K568" s="133"/>
    </row>
    <row r="569" spans="1:11" ht="15" customHeight="1" x14ac:dyDescent="0.25">
      <c r="A569" s="128"/>
      <c r="B569" s="127"/>
      <c r="C569" s="128"/>
      <c r="D569" s="115"/>
      <c r="E569" s="116"/>
      <c r="F569" s="110"/>
      <c r="G569" s="136"/>
      <c r="H569" s="139"/>
      <c r="I569" s="109">
        <f t="shared" si="11"/>
        <v>0</v>
      </c>
      <c r="J569" s="133"/>
      <c r="K569" s="133"/>
    </row>
    <row r="570" spans="1:11" ht="15" customHeight="1" x14ac:dyDescent="0.25">
      <c r="A570" s="128"/>
      <c r="B570" s="127"/>
      <c r="C570" s="128"/>
      <c r="D570" s="115"/>
      <c r="E570" s="116"/>
      <c r="F570" s="110"/>
      <c r="G570" s="136"/>
      <c r="H570" s="139"/>
      <c r="I570" s="109">
        <f t="shared" si="11"/>
        <v>0</v>
      </c>
      <c r="J570" s="133"/>
      <c r="K570" s="133"/>
    </row>
    <row r="571" spans="1:11" x14ac:dyDescent="0.25">
      <c r="A571" s="128"/>
      <c r="B571" s="127"/>
      <c r="C571" s="128"/>
      <c r="D571" s="115"/>
      <c r="E571" s="116"/>
      <c r="F571" s="110"/>
      <c r="G571" s="136"/>
      <c r="H571" s="110"/>
      <c r="I571" s="109">
        <f t="shared" si="11"/>
        <v>0</v>
      </c>
      <c r="J571" s="131"/>
      <c r="K571" s="131"/>
    </row>
    <row r="572" spans="1:11" ht="15.75" x14ac:dyDescent="0.25">
      <c r="A572" s="128"/>
      <c r="B572" s="127"/>
      <c r="C572" s="128"/>
      <c r="D572" s="125"/>
      <c r="E572" s="126"/>
      <c r="F572" s="110"/>
      <c r="G572" s="136"/>
      <c r="H572" s="110"/>
      <c r="I572" s="109">
        <f t="shared" si="11"/>
        <v>0</v>
      </c>
      <c r="J572" s="131"/>
      <c r="K572" s="131"/>
    </row>
    <row r="573" spans="1:11" x14ac:dyDescent="0.25">
      <c r="A573" s="128"/>
      <c r="B573" s="127"/>
      <c r="C573" s="128"/>
      <c r="D573" s="115"/>
      <c r="E573" s="116"/>
      <c r="F573" s="110"/>
      <c r="G573" s="136"/>
      <c r="H573" s="110"/>
      <c r="I573" s="109">
        <f t="shared" si="11"/>
        <v>0</v>
      </c>
      <c r="J573" s="131"/>
      <c r="K573" s="131"/>
    </row>
    <row r="574" spans="1:11" x14ac:dyDescent="0.25">
      <c r="A574" s="128"/>
      <c r="B574" s="127"/>
      <c r="C574" s="128"/>
      <c r="D574" s="115"/>
      <c r="E574" s="116"/>
      <c r="F574" s="110"/>
      <c r="G574" s="136"/>
      <c r="H574" s="110"/>
      <c r="I574" s="109">
        <f t="shared" si="11"/>
        <v>0</v>
      </c>
      <c r="J574" s="131"/>
      <c r="K574" s="131"/>
    </row>
    <row r="575" spans="1:11" x14ac:dyDescent="0.25">
      <c r="A575" s="128"/>
      <c r="B575" s="127"/>
      <c r="C575" s="128"/>
      <c r="D575" s="115"/>
      <c r="E575" s="116"/>
      <c r="F575" s="110"/>
      <c r="G575" s="136"/>
      <c r="H575" s="110"/>
      <c r="I575" s="109">
        <f t="shared" si="11"/>
        <v>0</v>
      </c>
      <c r="J575" s="131"/>
      <c r="K575" s="131"/>
    </row>
    <row r="576" spans="1:11" x14ac:dyDescent="0.25">
      <c r="A576" s="128"/>
      <c r="B576" s="127"/>
      <c r="C576" s="128"/>
      <c r="D576" s="115"/>
      <c r="E576" s="116"/>
      <c r="F576" s="110"/>
      <c r="G576" s="136"/>
      <c r="H576" s="110"/>
      <c r="I576" s="109">
        <f t="shared" si="11"/>
        <v>0</v>
      </c>
      <c r="J576" s="131"/>
      <c r="K576" s="131"/>
    </row>
    <row r="577" spans="1:11" x14ac:dyDescent="0.25">
      <c r="A577" s="128"/>
      <c r="B577" s="127"/>
      <c r="C577" s="128"/>
      <c r="D577" s="117"/>
      <c r="E577" s="118"/>
      <c r="F577" s="110"/>
      <c r="G577" s="136"/>
      <c r="H577" s="110"/>
      <c r="I577" s="109">
        <f t="shared" si="11"/>
        <v>0</v>
      </c>
      <c r="J577" s="131"/>
      <c r="K577" s="131"/>
    </row>
    <row r="578" spans="1:11" x14ac:dyDescent="0.25">
      <c r="A578" s="128"/>
      <c r="B578" s="127"/>
      <c r="C578" s="128"/>
      <c r="D578" s="115"/>
      <c r="E578" s="116"/>
      <c r="F578" s="110"/>
      <c r="G578" s="136"/>
      <c r="H578" s="110"/>
      <c r="I578" s="109">
        <f t="shared" si="11"/>
        <v>0</v>
      </c>
      <c r="J578" s="131"/>
      <c r="K578" s="131"/>
    </row>
    <row r="579" spans="1:11" x14ac:dyDescent="0.25">
      <c r="A579" s="128"/>
      <c r="B579" s="127"/>
      <c r="C579" s="128"/>
      <c r="D579" s="115"/>
      <c r="E579" s="116"/>
      <c r="F579" s="110"/>
      <c r="G579" s="136"/>
      <c r="H579" s="110"/>
      <c r="I579" s="109">
        <f t="shared" si="11"/>
        <v>0</v>
      </c>
      <c r="J579" s="131"/>
      <c r="K579" s="131"/>
    </row>
    <row r="580" spans="1:11" ht="15.75" x14ac:dyDescent="0.25">
      <c r="A580" s="128"/>
      <c r="B580" s="127"/>
      <c r="C580" s="128"/>
      <c r="D580" s="125"/>
      <c r="E580" s="126"/>
      <c r="F580" s="110"/>
      <c r="G580" s="136"/>
      <c r="H580" s="110"/>
      <c r="I580" s="109">
        <f t="shared" si="11"/>
        <v>0</v>
      </c>
      <c r="J580" s="131"/>
      <c r="K580" s="131"/>
    </row>
    <row r="581" spans="1:11" ht="15" customHeight="1" x14ac:dyDescent="0.25">
      <c r="A581" s="128"/>
      <c r="B581" s="127"/>
      <c r="C581" s="128"/>
      <c r="D581" s="117"/>
      <c r="E581" s="118"/>
      <c r="F581" s="110"/>
      <c r="G581" s="136"/>
      <c r="H581" s="110"/>
      <c r="I581" s="109">
        <f t="shared" si="11"/>
        <v>0</v>
      </c>
      <c r="J581" s="131"/>
      <c r="K581" s="131"/>
    </row>
    <row r="582" spans="1:11" ht="15" customHeight="1" x14ac:dyDescent="0.25">
      <c r="A582" s="128"/>
      <c r="B582" s="127"/>
      <c r="C582" s="128"/>
      <c r="D582" s="115"/>
      <c r="E582" s="116"/>
      <c r="F582" s="110"/>
      <c r="G582" s="136"/>
      <c r="H582" s="110"/>
      <c r="I582" s="109">
        <f t="shared" si="11"/>
        <v>0</v>
      </c>
      <c r="J582" s="131"/>
      <c r="K582" s="131"/>
    </row>
    <row r="583" spans="1:11" x14ac:dyDescent="0.25">
      <c r="A583" s="128"/>
      <c r="B583" s="127"/>
      <c r="C583" s="128"/>
      <c r="D583" s="117"/>
      <c r="E583" s="118"/>
      <c r="F583" s="110"/>
      <c r="G583" s="136"/>
      <c r="H583" s="110"/>
      <c r="I583" s="109">
        <f t="shared" si="11"/>
        <v>0</v>
      </c>
      <c r="J583" s="131"/>
      <c r="K583" s="131"/>
    </row>
    <row r="584" spans="1:11" x14ac:dyDescent="0.25">
      <c r="A584" s="128"/>
      <c r="B584" s="127"/>
      <c r="C584" s="128"/>
      <c r="D584" s="115"/>
      <c r="E584" s="116"/>
      <c r="F584" s="110"/>
      <c r="G584" s="136"/>
      <c r="H584" s="110"/>
      <c r="I584" s="109">
        <f t="shared" si="11"/>
        <v>0</v>
      </c>
      <c r="J584" s="131"/>
      <c r="K584" s="131"/>
    </row>
    <row r="585" spans="1:11" x14ac:dyDescent="0.25">
      <c r="A585" s="128"/>
      <c r="B585" s="127"/>
      <c r="C585" s="128"/>
      <c r="D585" s="115"/>
      <c r="E585" s="116"/>
      <c r="F585" s="110"/>
      <c r="G585" s="136"/>
      <c r="H585" s="110"/>
      <c r="I585" s="109">
        <f t="shared" si="11"/>
        <v>0</v>
      </c>
      <c r="J585" s="131"/>
      <c r="K585" s="131"/>
    </row>
    <row r="586" spans="1:11" x14ac:dyDescent="0.25">
      <c r="A586" s="128"/>
      <c r="B586" s="127"/>
      <c r="C586" s="128"/>
      <c r="D586" s="115"/>
      <c r="E586" s="116"/>
      <c r="F586" s="110"/>
      <c r="G586" s="136"/>
      <c r="H586" s="110"/>
      <c r="I586" s="109">
        <f t="shared" si="11"/>
        <v>0</v>
      </c>
      <c r="J586" s="131"/>
      <c r="K586" s="131"/>
    </row>
    <row r="587" spans="1:11" x14ac:dyDescent="0.25">
      <c r="A587" s="128"/>
      <c r="B587" s="127"/>
      <c r="C587" s="128"/>
      <c r="D587" s="115"/>
      <c r="E587" s="116"/>
      <c r="F587" s="110"/>
      <c r="G587" s="136"/>
      <c r="H587" s="110"/>
      <c r="I587" s="109">
        <f t="shared" si="11"/>
        <v>0</v>
      </c>
      <c r="J587" s="131"/>
      <c r="K587" s="131"/>
    </row>
    <row r="588" spans="1:11" x14ac:dyDescent="0.25">
      <c r="A588" s="128"/>
      <c r="B588" s="127"/>
      <c r="C588" s="128"/>
      <c r="D588" s="115"/>
      <c r="E588" s="116"/>
      <c r="F588" s="110"/>
      <c r="G588" s="136"/>
      <c r="H588" s="110"/>
      <c r="I588" s="109">
        <f t="shared" si="11"/>
        <v>0</v>
      </c>
      <c r="J588" s="131"/>
      <c r="K588" s="131"/>
    </row>
    <row r="589" spans="1:11" x14ac:dyDescent="0.25">
      <c r="A589" s="128"/>
      <c r="B589" s="127"/>
      <c r="C589" s="128"/>
      <c r="D589" s="115"/>
      <c r="E589" s="116"/>
      <c r="F589" s="110"/>
      <c r="G589" s="136"/>
      <c r="H589" s="110"/>
      <c r="I589" s="109">
        <f t="shared" si="11"/>
        <v>0</v>
      </c>
      <c r="J589" s="131"/>
      <c r="K589" s="131"/>
    </row>
    <row r="590" spans="1:11" ht="15" customHeight="1" x14ac:dyDescent="0.25">
      <c r="A590" s="128"/>
      <c r="B590" s="127"/>
      <c r="C590" s="128"/>
      <c r="D590" s="117"/>
      <c r="E590" s="118"/>
      <c r="F590" s="110"/>
      <c r="G590" s="136"/>
      <c r="H590" s="110"/>
      <c r="I590" s="109">
        <f t="shared" si="11"/>
        <v>0</v>
      </c>
      <c r="J590" s="131"/>
      <c r="K590" s="131"/>
    </row>
    <row r="591" spans="1:11" x14ac:dyDescent="0.25">
      <c r="A591" s="128"/>
      <c r="B591" s="127"/>
      <c r="C591" s="128"/>
      <c r="D591" s="115"/>
      <c r="E591" s="116"/>
      <c r="F591" s="110"/>
      <c r="G591" s="136"/>
      <c r="H591" s="110"/>
      <c r="I591" s="109">
        <f t="shared" si="11"/>
        <v>0</v>
      </c>
      <c r="J591" s="131"/>
      <c r="K591" s="131"/>
    </row>
    <row r="592" spans="1:11" ht="15" customHeight="1" x14ac:dyDescent="0.25">
      <c r="A592" s="128"/>
      <c r="B592" s="127"/>
      <c r="C592" s="128"/>
      <c r="D592" s="115"/>
      <c r="E592" s="116"/>
      <c r="F592" s="110"/>
      <c r="G592" s="122"/>
      <c r="H592" s="110"/>
      <c r="I592" s="109">
        <f t="shared" si="11"/>
        <v>0</v>
      </c>
      <c r="J592" s="131"/>
      <c r="K592" s="131"/>
    </row>
    <row r="593" spans="1:11" ht="15" customHeight="1" x14ac:dyDescent="0.25">
      <c r="A593" s="128"/>
      <c r="B593" s="127"/>
      <c r="C593" s="128"/>
      <c r="D593" s="115"/>
      <c r="E593" s="116"/>
      <c r="F593" s="110"/>
      <c r="G593" s="122"/>
      <c r="H593" s="110"/>
      <c r="I593" s="109">
        <f t="shared" si="11"/>
        <v>0</v>
      </c>
      <c r="J593" s="131"/>
      <c r="K593" s="131"/>
    </row>
    <row r="594" spans="1:11" ht="15" customHeight="1" x14ac:dyDescent="0.25">
      <c r="A594" s="128"/>
      <c r="B594" s="127"/>
      <c r="C594" s="128"/>
      <c r="D594" s="117"/>
      <c r="E594" s="118"/>
      <c r="F594" s="110"/>
      <c r="G594" s="122"/>
      <c r="H594" s="110"/>
      <c r="I594" s="109">
        <f t="shared" si="11"/>
        <v>0</v>
      </c>
      <c r="J594" s="131"/>
      <c r="K594" s="131"/>
    </row>
    <row r="595" spans="1:11" x14ac:dyDescent="0.25">
      <c r="A595" s="128"/>
      <c r="B595" s="127"/>
      <c r="C595" s="128"/>
      <c r="D595" s="115"/>
      <c r="E595" s="116"/>
      <c r="F595" s="110"/>
      <c r="G595" s="136"/>
      <c r="H595" s="110"/>
      <c r="I595" s="109">
        <f t="shared" si="11"/>
        <v>0</v>
      </c>
      <c r="J595" s="131"/>
      <c r="K595" s="131"/>
    </row>
    <row r="596" spans="1:11" x14ac:dyDescent="0.25">
      <c r="A596" s="128"/>
      <c r="B596" s="127"/>
      <c r="C596" s="128"/>
      <c r="D596" s="115"/>
      <c r="E596" s="116"/>
      <c r="F596" s="110"/>
      <c r="G596" s="136"/>
      <c r="H596" s="110"/>
      <c r="I596" s="109">
        <f t="shared" si="11"/>
        <v>0</v>
      </c>
      <c r="J596" s="131"/>
      <c r="K596" s="131"/>
    </row>
    <row r="597" spans="1:11" x14ac:dyDescent="0.25">
      <c r="A597" s="128"/>
      <c r="B597" s="127"/>
      <c r="C597" s="128"/>
      <c r="D597" s="115"/>
      <c r="E597" s="116"/>
      <c r="F597" s="110"/>
      <c r="G597" s="136"/>
      <c r="H597" s="110"/>
      <c r="I597" s="109">
        <f t="shared" si="11"/>
        <v>0</v>
      </c>
      <c r="J597" s="131"/>
      <c r="K597" s="131"/>
    </row>
    <row r="598" spans="1:11" x14ac:dyDescent="0.25">
      <c r="A598" s="128"/>
      <c r="B598" s="127"/>
      <c r="C598" s="128"/>
      <c r="D598" s="115"/>
      <c r="E598" s="116"/>
      <c r="F598" s="110"/>
      <c r="G598" s="136"/>
      <c r="H598" s="110"/>
      <c r="I598" s="109">
        <f t="shared" si="11"/>
        <v>0</v>
      </c>
      <c r="J598" s="131"/>
      <c r="K598" s="131"/>
    </row>
    <row r="599" spans="1:11" x14ac:dyDescent="0.25">
      <c r="A599" s="128"/>
      <c r="B599" s="127"/>
      <c r="C599" s="128"/>
      <c r="D599" s="115"/>
      <c r="E599" s="116"/>
      <c r="F599" s="110"/>
      <c r="G599" s="136"/>
      <c r="H599" s="110"/>
      <c r="I599" s="109">
        <f t="shared" si="11"/>
        <v>0</v>
      </c>
      <c r="J599" s="131"/>
      <c r="K599" s="131"/>
    </row>
    <row r="600" spans="1:11" x14ac:dyDescent="0.25">
      <c r="A600" s="128"/>
      <c r="B600" s="127"/>
      <c r="C600" s="128"/>
      <c r="D600" s="115"/>
      <c r="E600" s="116"/>
      <c r="F600" s="110"/>
      <c r="G600" s="136"/>
      <c r="H600" s="110"/>
      <c r="I600" s="109">
        <f t="shared" si="11"/>
        <v>0</v>
      </c>
      <c r="J600" s="131"/>
      <c r="K600" s="131"/>
    </row>
    <row r="601" spans="1:11" x14ac:dyDescent="0.25">
      <c r="A601" s="128"/>
      <c r="B601" s="127"/>
      <c r="C601" s="128"/>
      <c r="D601" s="117"/>
      <c r="E601" s="118"/>
      <c r="F601" s="110"/>
      <c r="G601" s="136"/>
      <c r="H601" s="110"/>
      <c r="I601" s="109">
        <f t="shared" si="11"/>
        <v>0</v>
      </c>
      <c r="J601" s="131"/>
      <c r="K601" s="131"/>
    </row>
    <row r="602" spans="1:11" x14ac:dyDescent="0.25">
      <c r="A602" s="128"/>
      <c r="B602" s="127"/>
      <c r="C602" s="128"/>
      <c r="D602" s="115"/>
      <c r="E602" s="116"/>
      <c r="F602" s="110"/>
      <c r="G602" s="136"/>
      <c r="H602" s="110"/>
      <c r="I602" s="109">
        <f t="shared" si="11"/>
        <v>0</v>
      </c>
      <c r="J602" s="131"/>
      <c r="K602" s="131"/>
    </row>
    <row r="603" spans="1:11" x14ac:dyDescent="0.25">
      <c r="A603" s="128"/>
      <c r="B603" s="127"/>
      <c r="C603" s="128"/>
      <c r="D603" s="115"/>
      <c r="E603" s="116"/>
      <c r="F603" s="110"/>
      <c r="G603" s="136"/>
      <c r="H603" s="110"/>
      <c r="I603" s="109">
        <f t="shared" si="11"/>
        <v>0</v>
      </c>
      <c r="J603" s="131"/>
      <c r="K603" s="131"/>
    </row>
    <row r="604" spans="1:11" x14ac:dyDescent="0.25">
      <c r="A604" s="128"/>
      <c r="B604" s="127"/>
      <c r="C604" s="128"/>
      <c r="D604" s="115"/>
      <c r="E604" s="116"/>
      <c r="F604" s="110"/>
      <c r="G604" s="136"/>
      <c r="H604" s="110"/>
      <c r="I604" s="109">
        <f t="shared" si="11"/>
        <v>0</v>
      </c>
      <c r="J604" s="131"/>
      <c r="K604" s="131"/>
    </row>
    <row r="605" spans="1:11" x14ac:dyDescent="0.25">
      <c r="A605" s="128"/>
      <c r="B605" s="127"/>
      <c r="C605" s="128"/>
      <c r="D605" s="115"/>
      <c r="E605" s="116"/>
      <c r="F605" s="110"/>
      <c r="G605" s="136"/>
      <c r="H605" s="110"/>
      <c r="I605" s="109">
        <f t="shared" si="11"/>
        <v>0</v>
      </c>
      <c r="J605" s="131"/>
      <c r="K605" s="131"/>
    </row>
    <row r="606" spans="1:11" x14ac:dyDescent="0.25">
      <c r="A606" s="128"/>
      <c r="B606" s="127"/>
      <c r="C606" s="128"/>
      <c r="D606" s="115"/>
      <c r="E606" s="116"/>
      <c r="F606" s="110"/>
      <c r="G606" s="136"/>
      <c r="H606" s="110"/>
      <c r="I606" s="109">
        <f t="shared" si="11"/>
        <v>0</v>
      </c>
      <c r="J606" s="131"/>
      <c r="K606" s="131"/>
    </row>
    <row r="607" spans="1:11" ht="15" customHeight="1" x14ac:dyDescent="0.25">
      <c r="A607" s="128"/>
      <c r="B607" s="132"/>
      <c r="C607" s="128"/>
      <c r="D607" s="117"/>
      <c r="E607" s="118"/>
      <c r="F607" s="110"/>
      <c r="G607" s="136"/>
      <c r="H607" s="110"/>
      <c r="I607" s="109">
        <f t="shared" si="11"/>
        <v>0</v>
      </c>
      <c r="J607" s="131"/>
      <c r="K607" s="131"/>
    </row>
    <row r="608" spans="1:11" x14ac:dyDescent="0.25">
      <c r="A608" s="128"/>
      <c r="B608" s="132"/>
      <c r="C608" s="128"/>
      <c r="D608" s="115"/>
      <c r="E608" s="116"/>
      <c r="F608" s="110"/>
      <c r="G608" s="136"/>
      <c r="H608" s="110"/>
      <c r="I608" s="109">
        <f t="shared" si="11"/>
        <v>0</v>
      </c>
      <c r="J608" s="131"/>
      <c r="K608" s="131"/>
    </row>
    <row r="609" spans="1:11" x14ac:dyDescent="0.25">
      <c r="A609" s="128"/>
      <c r="B609" s="132"/>
      <c r="C609" s="128"/>
      <c r="D609" s="115"/>
      <c r="E609" s="116"/>
      <c r="F609" s="110"/>
      <c r="G609" s="136"/>
      <c r="H609" s="110"/>
      <c r="I609" s="109">
        <f t="shared" si="11"/>
        <v>0</v>
      </c>
      <c r="J609" s="131"/>
      <c r="K609" s="131"/>
    </row>
    <row r="610" spans="1:11" x14ac:dyDescent="0.25">
      <c r="A610" s="128"/>
      <c r="B610" s="132"/>
      <c r="C610" s="128"/>
      <c r="D610" s="115"/>
      <c r="E610" s="116"/>
      <c r="F610" s="110"/>
      <c r="G610" s="136"/>
      <c r="H610" s="110"/>
      <c r="I610" s="109">
        <f t="shared" si="11"/>
        <v>0</v>
      </c>
      <c r="J610" s="131"/>
      <c r="K610" s="131"/>
    </row>
    <row r="611" spans="1:11" ht="15.75" x14ac:dyDescent="0.25">
      <c r="A611" s="128"/>
      <c r="B611" s="132"/>
      <c r="C611" s="128"/>
      <c r="D611" s="125"/>
      <c r="E611" s="126"/>
      <c r="F611" s="110"/>
      <c r="G611" s="136"/>
      <c r="H611" s="110"/>
      <c r="I611" s="109">
        <f t="shared" si="11"/>
        <v>0</v>
      </c>
      <c r="J611" s="131"/>
      <c r="K611" s="131"/>
    </row>
    <row r="612" spans="1:11" x14ac:dyDescent="0.25">
      <c r="A612" s="128"/>
      <c r="B612" s="132"/>
      <c r="C612" s="128"/>
      <c r="D612" s="115"/>
      <c r="E612" s="116"/>
      <c r="F612" s="110"/>
      <c r="G612" s="136"/>
      <c r="H612" s="110"/>
      <c r="I612" s="109">
        <f t="shared" si="11"/>
        <v>0</v>
      </c>
      <c r="J612" s="131"/>
      <c r="K612" s="131"/>
    </row>
    <row r="613" spans="1:11" x14ac:dyDescent="0.25">
      <c r="A613" s="128"/>
      <c r="B613" s="132"/>
      <c r="C613" s="128"/>
      <c r="D613" s="115"/>
      <c r="E613" s="116"/>
      <c r="F613" s="110"/>
      <c r="G613" s="136"/>
      <c r="H613" s="110"/>
      <c r="I613" s="109">
        <f t="shared" si="11"/>
        <v>0</v>
      </c>
      <c r="J613" s="131"/>
      <c r="K613" s="131"/>
    </row>
    <row r="614" spans="1:11" x14ac:dyDescent="0.25">
      <c r="A614" s="128"/>
      <c r="B614" s="132"/>
      <c r="C614" s="128"/>
      <c r="D614" s="115"/>
      <c r="E614" s="116"/>
      <c r="F614" s="109"/>
      <c r="G614" s="136"/>
      <c r="H614" s="110"/>
      <c r="I614" s="109">
        <f t="shared" si="11"/>
        <v>0</v>
      </c>
      <c r="J614" s="131"/>
      <c r="K614" s="131"/>
    </row>
    <row r="615" spans="1:11" x14ac:dyDescent="0.25">
      <c r="A615" s="128"/>
      <c r="B615" s="132"/>
      <c r="C615" s="128"/>
      <c r="D615" s="115"/>
      <c r="E615" s="116"/>
      <c r="F615" s="109"/>
      <c r="G615" s="136"/>
      <c r="H615" s="110"/>
      <c r="I615" s="109">
        <f t="shared" si="11"/>
        <v>0</v>
      </c>
      <c r="J615" s="131"/>
      <c r="K615" s="131"/>
    </row>
    <row r="616" spans="1:11" x14ac:dyDescent="0.25">
      <c r="A616" s="128"/>
      <c r="B616" s="132"/>
      <c r="C616" s="128"/>
      <c r="D616" s="115"/>
      <c r="E616" s="116"/>
      <c r="F616" s="109"/>
      <c r="G616" s="136"/>
      <c r="H616" s="110"/>
      <c r="I616" s="109">
        <f t="shared" si="11"/>
        <v>0</v>
      </c>
      <c r="J616" s="131"/>
      <c r="K616" s="131"/>
    </row>
    <row r="617" spans="1:11" x14ac:dyDescent="0.25">
      <c r="A617" s="128"/>
      <c r="B617" s="132"/>
      <c r="C617" s="128"/>
      <c r="D617" s="115"/>
      <c r="E617" s="116"/>
      <c r="F617" s="109"/>
      <c r="G617" s="136"/>
      <c r="H617" s="110"/>
      <c r="I617" s="109">
        <f t="shared" si="11"/>
        <v>0</v>
      </c>
      <c r="J617" s="131"/>
      <c r="K617" s="131"/>
    </row>
    <row r="618" spans="1:11" x14ac:dyDescent="0.25">
      <c r="A618" s="128"/>
      <c r="B618" s="132"/>
      <c r="C618" s="128"/>
      <c r="D618" s="117"/>
      <c r="E618" s="116"/>
      <c r="F618" s="109"/>
      <c r="G618" s="136"/>
      <c r="H618" s="110"/>
      <c r="I618" s="109">
        <f t="shared" si="11"/>
        <v>0</v>
      </c>
      <c r="J618" s="131"/>
      <c r="K618" s="131"/>
    </row>
    <row r="619" spans="1:11" x14ac:dyDescent="0.25">
      <c r="A619" s="128"/>
      <c r="B619" s="132"/>
      <c r="C619" s="128"/>
      <c r="D619" s="115"/>
      <c r="E619" s="116"/>
      <c r="F619" s="109"/>
      <c r="G619" s="136"/>
      <c r="H619" s="110"/>
      <c r="I619" s="109">
        <f t="shared" si="11"/>
        <v>0</v>
      </c>
      <c r="J619" s="131"/>
      <c r="K619" s="131"/>
    </row>
    <row r="620" spans="1:11" x14ac:dyDescent="0.25">
      <c r="A620" s="128"/>
      <c r="B620" s="132"/>
      <c r="C620" s="128"/>
      <c r="D620" s="115"/>
      <c r="E620" s="116"/>
      <c r="F620" s="109"/>
      <c r="G620" s="136"/>
      <c r="H620" s="110"/>
      <c r="I620" s="109">
        <f t="shared" si="11"/>
        <v>0</v>
      </c>
      <c r="J620" s="131"/>
      <c r="K620" s="131"/>
    </row>
    <row r="621" spans="1:11" x14ac:dyDescent="0.25">
      <c r="A621" s="128"/>
      <c r="B621" s="132"/>
      <c r="C621" s="128"/>
      <c r="D621" s="115"/>
      <c r="E621" s="116"/>
      <c r="F621" s="109"/>
      <c r="G621" s="136"/>
      <c r="H621" s="110"/>
      <c r="I621" s="109">
        <f t="shared" si="11"/>
        <v>0</v>
      </c>
      <c r="J621" s="131"/>
      <c r="K621" s="131"/>
    </row>
    <row r="622" spans="1:11" x14ac:dyDescent="0.25">
      <c r="A622" s="128"/>
      <c r="B622" s="132"/>
      <c r="C622" s="128"/>
      <c r="D622" s="115"/>
      <c r="E622" s="116"/>
      <c r="F622" s="109"/>
      <c r="G622" s="136"/>
      <c r="H622" s="110"/>
      <c r="I622" s="109">
        <f t="shared" si="11"/>
        <v>0</v>
      </c>
      <c r="J622" s="131"/>
      <c r="K622" s="131"/>
    </row>
    <row r="623" spans="1:11" x14ac:dyDescent="0.25">
      <c r="A623" s="128"/>
      <c r="B623" s="132"/>
      <c r="C623" s="128"/>
      <c r="D623" s="115"/>
      <c r="E623" s="116"/>
      <c r="F623" s="109"/>
      <c r="G623" s="136"/>
      <c r="H623" s="110"/>
      <c r="I623" s="109">
        <f t="shared" si="11"/>
        <v>0</v>
      </c>
      <c r="J623" s="131"/>
      <c r="K623" s="131"/>
    </row>
    <row r="624" spans="1:11" x14ac:dyDescent="0.25">
      <c r="A624" s="128"/>
      <c r="B624" s="132"/>
      <c r="C624" s="128"/>
      <c r="D624" s="115"/>
      <c r="E624" s="116"/>
      <c r="F624" s="109"/>
      <c r="G624" s="136"/>
      <c r="H624" s="110"/>
      <c r="I624" s="109">
        <f t="shared" si="11"/>
        <v>0</v>
      </c>
      <c r="J624" s="131"/>
      <c r="K624" s="131"/>
    </row>
    <row r="625" spans="1:11" x14ac:dyDescent="0.25">
      <c r="A625" s="128"/>
      <c r="B625" s="132"/>
      <c r="C625" s="128"/>
      <c r="D625" s="115"/>
      <c r="E625" s="116"/>
      <c r="F625" s="109"/>
      <c r="G625" s="136"/>
      <c r="H625" s="110"/>
      <c r="I625" s="109">
        <f t="shared" si="11"/>
        <v>0</v>
      </c>
      <c r="J625" s="131"/>
      <c r="K625" s="131"/>
    </row>
    <row r="626" spans="1:11" x14ac:dyDescent="0.25">
      <c r="A626" s="128"/>
      <c r="B626" s="132"/>
      <c r="C626" s="128"/>
      <c r="D626" s="129"/>
      <c r="E626" s="130"/>
      <c r="F626" s="109"/>
      <c r="G626" s="136"/>
      <c r="H626" s="110"/>
      <c r="I626" s="109">
        <f t="shared" si="11"/>
        <v>0</v>
      </c>
      <c r="J626" s="131"/>
      <c r="K626" s="131"/>
    </row>
    <row r="627" spans="1:11" ht="15.75" x14ac:dyDescent="0.25">
      <c r="A627" s="128"/>
      <c r="B627" s="132"/>
      <c r="C627" s="128"/>
      <c r="D627" s="125"/>
      <c r="E627" s="126"/>
      <c r="F627" s="109"/>
      <c r="G627" s="136"/>
      <c r="H627" s="110"/>
      <c r="I627" s="109">
        <f t="shared" ref="I627:I643" si="12">H627*F627</f>
        <v>0</v>
      </c>
      <c r="J627" s="131"/>
      <c r="K627" s="131"/>
    </row>
    <row r="628" spans="1:11" x14ac:dyDescent="0.25">
      <c r="A628" s="128"/>
      <c r="B628" s="132"/>
      <c r="C628" s="128"/>
      <c r="D628" s="115"/>
      <c r="E628" s="116"/>
      <c r="F628" s="109"/>
      <c r="G628" s="136"/>
      <c r="H628" s="110"/>
      <c r="I628" s="109">
        <f t="shared" si="12"/>
        <v>0</v>
      </c>
      <c r="J628" s="131"/>
      <c r="K628" s="131"/>
    </row>
    <row r="629" spans="1:11" x14ac:dyDescent="0.25">
      <c r="A629" s="128"/>
      <c r="B629" s="132"/>
      <c r="C629" s="128"/>
      <c r="D629" s="115"/>
      <c r="E629" s="116"/>
      <c r="F629" s="109"/>
      <c r="G629" s="136"/>
      <c r="H629" s="110"/>
      <c r="I629" s="109">
        <f t="shared" si="12"/>
        <v>0</v>
      </c>
      <c r="J629" s="131"/>
      <c r="K629" s="131"/>
    </row>
    <row r="630" spans="1:11" x14ac:dyDescent="0.25">
      <c r="A630" s="128"/>
      <c r="B630" s="132"/>
      <c r="C630" s="128"/>
      <c r="D630" s="115"/>
      <c r="E630" s="116"/>
      <c r="F630" s="109"/>
      <c r="G630" s="136"/>
      <c r="H630" s="110"/>
      <c r="I630" s="109">
        <f t="shared" si="12"/>
        <v>0</v>
      </c>
      <c r="J630" s="131"/>
      <c r="K630" s="131"/>
    </row>
    <row r="631" spans="1:11" x14ac:dyDescent="0.25">
      <c r="A631" s="128"/>
      <c r="B631" s="132"/>
      <c r="C631" s="128"/>
      <c r="D631" s="115"/>
      <c r="E631" s="116"/>
      <c r="F631" s="109"/>
      <c r="G631" s="136"/>
      <c r="H631" s="110"/>
      <c r="I631" s="109">
        <f t="shared" si="12"/>
        <v>0</v>
      </c>
      <c r="J631" s="131"/>
      <c r="K631" s="131"/>
    </row>
    <row r="632" spans="1:11" x14ac:dyDescent="0.25">
      <c r="A632" s="128"/>
      <c r="B632" s="132"/>
      <c r="C632" s="128"/>
      <c r="D632" s="115"/>
      <c r="E632" s="116"/>
      <c r="F632" s="109"/>
      <c r="G632" s="136"/>
      <c r="H632" s="110"/>
      <c r="I632" s="109">
        <f t="shared" si="12"/>
        <v>0</v>
      </c>
      <c r="J632" s="131"/>
      <c r="K632" s="131"/>
    </row>
    <row r="633" spans="1:11" x14ac:dyDescent="0.25">
      <c r="A633" s="128"/>
      <c r="B633" s="132"/>
      <c r="C633" s="128"/>
      <c r="D633" s="115"/>
      <c r="E633" s="116"/>
      <c r="F633" s="109"/>
      <c r="G633" s="136"/>
      <c r="H633" s="110"/>
      <c r="I633" s="109">
        <f t="shared" si="12"/>
        <v>0</v>
      </c>
      <c r="J633" s="131"/>
      <c r="K633" s="131"/>
    </row>
    <row r="634" spans="1:11" x14ac:dyDescent="0.25">
      <c r="A634" s="128"/>
      <c r="B634" s="132"/>
      <c r="C634" s="128"/>
      <c r="D634" s="115"/>
      <c r="E634" s="116"/>
      <c r="F634" s="109"/>
      <c r="G634" s="136"/>
      <c r="H634" s="110"/>
      <c r="I634" s="109">
        <f t="shared" si="12"/>
        <v>0</v>
      </c>
      <c r="J634" s="131"/>
      <c r="K634" s="131"/>
    </row>
    <row r="635" spans="1:11" x14ac:dyDescent="0.25">
      <c r="A635" s="128"/>
      <c r="B635" s="132"/>
      <c r="C635" s="128"/>
      <c r="D635" s="115"/>
      <c r="E635" s="116"/>
      <c r="F635" s="109"/>
      <c r="G635" s="136"/>
      <c r="H635" s="110"/>
      <c r="I635" s="109">
        <f t="shared" si="12"/>
        <v>0</v>
      </c>
      <c r="J635" s="131"/>
      <c r="K635" s="131"/>
    </row>
    <row r="636" spans="1:11" x14ac:dyDescent="0.25">
      <c r="A636" s="128"/>
      <c r="B636" s="132"/>
      <c r="C636" s="128"/>
      <c r="D636" s="115"/>
      <c r="E636" s="116"/>
      <c r="F636" s="109"/>
      <c r="G636" s="136"/>
      <c r="H636" s="110"/>
      <c r="I636" s="109">
        <f t="shared" si="12"/>
        <v>0</v>
      </c>
      <c r="J636" s="131"/>
      <c r="K636" s="131"/>
    </row>
    <row r="637" spans="1:11" x14ac:dyDescent="0.25">
      <c r="A637" s="128"/>
      <c r="B637" s="132"/>
      <c r="C637" s="128"/>
      <c r="D637" s="115"/>
      <c r="E637" s="116"/>
      <c r="F637" s="109"/>
      <c r="G637" s="136"/>
      <c r="H637" s="110"/>
      <c r="I637" s="109">
        <f t="shared" si="12"/>
        <v>0</v>
      </c>
      <c r="J637" s="131"/>
      <c r="K637" s="131"/>
    </row>
    <row r="638" spans="1:11" x14ac:dyDescent="0.25">
      <c r="A638" s="128"/>
      <c r="B638" s="132"/>
      <c r="C638" s="128"/>
      <c r="D638" s="115"/>
      <c r="E638" s="116"/>
      <c r="F638" s="109"/>
      <c r="G638" s="136"/>
      <c r="H638" s="110"/>
      <c r="I638" s="109">
        <f t="shared" si="12"/>
        <v>0</v>
      </c>
      <c r="J638" s="131"/>
      <c r="K638" s="131"/>
    </row>
    <row r="639" spans="1:11" x14ac:dyDescent="0.25">
      <c r="A639" s="128"/>
      <c r="B639" s="132"/>
      <c r="C639" s="128"/>
      <c r="D639" s="115"/>
      <c r="E639" s="116"/>
      <c r="F639" s="109"/>
      <c r="G639" s="136"/>
      <c r="H639" s="110"/>
      <c r="I639" s="109">
        <f t="shared" si="12"/>
        <v>0</v>
      </c>
      <c r="J639" s="131"/>
      <c r="K639" s="131"/>
    </row>
    <row r="640" spans="1:11" x14ac:dyDescent="0.25">
      <c r="A640" s="128"/>
      <c r="B640" s="132"/>
      <c r="C640" s="128"/>
      <c r="D640" s="115"/>
      <c r="E640" s="116"/>
      <c r="F640" s="109"/>
      <c r="G640" s="136"/>
      <c r="H640" s="110"/>
      <c r="I640" s="109">
        <f t="shared" si="12"/>
        <v>0</v>
      </c>
      <c r="J640" s="131"/>
      <c r="K640" s="131"/>
    </row>
    <row r="641" spans="1:11" x14ac:dyDescent="0.25">
      <c r="A641" s="128"/>
      <c r="B641" s="132"/>
      <c r="C641" s="128"/>
      <c r="D641" s="115"/>
      <c r="E641" s="116"/>
      <c r="F641" s="109"/>
      <c r="G641" s="136"/>
      <c r="H641" s="110"/>
      <c r="I641" s="109">
        <f t="shared" si="12"/>
        <v>0</v>
      </c>
      <c r="J641" s="131"/>
      <c r="K641" s="131"/>
    </row>
    <row r="642" spans="1:11" x14ac:dyDescent="0.25">
      <c r="A642" s="128"/>
      <c r="B642" s="132"/>
      <c r="C642" s="128"/>
      <c r="D642" s="115"/>
      <c r="E642" s="116"/>
      <c r="F642" s="109"/>
      <c r="G642" s="136"/>
      <c r="H642" s="110"/>
      <c r="I642" s="109">
        <f t="shared" si="12"/>
        <v>0</v>
      </c>
      <c r="J642" s="131"/>
      <c r="K642" s="131"/>
    </row>
    <row r="643" spans="1:11" x14ac:dyDescent="0.25">
      <c r="A643" s="128"/>
      <c r="B643" s="132"/>
      <c r="C643" s="128"/>
      <c r="D643" s="115"/>
      <c r="E643" s="116"/>
      <c r="F643" s="109"/>
      <c r="G643" s="136"/>
      <c r="H643" s="110"/>
      <c r="I643" s="109">
        <f t="shared" si="12"/>
        <v>0</v>
      </c>
      <c r="J643" s="131"/>
      <c r="K643" s="131"/>
    </row>
    <row r="644" spans="1:11" x14ac:dyDescent="0.25">
      <c r="A644" s="128"/>
      <c r="B644" s="128"/>
      <c r="C644" s="128"/>
      <c r="D644" s="128"/>
      <c r="E644" s="128"/>
      <c r="F644" s="109"/>
      <c r="G644" s="122"/>
      <c r="H644" s="110"/>
      <c r="I644" s="131"/>
      <c r="J644" s="131"/>
      <c r="K644" s="131"/>
    </row>
    <row r="645" spans="1:11" x14ac:dyDescent="0.25">
      <c r="A645" s="128"/>
      <c r="B645" s="128"/>
      <c r="C645" s="128"/>
      <c r="D645" s="128"/>
      <c r="E645" s="128"/>
      <c r="F645" s="109"/>
      <c r="G645" s="122"/>
      <c r="H645" s="110"/>
      <c r="I645" s="131"/>
      <c r="J645" s="131"/>
      <c r="K645" s="131"/>
    </row>
    <row r="646" spans="1:11" x14ac:dyDescent="0.25">
      <c r="A646" s="128"/>
      <c r="B646" s="128"/>
      <c r="C646" s="128"/>
      <c r="D646" s="128"/>
      <c r="E646" s="128"/>
      <c r="F646" s="109"/>
      <c r="G646" s="122"/>
      <c r="H646" s="110"/>
      <c r="I646" s="131"/>
      <c r="J646" s="131"/>
      <c r="K646" s="131"/>
    </row>
    <row r="647" spans="1:11" x14ac:dyDescent="0.25">
      <c r="A647" s="128"/>
      <c r="B647" s="128"/>
      <c r="C647" s="128"/>
      <c r="D647" s="128"/>
      <c r="E647" s="128"/>
      <c r="F647" s="109"/>
      <c r="G647" s="122"/>
      <c r="H647" s="110"/>
      <c r="I647" s="131"/>
      <c r="J647" s="131"/>
      <c r="K647" s="131"/>
    </row>
    <row r="648" spans="1:11" x14ac:dyDescent="0.25">
      <c r="A648" s="128"/>
      <c r="B648" s="128"/>
      <c r="C648" s="128"/>
      <c r="D648" s="128"/>
      <c r="E648" s="128"/>
      <c r="F648" s="109"/>
      <c r="G648" s="122"/>
      <c r="H648" s="110"/>
      <c r="I648" s="131"/>
      <c r="J648" s="131"/>
      <c r="K648" s="131"/>
    </row>
    <row r="649" spans="1:11" x14ac:dyDescent="0.25">
      <c r="A649" s="128"/>
      <c r="B649" s="128"/>
      <c r="C649" s="128"/>
      <c r="D649" s="128"/>
      <c r="E649" s="128"/>
      <c r="F649" s="109"/>
      <c r="G649" s="122"/>
      <c r="H649" s="110"/>
      <c r="I649" s="131"/>
      <c r="J649" s="131"/>
      <c r="K649" s="131"/>
    </row>
    <row r="650" spans="1:11" x14ac:dyDescent="0.25">
      <c r="A650" s="128"/>
      <c r="B650" s="128"/>
      <c r="C650" s="128"/>
      <c r="D650" s="128"/>
      <c r="E650" s="128"/>
      <c r="F650" s="109"/>
      <c r="G650" s="122"/>
      <c r="H650" s="110"/>
      <c r="I650" s="131"/>
      <c r="J650" s="131"/>
      <c r="K650" s="131"/>
    </row>
    <row r="651" spans="1:11" x14ac:dyDescent="0.25">
      <c r="A651" s="96"/>
      <c r="B651" s="88"/>
      <c r="C651" s="77"/>
      <c r="D651" s="88"/>
      <c r="E651" s="88"/>
      <c r="F651" s="109"/>
      <c r="G651" s="89"/>
      <c r="H651" s="90"/>
      <c r="I651" s="86"/>
      <c r="J651" s="86"/>
      <c r="K651" s="86"/>
    </row>
    <row r="652" spans="1:11" x14ac:dyDescent="0.25">
      <c r="A652" s="96"/>
      <c r="B652" s="88"/>
      <c r="C652" s="77"/>
      <c r="D652" s="88"/>
      <c r="E652" s="88"/>
      <c r="F652" s="109"/>
      <c r="G652" s="89"/>
      <c r="H652" s="90"/>
      <c r="I652" s="86"/>
      <c r="J652" s="86"/>
      <c r="K652" s="86"/>
    </row>
    <row r="653" spans="1:11" x14ac:dyDescent="0.25">
      <c r="A653" s="96"/>
      <c r="B653" s="88"/>
      <c r="C653" s="77"/>
      <c r="D653" s="88"/>
      <c r="E653" s="88"/>
      <c r="F653" s="109"/>
      <c r="G653" s="89"/>
      <c r="H653" s="90"/>
      <c r="I653" s="86"/>
      <c r="J653" s="86"/>
      <c r="K653" s="86"/>
    </row>
    <row r="654" spans="1:11" x14ac:dyDescent="0.25">
      <c r="A654" s="96"/>
      <c r="B654" s="88"/>
      <c r="C654" s="77"/>
      <c r="D654" s="88"/>
      <c r="E654" s="88"/>
      <c r="F654" s="109"/>
      <c r="G654" s="89"/>
      <c r="H654" s="90"/>
      <c r="I654" s="86"/>
      <c r="J654" s="86"/>
      <c r="K654" s="86"/>
    </row>
    <row r="655" spans="1:11" x14ac:dyDescent="0.25">
      <c r="A655" s="96"/>
      <c r="B655" s="88"/>
      <c r="C655" s="77"/>
      <c r="D655" s="88"/>
      <c r="E655" s="88"/>
      <c r="F655" s="109"/>
      <c r="G655" s="89"/>
      <c r="H655" s="90"/>
      <c r="I655" s="86"/>
      <c r="J655" s="86"/>
      <c r="K655" s="86"/>
    </row>
    <row r="656" spans="1:11" x14ac:dyDescent="0.25">
      <c r="A656" s="96"/>
      <c r="B656" s="88"/>
      <c r="C656" s="77"/>
      <c r="D656" s="88"/>
      <c r="E656" s="88"/>
      <c r="F656" s="109"/>
      <c r="G656" s="89"/>
      <c r="H656" s="90"/>
      <c r="I656" s="86"/>
      <c r="J656" s="86"/>
      <c r="K656" s="86"/>
    </row>
    <row r="657" spans="1:11" x14ac:dyDescent="0.25">
      <c r="A657" s="96"/>
      <c r="B657" s="88"/>
      <c r="C657" s="77"/>
      <c r="D657" s="88"/>
      <c r="E657" s="88"/>
      <c r="F657" s="109"/>
      <c r="G657" s="89"/>
      <c r="H657" s="90"/>
      <c r="I657" s="86"/>
      <c r="J657" s="86"/>
      <c r="K657" s="86"/>
    </row>
    <row r="658" spans="1:11" x14ac:dyDescent="0.25">
      <c r="A658" s="24"/>
      <c r="B658" s="88"/>
      <c r="C658" s="77"/>
      <c r="D658" s="88"/>
      <c r="E658" s="88"/>
      <c r="F658" s="109"/>
      <c r="G658" s="89"/>
      <c r="H658" s="90"/>
      <c r="I658" s="86"/>
      <c r="J658" s="86"/>
      <c r="K658" s="86"/>
    </row>
    <row r="659" spans="1:11" x14ac:dyDescent="0.25">
      <c r="A659" s="24"/>
      <c r="B659" s="88"/>
      <c r="C659" s="77"/>
      <c r="D659" s="88"/>
      <c r="E659" s="88"/>
      <c r="F659" s="109"/>
      <c r="G659" s="89"/>
      <c r="H659" s="90"/>
      <c r="I659" s="86"/>
      <c r="J659" s="86"/>
      <c r="K659" s="86"/>
    </row>
    <row r="660" spans="1:11" x14ac:dyDescent="0.25">
      <c r="A660" s="24"/>
      <c r="B660" s="88"/>
      <c r="C660" s="77"/>
      <c r="D660" s="88"/>
      <c r="E660" s="88"/>
      <c r="F660" s="109"/>
      <c r="G660" s="89"/>
      <c r="H660" s="90"/>
      <c r="I660" s="86"/>
      <c r="J660" s="86"/>
      <c r="K660" s="86"/>
    </row>
    <row r="661" spans="1:11" x14ac:dyDescent="0.25">
      <c r="A661" s="24"/>
      <c r="B661" s="88"/>
      <c r="C661" s="77"/>
      <c r="D661" s="88"/>
      <c r="E661" s="88"/>
      <c r="F661" s="109"/>
      <c r="G661" s="89"/>
      <c r="H661" s="90"/>
      <c r="I661" s="86"/>
      <c r="J661" s="86"/>
      <c r="K661" s="86"/>
    </row>
    <row r="662" spans="1:11" x14ac:dyDescent="0.25">
      <c r="A662" s="24"/>
      <c r="B662" s="88"/>
      <c r="C662" s="77"/>
      <c r="D662" s="88"/>
      <c r="E662" s="88"/>
      <c r="F662" s="109"/>
      <c r="G662" s="89"/>
      <c r="H662" s="90"/>
      <c r="I662" s="86"/>
      <c r="J662" s="86"/>
      <c r="K662" s="86"/>
    </row>
    <row r="663" spans="1:11" x14ac:dyDescent="0.25">
      <c r="A663" s="24"/>
      <c r="B663" s="88"/>
      <c r="C663" s="77"/>
      <c r="D663" s="88"/>
      <c r="E663" s="88"/>
      <c r="F663" s="109"/>
      <c r="G663" s="89"/>
      <c r="H663" s="90"/>
      <c r="I663" s="86"/>
      <c r="J663" s="86"/>
      <c r="K663" s="86"/>
    </row>
    <row r="664" spans="1:11" x14ac:dyDescent="0.25">
      <c r="A664" s="24"/>
      <c r="B664" s="88"/>
      <c r="C664" s="77"/>
      <c r="D664" s="88"/>
      <c r="E664" s="88"/>
      <c r="F664" s="109"/>
      <c r="G664" s="89"/>
      <c r="H664" s="90"/>
      <c r="I664" s="86"/>
      <c r="J664" s="86"/>
      <c r="K664" s="86"/>
    </row>
    <row r="665" spans="1:11" x14ac:dyDescent="0.25">
      <c r="A665" s="24"/>
      <c r="B665" s="88"/>
      <c r="C665" s="77"/>
      <c r="D665" s="88"/>
      <c r="E665" s="88"/>
      <c r="F665" s="109"/>
      <c r="G665" s="89"/>
      <c r="H665" s="90"/>
      <c r="I665" s="86"/>
      <c r="J665" s="86"/>
      <c r="K665" s="86"/>
    </row>
    <row r="666" spans="1:11" x14ac:dyDescent="0.25">
      <c r="A666" s="24"/>
      <c r="B666" s="88"/>
      <c r="C666" s="77"/>
      <c r="D666" s="88"/>
      <c r="E666" s="88"/>
      <c r="F666" s="109"/>
      <c r="G666" s="89"/>
      <c r="H666" s="90"/>
      <c r="I666" s="86"/>
      <c r="J666" s="86"/>
      <c r="K666" s="86"/>
    </row>
    <row r="667" spans="1:11" x14ac:dyDescent="0.25">
      <c r="A667" s="24"/>
      <c r="B667" s="88"/>
      <c r="C667" s="77"/>
      <c r="D667" s="88"/>
      <c r="E667" s="88"/>
      <c r="F667" s="109"/>
      <c r="G667" s="89"/>
      <c r="H667" s="90"/>
      <c r="I667" s="86"/>
      <c r="J667" s="86"/>
      <c r="K667" s="86"/>
    </row>
    <row r="668" spans="1:11" x14ac:dyDescent="0.25">
      <c r="A668" s="24"/>
      <c r="B668" s="88"/>
      <c r="C668" s="77"/>
      <c r="D668" s="88"/>
      <c r="E668" s="88"/>
      <c r="F668" s="109"/>
      <c r="G668" s="89"/>
      <c r="H668" s="90"/>
      <c r="I668" s="86"/>
      <c r="J668" s="86"/>
      <c r="K668" s="86"/>
    </row>
    <row r="669" spans="1:11" x14ac:dyDescent="0.25">
      <c r="A669" s="24"/>
      <c r="B669" s="88"/>
      <c r="C669" s="77"/>
      <c r="D669" s="88"/>
      <c r="E669" s="88"/>
      <c r="F669" s="109"/>
      <c r="G669" s="89"/>
      <c r="H669" s="90"/>
      <c r="I669" s="86"/>
      <c r="J669" s="86"/>
      <c r="K669" s="86"/>
    </row>
    <row r="670" spans="1:11" x14ac:dyDescent="0.25">
      <c r="A670" s="24"/>
      <c r="B670" s="88"/>
      <c r="C670" s="77"/>
      <c r="D670" s="88"/>
      <c r="E670" s="88"/>
      <c r="F670" s="109"/>
      <c r="G670" s="89"/>
      <c r="H670" s="90"/>
      <c r="I670" s="86"/>
      <c r="J670" s="86"/>
      <c r="K670" s="86"/>
    </row>
    <row r="671" spans="1:11" x14ac:dyDescent="0.25">
      <c r="A671" s="24"/>
      <c r="B671" s="88"/>
      <c r="C671" s="77"/>
      <c r="D671" s="88"/>
      <c r="E671" s="88"/>
      <c r="F671" s="109"/>
      <c r="G671" s="89"/>
      <c r="H671" s="90"/>
      <c r="I671" s="86"/>
      <c r="J671" s="86"/>
      <c r="K671" s="86"/>
    </row>
    <row r="672" spans="1:11" x14ac:dyDescent="0.25">
      <c r="A672" s="24"/>
      <c r="B672" s="88"/>
      <c r="C672" s="77"/>
      <c r="D672" s="88"/>
      <c r="E672" s="88"/>
      <c r="F672" s="109"/>
      <c r="G672" s="89"/>
      <c r="H672" s="90"/>
      <c r="I672" s="86"/>
      <c r="J672" s="86"/>
      <c r="K672" s="86"/>
    </row>
    <row r="673" spans="1:11" x14ac:dyDescent="0.25">
      <c r="A673" s="24"/>
      <c r="B673" s="88"/>
      <c r="C673" s="77"/>
      <c r="D673" s="88"/>
      <c r="E673" s="88"/>
      <c r="F673" s="109"/>
      <c r="G673" s="89"/>
      <c r="H673" s="90"/>
      <c r="I673" s="86"/>
      <c r="J673" s="86"/>
      <c r="K673" s="86"/>
    </row>
    <row r="674" spans="1:11" x14ac:dyDescent="0.25">
      <c r="A674" s="24"/>
      <c r="B674" s="88"/>
      <c r="C674" s="77"/>
      <c r="D674" s="88"/>
      <c r="E674" s="88"/>
      <c r="F674" s="109"/>
      <c r="G674" s="89"/>
      <c r="H674" s="90"/>
      <c r="I674" s="86"/>
      <c r="J674" s="86"/>
      <c r="K674" s="86"/>
    </row>
    <row r="675" spans="1:11" x14ac:dyDescent="0.25">
      <c r="A675" s="24"/>
      <c r="B675" s="88"/>
      <c r="C675" s="77"/>
      <c r="D675" s="88"/>
      <c r="E675" s="88"/>
      <c r="F675" s="109"/>
      <c r="G675" s="89"/>
      <c r="H675" s="90"/>
      <c r="I675" s="86"/>
      <c r="J675" s="86"/>
      <c r="K675" s="86"/>
    </row>
    <row r="676" spans="1:11" x14ac:dyDescent="0.25">
      <c r="A676" s="24"/>
      <c r="B676" s="88"/>
      <c r="C676" s="77"/>
      <c r="D676" s="88"/>
      <c r="E676" s="88"/>
      <c r="F676" s="109"/>
      <c r="G676" s="89"/>
      <c r="H676" s="90"/>
      <c r="I676" s="86"/>
      <c r="J676" s="86"/>
      <c r="K676" s="86"/>
    </row>
    <row r="677" spans="1:11" x14ac:dyDescent="0.25">
      <c r="A677" s="24"/>
      <c r="B677" s="88"/>
      <c r="C677" s="77"/>
      <c r="D677" s="88"/>
      <c r="E677" s="88"/>
      <c r="F677" s="109"/>
      <c r="G677" s="89"/>
      <c r="H677" s="90"/>
      <c r="I677" s="86"/>
      <c r="J677" s="86"/>
      <c r="K677" s="86"/>
    </row>
    <row r="678" spans="1:11" x14ac:dyDescent="0.25">
      <c r="A678" s="24"/>
      <c r="B678" s="88"/>
      <c r="C678" s="77"/>
      <c r="D678" s="88"/>
      <c r="E678" s="88"/>
      <c r="F678" s="109"/>
      <c r="G678" s="89"/>
      <c r="H678" s="90"/>
      <c r="I678" s="86"/>
      <c r="J678" s="86"/>
      <c r="K678" s="86"/>
    </row>
    <row r="679" spans="1:11" x14ac:dyDescent="0.25">
      <c r="A679" s="24"/>
      <c r="B679" s="88"/>
      <c r="C679" s="77"/>
      <c r="D679" s="88"/>
      <c r="E679" s="88"/>
      <c r="F679" s="109"/>
      <c r="G679" s="89"/>
      <c r="H679" s="90"/>
      <c r="I679" s="86"/>
      <c r="J679" s="86"/>
      <c r="K679" s="86"/>
    </row>
    <row r="680" spans="1:11" x14ac:dyDescent="0.25">
      <c r="A680" s="24"/>
      <c r="B680" s="88"/>
      <c r="C680" s="77"/>
      <c r="D680" s="88"/>
      <c r="E680" s="88"/>
      <c r="F680" s="109"/>
      <c r="G680" s="89"/>
      <c r="H680" s="90"/>
      <c r="I680" s="86"/>
      <c r="J680" s="86"/>
      <c r="K680" s="86"/>
    </row>
    <row r="681" spans="1:11" x14ac:dyDescent="0.25">
      <c r="A681" s="24"/>
      <c r="B681" s="88"/>
      <c r="C681" s="77"/>
      <c r="D681" s="88"/>
      <c r="E681" s="88"/>
      <c r="F681" s="109"/>
      <c r="G681" s="89"/>
      <c r="H681" s="90"/>
      <c r="I681" s="86"/>
      <c r="J681" s="86"/>
      <c r="K681" s="86"/>
    </row>
    <row r="682" spans="1:11" x14ac:dyDescent="0.25">
      <c r="A682" s="24"/>
      <c r="B682" s="88"/>
      <c r="C682" s="77"/>
      <c r="D682" s="88"/>
      <c r="E682" s="88"/>
      <c r="F682" s="109"/>
      <c r="G682" s="89"/>
      <c r="H682" s="90"/>
      <c r="I682" s="86"/>
      <c r="J682" s="86"/>
      <c r="K682" s="86"/>
    </row>
    <row r="683" spans="1:11" x14ac:dyDescent="0.25">
      <c r="A683" s="24"/>
      <c r="B683" s="88"/>
      <c r="C683" s="77"/>
      <c r="D683" s="88"/>
      <c r="E683" s="88"/>
      <c r="F683" s="109"/>
      <c r="G683" s="89"/>
      <c r="H683" s="90"/>
      <c r="I683" s="86"/>
      <c r="J683" s="86"/>
      <c r="K683" s="86"/>
    </row>
    <row r="684" spans="1:11" x14ac:dyDescent="0.25">
      <c r="A684" s="24"/>
      <c r="B684" s="88"/>
      <c r="C684" s="77"/>
      <c r="D684" s="88"/>
      <c r="E684" s="88"/>
      <c r="F684" s="87"/>
      <c r="G684" s="89"/>
      <c r="H684" s="90"/>
      <c r="I684" s="86"/>
      <c r="J684" s="86"/>
      <c r="K684" s="86"/>
    </row>
    <row r="685" spans="1:11" x14ac:dyDescent="0.25">
      <c r="A685" s="24"/>
      <c r="B685" s="88"/>
      <c r="C685" s="77"/>
      <c r="D685" s="88"/>
      <c r="E685" s="88"/>
      <c r="F685" s="87"/>
      <c r="G685" s="89"/>
      <c r="H685" s="90"/>
      <c r="I685" s="86"/>
      <c r="J685" s="86"/>
      <c r="K685" s="86"/>
    </row>
    <row r="686" spans="1:11" x14ac:dyDescent="0.25">
      <c r="A686" s="24"/>
      <c r="B686" s="88"/>
      <c r="C686" s="77"/>
      <c r="D686" s="88"/>
      <c r="E686" s="88"/>
      <c r="F686" s="87"/>
      <c r="G686" s="89"/>
      <c r="H686" s="90"/>
      <c r="I686" s="86"/>
      <c r="J686" s="86"/>
      <c r="K686" s="86"/>
    </row>
    <row r="687" spans="1:11" x14ac:dyDescent="0.25">
      <c r="A687" s="24"/>
      <c r="B687" s="88"/>
      <c r="C687" s="77"/>
      <c r="D687" s="88"/>
      <c r="E687" s="88"/>
      <c r="F687" s="87"/>
      <c r="G687" s="89"/>
      <c r="H687" s="90"/>
      <c r="I687" s="86"/>
      <c r="J687" s="86"/>
      <c r="K687" s="86"/>
    </row>
    <row r="688" spans="1:11" x14ac:dyDescent="0.25">
      <c r="A688" s="24"/>
      <c r="B688" s="88"/>
      <c r="C688" s="77"/>
      <c r="D688" s="88"/>
      <c r="E688" s="88"/>
      <c r="F688" s="87"/>
      <c r="G688" s="89"/>
      <c r="H688" s="90"/>
      <c r="I688" s="86"/>
      <c r="J688" s="86"/>
      <c r="K688" s="86"/>
    </row>
    <row r="689" spans="1:11" x14ac:dyDescent="0.25">
      <c r="A689" s="24"/>
      <c r="B689" s="88"/>
      <c r="C689" s="77"/>
      <c r="D689" s="88"/>
      <c r="E689" s="88"/>
      <c r="F689" s="87"/>
      <c r="G689" s="89"/>
      <c r="H689" s="90"/>
      <c r="I689" s="86"/>
      <c r="J689" s="86"/>
      <c r="K689" s="86"/>
    </row>
    <row r="690" spans="1:11" x14ac:dyDescent="0.25">
      <c r="A690" s="24"/>
      <c r="B690" s="88"/>
      <c r="C690" s="77"/>
      <c r="D690" s="88"/>
      <c r="E690" s="88"/>
      <c r="F690" s="87"/>
      <c r="G690" s="89"/>
      <c r="H690" s="90"/>
      <c r="I690" s="86"/>
      <c r="J690" s="86"/>
      <c r="K690" s="86"/>
    </row>
    <row r="691" spans="1:11" x14ac:dyDescent="0.25">
      <c r="A691" s="24"/>
      <c r="B691" s="88"/>
      <c r="C691" s="77"/>
      <c r="D691" s="88"/>
      <c r="E691" s="88"/>
      <c r="F691" s="87"/>
      <c r="G691" s="89"/>
      <c r="H691" s="90"/>
      <c r="I691" s="86"/>
      <c r="J691" s="86"/>
      <c r="K691" s="86"/>
    </row>
  </sheetData>
  <autoFilter ref="A6:K643"/>
  <mergeCells count="24">
    <mergeCell ref="J327:J364"/>
    <mergeCell ref="K327:K364"/>
    <mergeCell ref="J307:J311"/>
    <mergeCell ref="J446:J449"/>
    <mergeCell ref="K446:K449"/>
    <mergeCell ref="J411:J434"/>
    <mergeCell ref="K411:K434"/>
    <mergeCell ref="K307:K311"/>
    <mergeCell ref="K7:K15"/>
    <mergeCell ref="J7:J15"/>
    <mergeCell ref="J60:J62"/>
    <mergeCell ref="K60:K62"/>
    <mergeCell ref="A5:K5"/>
    <mergeCell ref="J68:J76"/>
    <mergeCell ref="K68:K76"/>
    <mergeCell ref="K103:K115"/>
    <mergeCell ref="J283:J287"/>
    <mergeCell ref="K283:K287"/>
    <mergeCell ref="J163:J195"/>
    <mergeCell ref="J130:J137"/>
    <mergeCell ref="J114:J115"/>
    <mergeCell ref="J103:J113"/>
    <mergeCell ref="K130:K137"/>
    <mergeCell ref="K163:K195"/>
  </mergeCells>
  <pageMargins left="0.7" right="0.7" top="0.75" bottom="0.75" header="0.3" footer="0.3"/>
  <pageSetup paperSize="11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1089"/>
  <sheetViews>
    <sheetView tabSelected="1" topLeftCell="B4" zoomScaleNormal="100" workbookViewId="0">
      <pane ySplit="4" topLeftCell="A765" activePane="bottomLeft" state="frozen"/>
      <selection activeCell="E596" sqref="E596"/>
      <selection pane="bottomLeft" activeCell="C775" sqref="C775"/>
    </sheetView>
  </sheetViews>
  <sheetFormatPr defaultRowHeight="15" x14ac:dyDescent="0.25"/>
  <cols>
    <col min="1" max="1" width="4.5703125" style="2" customWidth="1"/>
    <col min="2" max="2" width="12.28515625" style="59" customWidth="1"/>
    <col min="3" max="3" width="20.42578125" style="2" customWidth="1"/>
    <col min="4" max="4" width="10.85546875" style="2" customWidth="1"/>
    <col min="5" max="5" width="33" style="2" customWidth="1"/>
    <col min="6" max="6" width="14.42578125" style="338" customWidth="1"/>
    <col min="7" max="7" width="16.42578125" style="83" customWidth="1"/>
    <col min="8" max="8" width="19.42578125" style="12" customWidth="1"/>
    <col min="9" max="9" width="15.7109375" style="40" customWidth="1"/>
    <col min="10" max="10" width="13.5703125" style="91" customWidth="1"/>
    <col min="11" max="11" width="26.85546875" style="92" customWidth="1"/>
    <col min="12" max="12" width="17.140625" style="52" customWidth="1"/>
    <col min="13" max="13" width="10.7109375" style="2" bestFit="1" customWidth="1"/>
    <col min="14" max="16384" width="9.140625" style="2"/>
  </cols>
  <sheetData>
    <row r="1" spans="1:12" ht="15.75" thickBot="1" x14ac:dyDescent="0.3">
      <c r="J1" s="14"/>
      <c r="K1" s="35"/>
    </row>
    <row r="2" spans="1:12" ht="16.5" thickBot="1" x14ac:dyDescent="0.3">
      <c r="B2" s="350" t="s">
        <v>188</v>
      </c>
      <c r="C2" s="360"/>
      <c r="D2" s="351"/>
      <c r="J2" s="14"/>
      <c r="K2" s="35"/>
    </row>
    <row r="3" spans="1:12" x14ac:dyDescent="0.25">
      <c r="J3" s="14"/>
      <c r="K3" s="35"/>
    </row>
    <row r="4" spans="1:12" x14ac:dyDescent="0.25">
      <c r="E4" s="54"/>
      <c r="G4" s="84"/>
      <c r="J4" s="14"/>
      <c r="K4" s="71"/>
    </row>
    <row r="5" spans="1:12" ht="11.25" customHeight="1" x14ac:dyDescent="0.25">
      <c r="E5" s="12"/>
      <c r="H5" s="75"/>
      <c r="J5" s="14"/>
      <c r="K5" s="35"/>
    </row>
    <row r="6" spans="1:12" ht="15.75" thickBot="1" x14ac:dyDescent="0.3">
      <c r="B6" s="396" t="s">
        <v>956</v>
      </c>
      <c r="C6" s="396"/>
      <c r="D6" s="396"/>
      <c r="E6" s="396"/>
      <c r="F6" s="396"/>
      <c r="G6" s="396"/>
      <c r="H6" s="396"/>
      <c r="I6" s="396"/>
      <c r="J6" s="396"/>
      <c r="K6" s="396"/>
      <c r="L6" s="396"/>
    </row>
    <row r="7" spans="1:12" ht="51.75" customHeight="1" x14ac:dyDescent="0.25">
      <c r="A7" s="42" t="s">
        <v>0</v>
      </c>
      <c r="B7" s="60" t="s">
        <v>7</v>
      </c>
      <c r="C7" s="43" t="s">
        <v>219</v>
      </c>
      <c r="D7" s="43" t="s">
        <v>6</v>
      </c>
      <c r="E7" s="43" t="s">
        <v>2</v>
      </c>
      <c r="F7" s="339" t="s">
        <v>770</v>
      </c>
      <c r="G7" s="85" t="s">
        <v>771</v>
      </c>
      <c r="H7" s="48" t="s">
        <v>214</v>
      </c>
      <c r="I7" s="44" t="s">
        <v>187</v>
      </c>
      <c r="J7" s="46" t="s">
        <v>769</v>
      </c>
      <c r="K7" s="41" t="s">
        <v>4</v>
      </c>
    </row>
    <row r="8" spans="1:12" ht="15" customHeight="1" x14ac:dyDescent="0.25">
      <c r="A8" s="107"/>
      <c r="B8" s="108">
        <v>45505</v>
      </c>
      <c r="C8" s="109" t="s">
        <v>824</v>
      </c>
      <c r="D8" s="29" t="s">
        <v>762</v>
      </c>
      <c r="E8" s="30" t="s">
        <v>85</v>
      </c>
      <c r="F8" s="109">
        <v>12</v>
      </c>
      <c r="G8" s="111">
        <v>1</v>
      </c>
      <c r="H8" s="109">
        <v>375000</v>
      </c>
      <c r="I8" s="112">
        <f>G8*H8</f>
        <v>375000</v>
      </c>
      <c r="J8" s="113">
        <f>I8</f>
        <v>375000</v>
      </c>
      <c r="K8" s="120" t="s">
        <v>825</v>
      </c>
    </row>
    <row r="9" spans="1:12" ht="15" customHeight="1" x14ac:dyDescent="0.25">
      <c r="A9" s="107"/>
      <c r="B9" s="108">
        <v>45505</v>
      </c>
      <c r="C9" s="109" t="s">
        <v>826</v>
      </c>
      <c r="D9" s="10" t="s">
        <v>10</v>
      </c>
      <c r="E9" s="7" t="s">
        <v>11</v>
      </c>
      <c r="F9" s="109">
        <v>96</v>
      </c>
      <c r="G9" s="111">
        <v>2</v>
      </c>
      <c r="H9" s="109">
        <v>360992</v>
      </c>
      <c r="I9" s="112">
        <f t="shared" ref="I9:I84" si="0">G9*H9</f>
        <v>721984</v>
      </c>
      <c r="J9" s="388">
        <f>I9+I10</f>
        <v>1546984</v>
      </c>
      <c r="K9" s="378" t="s">
        <v>825</v>
      </c>
    </row>
    <row r="10" spans="1:12" ht="15" customHeight="1" x14ac:dyDescent="0.25">
      <c r="A10" s="107"/>
      <c r="B10" s="108">
        <v>45505</v>
      </c>
      <c r="C10" s="109" t="s">
        <v>826</v>
      </c>
      <c r="D10" s="10" t="s">
        <v>124</v>
      </c>
      <c r="E10" s="9" t="s">
        <v>125</v>
      </c>
      <c r="F10" s="109">
        <v>144</v>
      </c>
      <c r="G10" s="111">
        <v>3</v>
      </c>
      <c r="H10" s="109">
        <v>275000</v>
      </c>
      <c r="I10" s="112">
        <f t="shared" si="0"/>
        <v>825000</v>
      </c>
      <c r="J10" s="370"/>
      <c r="K10" s="366"/>
    </row>
    <row r="11" spans="1:12" ht="15" customHeight="1" x14ac:dyDescent="0.25">
      <c r="A11" s="107"/>
      <c r="B11" s="108">
        <v>45505</v>
      </c>
      <c r="C11" s="109" t="s">
        <v>827</v>
      </c>
      <c r="D11" s="10" t="s">
        <v>132</v>
      </c>
      <c r="E11" s="9" t="s">
        <v>133</v>
      </c>
      <c r="F11" s="109">
        <v>144</v>
      </c>
      <c r="G11" s="111">
        <v>3</v>
      </c>
      <c r="H11" s="109">
        <v>310000</v>
      </c>
      <c r="I11" s="112">
        <f t="shared" si="0"/>
        <v>930000</v>
      </c>
      <c r="J11" s="388">
        <f>I11+I12</f>
        <v>7430000</v>
      </c>
      <c r="K11" s="378" t="s">
        <v>887</v>
      </c>
      <c r="L11" s="52" t="s">
        <v>832</v>
      </c>
    </row>
    <row r="12" spans="1:12" ht="15" customHeight="1" x14ac:dyDescent="0.25">
      <c r="A12" s="107"/>
      <c r="B12" s="108">
        <v>45505</v>
      </c>
      <c r="C12" s="109" t="s">
        <v>827</v>
      </c>
      <c r="D12" s="21" t="s">
        <v>142</v>
      </c>
      <c r="E12" s="22" t="s">
        <v>143</v>
      </c>
      <c r="F12" s="109">
        <f>25*48</f>
        <v>1200</v>
      </c>
      <c r="G12" s="111">
        <v>25</v>
      </c>
      <c r="H12" s="109">
        <v>260000</v>
      </c>
      <c r="I12" s="112">
        <f t="shared" si="0"/>
        <v>6500000</v>
      </c>
      <c r="J12" s="370"/>
      <c r="K12" s="366"/>
      <c r="L12" s="52" t="s">
        <v>833</v>
      </c>
    </row>
    <row r="13" spans="1:12" s="24" customFormat="1" ht="15" customHeight="1" x14ac:dyDescent="0.25">
      <c r="A13" s="107"/>
      <c r="B13" s="108">
        <v>45505</v>
      </c>
      <c r="C13" s="109" t="s">
        <v>828</v>
      </c>
      <c r="D13" s="10" t="s">
        <v>22</v>
      </c>
      <c r="E13" s="7" t="s">
        <v>23</v>
      </c>
      <c r="F13" s="109">
        <v>24</v>
      </c>
      <c r="G13" s="111">
        <v>2</v>
      </c>
      <c r="H13" s="109">
        <v>720000</v>
      </c>
      <c r="I13" s="112">
        <f t="shared" si="0"/>
        <v>1440000</v>
      </c>
      <c r="J13" s="113">
        <f>I13</f>
        <v>1440000</v>
      </c>
      <c r="K13" s="120" t="s">
        <v>850</v>
      </c>
      <c r="L13" s="52"/>
    </row>
    <row r="14" spans="1:12" s="24" customFormat="1" ht="15" customHeight="1" x14ac:dyDescent="0.25">
      <c r="A14" s="107"/>
      <c r="B14" s="108">
        <v>45505</v>
      </c>
      <c r="C14" s="109" t="s">
        <v>829</v>
      </c>
      <c r="D14" s="94" t="s">
        <v>818</v>
      </c>
      <c r="E14" s="22" t="s">
        <v>819</v>
      </c>
      <c r="F14" s="109">
        <v>3</v>
      </c>
      <c r="G14" s="111"/>
      <c r="H14" s="109"/>
      <c r="I14" s="112">
        <f t="shared" si="0"/>
        <v>0</v>
      </c>
      <c r="J14" s="113"/>
      <c r="K14" s="120" t="s">
        <v>830</v>
      </c>
      <c r="L14" s="52"/>
    </row>
    <row r="15" spans="1:12" s="24" customFormat="1" ht="15" customHeight="1" x14ac:dyDescent="0.25">
      <c r="A15" s="107"/>
      <c r="B15" s="108">
        <v>45505</v>
      </c>
      <c r="C15" s="109" t="s">
        <v>831</v>
      </c>
      <c r="D15" s="10" t="s">
        <v>144</v>
      </c>
      <c r="E15" s="9" t="s">
        <v>145</v>
      </c>
      <c r="F15" s="109">
        <v>50</v>
      </c>
      <c r="G15" s="111">
        <v>1</v>
      </c>
      <c r="H15" s="147">
        <f>215600/50</f>
        <v>4312</v>
      </c>
      <c r="I15" s="112">
        <f>F15*H15</f>
        <v>215600</v>
      </c>
      <c r="J15" s="388">
        <f>SUM(I15:I26)</f>
        <v>2432250</v>
      </c>
      <c r="K15" s="378" t="s">
        <v>825</v>
      </c>
      <c r="L15" s="52"/>
    </row>
    <row r="16" spans="1:12" s="24" customFormat="1" ht="15" customHeight="1" x14ac:dyDescent="0.25">
      <c r="A16" s="107"/>
      <c r="B16" s="108">
        <v>45505</v>
      </c>
      <c r="C16" s="109" t="s">
        <v>831</v>
      </c>
      <c r="D16" s="10" t="s">
        <v>146</v>
      </c>
      <c r="E16" s="9" t="s">
        <v>147</v>
      </c>
      <c r="F16" s="109">
        <v>50</v>
      </c>
      <c r="G16" s="111">
        <v>1</v>
      </c>
      <c r="H16" s="147">
        <f>215600/50</f>
        <v>4312</v>
      </c>
      <c r="I16" s="112">
        <f t="shared" ref="I16:I26" si="1">F16*H16</f>
        <v>215600</v>
      </c>
      <c r="J16" s="373"/>
      <c r="K16" s="365"/>
      <c r="L16" s="52"/>
    </row>
    <row r="17" spans="1:12" s="24" customFormat="1" ht="15" customHeight="1" x14ac:dyDescent="0.25">
      <c r="A17" s="107"/>
      <c r="B17" s="108">
        <v>45505</v>
      </c>
      <c r="C17" s="109" t="s">
        <v>831</v>
      </c>
      <c r="D17" s="10" t="s">
        <v>148</v>
      </c>
      <c r="E17" s="9" t="s">
        <v>149</v>
      </c>
      <c r="F17" s="109">
        <v>50</v>
      </c>
      <c r="G17" s="111">
        <v>1</v>
      </c>
      <c r="H17" s="147">
        <f>215600/50</f>
        <v>4312</v>
      </c>
      <c r="I17" s="112">
        <f t="shared" si="1"/>
        <v>215600</v>
      </c>
      <c r="J17" s="373"/>
      <c r="K17" s="365"/>
      <c r="L17" s="52"/>
    </row>
    <row r="18" spans="1:12" s="24" customFormat="1" ht="15" customHeight="1" x14ac:dyDescent="0.25">
      <c r="A18" s="107"/>
      <c r="B18" s="108">
        <v>45505</v>
      </c>
      <c r="C18" s="109" t="s">
        <v>831</v>
      </c>
      <c r="D18" s="10" t="s">
        <v>154</v>
      </c>
      <c r="E18" s="9" t="s">
        <v>155</v>
      </c>
      <c r="F18" s="109">
        <v>50</v>
      </c>
      <c r="G18" s="111">
        <v>1</v>
      </c>
      <c r="H18" s="147">
        <f>215600/50</f>
        <v>4312</v>
      </c>
      <c r="I18" s="112">
        <f t="shared" si="1"/>
        <v>215600</v>
      </c>
      <c r="J18" s="373"/>
      <c r="K18" s="365"/>
      <c r="L18" s="52"/>
    </row>
    <row r="19" spans="1:12" s="24" customFormat="1" ht="15" customHeight="1" x14ac:dyDescent="0.25">
      <c r="A19" s="107"/>
      <c r="B19" s="108">
        <v>45505</v>
      </c>
      <c r="C19" s="109" t="s">
        <v>831</v>
      </c>
      <c r="D19" s="29" t="s">
        <v>528</v>
      </c>
      <c r="E19" s="9" t="s">
        <v>529</v>
      </c>
      <c r="F19" s="109">
        <v>5</v>
      </c>
      <c r="G19" s="111"/>
      <c r="H19" s="147">
        <f>288120/12</f>
        <v>24010</v>
      </c>
      <c r="I19" s="112">
        <f t="shared" si="1"/>
        <v>120050</v>
      </c>
      <c r="J19" s="373"/>
      <c r="K19" s="365"/>
      <c r="L19" s="52"/>
    </row>
    <row r="20" spans="1:12" s="24" customFormat="1" ht="15" customHeight="1" x14ac:dyDescent="0.25">
      <c r="A20" s="107"/>
      <c r="B20" s="108">
        <v>45505</v>
      </c>
      <c r="C20" s="109" t="s">
        <v>831</v>
      </c>
      <c r="D20" s="10" t="s">
        <v>124</v>
      </c>
      <c r="E20" s="9" t="s">
        <v>125</v>
      </c>
      <c r="F20" s="109">
        <v>48</v>
      </c>
      <c r="G20" s="111">
        <v>1</v>
      </c>
      <c r="H20" s="147">
        <f>265000/48</f>
        <v>5520.833333333333</v>
      </c>
      <c r="I20" s="112">
        <f t="shared" si="1"/>
        <v>265000</v>
      </c>
      <c r="J20" s="373"/>
      <c r="K20" s="365"/>
      <c r="L20" s="52"/>
    </row>
    <row r="21" spans="1:12" s="24" customFormat="1" ht="15" customHeight="1" x14ac:dyDescent="0.25">
      <c r="A21" s="107"/>
      <c r="B21" s="108">
        <v>45505</v>
      </c>
      <c r="C21" s="109" t="s">
        <v>831</v>
      </c>
      <c r="D21" s="21" t="s">
        <v>142</v>
      </c>
      <c r="E21" s="22" t="s">
        <v>143</v>
      </c>
      <c r="F21" s="109">
        <v>48</v>
      </c>
      <c r="G21" s="111">
        <v>1</v>
      </c>
      <c r="H21" s="147">
        <f>265000/48</f>
        <v>5520.833333333333</v>
      </c>
      <c r="I21" s="112">
        <f t="shared" si="1"/>
        <v>265000</v>
      </c>
      <c r="J21" s="373"/>
      <c r="K21" s="365"/>
      <c r="L21" s="52"/>
    </row>
    <row r="22" spans="1:12" s="24" customFormat="1" ht="15" customHeight="1" x14ac:dyDescent="0.25">
      <c r="A22" s="107"/>
      <c r="B22" s="108">
        <v>45505</v>
      </c>
      <c r="C22" s="109" t="s">
        <v>831</v>
      </c>
      <c r="D22" s="10" t="s">
        <v>120</v>
      </c>
      <c r="E22" s="9" t="s">
        <v>121</v>
      </c>
      <c r="F22" s="109">
        <v>24</v>
      </c>
      <c r="G22" s="111">
        <v>1</v>
      </c>
      <c r="H22" s="147">
        <f>204000/24</f>
        <v>8500</v>
      </c>
      <c r="I22" s="112">
        <f t="shared" si="1"/>
        <v>204000</v>
      </c>
      <c r="J22" s="373"/>
      <c r="K22" s="365"/>
      <c r="L22" s="52"/>
    </row>
    <row r="23" spans="1:12" s="24" customFormat="1" ht="15" customHeight="1" x14ac:dyDescent="0.25">
      <c r="A23" s="107"/>
      <c r="B23" s="108">
        <v>45505</v>
      </c>
      <c r="C23" s="109" t="s">
        <v>831</v>
      </c>
      <c r="D23" s="21" t="s">
        <v>797</v>
      </c>
      <c r="E23" s="23" t="s">
        <v>795</v>
      </c>
      <c r="F23" s="109">
        <v>24</v>
      </c>
      <c r="G23" s="111">
        <v>1</v>
      </c>
      <c r="H23" s="147">
        <f>165000/24</f>
        <v>6875</v>
      </c>
      <c r="I23" s="112">
        <f t="shared" si="1"/>
        <v>165000</v>
      </c>
      <c r="J23" s="373"/>
      <c r="K23" s="365"/>
      <c r="L23" s="52"/>
    </row>
    <row r="24" spans="1:12" s="24" customFormat="1" ht="15" customHeight="1" x14ac:dyDescent="0.25">
      <c r="A24" s="107"/>
      <c r="B24" s="108">
        <v>45505</v>
      </c>
      <c r="C24" s="109" t="s">
        <v>831</v>
      </c>
      <c r="D24" s="21" t="s">
        <v>30</v>
      </c>
      <c r="E24" s="23" t="s">
        <v>31</v>
      </c>
      <c r="F24" s="109">
        <v>10</v>
      </c>
      <c r="G24" s="111"/>
      <c r="H24" s="147">
        <f>18000*1.02</f>
        <v>18360</v>
      </c>
      <c r="I24" s="112">
        <f t="shared" si="1"/>
        <v>183600</v>
      </c>
      <c r="J24" s="373"/>
      <c r="K24" s="365"/>
      <c r="L24" s="52"/>
    </row>
    <row r="25" spans="1:12" s="24" customFormat="1" ht="15" customHeight="1" x14ac:dyDescent="0.25">
      <c r="A25" s="107"/>
      <c r="B25" s="108">
        <v>45505</v>
      </c>
      <c r="C25" s="109" t="s">
        <v>831</v>
      </c>
      <c r="D25" s="21" t="s">
        <v>807</v>
      </c>
      <c r="E25" s="23" t="s">
        <v>806</v>
      </c>
      <c r="F25" s="109">
        <v>10</v>
      </c>
      <c r="G25" s="111"/>
      <c r="H25" s="65">
        <f>18000*1.02</f>
        <v>18360</v>
      </c>
      <c r="I25" s="112">
        <f t="shared" si="1"/>
        <v>183600</v>
      </c>
      <c r="J25" s="373"/>
      <c r="K25" s="365"/>
      <c r="L25" s="52"/>
    </row>
    <row r="26" spans="1:12" s="24" customFormat="1" ht="15" customHeight="1" x14ac:dyDescent="0.25">
      <c r="A26" s="107"/>
      <c r="B26" s="108">
        <v>45505</v>
      </c>
      <c r="C26" s="109" t="s">
        <v>831</v>
      </c>
      <c r="D26" s="21" t="s">
        <v>805</v>
      </c>
      <c r="E26" s="23" t="s">
        <v>804</v>
      </c>
      <c r="F26" s="109">
        <v>10</v>
      </c>
      <c r="G26" s="111"/>
      <c r="H26" s="155">
        <f>18000*1.02</f>
        <v>18360</v>
      </c>
      <c r="I26" s="112">
        <f t="shared" si="1"/>
        <v>183600</v>
      </c>
      <c r="J26" s="370"/>
      <c r="K26" s="366"/>
      <c r="L26" s="52"/>
    </row>
    <row r="27" spans="1:12" s="24" customFormat="1" ht="15" customHeight="1" x14ac:dyDescent="0.25">
      <c r="A27" s="151"/>
      <c r="B27" s="108">
        <v>45505</v>
      </c>
      <c r="C27" s="152" t="s">
        <v>839</v>
      </c>
      <c r="D27" s="21" t="s">
        <v>142</v>
      </c>
      <c r="E27" s="22" t="s">
        <v>143</v>
      </c>
      <c r="F27" s="152">
        <v>240</v>
      </c>
      <c r="G27" s="153">
        <v>5</v>
      </c>
      <c r="H27" s="155">
        <v>250000</v>
      </c>
      <c r="I27" s="154">
        <f>G27*H27</f>
        <v>1250000</v>
      </c>
      <c r="J27" s="388">
        <f>I27+I28</f>
        <v>2500000</v>
      </c>
      <c r="K27" s="378" t="s">
        <v>825</v>
      </c>
      <c r="L27" s="52"/>
    </row>
    <row r="28" spans="1:12" s="24" customFormat="1" ht="15" customHeight="1" x14ac:dyDescent="0.25">
      <c r="A28" s="151"/>
      <c r="B28" s="108">
        <v>45505</v>
      </c>
      <c r="C28" s="152" t="s">
        <v>839</v>
      </c>
      <c r="D28" s="21" t="s">
        <v>126</v>
      </c>
      <c r="E28" s="22" t="s">
        <v>127</v>
      </c>
      <c r="F28" s="152">
        <v>240</v>
      </c>
      <c r="G28" s="153">
        <v>5</v>
      </c>
      <c r="H28" s="155">
        <v>250000</v>
      </c>
      <c r="I28" s="154">
        <f>G28*H28</f>
        <v>1250000</v>
      </c>
      <c r="J28" s="370"/>
      <c r="K28" s="366"/>
      <c r="L28" s="52"/>
    </row>
    <row r="29" spans="1:12" s="24" customFormat="1" ht="15" customHeight="1" x14ac:dyDescent="0.25">
      <c r="A29" s="156"/>
      <c r="B29" s="108">
        <v>45505</v>
      </c>
      <c r="C29" s="157" t="s">
        <v>840</v>
      </c>
      <c r="D29" s="10" t="s">
        <v>759</v>
      </c>
      <c r="E29" s="7" t="s">
        <v>758</v>
      </c>
      <c r="F29" s="157">
        <v>144</v>
      </c>
      <c r="G29" s="158">
        <v>3</v>
      </c>
      <c r="H29" s="159">
        <v>350000</v>
      </c>
      <c r="I29" s="154">
        <f t="shared" ref="I29:I33" si="2">G29*H29</f>
        <v>1050000</v>
      </c>
      <c r="J29" s="389">
        <f>I29+I30</f>
        <v>2030000</v>
      </c>
      <c r="K29" s="390" t="s">
        <v>825</v>
      </c>
      <c r="L29" s="52"/>
    </row>
    <row r="30" spans="1:12" s="24" customFormat="1" ht="15" customHeight="1" x14ac:dyDescent="0.25">
      <c r="A30" s="156"/>
      <c r="B30" s="108">
        <v>45505</v>
      </c>
      <c r="C30" s="157" t="s">
        <v>840</v>
      </c>
      <c r="D30" s="10" t="s">
        <v>52</v>
      </c>
      <c r="E30" s="7" t="s">
        <v>53</v>
      </c>
      <c r="F30" s="157">
        <v>192</v>
      </c>
      <c r="G30" s="158">
        <v>4</v>
      </c>
      <c r="H30" s="159">
        <v>245000</v>
      </c>
      <c r="I30" s="154">
        <f t="shared" si="2"/>
        <v>980000</v>
      </c>
      <c r="J30" s="370"/>
      <c r="K30" s="366"/>
      <c r="L30" s="52"/>
    </row>
    <row r="31" spans="1:12" s="24" customFormat="1" ht="15" customHeight="1" x14ac:dyDescent="0.25">
      <c r="A31" s="156"/>
      <c r="B31" s="108">
        <v>45505</v>
      </c>
      <c r="C31" s="157" t="s">
        <v>841</v>
      </c>
      <c r="D31" s="29" t="s">
        <v>762</v>
      </c>
      <c r="E31" s="30" t="s">
        <v>85</v>
      </c>
      <c r="F31" s="157">
        <v>120</v>
      </c>
      <c r="G31" s="158">
        <v>10</v>
      </c>
      <c r="H31" s="159">
        <v>360000</v>
      </c>
      <c r="I31" s="160">
        <f t="shared" si="2"/>
        <v>3600000</v>
      </c>
      <c r="J31" s="145">
        <f>I31</f>
        <v>3600000</v>
      </c>
      <c r="K31" s="124" t="s">
        <v>922</v>
      </c>
      <c r="L31" s="52"/>
    </row>
    <row r="32" spans="1:12" s="24" customFormat="1" ht="15" customHeight="1" x14ac:dyDescent="0.25">
      <c r="A32" s="156"/>
      <c r="B32" s="108">
        <v>45505</v>
      </c>
      <c r="C32" s="157" t="s">
        <v>842</v>
      </c>
      <c r="D32" s="21" t="s">
        <v>78</v>
      </c>
      <c r="E32" s="22" t="s">
        <v>79</v>
      </c>
      <c r="F32" s="157">
        <v>12</v>
      </c>
      <c r="G32" s="158">
        <v>1</v>
      </c>
      <c r="H32" s="159">
        <v>550000</v>
      </c>
      <c r="I32" s="160">
        <f t="shared" si="2"/>
        <v>550000</v>
      </c>
      <c r="J32" s="389">
        <f>I32+I33</f>
        <v>980000</v>
      </c>
      <c r="K32" s="390"/>
      <c r="L32" s="52"/>
    </row>
    <row r="33" spans="1:12" s="24" customFormat="1" ht="15" customHeight="1" x14ac:dyDescent="0.25">
      <c r="A33" s="156"/>
      <c r="B33" s="108">
        <v>45505</v>
      </c>
      <c r="C33" s="157" t="s">
        <v>842</v>
      </c>
      <c r="D33" s="10" t="s">
        <v>80</v>
      </c>
      <c r="E33" s="9" t="s">
        <v>81</v>
      </c>
      <c r="F33" s="157">
        <v>48</v>
      </c>
      <c r="G33" s="158">
        <v>1</v>
      </c>
      <c r="H33" s="159">
        <v>430000</v>
      </c>
      <c r="I33" s="160">
        <f t="shared" si="2"/>
        <v>430000</v>
      </c>
      <c r="J33" s="370"/>
      <c r="K33" s="366"/>
      <c r="L33" s="52"/>
    </row>
    <row r="34" spans="1:12" s="24" customFormat="1" ht="15" customHeight="1" x14ac:dyDescent="0.25">
      <c r="A34" s="156"/>
      <c r="B34" s="108">
        <v>45505</v>
      </c>
      <c r="C34" s="157" t="s">
        <v>845</v>
      </c>
      <c r="D34" s="10" t="s">
        <v>104</v>
      </c>
      <c r="E34" s="9" t="s">
        <v>105</v>
      </c>
      <c r="F34" s="157">
        <v>48</v>
      </c>
      <c r="G34" s="158">
        <v>1</v>
      </c>
      <c r="H34" s="159"/>
      <c r="I34" s="160"/>
      <c r="J34" s="145"/>
      <c r="K34" s="146"/>
      <c r="L34" s="52"/>
    </row>
    <row r="35" spans="1:12" s="24" customFormat="1" ht="15" customHeight="1" x14ac:dyDescent="0.25">
      <c r="A35" s="156"/>
      <c r="B35" s="108">
        <v>45505</v>
      </c>
      <c r="C35" s="157" t="s">
        <v>845</v>
      </c>
      <c r="D35" s="10" t="s">
        <v>800</v>
      </c>
      <c r="E35" s="9" t="s">
        <v>799</v>
      </c>
      <c r="F35" s="157">
        <v>48</v>
      </c>
      <c r="G35" s="158">
        <v>1</v>
      </c>
      <c r="H35" s="159"/>
      <c r="I35" s="160"/>
      <c r="J35" s="145"/>
      <c r="K35" s="146"/>
      <c r="L35" s="52"/>
    </row>
    <row r="36" spans="1:12" s="24" customFormat="1" ht="15" customHeight="1" x14ac:dyDescent="0.25">
      <c r="A36" s="107"/>
      <c r="B36" s="108">
        <v>45505</v>
      </c>
      <c r="C36" s="148" t="s">
        <v>834</v>
      </c>
      <c r="D36" s="10" t="s">
        <v>24</v>
      </c>
      <c r="E36" s="7" t="s">
        <v>25</v>
      </c>
      <c r="F36" s="109">
        <v>240</v>
      </c>
      <c r="G36" s="111">
        <v>5</v>
      </c>
      <c r="H36" s="109"/>
      <c r="I36" s="154">
        <f t="shared" ref="I36" si="3">G36*H36</f>
        <v>0</v>
      </c>
      <c r="J36" s="113"/>
      <c r="K36" s="120"/>
      <c r="L36" s="52"/>
    </row>
    <row r="37" spans="1:12" s="24" customFormat="1" ht="15" customHeight="1" x14ac:dyDescent="0.25">
      <c r="A37" s="107"/>
      <c r="B37" s="108">
        <v>45505</v>
      </c>
      <c r="C37" s="149" t="s">
        <v>775</v>
      </c>
      <c r="D37" s="29" t="s">
        <v>762</v>
      </c>
      <c r="E37" s="30" t="s">
        <v>85</v>
      </c>
      <c r="F37" s="109">
        <v>24</v>
      </c>
      <c r="G37" s="111">
        <v>2</v>
      </c>
      <c r="H37" s="109"/>
      <c r="I37" s="112">
        <f t="shared" si="0"/>
        <v>0</v>
      </c>
      <c r="J37" s="113"/>
      <c r="K37" s="120"/>
      <c r="L37" s="52"/>
    </row>
    <row r="38" spans="1:12" s="24" customFormat="1" ht="15" customHeight="1" x14ac:dyDescent="0.25">
      <c r="A38" s="107"/>
      <c r="B38" s="108">
        <v>45505</v>
      </c>
      <c r="C38" s="148" t="s">
        <v>777</v>
      </c>
      <c r="D38" s="29" t="s">
        <v>762</v>
      </c>
      <c r="E38" s="30" t="s">
        <v>85</v>
      </c>
      <c r="F38" s="109">
        <v>13</v>
      </c>
      <c r="G38" s="111"/>
      <c r="H38" s="109"/>
      <c r="I38" s="112">
        <f t="shared" si="0"/>
        <v>0</v>
      </c>
      <c r="J38" s="113"/>
      <c r="K38" s="120"/>
      <c r="L38" s="52"/>
    </row>
    <row r="39" spans="1:12" s="24" customFormat="1" ht="15" customHeight="1" x14ac:dyDescent="0.25">
      <c r="A39" s="107"/>
      <c r="B39" s="108">
        <v>45505</v>
      </c>
      <c r="C39" s="148" t="s">
        <v>777</v>
      </c>
      <c r="D39" s="21" t="s">
        <v>126</v>
      </c>
      <c r="E39" s="22" t="s">
        <v>127</v>
      </c>
      <c r="F39" s="109">
        <v>6</v>
      </c>
      <c r="G39" s="111"/>
      <c r="H39" s="109"/>
      <c r="I39" s="112">
        <f t="shared" si="0"/>
        <v>0</v>
      </c>
      <c r="J39" s="113"/>
      <c r="K39" s="120"/>
      <c r="L39" s="52"/>
    </row>
    <row r="40" spans="1:12" s="24" customFormat="1" ht="15" customHeight="1" x14ac:dyDescent="0.25">
      <c r="A40" s="107"/>
      <c r="B40" s="108">
        <v>45505</v>
      </c>
      <c r="C40" s="148" t="s">
        <v>779</v>
      </c>
      <c r="D40" s="29" t="s">
        <v>762</v>
      </c>
      <c r="E40" s="30" t="s">
        <v>85</v>
      </c>
      <c r="F40" s="109">
        <v>24</v>
      </c>
      <c r="G40" s="111">
        <v>2</v>
      </c>
      <c r="H40" s="109"/>
      <c r="I40" s="112">
        <f t="shared" si="0"/>
        <v>0</v>
      </c>
      <c r="J40" s="113"/>
      <c r="K40" s="120"/>
      <c r="L40" s="52"/>
    </row>
    <row r="41" spans="1:12" s="24" customFormat="1" ht="15" customHeight="1" x14ac:dyDescent="0.25">
      <c r="A41" s="107"/>
      <c r="B41" s="108">
        <v>45505</v>
      </c>
      <c r="C41" s="148" t="s">
        <v>835</v>
      </c>
      <c r="D41" s="29" t="s">
        <v>762</v>
      </c>
      <c r="E41" s="30" t="s">
        <v>85</v>
      </c>
      <c r="F41" s="109">
        <v>36</v>
      </c>
      <c r="G41" s="111">
        <v>3</v>
      </c>
      <c r="H41" s="109"/>
      <c r="I41" s="112">
        <f t="shared" si="0"/>
        <v>0</v>
      </c>
      <c r="J41" s="113"/>
      <c r="K41" s="120"/>
      <c r="L41" s="52"/>
    </row>
    <row r="42" spans="1:12" s="24" customFormat="1" ht="15" customHeight="1" x14ac:dyDescent="0.25">
      <c r="A42" s="107"/>
      <c r="B42" s="108">
        <v>45505</v>
      </c>
      <c r="C42" s="148" t="s">
        <v>785</v>
      </c>
      <c r="D42" s="10" t="s">
        <v>22</v>
      </c>
      <c r="E42" s="7" t="s">
        <v>23</v>
      </c>
      <c r="F42" s="109">
        <v>12</v>
      </c>
      <c r="G42" s="111">
        <v>1</v>
      </c>
      <c r="H42" s="109"/>
      <c r="I42" s="112">
        <f t="shared" si="0"/>
        <v>0</v>
      </c>
      <c r="J42" s="113"/>
      <c r="K42" s="120"/>
      <c r="L42" s="52"/>
    </row>
    <row r="43" spans="1:12" s="24" customFormat="1" ht="15" customHeight="1" x14ac:dyDescent="0.25">
      <c r="A43" s="107"/>
      <c r="B43" s="108">
        <v>45505</v>
      </c>
      <c r="C43" s="148" t="s">
        <v>785</v>
      </c>
      <c r="D43" s="10" t="s">
        <v>86</v>
      </c>
      <c r="E43" s="9" t="s">
        <v>87</v>
      </c>
      <c r="F43" s="109">
        <v>12</v>
      </c>
      <c r="G43" s="111">
        <v>1</v>
      </c>
      <c r="H43" s="109"/>
      <c r="I43" s="112">
        <f t="shared" si="0"/>
        <v>0</v>
      </c>
      <c r="J43" s="113"/>
      <c r="K43" s="120"/>
      <c r="L43" s="52"/>
    </row>
    <row r="44" spans="1:12" s="24" customFormat="1" ht="15" customHeight="1" x14ac:dyDescent="0.25">
      <c r="A44" s="107"/>
      <c r="B44" s="108">
        <v>45505</v>
      </c>
      <c r="C44" s="150" t="s">
        <v>836</v>
      </c>
      <c r="D44" s="10" t="s">
        <v>86</v>
      </c>
      <c r="E44" s="9" t="s">
        <v>87</v>
      </c>
      <c r="F44" s="109">
        <v>24</v>
      </c>
      <c r="G44" s="111">
        <v>2</v>
      </c>
      <c r="H44" s="109"/>
      <c r="I44" s="112">
        <f t="shared" si="0"/>
        <v>0</v>
      </c>
      <c r="J44" s="113"/>
      <c r="K44" s="120"/>
      <c r="L44" s="52"/>
    </row>
    <row r="45" spans="1:12" s="24" customFormat="1" ht="15" customHeight="1" x14ac:dyDescent="0.25">
      <c r="A45" s="107"/>
      <c r="B45" s="108">
        <v>45505</v>
      </c>
      <c r="C45" s="150" t="s">
        <v>836</v>
      </c>
      <c r="D45" s="10" t="s">
        <v>16</v>
      </c>
      <c r="E45" s="7" t="s">
        <v>17</v>
      </c>
      <c r="F45" s="109">
        <v>60</v>
      </c>
      <c r="G45" s="111">
        <v>5</v>
      </c>
      <c r="H45" s="109"/>
      <c r="I45" s="112">
        <f t="shared" si="0"/>
        <v>0</v>
      </c>
      <c r="J45" s="113"/>
      <c r="K45" s="120"/>
      <c r="L45" s="52"/>
    </row>
    <row r="46" spans="1:12" s="24" customFormat="1" ht="15" customHeight="1" x14ac:dyDescent="0.25">
      <c r="A46" s="107"/>
      <c r="B46" s="108">
        <v>45505</v>
      </c>
      <c r="C46" s="150" t="s">
        <v>836</v>
      </c>
      <c r="D46" s="69" t="s">
        <v>811</v>
      </c>
      <c r="E46" s="16" t="s">
        <v>810</v>
      </c>
      <c r="F46" s="109">
        <v>24</v>
      </c>
      <c r="G46" s="111">
        <v>2</v>
      </c>
      <c r="H46" s="109"/>
      <c r="I46" s="112">
        <f t="shared" si="0"/>
        <v>0</v>
      </c>
      <c r="J46" s="113"/>
      <c r="K46" s="120"/>
      <c r="L46" s="52"/>
    </row>
    <row r="47" spans="1:12" s="24" customFormat="1" ht="15" customHeight="1" x14ac:dyDescent="0.25">
      <c r="A47" s="107"/>
      <c r="B47" s="108">
        <v>45505</v>
      </c>
      <c r="C47" s="150" t="s">
        <v>836</v>
      </c>
      <c r="D47" s="10" t="s">
        <v>124</v>
      </c>
      <c r="E47" s="9" t="s">
        <v>125</v>
      </c>
      <c r="F47" s="109">
        <v>20</v>
      </c>
      <c r="G47" s="111"/>
      <c r="H47" s="109"/>
      <c r="I47" s="112">
        <f t="shared" si="0"/>
        <v>0</v>
      </c>
      <c r="J47" s="113"/>
      <c r="K47" s="120"/>
      <c r="L47" s="52"/>
    </row>
    <row r="48" spans="1:12" s="24" customFormat="1" ht="15" customHeight="1" x14ac:dyDescent="0.25">
      <c r="A48" s="107"/>
      <c r="B48" s="108">
        <v>45505</v>
      </c>
      <c r="C48" s="150" t="s">
        <v>836</v>
      </c>
      <c r="D48" s="10" t="s">
        <v>164</v>
      </c>
      <c r="E48" s="9" t="s">
        <v>165</v>
      </c>
      <c r="F48" s="109">
        <v>5</v>
      </c>
      <c r="G48" s="111"/>
      <c r="H48" s="109"/>
      <c r="I48" s="112">
        <f t="shared" si="0"/>
        <v>0</v>
      </c>
      <c r="J48" s="113"/>
      <c r="K48" s="120"/>
      <c r="L48" s="52"/>
    </row>
    <row r="49" spans="1:12" s="24" customFormat="1" ht="15" customHeight="1" x14ac:dyDescent="0.25">
      <c r="A49" s="107"/>
      <c r="B49" s="108">
        <v>45505</v>
      </c>
      <c r="C49" s="150" t="s">
        <v>836</v>
      </c>
      <c r="D49" s="21" t="s">
        <v>126</v>
      </c>
      <c r="E49" s="22" t="s">
        <v>127</v>
      </c>
      <c r="F49" s="109">
        <f>48+48+144</f>
        <v>240</v>
      </c>
      <c r="G49" s="111">
        <v>5</v>
      </c>
      <c r="H49" s="109"/>
      <c r="I49" s="112">
        <f t="shared" si="0"/>
        <v>0</v>
      </c>
      <c r="J49" s="113"/>
      <c r="K49" s="120"/>
      <c r="L49" s="52"/>
    </row>
    <row r="50" spans="1:12" s="24" customFormat="1" ht="15" customHeight="1" x14ac:dyDescent="0.25">
      <c r="A50" s="107"/>
      <c r="B50" s="108">
        <v>45505</v>
      </c>
      <c r="C50" s="150" t="s">
        <v>836</v>
      </c>
      <c r="D50" s="27" t="s">
        <v>244</v>
      </c>
      <c r="E50" s="28" t="s">
        <v>245</v>
      </c>
      <c r="F50" s="109">
        <v>5</v>
      </c>
      <c r="G50" s="111"/>
      <c r="H50" s="109"/>
      <c r="I50" s="112">
        <f t="shared" si="0"/>
        <v>0</v>
      </c>
      <c r="J50" s="113"/>
      <c r="K50" s="120"/>
      <c r="L50" s="52"/>
    </row>
    <row r="51" spans="1:12" s="24" customFormat="1" ht="15" customHeight="1" x14ac:dyDescent="0.25">
      <c r="A51" s="107"/>
      <c r="B51" s="108">
        <v>45505</v>
      </c>
      <c r="C51" s="150" t="s">
        <v>836</v>
      </c>
      <c r="D51" s="29" t="s">
        <v>762</v>
      </c>
      <c r="E51" s="30" t="s">
        <v>85</v>
      </c>
      <c r="F51" s="109">
        <f>30*12</f>
        <v>360</v>
      </c>
      <c r="G51" s="111">
        <v>30</v>
      </c>
      <c r="H51" s="109">
        <v>357000</v>
      </c>
      <c r="I51" s="112">
        <f t="shared" si="0"/>
        <v>10710000</v>
      </c>
      <c r="J51" s="113"/>
      <c r="K51" s="120"/>
      <c r="L51" s="52"/>
    </row>
    <row r="52" spans="1:12" s="24" customFormat="1" ht="15" customHeight="1" x14ac:dyDescent="0.25">
      <c r="A52" s="107"/>
      <c r="B52" s="108">
        <v>45505</v>
      </c>
      <c r="C52" s="150" t="s">
        <v>836</v>
      </c>
      <c r="D52" s="21" t="s">
        <v>142</v>
      </c>
      <c r="E52" s="22" t="s">
        <v>143</v>
      </c>
      <c r="F52" s="109">
        <v>48</v>
      </c>
      <c r="G52" s="111">
        <v>1</v>
      </c>
      <c r="H52" s="109"/>
      <c r="I52" s="112">
        <f t="shared" si="0"/>
        <v>0</v>
      </c>
      <c r="J52" s="113"/>
      <c r="K52" s="120"/>
      <c r="L52" s="52"/>
    </row>
    <row r="53" spans="1:12" s="24" customFormat="1" ht="15" customHeight="1" x14ac:dyDescent="0.25">
      <c r="A53" s="107"/>
      <c r="B53" s="108">
        <v>45505</v>
      </c>
      <c r="C53" s="148" t="s">
        <v>844</v>
      </c>
      <c r="D53" s="10" t="s">
        <v>22</v>
      </c>
      <c r="E53" s="7" t="s">
        <v>23</v>
      </c>
      <c r="F53" s="157">
        <v>24</v>
      </c>
      <c r="G53" s="111">
        <v>2</v>
      </c>
      <c r="H53" s="109"/>
      <c r="I53" s="112">
        <f t="shared" si="0"/>
        <v>0</v>
      </c>
      <c r="J53" s="113"/>
      <c r="K53" s="120"/>
      <c r="L53" s="52"/>
    </row>
    <row r="54" spans="1:12" s="24" customFormat="1" ht="15" customHeight="1" x14ac:dyDescent="0.25">
      <c r="A54" s="107"/>
      <c r="B54" s="166">
        <v>45506</v>
      </c>
      <c r="C54" s="109" t="s">
        <v>846</v>
      </c>
      <c r="D54" s="21" t="s">
        <v>768</v>
      </c>
      <c r="E54" s="23" t="s">
        <v>67</v>
      </c>
      <c r="F54" s="109">
        <v>4</v>
      </c>
      <c r="G54" s="111"/>
      <c r="H54" s="109">
        <v>370000</v>
      </c>
      <c r="I54" s="112">
        <f>H54/12*F54</f>
        <v>123333.33333333333</v>
      </c>
      <c r="J54" s="377">
        <f>SUM(I54:I59)</f>
        <v>792000</v>
      </c>
      <c r="K54" s="120"/>
      <c r="L54" s="52"/>
    </row>
    <row r="55" spans="1:12" s="24" customFormat="1" ht="15" customHeight="1" x14ac:dyDescent="0.25">
      <c r="A55" s="107"/>
      <c r="B55" s="166">
        <v>45506</v>
      </c>
      <c r="C55" s="109" t="s">
        <v>846</v>
      </c>
      <c r="D55" s="21" t="s">
        <v>801</v>
      </c>
      <c r="E55" s="22" t="s">
        <v>73</v>
      </c>
      <c r="F55" s="109">
        <v>4</v>
      </c>
      <c r="G55" s="111"/>
      <c r="H55" s="109">
        <v>370000</v>
      </c>
      <c r="I55" s="112">
        <f t="shared" ref="I55:I56" si="4">H55/12*F55</f>
        <v>123333.33333333333</v>
      </c>
      <c r="J55" s="373"/>
      <c r="K55" s="120"/>
      <c r="L55" s="52"/>
    </row>
    <row r="56" spans="1:12" s="24" customFormat="1" ht="15.75" customHeight="1" x14ac:dyDescent="0.25">
      <c r="A56" s="107"/>
      <c r="B56" s="166">
        <v>45506</v>
      </c>
      <c r="C56" s="109" t="s">
        <v>846</v>
      </c>
      <c r="D56" s="29" t="s">
        <v>762</v>
      </c>
      <c r="E56" s="30" t="s">
        <v>85</v>
      </c>
      <c r="F56" s="109">
        <v>4</v>
      </c>
      <c r="G56" s="111"/>
      <c r="H56" s="109">
        <v>370000</v>
      </c>
      <c r="I56" s="112">
        <f t="shared" si="4"/>
        <v>123333.33333333333</v>
      </c>
      <c r="J56" s="373"/>
      <c r="K56" s="120"/>
      <c r="L56" s="52"/>
    </row>
    <row r="57" spans="1:12" s="24" customFormat="1" ht="15.75" customHeight="1" x14ac:dyDescent="0.25">
      <c r="A57" s="107"/>
      <c r="B57" s="166">
        <v>45506</v>
      </c>
      <c r="C57" s="109" t="s">
        <v>846</v>
      </c>
      <c r="D57" s="10" t="s">
        <v>124</v>
      </c>
      <c r="E57" s="9" t="s">
        <v>125</v>
      </c>
      <c r="F57" s="109">
        <v>24</v>
      </c>
      <c r="G57" s="111">
        <v>0.5</v>
      </c>
      <c r="H57" s="109">
        <v>268000</v>
      </c>
      <c r="I57" s="112">
        <f t="shared" si="0"/>
        <v>134000</v>
      </c>
      <c r="J57" s="373"/>
      <c r="K57" s="120"/>
      <c r="L57" s="52"/>
    </row>
    <row r="58" spans="1:12" s="24" customFormat="1" ht="15.75" customHeight="1" x14ac:dyDescent="0.25">
      <c r="A58" s="107"/>
      <c r="B58" s="166">
        <v>45506</v>
      </c>
      <c r="C58" s="109" t="s">
        <v>846</v>
      </c>
      <c r="D58" s="21" t="s">
        <v>142</v>
      </c>
      <c r="E58" s="22" t="s">
        <v>143</v>
      </c>
      <c r="F58" s="109">
        <v>24</v>
      </c>
      <c r="G58" s="111">
        <v>0.5</v>
      </c>
      <c r="H58" s="109">
        <v>268000</v>
      </c>
      <c r="I58" s="112">
        <f t="shared" si="0"/>
        <v>134000</v>
      </c>
      <c r="J58" s="373"/>
      <c r="K58" s="120"/>
      <c r="L58" s="52"/>
    </row>
    <row r="59" spans="1:12" s="24" customFormat="1" ht="15" customHeight="1" x14ac:dyDescent="0.25">
      <c r="A59" s="107"/>
      <c r="B59" s="166">
        <v>45506</v>
      </c>
      <c r="C59" s="109" t="s">
        <v>846</v>
      </c>
      <c r="D59" s="10" t="s">
        <v>132</v>
      </c>
      <c r="E59" s="9" t="s">
        <v>133</v>
      </c>
      <c r="F59" s="109">
        <v>24</v>
      </c>
      <c r="G59" s="111">
        <v>0.5</v>
      </c>
      <c r="H59" s="109">
        <v>308000</v>
      </c>
      <c r="I59" s="112">
        <f t="shared" si="0"/>
        <v>154000</v>
      </c>
      <c r="J59" s="370"/>
      <c r="K59" s="120"/>
      <c r="L59" s="52"/>
    </row>
    <row r="60" spans="1:12" s="24" customFormat="1" ht="15" customHeight="1" x14ac:dyDescent="0.25">
      <c r="A60" s="107"/>
      <c r="B60" s="166">
        <v>45506</v>
      </c>
      <c r="C60" s="109" t="s">
        <v>847</v>
      </c>
      <c r="D60" s="10" t="s">
        <v>22</v>
      </c>
      <c r="E60" s="7" t="s">
        <v>23</v>
      </c>
      <c r="F60" s="109">
        <v>60</v>
      </c>
      <c r="G60" s="111">
        <v>5</v>
      </c>
      <c r="H60" s="109">
        <v>715000</v>
      </c>
      <c r="I60" s="112">
        <f t="shared" si="0"/>
        <v>3575000</v>
      </c>
      <c r="J60" s="377">
        <f>SUM(I60:I62)</f>
        <v>6725000</v>
      </c>
      <c r="K60" s="391" t="s">
        <v>915</v>
      </c>
      <c r="L60" s="52"/>
    </row>
    <row r="61" spans="1:12" s="24" customFormat="1" ht="15" customHeight="1" x14ac:dyDescent="0.25">
      <c r="A61" s="107"/>
      <c r="B61" s="166">
        <v>45506</v>
      </c>
      <c r="C61" s="109" t="s">
        <v>847</v>
      </c>
      <c r="D61" s="29" t="s">
        <v>762</v>
      </c>
      <c r="E61" s="30" t="s">
        <v>85</v>
      </c>
      <c r="F61" s="109">
        <v>60</v>
      </c>
      <c r="G61" s="111">
        <v>5</v>
      </c>
      <c r="H61" s="109">
        <v>370000</v>
      </c>
      <c r="I61" s="112">
        <f t="shared" si="0"/>
        <v>1850000</v>
      </c>
      <c r="J61" s="373"/>
      <c r="K61" s="365"/>
      <c r="L61" s="52"/>
    </row>
    <row r="62" spans="1:12" s="24" customFormat="1" ht="15" customHeight="1" x14ac:dyDescent="0.25">
      <c r="A62" s="107"/>
      <c r="B62" s="166">
        <v>45506</v>
      </c>
      <c r="C62" s="109" t="s">
        <v>847</v>
      </c>
      <c r="D62" s="21" t="s">
        <v>126</v>
      </c>
      <c r="E62" s="22" t="s">
        <v>127</v>
      </c>
      <c r="F62" s="109">
        <v>240</v>
      </c>
      <c r="G62" s="111">
        <v>5</v>
      </c>
      <c r="H62" s="109">
        <v>260000</v>
      </c>
      <c r="I62" s="112">
        <f t="shared" si="0"/>
        <v>1300000</v>
      </c>
      <c r="J62" s="370"/>
      <c r="K62" s="366"/>
      <c r="L62" s="52"/>
    </row>
    <row r="63" spans="1:12" s="24" customFormat="1" ht="15" customHeight="1" x14ac:dyDescent="0.25">
      <c r="A63" s="107"/>
      <c r="B63" s="166">
        <v>45506</v>
      </c>
      <c r="C63" s="109" t="s">
        <v>827</v>
      </c>
      <c r="D63" s="21" t="s">
        <v>142</v>
      </c>
      <c r="E63" s="22" t="s">
        <v>143</v>
      </c>
      <c r="F63" s="109">
        <v>960</v>
      </c>
      <c r="G63" s="111">
        <v>20</v>
      </c>
      <c r="H63" s="109">
        <v>260000</v>
      </c>
      <c r="I63" s="112">
        <f t="shared" si="0"/>
        <v>5200000</v>
      </c>
      <c r="J63" s="377">
        <f>I63+I64</f>
        <v>18220000</v>
      </c>
      <c r="K63" s="378" t="s">
        <v>887</v>
      </c>
      <c r="L63" s="383" t="s">
        <v>866</v>
      </c>
    </row>
    <row r="64" spans="1:12" s="24" customFormat="1" ht="15" customHeight="1" x14ac:dyDescent="0.25">
      <c r="A64" s="107"/>
      <c r="B64" s="166">
        <v>45506</v>
      </c>
      <c r="C64" s="109" t="s">
        <v>827</v>
      </c>
      <c r="D64" s="10" t="s">
        <v>132</v>
      </c>
      <c r="E64" s="9" t="s">
        <v>133</v>
      </c>
      <c r="F64" s="109">
        <f>42*48</f>
        <v>2016</v>
      </c>
      <c r="G64" s="111">
        <v>42</v>
      </c>
      <c r="H64" s="109">
        <v>310000</v>
      </c>
      <c r="I64" s="112">
        <f t="shared" si="0"/>
        <v>13020000</v>
      </c>
      <c r="J64" s="370"/>
      <c r="K64" s="366"/>
      <c r="L64" s="383"/>
    </row>
    <row r="65" spans="1:12" s="24" customFormat="1" ht="15" customHeight="1" x14ac:dyDescent="0.25">
      <c r="A65" s="167"/>
      <c r="B65" s="166">
        <v>45506</v>
      </c>
      <c r="C65" s="170" t="s">
        <v>851</v>
      </c>
      <c r="D65" s="29" t="s">
        <v>762</v>
      </c>
      <c r="E65" s="30" t="s">
        <v>85</v>
      </c>
      <c r="F65" s="170">
        <v>12</v>
      </c>
      <c r="G65" s="169">
        <v>1</v>
      </c>
      <c r="H65" s="170">
        <v>380000</v>
      </c>
      <c r="I65" s="171">
        <f t="shared" si="0"/>
        <v>380000</v>
      </c>
      <c r="J65" s="164">
        <f>I65</f>
        <v>380000</v>
      </c>
      <c r="K65" s="165" t="s">
        <v>825</v>
      </c>
      <c r="L65" s="82"/>
    </row>
    <row r="66" spans="1:12" s="24" customFormat="1" ht="15" customHeight="1" x14ac:dyDescent="0.25">
      <c r="A66" s="107"/>
      <c r="B66" s="166">
        <v>45506</v>
      </c>
      <c r="C66" s="148" t="s">
        <v>834</v>
      </c>
      <c r="D66" s="10" t="s">
        <v>86</v>
      </c>
      <c r="E66" s="9" t="s">
        <v>87</v>
      </c>
      <c r="F66" s="109">
        <v>48</v>
      </c>
      <c r="G66" s="111">
        <v>4</v>
      </c>
      <c r="H66" s="109"/>
      <c r="I66" s="112">
        <f t="shared" si="0"/>
        <v>0</v>
      </c>
      <c r="J66" s="113"/>
      <c r="K66" s="120"/>
      <c r="L66" s="82"/>
    </row>
    <row r="67" spans="1:12" s="24" customFormat="1" ht="15" customHeight="1" x14ac:dyDescent="0.25">
      <c r="A67" s="107"/>
      <c r="B67" s="166">
        <v>45506</v>
      </c>
      <c r="C67" s="148" t="s">
        <v>777</v>
      </c>
      <c r="D67" s="29" t="s">
        <v>762</v>
      </c>
      <c r="E67" s="30" t="s">
        <v>85</v>
      </c>
      <c r="F67" s="109">
        <v>14</v>
      </c>
      <c r="G67" s="111"/>
      <c r="H67" s="109"/>
      <c r="I67" s="112">
        <f t="shared" si="0"/>
        <v>0</v>
      </c>
      <c r="J67" s="113"/>
      <c r="K67" s="120"/>
      <c r="L67" s="82"/>
    </row>
    <row r="68" spans="1:12" s="24" customFormat="1" ht="15" customHeight="1" x14ac:dyDescent="0.25">
      <c r="A68" s="107"/>
      <c r="B68" s="166">
        <v>45506</v>
      </c>
      <c r="C68" s="148" t="s">
        <v>777</v>
      </c>
      <c r="D68" s="21" t="s">
        <v>126</v>
      </c>
      <c r="E68" s="22" t="s">
        <v>127</v>
      </c>
      <c r="F68" s="109">
        <v>6</v>
      </c>
      <c r="G68" s="111"/>
      <c r="H68" s="109"/>
      <c r="I68" s="112">
        <f t="shared" si="0"/>
        <v>0</v>
      </c>
      <c r="J68" s="113"/>
      <c r="K68" s="120"/>
      <c r="L68" s="82"/>
    </row>
    <row r="69" spans="1:12" s="24" customFormat="1" ht="15" customHeight="1" x14ac:dyDescent="0.25">
      <c r="A69" s="107"/>
      <c r="B69" s="166">
        <v>45506</v>
      </c>
      <c r="C69" s="148" t="s">
        <v>780</v>
      </c>
      <c r="D69" s="29" t="s">
        <v>762</v>
      </c>
      <c r="E69" s="30" t="s">
        <v>85</v>
      </c>
      <c r="F69" s="109">
        <v>36</v>
      </c>
      <c r="G69" s="111">
        <v>3</v>
      </c>
      <c r="H69" s="109"/>
      <c r="I69" s="112">
        <f t="shared" si="0"/>
        <v>0</v>
      </c>
      <c r="J69" s="113"/>
      <c r="K69" s="120"/>
      <c r="L69" s="82"/>
    </row>
    <row r="70" spans="1:12" s="24" customFormat="1" ht="15" customHeight="1" x14ac:dyDescent="0.25">
      <c r="A70" s="107"/>
      <c r="B70" s="166">
        <v>45506</v>
      </c>
      <c r="C70" s="148" t="s">
        <v>780</v>
      </c>
      <c r="D70" s="21" t="s">
        <v>249</v>
      </c>
      <c r="E70" s="9" t="s">
        <v>250</v>
      </c>
      <c r="F70" s="109">
        <v>48</v>
      </c>
      <c r="G70" s="111">
        <v>1</v>
      </c>
      <c r="H70" s="109"/>
      <c r="I70" s="112">
        <f t="shared" si="0"/>
        <v>0</v>
      </c>
      <c r="J70" s="113"/>
      <c r="K70" s="120"/>
      <c r="L70" s="82"/>
    </row>
    <row r="71" spans="1:12" s="24" customFormat="1" ht="15" customHeight="1" x14ac:dyDescent="0.25">
      <c r="A71" s="107"/>
      <c r="B71" s="166">
        <v>45506</v>
      </c>
      <c r="C71" s="148" t="s">
        <v>848</v>
      </c>
      <c r="D71" s="29" t="s">
        <v>762</v>
      </c>
      <c r="E71" s="30" t="s">
        <v>85</v>
      </c>
      <c r="F71" s="109">
        <v>24</v>
      </c>
      <c r="G71" s="111">
        <v>2</v>
      </c>
      <c r="H71" s="109"/>
      <c r="I71" s="112">
        <f t="shared" si="0"/>
        <v>0</v>
      </c>
      <c r="J71" s="113"/>
      <c r="K71" s="120"/>
      <c r="L71" s="82"/>
    </row>
    <row r="72" spans="1:12" s="24" customFormat="1" ht="15" customHeight="1" x14ac:dyDescent="0.25">
      <c r="A72" s="107"/>
      <c r="B72" s="166">
        <v>45506</v>
      </c>
      <c r="C72" s="148" t="s">
        <v>849</v>
      </c>
      <c r="D72" s="10" t="s">
        <v>22</v>
      </c>
      <c r="E72" s="7" t="s">
        <v>23</v>
      </c>
      <c r="F72" s="109">
        <v>12</v>
      </c>
      <c r="G72" s="111">
        <v>1</v>
      </c>
      <c r="H72" s="109"/>
      <c r="I72" s="112">
        <f t="shared" si="0"/>
        <v>0</v>
      </c>
      <c r="J72" s="113"/>
      <c r="K72" s="120"/>
      <c r="L72" s="82"/>
    </row>
    <row r="73" spans="1:12" s="24" customFormat="1" ht="15" customHeight="1" x14ac:dyDescent="0.25">
      <c r="A73" s="107"/>
      <c r="B73" s="166">
        <v>45506</v>
      </c>
      <c r="C73" s="148" t="s">
        <v>849</v>
      </c>
      <c r="D73" s="29" t="s">
        <v>762</v>
      </c>
      <c r="E73" s="30" t="s">
        <v>85</v>
      </c>
      <c r="F73" s="109">
        <v>12</v>
      </c>
      <c r="G73" s="111">
        <v>1</v>
      </c>
      <c r="H73" s="109"/>
      <c r="I73" s="112">
        <f t="shared" si="0"/>
        <v>0</v>
      </c>
      <c r="J73" s="113"/>
      <c r="K73" s="120"/>
      <c r="L73" s="82"/>
    </row>
    <row r="74" spans="1:12" s="24" customFormat="1" ht="15" customHeight="1" x14ac:dyDescent="0.25">
      <c r="A74" s="167"/>
      <c r="B74" s="166">
        <v>45506</v>
      </c>
      <c r="C74" s="168" t="s">
        <v>782</v>
      </c>
      <c r="D74" s="10" t="s">
        <v>22</v>
      </c>
      <c r="E74" s="7" t="s">
        <v>23</v>
      </c>
      <c r="F74" s="170">
        <v>12</v>
      </c>
      <c r="G74" s="169">
        <v>1</v>
      </c>
      <c r="H74" s="170"/>
      <c r="I74" s="171">
        <f t="shared" si="0"/>
        <v>0</v>
      </c>
      <c r="J74" s="172"/>
      <c r="K74" s="173"/>
      <c r="L74" s="82"/>
    </row>
    <row r="75" spans="1:12" s="24" customFormat="1" ht="15" customHeight="1" x14ac:dyDescent="0.25">
      <c r="A75" s="167"/>
      <c r="B75" s="166">
        <v>45506</v>
      </c>
      <c r="C75" s="168" t="s">
        <v>782</v>
      </c>
      <c r="D75" s="29" t="s">
        <v>762</v>
      </c>
      <c r="E75" s="30" t="s">
        <v>85</v>
      </c>
      <c r="F75" s="170">
        <v>24</v>
      </c>
      <c r="G75" s="169">
        <v>2</v>
      </c>
      <c r="H75" s="170"/>
      <c r="I75" s="171">
        <f t="shared" si="0"/>
        <v>0</v>
      </c>
      <c r="J75" s="172"/>
      <c r="K75" s="173"/>
      <c r="L75" s="82"/>
    </row>
    <row r="76" spans="1:12" s="24" customFormat="1" ht="15" customHeight="1" x14ac:dyDescent="0.25">
      <c r="A76" s="107"/>
      <c r="B76" s="166">
        <v>45506</v>
      </c>
      <c r="C76" s="150" t="s">
        <v>836</v>
      </c>
      <c r="D76" s="10" t="s">
        <v>56</v>
      </c>
      <c r="E76" s="7" t="s">
        <v>57</v>
      </c>
      <c r="F76" s="109">
        <v>36</v>
      </c>
      <c r="G76" s="111">
        <v>3</v>
      </c>
      <c r="H76" s="109"/>
      <c r="I76" s="112">
        <f t="shared" si="0"/>
        <v>0</v>
      </c>
      <c r="J76" s="113"/>
      <c r="K76" s="120"/>
      <c r="L76" s="82"/>
    </row>
    <row r="77" spans="1:12" s="24" customFormat="1" ht="15" customHeight="1" x14ac:dyDescent="0.25">
      <c r="A77" s="107"/>
      <c r="B77" s="166">
        <v>45506</v>
      </c>
      <c r="C77" s="150" t="s">
        <v>836</v>
      </c>
      <c r="D77" s="21" t="s">
        <v>126</v>
      </c>
      <c r="E77" s="22" t="s">
        <v>127</v>
      </c>
      <c r="F77" s="109">
        <v>384</v>
      </c>
      <c r="G77" s="111">
        <v>8</v>
      </c>
      <c r="H77" s="109"/>
      <c r="I77" s="112">
        <f t="shared" si="0"/>
        <v>0</v>
      </c>
      <c r="J77" s="113"/>
      <c r="K77" s="120"/>
      <c r="L77" s="82"/>
    </row>
    <row r="78" spans="1:12" s="24" customFormat="1" ht="15" customHeight="1" x14ac:dyDescent="0.25">
      <c r="A78" s="107"/>
      <c r="B78" s="166">
        <v>45506</v>
      </c>
      <c r="C78" s="150" t="s">
        <v>836</v>
      </c>
      <c r="D78" s="10" t="s">
        <v>86</v>
      </c>
      <c r="E78" s="9" t="s">
        <v>87</v>
      </c>
      <c r="F78" s="109">
        <f>14*12</f>
        <v>168</v>
      </c>
      <c r="G78" s="111">
        <v>14</v>
      </c>
      <c r="H78" s="109"/>
      <c r="I78" s="112">
        <f t="shared" si="0"/>
        <v>0</v>
      </c>
      <c r="J78" s="113"/>
      <c r="K78" s="120"/>
      <c r="L78" s="82"/>
    </row>
    <row r="79" spans="1:12" s="24" customFormat="1" ht="15" customHeight="1" x14ac:dyDescent="0.25">
      <c r="A79" s="107"/>
      <c r="B79" s="166">
        <v>45506</v>
      </c>
      <c r="C79" s="150" t="s">
        <v>836</v>
      </c>
      <c r="D79" s="10" t="s">
        <v>124</v>
      </c>
      <c r="E79" s="9" t="s">
        <v>125</v>
      </c>
      <c r="F79" s="109">
        <v>8</v>
      </c>
      <c r="G79" s="111"/>
      <c r="H79" s="109"/>
      <c r="I79" s="112">
        <f t="shared" si="0"/>
        <v>0</v>
      </c>
      <c r="J79" s="113"/>
      <c r="K79" s="120"/>
      <c r="L79" s="82"/>
    </row>
    <row r="80" spans="1:12" s="24" customFormat="1" ht="15" customHeight="1" x14ac:dyDescent="0.25">
      <c r="A80" s="107"/>
      <c r="B80" s="166">
        <v>45506</v>
      </c>
      <c r="C80" s="150" t="s">
        <v>836</v>
      </c>
      <c r="D80" s="21" t="s">
        <v>763</v>
      </c>
      <c r="E80" s="22" t="s">
        <v>83</v>
      </c>
      <c r="F80" s="109">
        <v>12</v>
      </c>
      <c r="G80" s="111"/>
      <c r="H80" s="109"/>
      <c r="I80" s="112">
        <f t="shared" si="0"/>
        <v>0</v>
      </c>
      <c r="J80" s="113"/>
      <c r="K80" s="120"/>
      <c r="L80" s="82"/>
    </row>
    <row r="81" spans="1:12" s="24" customFormat="1" ht="15" customHeight="1" x14ac:dyDescent="0.25">
      <c r="A81" s="107"/>
      <c r="B81" s="166">
        <v>45506</v>
      </c>
      <c r="C81" s="150" t="s">
        <v>836</v>
      </c>
      <c r="D81" s="21" t="s">
        <v>28</v>
      </c>
      <c r="E81" s="23" t="s">
        <v>29</v>
      </c>
      <c r="F81" s="109">
        <v>1</v>
      </c>
      <c r="G81" s="111"/>
      <c r="H81" s="109"/>
      <c r="I81" s="112">
        <f t="shared" si="0"/>
        <v>0</v>
      </c>
      <c r="J81" s="113"/>
      <c r="K81" s="120"/>
      <c r="L81" s="82"/>
    </row>
    <row r="82" spans="1:12" s="24" customFormat="1" ht="15" customHeight="1" x14ac:dyDescent="0.25">
      <c r="A82" s="107"/>
      <c r="B82" s="108">
        <v>45507</v>
      </c>
      <c r="C82" s="109" t="s">
        <v>852</v>
      </c>
      <c r="D82" s="29" t="s">
        <v>762</v>
      </c>
      <c r="E82" s="30" t="s">
        <v>85</v>
      </c>
      <c r="F82" s="109">
        <v>120</v>
      </c>
      <c r="G82" s="111">
        <v>10</v>
      </c>
      <c r="H82" s="109">
        <v>360000</v>
      </c>
      <c r="I82" s="112">
        <f t="shared" si="0"/>
        <v>3600000</v>
      </c>
      <c r="J82" s="113">
        <f>I82</f>
        <v>3600000</v>
      </c>
      <c r="K82" s="124" t="s">
        <v>922</v>
      </c>
      <c r="L82" s="82"/>
    </row>
    <row r="83" spans="1:12" s="24" customFormat="1" ht="15" customHeight="1" x14ac:dyDescent="0.25">
      <c r="A83" s="107"/>
      <c r="B83" s="108">
        <v>45507</v>
      </c>
      <c r="C83" s="109" t="s">
        <v>853</v>
      </c>
      <c r="D83" s="10" t="s">
        <v>132</v>
      </c>
      <c r="E83" s="9" t="s">
        <v>133</v>
      </c>
      <c r="F83" s="109">
        <v>48</v>
      </c>
      <c r="G83" s="111">
        <v>1</v>
      </c>
      <c r="H83" s="109">
        <v>318000</v>
      </c>
      <c r="I83" s="112">
        <f t="shared" si="0"/>
        <v>318000</v>
      </c>
      <c r="J83" s="387">
        <f>SUM(I83:I88)</f>
        <v>2666000</v>
      </c>
      <c r="K83" s="120"/>
      <c r="L83" s="82"/>
    </row>
    <row r="84" spans="1:12" s="24" customFormat="1" ht="15" customHeight="1" x14ac:dyDescent="0.25">
      <c r="A84" s="107"/>
      <c r="B84" s="108">
        <v>45507</v>
      </c>
      <c r="C84" s="109" t="s">
        <v>853</v>
      </c>
      <c r="D84" s="21" t="s">
        <v>798</v>
      </c>
      <c r="E84" s="23" t="s">
        <v>796</v>
      </c>
      <c r="F84" s="109">
        <v>24</v>
      </c>
      <c r="G84" s="111">
        <v>1</v>
      </c>
      <c r="H84" s="109">
        <v>175000</v>
      </c>
      <c r="I84" s="112">
        <f t="shared" si="0"/>
        <v>175000</v>
      </c>
      <c r="J84" s="373"/>
      <c r="K84" s="120"/>
      <c r="L84" s="82"/>
    </row>
    <row r="85" spans="1:12" s="24" customFormat="1" ht="15" customHeight="1" x14ac:dyDescent="0.25">
      <c r="A85" s="107"/>
      <c r="B85" s="108">
        <v>45507</v>
      </c>
      <c r="C85" s="109" t="s">
        <v>853</v>
      </c>
      <c r="D85" s="21" t="s">
        <v>142</v>
      </c>
      <c r="E85" s="22" t="s">
        <v>143</v>
      </c>
      <c r="F85" s="109">
        <v>192</v>
      </c>
      <c r="G85" s="111">
        <v>4</v>
      </c>
      <c r="H85" s="109">
        <v>265000</v>
      </c>
      <c r="I85" s="112">
        <f t="shared" ref="I85:I129" si="5">G85*H85</f>
        <v>1060000</v>
      </c>
      <c r="J85" s="373"/>
      <c r="K85" s="120"/>
      <c r="L85" s="82"/>
    </row>
    <row r="86" spans="1:12" s="24" customFormat="1" ht="15" customHeight="1" x14ac:dyDescent="0.25">
      <c r="A86" s="107"/>
      <c r="B86" s="108">
        <v>45507</v>
      </c>
      <c r="C86" s="109" t="s">
        <v>853</v>
      </c>
      <c r="D86" s="21" t="s">
        <v>126</v>
      </c>
      <c r="E86" s="22" t="s">
        <v>127</v>
      </c>
      <c r="F86" s="109">
        <v>48</v>
      </c>
      <c r="G86" s="111">
        <v>1</v>
      </c>
      <c r="H86" s="109">
        <v>265000</v>
      </c>
      <c r="I86" s="112">
        <f t="shared" si="5"/>
        <v>265000</v>
      </c>
      <c r="J86" s="373"/>
      <c r="K86" s="120"/>
      <c r="L86" s="82"/>
    </row>
    <row r="87" spans="1:12" s="24" customFormat="1" ht="15" customHeight="1" x14ac:dyDescent="0.25">
      <c r="A87" s="107"/>
      <c r="B87" s="108">
        <v>45507</v>
      </c>
      <c r="C87" s="109" t="s">
        <v>853</v>
      </c>
      <c r="D87" s="10" t="s">
        <v>124</v>
      </c>
      <c r="E87" s="9" t="s">
        <v>125</v>
      </c>
      <c r="F87" s="109">
        <v>96</v>
      </c>
      <c r="G87" s="111">
        <v>2</v>
      </c>
      <c r="H87" s="109">
        <v>265000</v>
      </c>
      <c r="I87" s="112">
        <f t="shared" si="5"/>
        <v>530000</v>
      </c>
      <c r="J87" s="373"/>
      <c r="K87" s="120"/>
      <c r="L87" s="82"/>
    </row>
    <row r="88" spans="1:12" s="24" customFormat="1" ht="15" customHeight="1" x14ac:dyDescent="0.25">
      <c r="A88" s="107"/>
      <c r="B88" s="108">
        <v>45507</v>
      </c>
      <c r="C88" s="109" t="s">
        <v>853</v>
      </c>
      <c r="D88" s="10" t="s">
        <v>140</v>
      </c>
      <c r="E88" s="9" t="s">
        <v>141</v>
      </c>
      <c r="F88" s="109">
        <v>48</v>
      </c>
      <c r="G88" s="111">
        <v>1</v>
      </c>
      <c r="H88" s="109">
        <v>318000</v>
      </c>
      <c r="I88" s="112">
        <f t="shared" si="5"/>
        <v>318000</v>
      </c>
      <c r="J88" s="370"/>
      <c r="K88" s="120"/>
      <c r="L88" s="82"/>
    </row>
    <row r="89" spans="1:12" s="24" customFormat="1" ht="15" customHeight="1" x14ac:dyDescent="0.25">
      <c r="A89" s="107"/>
      <c r="B89" s="108">
        <v>45507</v>
      </c>
      <c r="C89" s="109" t="s">
        <v>854</v>
      </c>
      <c r="D89" s="21" t="s">
        <v>763</v>
      </c>
      <c r="E89" s="22" t="s">
        <v>83</v>
      </c>
      <c r="F89" s="109">
        <v>48</v>
      </c>
      <c r="G89" s="111">
        <v>1</v>
      </c>
      <c r="H89" s="109">
        <v>350000</v>
      </c>
      <c r="I89" s="112">
        <f t="shared" si="5"/>
        <v>350000</v>
      </c>
      <c r="J89" s="113">
        <f>I89</f>
        <v>350000</v>
      </c>
      <c r="K89" s="120" t="s">
        <v>825</v>
      </c>
      <c r="L89" s="82"/>
    </row>
    <row r="90" spans="1:12" s="24" customFormat="1" ht="15" customHeight="1" x14ac:dyDescent="0.25">
      <c r="A90" s="107"/>
      <c r="B90" s="108">
        <v>45507</v>
      </c>
      <c r="C90" s="148" t="s">
        <v>834</v>
      </c>
      <c r="D90" s="10" t="s">
        <v>132</v>
      </c>
      <c r="E90" s="9" t="s">
        <v>133</v>
      </c>
      <c r="F90" s="109">
        <v>720</v>
      </c>
      <c r="G90" s="111">
        <v>15</v>
      </c>
      <c r="H90" s="109"/>
      <c r="I90" s="112">
        <f t="shared" si="5"/>
        <v>0</v>
      </c>
      <c r="J90" s="113"/>
      <c r="K90" s="120"/>
      <c r="L90" s="82"/>
    </row>
    <row r="91" spans="1:12" s="24" customFormat="1" ht="15" customHeight="1" x14ac:dyDescent="0.25">
      <c r="A91" s="107"/>
      <c r="B91" s="108">
        <v>45507</v>
      </c>
      <c r="C91" s="148" t="s">
        <v>834</v>
      </c>
      <c r="D91" s="10" t="s">
        <v>172</v>
      </c>
      <c r="E91" s="9" t="s">
        <v>173</v>
      </c>
      <c r="F91" s="109">
        <v>60</v>
      </c>
      <c r="G91" s="111">
        <v>5</v>
      </c>
      <c r="H91" s="109"/>
      <c r="I91" s="112">
        <f t="shared" si="5"/>
        <v>0</v>
      </c>
      <c r="J91" s="113"/>
      <c r="K91" s="120"/>
      <c r="L91" s="82"/>
    </row>
    <row r="92" spans="1:12" s="24" customFormat="1" ht="15" customHeight="1" x14ac:dyDescent="0.25">
      <c r="A92" s="107"/>
      <c r="B92" s="108">
        <v>45507</v>
      </c>
      <c r="C92" s="148" t="s">
        <v>848</v>
      </c>
      <c r="D92" s="15" t="s">
        <v>232</v>
      </c>
      <c r="E92" s="31" t="s">
        <v>233</v>
      </c>
      <c r="F92" s="109">
        <v>120</v>
      </c>
      <c r="G92" s="111">
        <v>10</v>
      </c>
      <c r="H92" s="109"/>
      <c r="I92" s="112">
        <f t="shared" si="5"/>
        <v>0</v>
      </c>
      <c r="J92" s="113"/>
      <c r="K92" s="120" t="s">
        <v>855</v>
      </c>
      <c r="L92" s="82"/>
    </row>
    <row r="93" spans="1:12" s="24" customFormat="1" ht="15" customHeight="1" x14ac:dyDescent="0.25">
      <c r="A93" s="107"/>
      <c r="B93" s="108">
        <v>45507</v>
      </c>
      <c r="C93" s="148" t="s">
        <v>777</v>
      </c>
      <c r="D93" s="29" t="s">
        <v>762</v>
      </c>
      <c r="E93" s="30" t="s">
        <v>85</v>
      </c>
      <c r="F93" s="109">
        <f>12+22</f>
        <v>34</v>
      </c>
      <c r="G93" s="111"/>
      <c r="H93" s="109"/>
      <c r="I93" s="112">
        <f t="shared" si="5"/>
        <v>0</v>
      </c>
      <c r="J93" s="113"/>
      <c r="K93" s="123"/>
      <c r="L93" s="82"/>
    </row>
    <row r="94" spans="1:12" s="24" customFormat="1" ht="15" customHeight="1" x14ac:dyDescent="0.25">
      <c r="A94" s="107"/>
      <c r="B94" s="108">
        <v>45507</v>
      </c>
      <c r="C94" s="148" t="s">
        <v>777</v>
      </c>
      <c r="D94" s="21" t="s">
        <v>126</v>
      </c>
      <c r="E94" s="22" t="s">
        <v>127</v>
      </c>
      <c r="F94" s="109">
        <v>12</v>
      </c>
      <c r="G94" s="111"/>
      <c r="H94" s="109"/>
      <c r="I94" s="112">
        <f t="shared" si="5"/>
        <v>0</v>
      </c>
      <c r="J94" s="121"/>
      <c r="K94" s="120"/>
      <c r="L94" s="82"/>
    </row>
    <row r="95" spans="1:12" s="24" customFormat="1" ht="15" customHeight="1" x14ac:dyDescent="0.25">
      <c r="A95" s="107"/>
      <c r="B95" s="108">
        <v>45507</v>
      </c>
      <c r="C95" s="148" t="s">
        <v>777</v>
      </c>
      <c r="D95" s="21" t="s">
        <v>765</v>
      </c>
      <c r="E95" s="22" t="s">
        <v>75</v>
      </c>
      <c r="F95" s="109">
        <v>60</v>
      </c>
      <c r="G95" s="111"/>
      <c r="H95" s="109"/>
      <c r="I95" s="112">
        <f t="shared" si="5"/>
        <v>0</v>
      </c>
      <c r="J95" s="121"/>
      <c r="K95" s="120"/>
      <c r="L95" s="82"/>
    </row>
    <row r="96" spans="1:12" s="24" customFormat="1" ht="15" customHeight="1" x14ac:dyDescent="0.25">
      <c r="A96" s="107"/>
      <c r="B96" s="108">
        <v>45507</v>
      </c>
      <c r="C96" s="148" t="s">
        <v>779</v>
      </c>
      <c r="D96" s="21" t="s">
        <v>126</v>
      </c>
      <c r="E96" s="22" t="s">
        <v>127</v>
      </c>
      <c r="F96" s="109">
        <v>8</v>
      </c>
      <c r="G96" s="111"/>
      <c r="H96" s="109"/>
      <c r="I96" s="112">
        <f t="shared" si="5"/>
        <v>0</v>
      </c>
      <c r="J96" s="121"/>
      <c r="K96" s="120"/>
      <c r="L96" s="82"/>
    </row>
    <row r="97" spans="1:12" s="24" customFormat="1" ht="15" customHeight="1" x14ac:dyDescent="0.25">
      <c r="A97" s="107"/>
      <c r="B97" s="108">
        <v>45507</v>
      </c>
      <c r="C97" s="148" t="s">
        <v>849</v>
      </c>
      <c r="D97" s="21" t="s">
        <v>142</v>
      </c>
      <c r="E97" s="22" t="s">
        <v>143</v>
      </c>
      <c r="F97" s="109">
        <v>96</v>
      </c>
      <c r="G97" s="111">
        <v>2</v>
      </c>
      <c r="H97" s="109"/>
      <c r="I97" s="112">
        <f t="shared" si="5"/>
        <v>0</v>
      </c>
      <c r="J97" s="121"/>
      <c r="K97" s="120"/>
      <c r="L97" s="82"/>
    </row>
    <row r="98" spans="1:12" s="24" customFormat="1" ht="15" customHeight="1" x14ac:dyDescent="0.25">
      <c r="A98" s="107"/>
      <c r="B98" s="108">
        <v>45507</v>
      </c>
      <c r="C98" s="148" t="s">
        <v>835</v>
      </c>
      <c r="D98" s="29" t="s">
        <v>762</v>
      </c>
      <c r="E98" s="30" t="s">
        <v>85</v>
      </c>
      <c r="F98" s="109">
        <v>2</v>
      </c>
      <c r="G98" s="111"/>
      <c r="H98" s="109"/>
      <c r="I98" s="112">
        <f t="shared" si="5"/>
        <v>0</v>
      </c>
      <c r="J98" s="121"/>
      <c r="K98" s="120"/>
      <c r="L98" s="82"/>
    </row>
    <row r="99" spans="1:12" s="24" customFormat="1" ht="15" customHeight="1" x14ac:dyDescent="0.25">
      <c r="A99" s="107"/>
      <c r="B99" s="108">
        <v>45507</v>
      </c>
      <c r="C99" s="148" t="s">
        <v>780</v>
      </c>
      <c r="D99" s="10" t="s">
        <v>22</v>
      </c>
      <c r="E99" s="7" t="s">
        <v>23</v>
      </c>
      <c r="F99" s="109">
        <v>24</v>
      </c>
      <c r="G99" s="111">
        <v>2</v>
      </c>
      <c r="H99" s="109"/>
      <c r="I99" s="112">
        <f t="shared" si="5"/>
        <v>0</v>
      </c>
      <c r="J99" s="121"/>
      <c r="K99" s="120"/>
      <c r="L99" s="82"/>
    </row>
    <row r="100" spans="1:12" s="24" customFormat="1" ht="15" customHeight="1" x14ac:dyDescent="0.25">
      <c r="A100" s="174"/>
      <c r="B100" s="108">
        <v>45507</v>
      </c>
      <c r="C100" s="148" t="s">
        <v>780</v>
      </c>
      <c r="D100" s="29" t="s">
        <v>762</v>
      </c>
      <c r="E100" s="30" t="s">
        <v>85</v>
      </c>
      <c r="F100" s="176">
        <v>60</v>
      </c>
      <c r="G100" s="175">
        <v>5</v>
      </c>
      <c r="H100" s="176"/>
      <c r="I100" s="177"/>
      <c r="J100" s="178"/>
      <c r="K100" s="179"/>
      <c r="L100" s="82"/>
    </row>
    <row r="101" spans="1:12" s="24" customFormat="1" ht="15" customHeight="1" x14ac:dyDescent="0.25">
      <c r="A101" s="107"/>
      <c r="B101" s="108">
        <v>45507</v>
      </c>
      <c r="C101" s="149" t="s">
        <v>856</v>
      </c>
      <c r="D101" s="29" t="s">
        <v>762</v>
      </c>
      <c r="E101" s="30" t="s">
        <v>85</v>
      </c>
      <c r="F101" s="109">
        <v>24</v>
      </c>
      <c r="G101" s="111">
        <v>2</v>
      </c>
      <c r="H101" s="109"/>
      <c r="I101" s="112">
        <f t="shared" si="5"/>
        <v>0</v>
      </c>
      <c r="J101" s="121"/>
      <c r="K101" s="120"/>
      <c r="L101" s="82"/>
    </row>
    <row r="102" spans="1:12" s="24" customFormat="1" ht="15" customHeight="1" x14ac:dyDescent="0.25">
      <c r="A102" s="107"/>
      <c r="B102" s="108">
        <v>45507</v>
      </c>
      <c r="C102" s="149" t="s">
        <v>775</v>
      </c>
      <c r="D102" s="29" t="s">
        <v>762</v>
      </c>
      <c r="E102" s="30" t="s">
        <v>85</v>
      </c>
      <c r="F102" s="109">
        <v>24</v>
      </c>
      <c r="G102" s="111">
        <v>2</v>
      </c>
      <c r="H102" s="109"/>
      <c r="I102" s="112">
        <f t="shared" si="5"/>
        <v>0</v>
      </c>
      <c r="J102" s="121"/>
      <c r="K102" s="120"/>
      <c r="L102" s="82"/>
    </row>
    <row r="103" spans="1:12" s="24" customFormat="1" ht="15" customHeight="1" x14ac:dyDescent="0.25">
      <c r="A103" s="107"/>
      <c r="B103" s="108">
        <v>45507</v>
      </c>
      <c r="C103" s="149" t="s">
        <v>775</v>
      </c>
      <c r="D103" s="10" t="s">
        <v>56</v>
      </c>
      <c r="E103" s="7" t="s">
        <v>57</v>
      </c>
      <c r="F103" s="109">
        <v>12</v>
      </c>
      <c r="G103" s="111">
        <v>1</v>
      </c>
      <c r="H103" s="109"/>
      <c r="I103" s="112">
        <f t="shared" si="5"/>
        <v>0</v>
      </c>
      <c r="J103" s="121"/>
      <c r="K103" s="120"/>
      <c r="L103" s="82"/>
    </row>
    <row r="104" spans="1:12" s="24" customFormat="1" ht="15" customHeight="1" x14ac:dyDescent="0.25">
      <c r="A104" s="107"/>
      <c r="B104" s="108">
        <v>45507</v>
      </c>
      <c r="C104" s="150" t="s">
        <v>836</v>
      </c>
      <c r="D104" s="10" t="s">
        <v>86</v>
      </c>
      <c r="E104" s="9" t="s">
        <v>87</v>
      </c>
      <c r="F104" s="109">
        <v>60</v>
      </c>
      <c r="G104" s="111">
        <v>5</v>
      </c>
      <c r="H104" s="109"/>
      <c r="I104" s="112">
        <f t="shared" si="5"/>
        <v>0</v>
      </c>
      <c r="J104" s="113"/>
      <c r="K104" s="120"/>
      <c r="L104" s="82"/>
    </row>
    <row r="105" spans="1:12" s="24" customFormat="1" ht="15" customHeight="1" x14ac:dyDescent="0.25">
      <c r="A105" s="107"/>
      <c r="B105" s="108">
        <v>45507</v>
      </c>
      <c r="C105" s="150" t="s">
        <v>836</v>
      </c>
      <c r="D105" s="10" t="s">
        <v>172</v>
      </c>
      <c r="E105" s="9" t="s">
        <v>173</v>
      </c>
      <c r="F105" s="109">
        <v>2</v>
      </c>
      <c r="G105" s="111"/>
      <c r="H105" s="109"/>
      <c r="I105" s="112">
        <f t="shared" si="5"/>
        <v>0</v>
      </c>
      <c r="J105" s="113"/>
      <c r="K105" s="120"/>
      <c r="L105" s="82"/>
    </row>
    <row r="106" spans="1:12" s="24" customFormat="1" ht="15" customHeight="1" x14ac:dyDescent="0.25">
      <c r="A106" s="107"/>
      <c r="B106" s="108">
        <v>45507</v>
      </c>
      <c r="C106" s="150" t="s">
        <v>836</v>
      </c>
      <c r="D106" s="10" t="s">
        <v>16</v>
      </c>
      <c r="E106" s="7" t="s">
        <v>17</v>
      </c>
      <c r="F106" s="109">
        <v>60</v>
      </c>
      <c r="G106" s="111">
        <v>5</v>
      </c>
      <c r="H106" s="109"/>
      <c r="I106" s="112">
        <f t="shared" si="5"/>
        <v>0</v>
      </c>
      <c r="J106" s="113"/>
      <c r="K106" s="120"/>
      <c r="L106" s="82"/>
    </row>
    <row r="107" spans="1:12" s="24" customFormat="1" ht="15" customHeight="1" x14ac:dyDescent="0.25">
      <c r="A107" s="107"/>
      <c r="B107" s="108">
        <v>45507</v>
      </c>
      <c r="C107" s="150" t="s">
        <v>836</v>
      </c>
      <c r="D107" s="29" t="s">
        <v>762</v>
      </c>
      <c r="E107" s="30" t="s">
        <v>85</v>
      </c>
      <c r="F107" s="109">
        <f>70*12</f>
        <v>840</v>
      </c>
      <c r="G107" s="111">
        <v>70</v>
      </c>
      <c r="H107" s="109"/>
      <c r="I107" s="112">
        <f t="shared" si="5"/>
        <v>0</v>
      </c>
      <c r="J107" s="113"/>
      <c r="K107" s="120"/>
      <c r="L107" s="82"/>
    </row>
    <row r="108" spans="1:12" s="24" customFormat="1" ht="15" customHeight="1" x14ac:dyDescent="0.25">
      <c r="A108" s="107"/>
      <c r="B108" s="166">
        <v>45508</v>
      </c>
      <c r="C108" s="148" t="s">
        <v>848</v>
      </c>
      <c r="D108" s="10" t="s">
        <v>22</v>
      </c>
      <c r="E108" s="7" t="s">
        <v>23</v>
      </c>
      <c r="F108" s="109">
        <v>24</v>
      </c>
      <c r="G108" s="111">
        <v>2</v>
      </c>
      <c r="H108" s="109"/>
      <c r="I108" s="112">
        <f t="shared" si="5"/>
        <v>0</v>
      </c>
      <c r="J108" s="113"/>
      <c r="K108" s="120"/>
      <c r="L108" s="82"/>
    </row>
    <row r="109" spans="1:12" s="24" customFormat="1" ht="15" customHeight="1" x14ac:dyDescent="0.25">
      <c r="A109" s="107"/>
      <c r="B109" s="166">
        <v>45508</v>
      </c>
      <c r="C109" s="149" t="s">
        <v>775</v>
      </c>
      <c r="D109" s="15" t="s">
        <v>238</v>
      </c>
      <c r="E109" s="31" t="s">
        <v>239</v>
      </c>
      <c r="F109" s="109">
        <v>25</v>
      </c>
      <c r="G109" s="111"/>
      <c r="H109" s="109"/>
      <c r="I109" s="112">
        <f t="shared" si="5"/>
        <v>0</v>
      </c>
      <c r="J109" s="113"/>
      <c r="K109" s="123"/>
      <c r="L109" s="82"/>
    </row>
    <row r="110" spans="1:12" s="24" customFormat="1" ht="15" customHeight="1" x14ac:dyDescent="0.25">
      <c r="A110" s="107"/>
      <c r="B110" s="166">
        <v>45508</v>
      </c>
      <c r="C110" s="150" t="s">
        <v>836</v>
      </c>
      <c r="D110" s="10" t="s">
        <v>172</v>
      </c>
      <c r="E110" s="9" t="s">
        <v>173</v>
      </c>
      <c r="F110" s="109">
        <v>4</v>
      </c>
      <c r="G110" s="111"/>
      <c r="H110" s="109"/>
      <c r="I110" s="112">
        <f t="shared" si="5"/>
        <v>0</v>
      </c>
      <c r="J110" s="113"/>
      <c r="K110" s="120"/>
      <c r="L110" s="82"/>
    </row>
    <row r="111" spans="1:12" s="24" customFormat="1" ht="15" customHeight="1" x14ac:dyDescent="0.25">
      <c r="A111" s="107"/>
      <c r="B111" s="166">
        <v>45508</v>
      </c>
      <c r="C111" s="150" t="s">
        <v>836</v>
      </c>
      <c r="D111" s="21" t="s">
        <v>763</v>
      </c>
      <c r="E111" s="22" t="s">
        <v>83</v>
      </c>
      <c r="F111" s="109">
        <v>8</v>
      </c>
      <c r="G111" s="111"/>
      <c r="H111" s="109"/>
      <c r="I111" s="112">
        <f t="shared" si="5"/>
        <v>0</v>
      </c>
      <c r="J111" s="113"/>
      <c r="K111" s="120"/>
      <c r="L111" s="82"/>
    </row>
    <row r="112" spans="1:12" s="24" customFormat="1" ht="15" customHeight="1" x14ac:dyDescent="0.25">
      <c r="A112" s="107"/>
      <c r="B112" s="166">
        <v>45508</v>
      </c>
      <c r="C112" s="150" t="s">
        <v>836</v>
      </c>
      <c r="D112" s="21" t="s">
        <v>44</v>
      </c>
      <c r="E112" s="23" t="s">
        <v>45</v>
      </c>
      <c r="F112" s="109">
        <v>5</v>
      </c>
      <c r="G112" s="111"/>
      <c r="H112" s="109"/>
      <c r="I112" s="112">
        <f t="shared" si="5"/>
        <v>0</v>
      </c>
      <c r="J112" s="113"/>
      <c r="K112" s="120"/>
      <c r="L112" s="82"/>
    </row>
    <row r="113" spans="1:12" s="24" customFormat="1" ht="15" customHeight="1" x14ac:dyDescent="0.25">
      <c r="A113" s="107"/>
      <c r="B113" s="166">
        <v>45508</v>
      </c>
      <c r="C113" s="150" t="s">
        <v>836</v>
      </c>
      <c r="D113" s="21" t="s">
        <v>126</v>
      </c>
      <c r="E113" s="22" t="s">
        <v>127</v>
      </c>
      <c r="F113" s="109">
        <v>48</v>
      </c>
      <c r="G113" s="111">
        <v>1</v>
      </c>
      <c r="H113" s="109"/>
      <c r="I113" s="112">
        <f t="shared" si="5"/>
        <v>0</v>
      </c>
      <c r="J113" s="113"/>
      <c r="K113" s="120"/>
      <c r="L113" s="82"/>
    </row>
    <row r="114" spans="1:12" s="24" customFormat="1" ht="15" customHeight="1" x14ac:dyDescent="0.25">
      <c r="A114" s="107"/>
      <c r="B114" s="108">
        <v>45509</v>
      </c>
      <c r="C114" s="109" t="s">
        <v>827</v>
      </c>
      <c r="D114" s="21" t="s">
        <v>142</v>
      </c>
      <c r="E114" s="22" t="s">
        <v>143</v>
      </c>
      <c r="F114" s="109">
        <f>720</f>
        <v>720</v>
      </c>
      <c r="G114" s="111">
        <v>15</v>
      </c>
      <c r="H114" s="109">
        <v>260000</v>
      </c>
      <c r="I114" s="112">
        <f t="shared" si="5"/>
        <v>3900000</v>
      </c>
      <c r="J114" s="377">
        <f>I114+I115</f>
        <v>8550000</v>
      </c>
      <c r="K114" s="378" t="s">
        <v>887</v>
      </c>
      <c r="L114" s="195" t="s">
        <v>864</v>
      </c>
    </row>
    <row r="115" spans="1:12" s="24" customFormat="1" ht="15" customHeight="1" x14ac:dyDescent="0.25">
      <c r="A115" s="107"/>
      <c r="B115" s="108">
        <v>45509</v>
      </c>
      <c r="C115" s="109" t="s">
        <v>827</v>
      </c>
      <c r="D115" s="10" t="s">
        <v>132</v>
      </c>
      <c r="E115" s="9" t="s">
        <v>133</v>
      </c>
      <c r="F115" s="109">
        <v>720</v>
      </c>
      <c r="G115" s="111">
        <v>15</v>
      </c>
      <c r="H115" s="109">
        <v>310000</v>
      </c>
      <c r="I115" s="112">
        <f t="shared" si="5"/>
        <v>4650000</v>
      </c>
      <c r="J115" s="370"/>
      <c r="K115" s="366"/>
      <c r="L115" s="82" t="s">
        <v>865</v>
      </c>
    </row>
    <row r="116" spans="1:12" s="24" customFormat="1" ht="15" customHeight="1" x14ac:dyDescent="0.25">
      <c r="A116" s="107"/>
      <c r="B116" s="108">
        <v>45509</v>
      </c>
      <c r="C116" s="109" t="s">
        <v>857</v>
      </c>
      <c r="D116" s="29" t="s">
        <v>762</v>
      </c>
      <c r="E116" s="30" t="s">
        <v>85</v>
      </c>
      <c r="F116" s="109">
        <v>12</v>
      </c>
      <c r="G116" s="111">
        <v>1</v>
      </c>
      <c r="H116" s="109">
        <v>375000</v>
      </c>
      <c r="I116" s="112">
        <f t="shared" si="5"/>
        <v>375000</v>
      </c>
      <c r="J116" s="385">
        <f>I116+I117</f>
        <v>645000</v>
      </c>
      <c r="K116" s="386" t="s">
        <v>858</v>
      </c>
      <c r="L116" s="82"/>
    </row>
    <row r="117" spans="1:12" s="24" customFormat="1" ht="15" customHeight="1" x14ac:dyDescent="0.25">
      <c r="A117" s="107"/>
      <c r="B117" s="108">
        <v>45509</v>
      </c>
      <c r="C117" s="109" t="s">
        <v>857</v>
      </c>
      <c r="D117" s="21" t="s">
        <v>142</v>
      </c>
      <c r="E117" s="22" t="s">
        <v>143</v>
      </c>
      <c r="F117" s="109">
        <v>48</v>
      </c>
      <c r="G117" s="111">
        <v>1</v>
      </c>
      <c r="H117" s="109">
        <v>270000</v>
      </c>
      <c r="I117" s="112">
        <f t="shared" si="5"/>
        <v>270000</v>
      </c>
      <c r="J117" s="370"/>
      <c r="K117" s="366"/>
      <c r="L117" s="82"/>
    </row>
    <row r="118" spans="1:12" s="24" customFormat="1" ht="15" customHeight="1" x14ac:dyDescent="0.25">
      <c r="A118" s="107"/>
      <c r="B118" s="108">
        <v>45509</v>
      </c>
      <c r="C118" s="109" t="s">
        <v>859</v>
      </c>
      <c r="D118" s="29" t="s">
        <v>762</v>
      </c>
      <c r="E118" s="30" t="s">
        <v>85</v>
      </c>
      <c r="F118" s="109">
        <v>120</v>
      </c>
      <c r="G118" s="111">
        <v>10</v>
      </c>
      <c r="H118" s="116">
        <v>360000</v>
      </c>
      <c r="I118" s="112">
        <f t="shared" si="5"/>
        <v>3600000</v>
      </c>
      <c r="J118" s="113">
        <f>I118</f>
        <v>3600000</v>
      </c>
      <c r="K118" s="124" t="s">
        <v>922</v>
      </c>
      <c r="L118" s="82"/>
    </row>
    <row r="119" spans="1:12" s="24" customFormat="1" ht="15" customHeight="1" x14ac:dyDescent="0.25">
      <c r="A119" s="107"/>
      <c r="B119" s="108">
        <v>45509</v>
      </c>
      <c r="C119" s="109" t="s">
        <v>860</v>
      </c>
      <c r="D119" s="29" t="s">
        <v>762</v>
      </c>
      <c r="E119" s="30" t="s">
        <v>85</v>
      </c>
      <c r="F119" s="109">
        <v>12</v>
      </c>
      <c r="G119" s="111">
        <v>1</v>
      </c>
      <c r="H119" s="116">
        <v>375000</v>
      </c>
      <c r="I119" s="112">
        <f t="shared" si="5"/>
        <v>375000</v>
      </c>
      <c r="J119" s="385">
        <f>I119+I120</f>
        <v>735000</v>
      </c>
      <c r="K119" s="384" t="s">
        <v>825</v>
      </c>
      <c r="L119" s="82"/>
    </row>
    <row r="120" spans="1:12" s="24" customFormat="1" ht="15" customHeight="1" x14ac:dyDescent="0.25">
      <c r="A120" s="107"/>
      <c r="B120" s="108">
        <v>45509</v>
      </c>
      <c r="C120" s="109" t="s">
        <v>860</v>
      </c>
      <c r="D120" s="10" t="s">
        <v>22</v>
      </c>
      <c r="E120" s="7" t="s">
        <v>23</v>
      </c>
      <c r="F120" s="109">
        <v>6</v>
      </c>
      <c r="G120" s="111">
        <v>0.5</v>
      </c>
      <c r="H120" s="116">
        <v>720000</v>
      </c>
      <c r="I120" s="112">
        <f t="shared" si="5"/>
        <v>360000</v>
      </c>
      <c r="J120" s="370"/>
      <c r="K120" s="376"/>
      <c r="L120" s="82"/>
    </row>
    <row r="121" spans="1:12" s="24" customFormat="1" ht="15" customHeight="1" x14ac:dyDescent="0.25">
      <c r="A121" s="107"/>
      <c r="B121" s="108">
        <v>45509</v>
      </c>
      <c r="C121" s="109" t="s">
        <v>839</v>
      </c>
      <c r="D121" s="21" t="s">
        <v>142</v>
      </c>
      <c r="E121" s="22" t="s">
        <v>143</v>
      </c>
      <c r="F121" s="109">
        <v>480</v>
      </c>
      <c r="G121" s="111">
        <v>10</v>
      </c>
      <c r="H121" s="109">
        <v>250000</v>
      </c>
      <c r="I121" s="112">
        <f t="shared" ref="I121" si="6">G121*H121</f>
        <v>2500000</v>
      </c>
      <c r="J121" s="113">
        <f>I121</f>
        <v>2500000</v>
      </c>
      <c r="K121" s="124" t="s">
        <v>825</v>
      </c>
      <c r="L121" s="82"/>
    </row>
    <row r="122" spans="1:12" s="24" customFormat="1" ht="15" customHeight="1" x14ac:dyDescent="0.25">
      <c r="A122" s="107"/>
      <c r="B122" s="108">
        <v>45509</v>
      </c>
      <c r="C122" s="109" t="s">
        <v>861</v>
      </c>
      <c r="D122" s="29" t="s">
        <v>762</v>
      </c>
      <c r="E122" s="30" t="s">
        <v>85</v>
      </c>
      <c r="F122" s="109">
        <f>100*12</f>
        <v>1200</v>
      </c>
      <c r="G122" s="111">
        <v>100</v>
      </c>
      <c r="H122" s="116">
        <v>343000</v>
      </c>
      <c r="I122" s="112">
        <f t="shared" si="5"/>
        <v>34300000</v>
      </c>
      <c r="J122" s="113">
        <f>I122</f>
        <v>34300000</v>
      </c>
      <c r="K122" s="124"/>
      <c r="L122" s="82"/>
    </row>
    <row r="123" spans="1:12" s="24" customFormat="1" ht="15" customHeight="1" x14ac:dyDescent="0.25">
      <c r="A123" s="107"/>
      <c r="B123" s="108">
        <v>45509</v>
      </c>
      <c r="C123" s="109" t="s">
        <v>862</v>
      </c>
      <c r="D123" s="10" t="s">
        <v>16</v>
      </c>
      <c r="E123" s="7" t="s">
        <v>17</v>
      </c>
      <c r="F123" s="109">
        <v>12</v>
      </c>
      <c r="G123" s="111">
        <v>1</v>
      </c>
      <c r="H123" s="116">
        <v>615000</v>
      </c>
      <c r="I123" s="112">
        <f t="shared" si="5"/>
        <v>615000</v>
      </c>
      <c r="J123" s="113">
        <f>I123</f>
        <v>615000</v>
      </c>
      <c r="K123" s="124" t="s">
        <v>850</v>
      </c>
      <c r="L123" s="82"/>
    </row>
    <row r="124" spans="1:12" s="24" customFormat="1" ht="15" customHeight="1" x14ac:dyDescent="0.25">
      <c r="A124" s="107"/>
      <c r="B124" s="108">
        <v>45509</v>
      </c>
      <c r="C124" s="109" t="s">
        <v>851</v>
      </c>
      <c r="D124" s="29" t="s">
        <v>762</v>
      </c>
      <c r="E124" s="30" t="s">
        <v>85</v>
      </c>
      <c r="F124" s="109">
        <v>12</v>
      </c>
      <c r="G124" s="111">
        <v>1</v>
      </c>
      <c r="H124" s="116">
        <v>380000</v>
      </c>
      <c r="I124" s="112">
        <f t="shared" si="5"/>
        <v>380000</v>
      </c>
      <c r="J124" s="113">
        <f>I124</f>
        <v>380000</v>
      </c>
      <c r="K124" s="124" t="s">
        <v>825</v>
      </c>
      <c r="L124" s="82"/>
    </row>
    <row r="125" spans="1:12" s="24" customFormat="1" ht="15" customHeight="1" x14ac:dyDescent="0.25">
      <c r="A125" s="107"/>
      <c r="B125" s="108">
        <v>45509</v>
      </c>
      <c r="C125" s="109" t="s">
        <v>826</v>
      </c>
      <c r="D125" s="10" t="s">
        <v>22</v>
      </c>
      <c r="E125" s="7" t="s">
        <v>23</v>
      </c>
      <c r="F125" s="109">
        <v>24</v>
      </c>
      <c r="G125" s="111">
        <v>2</v>
      </c>
      <c r="H125" s="116">
        <v>739000</v>
      </c>
      <c r="I125" s="112">
        <f t="shared" si="5"/>
        <v>1478000</v>
      </c>
      <c r="J125" s="385">
        <f>I125+I126</f>
        <v>2853000</v>
      </c>
      <c r="K125" s="384" t="s">
        <v>825</v>
      </c>
      <c r="L125" s="82"/>
    </row>
    <row r="126" spans="1:12" s="24" customFormat="1" ht="15" customHeight="1" x14ac:dyDescent="0.25">
      <c r="A126" s="107"/>
      <c r="B126" s="108">
        <v>45509</v>
      </c>
      <c r="C126" s="109" t="s">
        <v>826</v>
      </c>
      <c r="D126" s="10" t="s">
        <v>124</v>
      </c>
      <c r="E126" s="9" t="s">
        <v>125</v>
      </c>
      <c r="F126" s="109">
        <v>240</v>
      </c>
      <c r="G126" s="111">
        <v>5</v>
      </c>
      <c r="H126" s="116">
        <v>275000</v>
      </c>
      <c r="I126" s="112">
        <f t="shared" si="5"/>
        <v>1375000</v>
      </c>
      <c r="J126" s="370"/>
      <c r="K126" s="376"/>
      <c r="L126" s="82"/>
    </row>
    <row r="127" spans="1:12" s="24" customFormat="1" ht="15" customHeight="1" x14ac:dyDescent="0.25">
      <c r="A127" s="107"/>
      <c r="B127" s="108">
        <v>45509</v>
      </c>
      <c r="C127" s="109" t="s">
        <v>853</v>
      </c>
      <c r="D127" s="21" t="s">
        <v>798</v>
      </c>
      <c r="E127" s="23" t="s">
        <v>796</v>
      </c>
      <c r="F127" s="109">
        <v>24</v>
      </c>
      <c r="G127" s="111">
        <v>1</v>
      </c>
      <c r="H127" s="116">
        <v>175000</v>
      </c>
      <c r="I127" s="112">
        <f t="shared" si="5"/>
        <v>175000</v>
      </c>
      <c r="J127" s="385">
        <f>SUM(I127:I129)</f>
        <v>811000</v>
      </c>
      <c r="K127" s="124"/>
      <c r="L127" s="82"/>
    </row>
    <row r="128" spans="1:12" s="24" customFormat="1" ht="15" customHeight="1" x14ac:dyDescent="0.25">
      <c r="A128" s="107"/>
      <c r="B128" s="108">
        <v>45509</v>
      </c>
      <c r="C128" s="109" t="s">
        <v>853</v>
      </c>
      <c r="D128" s="10" t="s">
        <v>132</v>
      </c>
      <c r="E128" s="9" t="s">
        <v>133</v>
      </c>
      <c r="F128" s="109">
        <v>48</v>
      </c>
      <c r="G128" s="111">
        <v>1</v>
      </c>
      <c r="H128" s="116">
        <v>318000</v>
      </c>
      <c r="I128" s="112">
        <f t="shared" si="5"/>
        <v>318000</v>
      </c>
      <c r="J128" s="373"/>
      <c r="K128" s="124"/>
      <c r="L128" s="82"/>
    </row>
    <row r="129" spans="1:12" s="24" customFormat="1" ht="15" customHeight="1" x14ac:dyDescent="0.25">
      <c r="A129" s="107"/>
      <c r="B129" s="108">
        <v>45509</v>
      </c>
      <c r="C129" s="109" t="s">
        <v>853</v>
      </c>
      <c r="D129" s="10" t="s">
        <v>140</v>
      </c>
      <c r="E129" s="9" t="s">
        <v>141</v>
      </c>
      <c r="F129" s="109">
        <v>48</v>
      </c>
      <c r="G129" s="111">
        <v>1</v>
      </c>
      <c r="H129" s="116">
        <v>318000</v>
      </c>
      <c r="I129" s="112">
        <f t="shared" si="5"/>
        <v>318000</v>
      </c>
      <c r="J129" s="370"/>
      <c r="K129" s="124"/>
      <c r="L129" s="82"/>
    </row>
    <row r="130" spans="1:12" s="24" customFormat="1" ht="15" customHeight="1" x14ac:dyDescent="0.25">
      <c r="A130" s="107"/>
      <c r="B130" s="108">
        <v>45509</v>
      </c>
      <c r="C130" s="109" t="s">
        <v>863</v>
      </c>
      <c r="D130" s="57" t="s">
        <v>808</v>
      </c>
      <c r="E130" s="58" t="s">
        <v>809</v>
      </c>
      <c r="F130" s="109">
        <v>48</v>
      </c>
      <c r="G130" s="111">
        <v>2</v>
      </c>
      <c r="H130" s="147">
        <v>9000</v>
      </c>
      <c r="I130" s="112">
        <f>F130*H130</f>
        <v>432000</v>
      </c>
      <c r="J130" s="385">
        <f>SUM(I130:I146)</f>
        <v>3030073.5200000005</v>
      </c>
      <c r="K130" s="384" t="s">
        <v>872</v>
      </c>
      <c r="L130" s="82"/>
    </row>
    <row r="131" spans="1:12" s="24" customFormat="1" ht="15" customHeight="1" x14ac:dyDescent="0.25">
      <c r="A131" s="107"/>
      <c r="B131" s="108">
        <v>45509</v>
      </c>
      <c r="C131" s="109" t="s">
        <v>863</v>
      </c>
      <c r="D131" s="29" t="s">
        <v>528</v>
      </c>
      <c r="E131" s="9" t="s">
        <v>529</v>
      </c>
      <c r="F131" s="109">
        <v>5</v>
      </c>
      <c r="G131" s="111"/>
      <c r="H131" s="147">
        <f>288120/12</f>
        <v>24010</v>
      </c>
      <c r="I131" s="112">
        <f t="shared" ref="I131:I146" si="7">F131*H131</f>
        <v>120050</v>
      </c>
      <c r="J131" s="373"/>
      <c r="K131" s="392"/>
      <c r="L131" s="82"/>
    </row>
    <row r="132" spans="1:12" s="24" customFormat="1" ht="15" customHeight="1" x14ac:dyDescent="0.25">
      <c r="A132" s="107"/>
      <c r="B132" s="108">
        <v>45509</v>
      </c>
      <c r="C132" s="109" t="s">
        <v>863</v>
      </c>
      <c r="D132" s="10" t="s">
        <v>124</v>
      </c>
      <c r="E132" s="9" t="s">
        <v>125</v>
      </c>
      <c r="F132" s="109">
        <v>24</v>
      </c>
      <c r="G132" s="111">
        <v>0.5</v>
      </c>
      <c r="H132" s="147">
        <v>5520.833333333333</v>
      </c>
      <c r="I132" s="112">
        <f t="shared" si="7"/>
        <v>132500</v>
      </c>
      <c r="J132" s="373"/>
      <c r="K132" s="392"/>
      <c r="L132" s="82"/>
    </row>
    <row r="133" spans="1:12" s="24" customFormat="1" ht="15" customHeight="1" x14ac:dyDescent="0.25">
      <c r="A133" s="107"/>
      <c r="B133" s="108">
        <v>45509</v>
      </c>
      <c r="C133" s="109" t="s">
        <v>863</v>
      </c>
      <c r="D133" s="21" t="s">
        <v>126</v>
      </c>
      <c r="E133" s="22" t="s">
        <v>127</v>
      </c>
      <c r="F133" s="109">
        <v>24</v>
      </c>
      <c r="G133" s="111">
        <v>0.5</v>
      </c>
      <c r="H133" s="147">
        <f>265000/48</f>
        <v>5520.833333333333</v>
      </c>
      <c r="I133" s="112">
        <f t="shared" si="7"/>
        <v>132500</v>
      </c>
      <c r="J133" s="373"/>
      <c r="K133" s="392"/>
      <c r="L133" s="82"/>
    </row>
    <row r="134" spans="1:12" s="24" customFormat="1" ht="15" customHeight="1" x14ac:dyDescent="0.25">
      <c r="A134" s="107"/>
      <c r="B134" s="108">
        <v>45509</v>
      </c>
      <c r="C134" s="109" t="s">
        <v>863</v>
      </c>
      <c r="D134" s="21" t="s">
        <v>142</v>
      </c>
      <c r="E134" s="22" t="s">
        <v>143</v>
      </c>
      <c r="F134" s="109">
        <v>24</v>
      </c>
      <c r="G134" s="111">
        <v>0.5</v>
      </c>
      <c r="H134" s="147">
        <v>5520.833333333333</v>
      </c>
      <c r="I134" s="112">
        <f t="shared" si="7"/>
        <v>132500</v>
      </c>
      <c r="J134" s="373"/>
      <c r="K134" s="392"/>
      <c r="L134" s="82"/>
    </row>
    <row r="135" spans="1:12" s="24" customFormat="1" ht="15" customHeight="1" x14ac:dyDescent="0.25">
      <c r="A135" s="107"/>
      <c r="B135" s="108">
        <v>45509</v>
      </c>
      <c r="C135" s="109" t="s">
        <v>863</v>
      </c>
      <c r="D135" s="10" t="s">
        <v>156</v>
      </c>
      <c r="E135" s="9" t="s">
        <v>157</v>
      </c>
      <c r="F135" s="109">
        <v>12</v>
      </c>
      <c r="G135" s="111">
        <v>0.5</v>
      </c>
      <c r="H135" s="147">
        <v>7350</v>
      </c>
      <c r="I135" s="112">
        <f t="shared" si="7"/>
        <v>88200</v>
      </c>
      <c r="J135" s="373"/>
      <c r="K135" s="392"/>
      <c r="L135" s="82"/>
    </row>
    <row r="136" spans="1:12" s="24" customFormat="1" ht="15" customHeight="1" x14ac:dyDescent="0.25">
      <c r="A136" s="107"/>
      <c r="B136" s="108">
        <v>45509</v>
      </c>
      <c r="C136" s="109" t="s">
        <v>863</v>
      </c>
      <c r="D136" s="10" t="s">
        <v>162</v>
      </c>
      <c r="E136" s="9" t="s">
        <v>163</v>
      </c>
      <c r="F136" s="109">
        <v>12</v>
      </c>
      <c r="G136" s="111">
        <v>0.5</v>
      </c>
      <c r="H136" s="147">
        <v>7350</v>
      </c>
      <c r="I136" s="112">
        <f t="shared" si="7"/>
        <v>88200</v>
      </c>
      <c r="J136" s="373"/>
      <c r="K136" s="392"/>
      <c r="L136" s="82"/>
    </row>
    <row r="137" spans="1:12" s="24" customFormat="1" ht="15" customHeight="1" x14ac:dyDescent="0.25">
      <c r="A137" s="107"/>
      <c r="B137" s="108">
        <v>45509</v>
      </c>
      <c r="C137" s="109" t="s">
        <v>863</v>
      </c>
      <c r="D137" s="10" t="s">
        <v>132</v>
      </c>
      <c r="E137" s="9" t="s">
        <v>133</v>
      </c>
      <c r="F137" s="109">
        <v>24</v>
      </c>
      <c r="G137" s="111">
        <v>0.5</v>
      </c>
      <c r="H137" s="147">
        <v>6458.333333333333</v>
      </c>
      <c r="I137" s="112">
        <f t="shared" si="7"/>
        <v>155000</v>
      </c>
      <c r="J137" s="373"/>
      <c r="K137" s="392"/>
      <c r="L137" s="82"/>
    </row>
    <row r="138" spans="1:12" s="24" customFormat="1" ht="15" customHeight="1" x14ac:dyDescent="0.25">
      <c r="A138" s="107"/>
      <c r="B138" s="108">
        <v>45509</v>
      </c>
      <c r="C138" s="109" t="s">
        <v>863</v>
      </c>
      <c r="D138" s="21" t="s">
        <v>797</v>
      </c>
      <c r="E138" s="23" t="s">
        <v>795</v>
      </c>
      <c r="F138" s="109">
        <v>24</v>
      </c>
      <c r="G138" s="111">
        <v>1</v>
      </c>
      <c r="H138" s="147">
        <v>6875</v>
      </c>
      <c r="I138" s="112">
        <f t="shared" si="7"/>
        <v>165000</v>
      </c>
      <c r="J138" s="373"/>
      <c r="K138" s="392"/>
      <c r="L138" s="82"/>
    </row>
    <row r="139" spans="1:12" s="24" customFormat="1" ht="15" customHeight="1" x14ac:dyDescent="0.25">
      <c r="A139" s="107"/>
      <c r="B139" s="108">
        <v>45509</v>
      </c>
      <c r="C139" s="109" t="s">
        <v>863</v>
      </c>
      <c r="D139" s="21" t="s">
        <v>36</v>
      </c>
      <c r="E139" s="23" t="s">
        <v>37</v>
      </c>
      <c r="F139" s="109">
        <v>8</v>
      </c>
      <c r="G139" s="111"/>
      <c r="H139" s="147">
        <f>320000/48</f>
        <v>6666.666666666667</v>
      </c>
      <c r="I139" s="112">
        <f t="shared" si="7"/>
        <v>53333.333333333336</v>
      </c>
      <c r="J139" s="373"/>
      <c r="K139" s="392"/>
      <c r="L139" s="82"/>
    </row>
    <row r="140" spans="1:12" s="24" customFormat="1" ht="15" customHeight="1" x14ac:dyDescent="0.25">
      <c r="A140" s="107"/>
      <c r="B140" s="108">
        <v>45509</v>
      </c>
      <c r="C140" s="109" t="s">
        <v>863</v>
      </c>
      <c r="D140" s="21" t="s">
        <v>38</v>
      </c>
      <c r="E140" s="23" t="s">
        <v>39</v>
      </c>
      <c r="F140" s="109">
        <v>10</v>
      </c>
      <c r="G140" s="111"/>
      <c r="H140" s="147">
        <f>320000/48</f>
        <v>6666.666666666667</v>
      </c>
      <c r="I140" s="112">
        <f t="shared" si="7"/>
        <v>66666.666666666672</v>
      </c>
      <c r="J140" s="373"/>
      <c r="K140" s="392"/>
      <c r="L140" s="82"/>
    </row>
    <row r="141" spans="1:12" s="24" customFormat="1" ht="15" customHeight="1" x14ac:dyDescent="0.25">
      <c r="A141" s="107"/>
      <c r="B141" s="108">
        <v>45509</v>
      </c>
      <c r="C141" s="109" t="s">
        <v>863</v>
      </c>
      <c r="D141" s="21" t="s">
        <v>40</v>
      </c>
      <c r="E141" s="23" t="s">
        <v>41</v>
      </c>
      <c r="F141" s="109">
        <v>10</v>
      </c>
      <c r="G141" s="111"/>
      <c r="H141" s="147">
        <f>320000/48</f>
        <v>6666.666666666667</v>
      </c>
      <c r="I141" s="112">
        <f t="shared" si="7"/>
        <v>66666.666666666672</v>
      </c>
      <c r="J141" s="373"/>
      <c r="K141" s="392"/>
      <c r="L141" s="82"/>
    </row>
    <row r="142" spans="1:12" s="24" customFormat="1" ht="15" customHeight="1" x14ac:dyDescent="0.25">
      <c r="A142" s="107"/>
      <c r="B142" s="108">
        <v>45509</v>
      </c>
      <c r="C142" s="109" t="s">
        <v>863</v>
      </c>
      <c r="D142" s="21" t="s">
        <v>42</v>
      </c>
      <c r="E142" s="23" t="s">
        <v>43</v>
      </c>
      <c r="F142" s="109">
        <v>10</v>
      </c>
      <c r="G142" s="111"/>
      <c r="H142" s="147">
        <f>320000/48</f>
        <v>6666.666666666667</v>
      </c>
      <c r="I142" s="112">
        <f t="shared" si="7"/>
        <v>66666.666666666672</v>
      </c>
      <c r="J142" s="373"/>
      <c r="K142" s="392"/>
      <c r="L142" s="82"/>
    </row>
    <row r="143" spans="1:12" s="24" customFormat="1" ht="15" customHeight="1" x14ac:dyDescent="0.25">
      <c r="A143" s="107"/>
      <c r="B143" s="108">
        <v>45509</v>
      </c>
      <c r="C143" s="109" t="s">
        <v>863</v>
      </c>
      <c r="D143" s="21" t="s">
        <v>44</v>
      </c>
      <c r="E143" s="23" t="s">
        <v>45</v>
      </c>
      <c r="F143" s="109">
        <v>10</v>
      </c>
      <c r="G143" s="204"/>
      <c r="H143" s="65">
        <f>320000/48</f>
        <v>6666.666666666667</v>
      </c>
      <c r="I143" s="205">
        <f t="shared" si="7"/>
        <v>66666.666666666672</v>
      </c>
      <c r="J143" s="373"/>
      <c r="K143" s="392"/>
      <c r="L143" s="82"/>
    </row>
    <row r="144" spans="1:12" s="24" customFormat="1" ht="15" customHeight="1" x14ac:dyDescent="0.25">
      <c r="A144" s="107"/>
      <c r="B144" s="108">
        <v>45509</v>
      </c>
      <c r="C144" s="109" t="s">
        <v>863</v>
      </c>
      <c r="D144" s="21" t="s">
        <v>765</v>
      </c>
      <c r="E144" s="22" t="s">
        <v>75</v>
      </c>
      <c r="F144" s="109">
        <v>48</v>
      </c>
      <c r="G144" s="202">
        <v>1</v>
      </c>
      <c r="H144" s="206">
        <v>7044.24</v>
      </c>
      <c r="I144" s="203">
        <f t="shared" si="7"/>
        <v>338123.52000000002</v>
      </c>
      <c r="J144" s="373"/>
      <c r="K144" s="392"/>
      <c r="L144" s="82"/>
    </row>
    <row r="145" spans="1:12" s="24" customFormat="1" ht="15" customHeight="1" x14ac:dyDescent="0.25">
      <c r="A145" s="107"/>
      <c r="B145" s="108">
        <v>45509</v>
      </c>
      <c r="C145" s="109" t="s">
        <v>863</v>
      </c>
      <c r="D145" s="10" t="s">
        <v>759</v>
      </c>
      <c r="E145" s="7" t="s">
        <v>758</v>
      </c>
      <c r="F145" s="109">
        <v>96</v>
      </c>
      <c r="G145" s="202">
        <v>2</v>
      </c>
      <c r="H145" s="206">
        <f>343000/48</f>
        <v>7145.833333333333</v>
      </c>
      <c r="I145" s="203">
        <f t="shared" si="7"/>
        <v>686000</v>
      </c>
      <c r="J145" s="373"/>
      <c r="K145" s="392"/>
      <c r="L145" s="82"/>
    </row>
    <row r="146" spans="1:12" s="24" customFormat="1" ht="15" customHeight="1" x14ac:dyDescent="0.25">
      <c r="A146" s="107"/>
      <c r="B146" s="108">
        <v>45509</v>
      </c>
      <c r="C146" s="109" t="s">
        <v>863</v>
      </c>
      <c r="D146" s="10" t="s">
        <v>52</v>
      </c>
      <c r="E146" s="7" t="s">
        <v>53</v>
      </c>
      <c r="F146" s="109">
        <v>48</v>
      </c>
      <c r="G146" s="202">
        <v>1</v>
      </c>
      <c r="H146" s="206">
        <f>240000/48</f>
        <v>5000</v>
      </c>
      <c r="I146" s="203">
        <f t="shared" si="7"/>
        <v>240000</v>
      </c>
      <c r="J146" s="370"/>
      <c r="K146" s="376"/>
      <c r="L146" s="82"/>
    </row>
    <row r="147" spans="1:12" s="24" customFormat="1" ht="15" customHeight="1" x14ac:dyDescent="0.25">
      <c r="A147" s="196"/>
      <c r="B147" s="108">
        <v>45509</v>
      </c>
      <c r="C147" s="197" t="s">
        <v>868</v>
      </c>
      <c r="D147" s="21" t="s">
        <v>42</v>
      </c>
      <c r="E147" s="23" t="s">
        <v>43</v>
      </c>
      <c r="F147" s="197">
        <v>48</v>
      </c>
      <c r="G147" s="202">
        <v>1</v>
      </c>
      <c r="H147" s="206">
        <v>320000</v>
      </c>
      <c r="I147" s="203">
        <f>H147</f>
        <v>320000</v>
      </c>
      <c r="J147" s="194">
        <f>I147</f>
        <v>320000</v>
      </c>
      <c r="K147" s="198" t="s">
        <v>825</v>
      </c>
      <c r="L147" s="82"/>
    </row>
    <row r="148" spans="1:12" s="24" customFormat="1" ht="15" customHeight="1" x14ac:dyDescent="0.25">
      <c r="A148" s="200"/>
      <c r="B148" s="108">
        <v>45509</v>
      </c>
      <c r="C148" s="201" t="s">
        <v>869</v>
      </c>
      <c r="D148" s="15" t="s">
        <v>217</v>
      </c>
      <c r="E148" s="17" t="s">
        <v>218</v>
      </c>
      <c r="F148" s="201">
        <v>96</v>
      </c>
      <c r="G148" s="202">
        <v>2</v>
      </c>
      <c r="H148" s="206">
        <v>270000</v>
      </c>
      <c r="I148" s="203">
        <f>G148*H148</f>
        <v>540000</v>
      </c>
      <c r="J148" s="393">
        <f>I148+I149</f>
        <v>1400000</v>
      </c>
      <c r="K148" s="394" t="s">
        <v>825</v>
      </c>
      <c r="L148" s="82"/>
    </row>
    <row r="149" spans="1:12" s="24" customFormat="1" ht="15" customHeight="1" x14ac:dyDescent="0.25">
      <c r="A149" s="200"/>
      <c r="B149" s="108">
        <v>45509</v>
      </c>
      <c r="C149" s="201" t="s">
        <v>869</v>
      </c>
      <c r="D149" s="10" t="s">
        <v>80</v>
      </c>
      <c r="E149" s="9" t="s">
        <v>81</v>
      </c>
      <c r="F149" s="201">
        <v>96</v>
      </c>
      <c r="G149" s="202">
        <v>2</v>
      </c>
      <c r="H149" s="206">
        <v>430000</v>
      </c>
      <c r="I149" s="203">
        <f t="shared" ref="I149:I163" si="8">G149*H149</f>
        <v>860000</v>
      </c>
      <c r="J149" s="370"/>
      <c r="K149" s="376"/>
      <c r="L149" s="82"/>
    </row>
    <row r="150" spans="1:12" s="24" customFormat="1" ht="15" customHeight="1" x14ac:dyDescent="0.25">
      <c r="A150" s="208"/>
      <c r="B150" s="108">
        <v>45509</v>
      </c>
      <c r="C150" s="209" t="s">
        <v>839</v>
      </c>
      <c r="D150" s="21" t="s">
        <v>126</v>
      </c>
      <c r="E150" s="22" t="s">
        <v>127</v>
      </c>
      <c r="F150" s="209">
        <v>480</v>
      </c>
      <c r="G150" s="210">
        <v>10</v>
      </c>
      <c r="H150" s="211">
        <v>250000</v>
      </c>
      <c r="I150" s="203">
        <f t="shared" si="8"/>
        <v>2500000</v>
      </c>
      <c r="J150" s="374">
        <f>I150+I151</f>
        <v>6120000</v>
      </c>
      <c r="K150" s="375" t="s">
        <v>825</v>
      </c>
      <c r="L150" s="82"/>
    </row>
    <row r="151" spans="1:12" s="24" customFormat="1" ht="15" customHeight="1" x14ac:dyDescent="0.25">
      <c r="A151" s="208"/>
      <c r="B151" s="108">
        <v>45509</v>
      </c>
      <c r="C151" s="209" t="s">
        <v>839</v>
      </c>
      <c r="D151" s="29" t="s">
        <v>762</v>
      </c>
      <c r="E151" s="30" t="s">
        <v>85</v>
      </c>
      <c r="F151" s="209">
        <v>120</v>
      </c>
      <c r="G151" s="210">
        <v>10</v>
      </c>
      <c r="H151" s="211">
        <v>362000</v>
      </c>
      <c r="I151" s="203">
        <f t="shared" si="8"/>
        <v>3620000</v>
      </c>
      <c r="J151" s="370"/>
      <c r="K151" s="376"/>
      <c r="L151" s="82"/>
    </row>
    <row r="152" spans="1:12" s="24" customFormat="1" ht="15" customHeight="1" x14ac:dyDescent="0.25">
      <c r="A152" s="208"/>
      <c r="B152" s="108">
        <v>45509</v>
      </c>
      <c r="C152" s="209" t="s">
        <v>870</v>
      </c>
      <c r="D152" s="21" t="s">
        <v>142</v>
      </c>
      <c r="E152" s="22" t="s">
        <v>143</v>
      </c>
      <c r="F152" s="209">
        <v>90</v>
      </c>
      <c r="G152" s="210"/>
      <c r="H152" s="211">
        <v>285000</v>
      </c>
      <c r="I152" s="203">
        <f>H152/48*F152</f>
        <v>534375</v>
      </c>
      <c r="J152" s="371">
        <f>I152+I153</f>
        <v>595783</v>
      </c>
      <c r="K152" s="199"/>
      <c r="L152" s="82"/>
    </row>
    <row r="153" spans="1:12" s="24" customFormat="1" ht="15" customHeight="1" x14ac:dyDescent="0.25">
      <c r="A153" s="208"/>
      <c r="B153" s="108">
        <v>45509</v>
      </c>
      <c r="C153" s="209" t="s">
        <v>870</v>
      </c>
      <c r="D153" s="15" t="s">
        <v>212</v>
      </c>
      <c r="E153" s="31" t="s">
        <v>213</v>
      </c>
      <c r="F153" s="209">
        <v>2</v>
      </c>
      <c r="G153" s="210"/>
      <c r="H153" s="211">
        <v>30704</v>
      </c>
      <c r="I153" s="203">
        <f>H153*F153</f>
        <v>61408</v>
      </c>
      <c r="J153" s="370"/>
      <c r="K153" s="199"/>
      <c r="L153" s="82"/>
    </row>
    <row r="154" spans="1:12" s="24" customFormat="1" ht="15" customHeight="1" x14ac:dyDescent="0.25">
      <c r="A154" s="219"/>
      <c r="B154" s="108">
        <v>45509</v>
      </c>
      <c r="C154" s="220" t="s">
        <v>829</v>
      </c>
      <c r="D154" s="94" t="s">
        <v>818</v>
      </c>
      <c r="E154" s="22" t="s">
        <v>819</v>
      </c>
      <c r="F154" s="220">
        <v>1</v>
      </c>
      <c r="G154" s="221"/>
      <c r="H154" s="222"/>
      <c r="I154" s="223"/>
      <c r="J154" s="212"/>
      <c r="K154" s="213" t="s">
        <v>871</v>
      </c>
      <c r="L154" s="82"/>
    </row>
    <row r="155" spans="1:12" s="24" customFormat="1" ht="15" customHeight="1" x14ac:dyDescent="0.25">
      <c r="A155" s="107"/>
      <c r="B155" s="108">
        <v>45509</v>
      </c>
      <c r="C155" s="148" t="s">
        <v>848</v>
      </c>
      <c r="D155" s="10" t="s">
        <v>22</v>
      </c>
      <c r="E155" s="7" t="s">
        <v>23</v>
      </c>
      <c r="F155" s="109">
        <v>10</v>
      </c>
      <c r="G155" s="202"/>
      <c r="H155" s="207"/>
      <c r="I155" s="203">
        <f t="shared" si="8"/>
        <v>0</v>
      </c>
      <c r="J155" s="113"/>
      <c r="K155" s="123"/>
      <c r="L155" s="82"/>
    </row>
    <row r="156" spans="1:12" s="24" customFormat="1" ht="15" customHeight="1" x14ac:dyDescent="0.25">
      <c r="A156" s="107"/>
      <c r="B156" s="108">
        <v>45509</v>
      </c>
      <c r="C156" s="148" t="s">
        <v>848</v>
      </c>
      <c r="D156" s="29" t="s">
        <v>762</v>
      </c>
      <c r="E156" s="30" t="s">
        <v>85</v>
      </c>
      <c r="F156" s="109">
        <v>24</v>
      </c>
      <c r="G156" s="202">
        <v>2</v>
      </c>
      <c r="H156" s="207"/>
      <c r="I156" s="203">
        <f t="shared" si="8"/>
        <v>0</v>
      </c>
      <c r="J156" s="113"/>
      <c r="K156" s="123"/>
      <c r="L156" s="82"/>
    </row>
    <row r="157" spans="1:12" s="24" customFormat="1" ht="15" customHeight="1" x14ac:dyDescent="0.25">
      <c r="A157" s="107"/>
      <c r="B157" s="108">
        <v>45509</v>
      </c>
      <c r="C157" s="149" t="s">
        <v>775</v>
      </c>
      <c r="D157" s="29" t="s">
        <v>762</v>
      </c>
      <c r="E157" s="30" t="s">
        <v>85</v>
      </c>
      <c r="F157" s="109">
        <v>24</v>
      </c>
      <c r="G157" s="202">
        <v>2</v>
      </c>
      <c r="H157" s="207"/>
      <c r="I157" s="203">
        <f t="shared" si="8"/>
        <v>0</v>
      </c>
      <c r="J157" s="113"/>
      <c r="K157" s="123"/>
      <c r="L157" s="82"/>
    </row>
    <row r="158" spans="1:12" s="24" customFormat="1" ht="15" customHeight="1" x14ac:dyDescent="0.25">
      <c r="A158" s="107"/>
      <c r="B158" s="108">
        <v>45509</v>
      </c>
      <c r="C158" s="149" t="s">
        <v>775</v>
      </c>
      <c r="D158" s="10" t="s">
        <v>86</v>
      </c>
      <c r="E158" s="9" t="s">
        <v>87</v>
      </c>
      <c r="F158" s="109">
        <v>12</v>
      </c>
      <c r="G158" s="111">
        <v>1</v>
      </c>
      <c r="H158" s="116"/>
      <c r="I158" s="203">
        <f t="shared" si="8"/>
        <v>0</v>
      </c>
      <c r="J158" s="113"/>
      <c r="K158" s="123"/>
      <c r="L158" s="82"/>
    </row>
    <row r="159" spans="1:12" s="24" customFormat="1" ht="15" customHeight="1" x14ac:dyDescent="0.25">
      <c r="A159" s="107"/>
      <c r="B159" s="108">
        <v>45509</v>
      </c>
      <c r="C159" s="148" t="s">
        <v>779</v>
      </c>
      <c r="D159" s="21" t="s">
        <v>126</v>
      </c>
      <c r="E159" s="22" t="s">
        <v>127</v>
      </c>
      <c r="F159" s="109">
        <v>48</v>
      </c>
      <c r="G159" s="111">
        <v>1</v>
      </c>
      <c r="H159" s="116"/>
      <c r="I159" s="203">
        <f t="shared" si="8"/>
        <v>0</v>
      </c>
      <c r="J159" s="113"/>
      <c r="K159" s="123"/>
      <c r="L159" s="82"/>
    </row>
    <row r="160" spans="1:12" s="24" customFormat="1" ht="15" customHeight="1" x14ac:dyDescent="0.25">
      <c r="A160" s="107"/>
      <c r="B160" s="108">
        <v>45509</v>
      </c>
      <c r="C160" s="148" t="s">
        <v>779</v>
      </c>
      <c r="D160" s="10" t="s">
        <v>16</v>
      </c>
      <c r="E160" s="7" t="s">
        <v>17</v>
      </c>
      <c r="F160" s="109">
        <v>5</v>
      </c>
      <c r="G160" s="111"/>
      <c r="H160" s="116"/>
      <c r="I160" s="203">
        <f t="shared" si="8"/>
        <v>0</v>
      </c>
      <c r="J160" s="113"/>
      <c r="K160" s="123"/>
      <c r="L160" s="82"/>
    </row>
    <row r="161" spans="1:12" s="24" customFormat="1" ht="15" customHeight="1" x14ac:dyDescent="0.25">
      <c r="A161" s="107"/>
      <c r="B161" s="108">
        <v>45509</v>
      </c>
      <c r="C161" s="150" t="s">
        <v>836</v>
      </c>
      <c r="D161" s="21" t="s">
        <v>40</v>
      </c>
      <c r="E161" s="23" t="s">
        <v>41</v>
      </c>
      <c r="F161" s="109">
        <v>96</v>
      </c>
      <c r="G161" s="111">
        <v>2</v>
      </c>
      <c r="H161" s="116"/>
      <c r="I161" s="203">
        <f t="shared" si="8"/>
        <v>0</v>
      </c>
      <c r="J161" s="113"/>
      <c r="K161" s="123"/>
      <c r="L161" s="82"/>
    </row>
    <row r="162" spans="1:12" s="24" customFormat="1" ht="15" customHeight="1" x14ac:dyDescent="0.25">
      <c r="A162" s="107"/>
      <c r="B162" s="108">
        <v>45509</v>
      </c>
      <c r="C162" s="150" t="s">
        <v>836</v>
      </c>
      <c r="D162" s="21" t="s">
        <v>767</v>
      </c>
      <c r="E162" s="23" t="s">
        <v>63</v>
      </c>
      <c r="F162" s="109">
        <v>48</v>
      </c>
      <c r="G162" s="111">
        <v>1</v>
      </c>
      <c r="H162" s="116"/>
      <c r="I162" s="203">
        <f t="shared" si="8"/>
        <v>0</v>
      </c>
      <c r="J162" s="113"/>
      <c r="K162" s="123"/>
      <c r="L162" s="82"/>
    </row>
    <row r="163" spans="1:12" s="24" customFormat="1" ht="15" customHeight="1" x14ac:dyDescent="0.25">
      <c r="A163" s="107"/>
      <c r="B163" s="108">
        <v>45509</v>
      </c>
      <c r="C163" s="150" t="s">
        <v>836</v>
      </c>
      <c r="D163" s="10" t="s">
        <v>86</v>
      </c>
      <c r="E163" s="9" t="s">
        <v>87</v>
      </c>
      <c r="F163" s="109">
        <v>24</v>
      </c>
      <c r="G163" s="111">
        <v>2</v>
      </c>
      <c r="H163" s="109"/>
      <c r="I163" s="203">
        <f t="shared" si="8"/>
        <v>0</v>
      </c>
      <c r="J163" s="113"/>
      <c r="K163" s="120"/>
      <c r="L163" s="82"/>
    </row>
    <row r="164" spans="1:12" x14ac:dyDescent="0.25">
      <c r="A164" s="128"/>
      <c r="B164" s="108">
        <v>45509</v>
      </c>
      <c r="C164" s="148" t="s">
        <v>835</v>
      </c>
      <c r="D164" s="29" t="s">
        <v>762</v>
      </c>
      <c r="E164" s="30" t="s">
        <v>85</v>
      </c>
      <c r="F164" s="109">
        <v>48</v>
      </c>
      <c r="G164" s="111">
        <v>4</v>
      </c>
      <c r="H164" s="131"/>
      <c r="I164" s="112">
        <f t="shared" ref="I164:I224" si="9">G164*H164</f>
        <v>0</v>
      </c>
      <c r="J164" s="114"/>
      <c r="K164" s="120"/>
    </row>
    <row r="165" spans="1:12" x14ac:dyDescent="0.25">
      <c r="A165" s="128"/>
      <c r="B165" s="108">
        <v>45509</v>
      </c>
      <c r="C165" s="148" t="s">
        <v>778</v>
      </c>
      <c r="D165" s="21" t="s">
        <v>142</v>
      </c>
      <c r="E165" s="22" t="s">
        <v>143</v>
      </c>
      <c r="F165" s="109">
        <v>96</v>
      </c>
      <c r="G165" s="111">
        <v>2</v>
      </c>
      <c r="H165" s="131"/>
      <c r="I165" s="112">
        <f t="shared" si="9"/>
        <v>0</v>
      </c>
      <c r="J165" s="114"/>
      <c r="K165" s="120"/>
    </row>
    <row r="166" spans="1:12" x14ac:dyDescent="0.25">
      <c r="A166" s="128"/>
      <c r="B166" s="108">
        <v>45509</v>
      </c>
      <c r="C166" s="148" t="s">
        <v>778</v>
      </c>
      <c r="D166" s="29" t="s">
        <v>762</v>
      </c>
      <c r="E166" s="30" t="s">
        <v>85</v>
      </c>
      <c r="F166" s="109">
        <v>96</v>
      </c>
      <c r="G166" s="111">
        <v>2</v>
      </c>
      <c r="H166" s="131"/>
      <c r="I166" s="112">
        <f t="shared" si="9"/>
        <v>0</v>
      </c>
      <c r="J166" s="114"/>
      <c r="K166" s="120"/>
    </row>
    <row r="167" spans="1:12" x14ac:dyDescent="0.25">
      <c r="A167" s="128"/>
      <c r="B167" s="166">
        <v>45510</v>
      </c>
      <c r="C167" s="220" t="s">
        <v>829</v>
      </c>
      <c r="D167" s="94" t="s">
        <v>818</v>
      </c>
      <c r="E167" s="22" t="s">
        <v>819</v>
      </c>
      <c r="F167" s="220">
        <v>5</v>
      </c>
      <c r="G167" s="111"/>
      <c r="H167" s="131"/>
      <c r="I167" s="112">
        <f t="shared" si="9"/>
        <v>0</v>
      </c>
      <c r="J167" s="114"/>
      <c r="K167" s="120" t="s">
        <v>873</v>
      </c>
    </row>
    <row r="168" spans="1:12" x14ac:dyDescent="0.25">
      <c r="A168" s="128"/>
      <c r="B168" s="166">
        <v>45510</v>
      </c>
      <c r="C168" s="109" t="s">
        <v>846</v>
      </c>
      <c r="D168" s="10" t="s">
        <v>124</v>
      </c>
      <c r="E168" s="9" t="s">
        <v>125</v>
      </c>
      <c r="F168" s="109">
        <v>24</v>
      </c>
      <c r="G168" s="111">
        <v>0.5</v>
      </c>
      <c r="H168" s="109">
        <v>268000</v>
      </c>
      <c r="I168" s="112">
        <f t="shared" si="9"/>
        <v>134000</v>
      </c>
      <c r="J168" s="371">
        <f>SUM(I168:I173)</f>
        <v>792000.00000000012</v>
      </c>
      <c r="K168" s="120"/>
    </row>
    <row r="169" spans="1:12" x14ac:dyDescent="0.25">
      <c r="A169" s="128"/>
      <c r="B169" s="166">
        <v>45510</v>
      </c>
      <c r="C169" s="109" t="s">
        <v>846</v>
      </c>
      <c r="D169" s="21" t="s">
        <v>142</v>
      </c>
      <c r="E169" s="22" t="s">
        <v>143</v>
      </c>
      <c r="F169" s="109">
        <v>24</v>
      </c>
      <c r="G169" s="111">
        <v>0.5</v>
      </c>
      <c r="H169" s="109">
        <v>268000</v>
      </c>
      <c r="I169" s="112">
        <f t="shared" si="9"/>
        <v>134000</v>
      </c>
      <c r="J169" s="365"/>
      <c r="K169" s="120"/>
    </row>
    <row r="170" spans="1:12" x14ac:dyDescent="0.25">
      <c r="A170" s="128"/>
      <c r="B170" s="166">
        <v>45510</v>
      </c>
      <c r="C170" s="109" t="s">
        <v>846</v>
      </c>
      <c r="D170" s="10" t="s">
        <v>132</v>
      </c>
      <c r="E170" s="9" t="s">
        <v>133</v>
      </c>
      <c r="F170" s="109">
        <v>24</v>
      </c>
      <c r="G170" s="111">
        <v>0.5</v>
      </c>
      <c r="H170" s="109">
        <v>308000</v>
      </c>
      <c r="I170" s="112">
        <f t="shared" si="9"/>
        <v>154000</v>
      </c>
      <c r="J170" s="365"/>
      <c r="K170" s="120"/>
    </row>
    <row r="171" spans="1:12" x14ac:dyDescent="0.25">
      <c r="A171" s="128"/>
      <c r="B171" s="166">
        <v>45510</v>
      </c>
      <c r="C171" s="109" t="s">
        <v>846</v>
      </c>
      <c r="D171" s="21" t="s">
        <v>768</v>
      </c>
      <c r="E171" s="23" t="s">
        <v>67</v>
      </c>
      <c r="F171" s="109">
        <v>4</v>
      </c>
      <c r="G171" s="111"/>
      <c r="H171" s="109">
        <v>370000</v>
      </c>
      <c r="I171" s="112">
        <f>H171/12*F171</f>
        <v>123333.33333333333</v>
      </c>
      <c r="J171" s="365"/>
      <c r="K171" s="120"/>
    </row>
    <row r="172" spans="1:12" x14ac:dyDescent="0.25">
      <c r="A172" s="128"/>
      <c r="B172" s="166">
        <v>45510</v>
      </c>
      <c r="C172" s="109" t="s">
        <v>846</v>
      </c>
      <c r="D172" s="21" t="s">
        <v>801</v>
      </c>
      <c r="E172" s="22" t="s">
        <v>73</v>
      </c>
      <c r="F172" s="109">
        <v>4</v>
      </c>
      <c r="G172" s="111"/>
      <c r="H172" s="109">
        <v>370000</v>
      </c>
      <c r="I172" s="112">
        <f t="shared" ref="I172:I173" si="10">H172/12*F172</f>
        <v>123333.33333333333</v>
      </c>
      <c r="J172" s="365"/>
      <c r="K172" s="120"/>
    </row>
    <row r="173" spans="1:12" x14ac:dyDescent="0.25">
      <c r="A173" s="128"/>
      <c r="B173" s="166">
        <v>45510</v>
      </c>
      <c r="C173" s="109" t="s">
        <v>846</v>
      </c>
      <c r="D173" s="29" t="s">
        <v>762</v>
      </c>
      <c r="E173" s="30" t="s">
        <v>85</v>
      </c>
      <c r="F173" s="109">
        <v>4</v>
      </c>
      <c r="G173" s="111"/>
      <c r="H173" s="109">
        <v>370000</v>
      </c>
      <c r="I173" s="112">
        <f t="shared" si="10"/>
        <v>123333.33333333333</v>
      </c>
      <c r="J173" s="366"/>
      <c r="K173" s="120"/>
    </row>
    <row r="174" spans="1:12" x14ac:dyDescent="0.25">
      <c r="A174" s="128"/>
      <c r="B174" s="166">
        <v>45510</v>
      </c>
      <c r="C174" s="109" t="s">
        <v>827</v>
      </c>
      <c r="D174" s="21" t="s">
        <v>142</v>
      </c>
      <c r="E174" s="22" t="s">
        <v>143</v>
      </c>
      <c r="F174" s="109">
        <v>960</v>
      </c>
      <c r="G174" s="111">
        <v>20</v>
      </c>
      <c r="H174" s="109">
        <v>260000</v>
      </c>
      <c r="I174" s="112">
        <f t="shared" ref="I174:I175" si="11">G174*H174</f>
        <v>5200000</v>
      </c>
      <c r="J174" s="377">
        <f>I174+I175</f>
        <v>5980000</v>
      </c>
      <c r="K174" s="378" t="s">
        <v>887</v>
      </c>
    </row>
    <row r="175" spans="1:12" x14ac:dyDescent="0.25">
      <c r="A175" s="128"/>
      <c r="B175" s="166">
        <v>45510</v>
      </c>
      <c r="C175" s="109" t="s">
        <v>827</v>
      </c>
      <c r="D175" s="21" t="s">
        <v>126</v>
      </c>
      <c r="E175" s="22" t="s">
        <v>127</v>
      </c>
      <c r="F175" s="109">
        <v>144</v>
      </c>
      <c r="G175" s="111">
        <v>3</v>
      </c>
      <c r="H175" s="109">
        <v>260000</v>
      </c>
      <c r="I175" s="112">
        <f t="shared" si="11"/>
        <v>780000</v>
      </c>
      <c r="J175" s="370"/>
      <c r="K175" s="366"/>
    </row>
    <row r="176" spans="1:12" x14ac:dyDescent="0.25">
      <c r="A176" s="128"/>
      <c r="B176" s="166">
        <v>45510</v>
      </c>
      <c r="C176" s="128" t="s">
        <v>874</v>
      </c>
      <c r="D176" s="10" t="s">
        <v>124</v>
      </c>
      <c r="E176" s="9" t="s">
        <v>125</v>
      </c>
      <c r="F176" s="109">
        <v>48</v>
      </c>
      <c r="G176" s="111">
        <v>1</v>
      </c>
      <c r="H176" s="131">
        <v>280000</v>
      </c>
      <c r="I176" s="112">
        <f t="shared" si="9"/>
        <v>280000</v>
      </c>
      <c r="J176" s="113">
        <f>I176</f>
        <v>280000</v>
      </c>
      <c r="K176" s="120" t="s">
        <v>825</v>
      </c>
    </row>
    <row r="177" spans="1:11" x14ac:dyDescent="0.25">
      <c r="A177" s="128"/>
      <c r="B177" s="166">
        <v>45510</v>
      </c>
      <c r="C177" s="128" t="s">
        <v>875</v>
      </c>
      <c r="D177" s="10" t="s">
        <v>22</v>
      </c>
      <c r="E177" s="7" t="s">
        <v>23</v>
      </c>
      <c r="F177" s="109">
        <v>12</v>
      </c>
      <c r="G177" s="111">
        <v>1</v>
      </c>
      <c r="H177" s="131">
        <v>740000</v>
      </c>
      <c r="I177" s="112">
        <f t="shared" si="9"/>
        <v>740000</v>
      </c>
      <c r="J177" s="371">
        <f>I177+I178</f>
        <v>1005000</v>
      </c>
      <c r="K177" s="372" t="s">
        <v>825</v>
      </c>
    </row>
    <row r="178" spans="1:11" x14ac:dyDescent="0.25">
      <c r="A178" s="128"/>
      <c r="B178" s="166">
        <v>45510</v>
      </c>
      <c r="C178" s="128" t="s">
        <v>875</v>
      </c>
      <c r="D178" s="21" t="s">
        <v>142</v>
      </c>
      <c r="E178" s="22" t="s">
        <v>143</v>
      </c>
      <c r="F178" s="109">
        <v>48</v>
      </c>
      <c r="G178" s="111">
        <v>1</v>
      </c>
      <c r="H178" s="131">
        <v>265000</v>
      </c>
      <c r="I178" s="112">
        <f t="shared" si="9"/>
        <v>265000</v>
      </c>
      <c r="J178" s="370"/>
      <c r="K178" s="366"/>
    </row>
    <row r="179" spans="1:11" ht="15.75" x14ac:dyDescent="0.25">
      <c r="A179" s="128"/>
      <c r="B179" s="166">
        <v>45510</v>
      </c>
      <c r="C179" s="128" t="s">
        <v>839</v>
      </c>
      <c r="D179" s="15" t="s">
        <v>238</v>
      </c>
      <c r="E179" s="45" t="s">
        <v>239</v>
      </c>
      <c r="F179" s="109">
        <v>2</v>
      </c>
      <c r="G179" s="111"/>
      <c r="H179" s="131">
        <v>75000</v>
      </c>
      <c r="I179" s="112">
        <f>F179*H179</f>
        <v>150000</v>
      </c>
      <c r="J179" s="113">
        <f>I179</f>
        <v>150000</v>
      </c>
      <c r="K179" s="120" t="s">
        <v>889</v>
      </c>
    </row>
    <row r="180" spans="1:11" x14ac:dyDescent="0.25">
      <c r="A180" s="128"/>
      <c r="B180" s="166">
        <v>45510</v>
      </c>
      <c r="C180" s="128" t="s">
        <v>876</v>
      </c>
      <c r="D180" s="29" t="s">
        <v>762</v>
      </c>
      <c r="E180" s="30" t="s">
        <v>85</v>
      </c>
      <c r="F180" s="109">
        <v>12</v>
      </c>
      <c r="G180" s="111">
        <v>1</v>
      </c>
      <c r="H180" s="131">
        <v>375000</v>
      </c>
      <c r="I180" s="112">
        <f t="shared" si="9"/>
        <v>375000</v>
      </c>
      <c r="J180" s="113">
        <f>I180</f>
        <v>375000</v>
      </c>
      <c r="K180" s="120" t="s">
        <v>888</v>
      </c>
    </row>
    <row r="181" spans="1:11" x14ac:dyDescent="0.25">
      <c r="A181" s="128"/>
      <c r="B181" s="166">
        <v>45510</v>
      </c>
      <c r="C181" s="128" t="s">
        <v>877</v>
      </c>
      <c r="D181" s="72" t="s">
        <v>879</v>
      </c>
      <c r="E181" s="23" t="s">
        <v>878</v>
      </c>
      <c r="F181" s="109">
        <v>12</v>
      </c>
      <c r="G181" s="111">
        <v>1</v>
      </c>
      <c r="H181" s="131">
        <v>530000</v>
      </c>
      <c r="I181" s="112">
        <f t="shared" si="9"/>
        <v>530000</v>
      </c>
      <c r="J181" s="371">
        <f>I181+I182</f>
        <v>895000</v>
      </c>
      <c r="K181" s="372"/>
    </row>
    <row r="182" spans="1:11" x14ac:dyDescent="0.25">
      <c r="A182" s="128"/>
      <c r="B182" s="166">
        <v>45510</v>
      </c>
      <c r="C182" s="128" t="s">
        <v>877</v>
      </c>
      <c r="D182" s="21" t="s">
        <v>768</v>
      </c>
      <c r="E182" s="23" t="s">
        <v>67</v>
      </c>
      <c r="F182" s="109">
        <v>12</v>
      </c>
      <c r="G182" s="111">
        <v>1</v>
      </c>
      <c r="H182" s="131">
        <v>365000</v>
      </c>
      <c r="I182" s="112">
        <f t="shared" si="9"/>
        <v>365000</v>
      </c>
      <c r="J182" s="366"/>
      <c r="K182" s="366"/>
    </row>
    <row r="183" spans="1:11" x14ac:dyDescent="0.25">
      <c r="A183" s="228"/>
      <c r="B183" s="166">
        <v>45510</v>
      </c>
      <c r="C183" s="228" t="s">
        <v>884</v>
      </c>
      <c r="D183" s="10" t="s">
        <v>168</v>
      </c>
      <c r="E183" s="9" t="s">
        <v>169</v>
      </c>
      <c r="F183" s="340">
        <v>2</v>
      </c>
      <c r="G183" s="229"/>
      <c r="H183" s="230">
        <v>43000</v>
      </c>
      <c r="I183" s="231">
        <f>H183*F183</f>
        <v>86000</v>
      </c>
      <c r="J183" s="382">
        <f>SUM(I183:I187)</f>
        <v>374000</v>
      </c>
      <c r="K183" s="381" t="s">
        <v>885</v>
      </c>
    </row>
    <row r="184" spans="1:11" x14ac:dyDescent="0.25">
      <c r="A184" s="228"/>
      <c r="B184" s="166">
        <v>45510</v>
      </c>
      <c r="C184" s="228" t="s">
        <v>884</v>
      </c>
      <c r="D184" s="10" t="s">
        <v>172</v>
      </c>
      <c r="E184" s="9" t="s">
        <v>173</v>
      </c>
      <c r="F184" s="340">
        <v>2</v>
      </c>
      <c r="G184" s="229"/>
      <c r="H184" s="230">
        <v>36000</v>
      </c>
      <c r="I184" s="231">
        <f t="shared" ref="I184:I185" si="12">H184*F184</f>
        <v>72000</v>
      </c>
      <c r="J184" s="365"/>
      <c r="K184" s="365"/>
    </row>
    <row r="185" spans="1:11" x14ac:dyDescent="0.25">
      <c r="A185" s="228"/>
      <c r="B185" s="166">
        <v>45510</v>
      </c>
      <c r="C185" s="228" t="s">
        <v>884</v>
      </c>
      <c r="D185" s="29" t="s">
        <v>762</v>
      </c>
      <c r="E185" s="30" t="s">
        <v>85</v>
      </c>
      <c r="F185" s="340">
        <v>2</v>
      </c>
      <c r="G185" s="229"/>
      <c r="H185" s="230">
        <v>31500</v>
      </c>
      <c r="I185" s="231">
        <f t="shared" si="12"/>
        <v>63000</v>
      </c>
      <c r="J185" s="365"/>
      <c r="K185" s="365"/>
    </row>
    <row r="186" spans="1:11" x14ac:dyDescent="0.25">
      <c r="A186" s="228"/>
      <c r="B186" s="166">
        <v>45510</v>
      </c>
      <c r="C186" s="228" t="s">
        <v>884</v>
      </c>
      <c r="D186" s="21" t="s">
        <v>126</v>
      </c>
      <c r="E186" s="22" t="s">
        <v>127</v>
      </c>
      <c r="F186" s="340">
        <v>8</v>
      </c>
      <c r="G186" s="229"/>
      <c r="H186" s="230">
        <v>22500</v>
      </c>
      <c r="I186" s="231">
        <f>H186*2</f>
        <v>45000</v>
      </c>
      <c r="J186" s="365"/>
      <c r="K186" s="365"/>
    </row>
    <row r="187" spans="1:11" x14ac:dyDescent="0.25">
      <c r="A187" s="228"/>
      <c r="B187" s="166">
        <v>45510</v>
      </c>
      <c r="C187" s="228" t="s">
        <v>884</v>
      </c>
      <c r="D187" s="10" t="s">
        <v>132</v>
      </c>
      <c r="E187" s="9" t="s">
        <v>133</v>
      </c>
      <c r="F187" s="340">
        <v>16</v>
      </c>
      <c r="G187" s="229"/>
      <c r="H187" s="230">
        <v>27000</v>
      </c>
      <c r="I187" s="231">
        <f>H187*4</f>
        <v>108000</v>
      </c>
      <c r="J187" s="366"/>
      <c r="K187" s="366"/>
    </row>
    <row r="188" spans="1:11" x14ac:dyDescent="0.25">
      <c r="A188" s="128"/>
      <c r="B188" s="166">
        <v>45510</v>
      </c>
      <c r="C188" s="148" t="s">
        <v>777</v>
      </c>
      <c r="D188" s="29" t="s">
        <v>762</v>
      </c>
      <c r="E188" s="30" t="s">
        <v>85</v>
      </c>
      <c r="F188" s="109">
        <v>11</v>
      </c>
      <c r="G188" s="111"/>
      <c r="H188" s="131"/>
      <c r="I188" s="112">
        <f t="shared" si="9"/>
        <v>0</v>
      </c>
      <c r="J188" s="114"/>
      <c r="K188" s="120"/>
    </row>
    <row r="189" spans="1:11" x14ac:dyDescent="0.25">
      <c r="A189" s="128"/>
      <c r="B189" s="166">
        <v>45510</v>
      </c>
      <c r="C189" s="148" t="s">
        <v>777</v>
      </c>
      <c r="D189" s="21" t="s">
        <v>126</v>
      </c>
      <c r="E189" s="22" t="s">
        <v>127</v>
      </c>
      <c r="F189" s="109">
        <v>6</v>
      </c>
      <c r="G189" s="111"/>
      <c r="H189" s="131"/>
      <c r="I189" s="112">
        <f t="shared" si="9"/>
        <v>0</v>
      </c>
      <c r="J189" s="114"/>
      <c r="K189" s="120"/>
    </row>
    <row r="190" spans="1:11" x14ac:dyDescent="0.25">
      <c r="A190" s="128"/>
      <c r="B190" s="166">
        <v>45510</v>
      </c>
      <c r="C190" s="148" t="s">
        <v>834</v>
      </c>
      <c r="D190" s="10" t="s">
        <v>172</v>
      </c>
      <c r="E190" s="9" t="s">
        <v>173</v>
      </c>
      <c r="F190" s="109">
        <v>60</v>
      </c>
      <c r="G190" s="111">
        <v>5</v>
      </c>
      <c r="H190" s="131"/>
      <c r="I190" s="112">
        <f t="shared" si="9"/>
        <v>0</v>
      </c>
      <c r="J190" s="114"/>
      <c r="K190" s="120"/>
    </row>
    <row r="191" spans="1:11" x14ac:dyDescent="0.25">
      <c r="A191" s="128"/>
      <c r="B191" s="166">
        <v>45510</v>
      </c>
      <c r="C191" s="148" t="s">
        <v>835</v>
      </c>
      <c r="D191" s="29" t="s">
        <v>762</v>
      </c>
      <c r="E191" s="30" t="s">
        <v>85</v>
      </c>
      <c r="F191" s="109">
        <v>156</v>
      </c>
      <c r="G191" s="111"/>
      <c r="H191" s="131"/>
      <c r="I191" s="112">
        <f t="shared" si="9"/>
        <v>0</v>
      </c>
      <c r="J191" s="114"/>
      <c r="K191" s="120"/>
    </row>
    <row r="192" spans="1:11" x14ac:dyDescent="0.25">
      <c r="A192" s="128"/>
      <c r="B192" s="166">
        <v>45510</v>
      </c>
      <c r="C192" s="148" t="s">
        <v>835</v>
      </c>
      <c r="D192" s="10" t="s">
        <v>16</v>
      </c>
      <c r="E192" s="7" t="s">
        <v>17</v>
      </c>
      <c r="F192" s="109">
        <v>48</v>
      </c>
      <c r="G192" s="111">
        <v>4</v>
      </c>
      <c r="H192" s="131"/>
      <c r="I192" s="112">
        <f t="shared" si="9"/>
        <v>0</v>
      </c>
      <c r="J192" s="114"/>
      <c r="K192" s="120"/>
    </row>
    <row r="193" spans="1:11" x14ac:dyDescent="0.25">
      <c r="A193" s="128"/>
      <c r="B193" s="166">
        <v>45510</v>
      </c>
      <c r="C193" s="148" t="s">
        <v>785</v>
      </c>
      <c r="D193" s="29" t="s">
        <v>762</v>
      </c>
      <c r="E193" s="30" t="s">
        <v>85</v>
      </c>
      <c r="F193" s="109">
        <v>12</v>
      </c>
      <c r="G193" s="111">
        <v>1</v>
      </c>
      <c r="H193" s="131"/>
      <c r="I193" s="112">
        <f t="shared" si="9"/>
        <v>0</v>
      </c>
      <c r="J193" s="114"/>
      <c r="K193" s="120"/>
    </row>
    <row r="194" spans="1:11" x14ac:dyDescent="0.25">
      <c r="A194" s="128"/>
      <c r="B194" s="166">
        <v>45510</v>
      </c>
      <c r="C194" s="148" t="s">
        <v>779</v>
      </c>
      <c r="D194" s="10" t="s">
        <v>86</v>
      </c>
      <c r="E194" s="9" t="s">
        <v>87</v>
      </c>
      <c r="F194" s="109">
        <v>72</v>
      </c>
      <c r="G194" s="111">
        <f>F194/12</f>
        <v>6</v>
      </c>
      <c r="H194" s="131"/>
      <c r="I194" s="112">
        <f t="shared" si="9"/>
        <v>0</v>
      </c>
      <c r="J194" s="114"/>
      <c r="K194" s="120"/>
    </row>
    <row r="195" spans="1:11" x14ac:dyDescent="0.25">
      <c r="A195" s="128"/>
      <c r="B195" s="166">
        <v>45510</v>
      </c>
      <c r="C195" s="148" t="s">
        <v>780</v>
      </c>
      <c r="D195" s="29" t="s">
        <v>762</v>
      </c>
      <c r="E195" s="30" t="s">
        <v>85</v>
      </c>
      <c r="F195" s="109">
        <v>36</v>
      </c>
      <c r="G195" s="111">
        <v>3</v>
      </c>
      <c r="H195" s="131"/>
      <c r="I195" s="112">
        <f t="shared" si="9"/>
        <v>0</v>
      </c>
      <c r="J195" s="114"/>
      <c r="K195" s="120"/>
    </row>
    <row r="196" spans="1:11" x14ac:dyDescent="0.25">
      <c r="A196" s="128"/>
      <c r="B196" s="166">
        <v>45510</v>
      </c>
      <c r="C196" s="148" t="s">
        <v>844</v>
      </c>
      <c r="D196" s="21" t="s">
        <v>142</v>
      </c>
      <c r="E196" s="22" t="s">
        <v>143</v>
      </c>
      <c r="F196" s="109">
        <v>144</v>
      </c>
      <c r="G196" s="111">
        <v>3</v>
      </c>
      <c r="H196" s="131"/>
      <c r="I196" s="112">
        <f t="shared" si="9"/>
        <v>0</v>
      </c>
      <c r="J196" s="113"/>
      <c r="K196" s="120"/>
    </row>
    <row r="197" spans="1:11" x14ac:dyDescent="0.25">
      <c r="A197" s="128"/>
      <c r="B197" s="166">
        <v>45510</v>
      </c>
      <c r="C197" s="148" t="s">
        <v>844</v>
      </c>
      <c r="D197" s="21" t="s">
        <v>126</v>
      </c>
      <c r="E197" s="22" t="s">
        <v>127</v>
      </c>
      <c r="F197" s="109">
        <v>144</v>
      </c>
      <c r="G197" s="111">
        <v>3</v>
      </c>
      <c r="H197" s="131"/>
      <c r="I197" s="112">
        <f t="shared" si="9"/>
        <v>0</v>
      </c>
      <c r="J197" s="113"/>
      <c r="K197" s="120"/>
    </row>
    <row r="198" spans="1:11" x14ac:dyDescent="0.25">
      <c r="A198" s="128"/>
      <c r="B198" s="166">
        <v>45510</v>
      </c>
      <c r="C198" s="150" t="s">
        <v>836</v>
      </c>
      <c r="D198" s="21" t="s">
        <v>764</v>
      </c>
      <c r="E198" s="23" t="s">
        <v>69</v>
      </c>
      <c r="F198" s="109">
        <v>8</v>
      </c>
      <c r="G198" s="111"/>
      <c r="H198" s="131"/>
      <c r="I198" s="112">
        <f t="shared" si="9"/>
        <v>0</v>
      </c>
      <c r="J198" s="113"/>
      <c r="K198" s="120"/>
    </row>
    <row r="199" spans="1:11" x14ac:dyDescent="0.25">
      <c r="A199" s="128"/>
      <c r="B199" s="166">
        <v>45510</v>
      </c>
      <c r="C199" s="150" t="s">
        <v>836</v>
      </c>
      <c r="D199" s="10" t="s">
        <v>86</v>
      </c>
      <c r="E199" s="9" t="s">
        <v>87</v>
      </c>
      <c r="F199" s="109">
        <v>48</v>
      </c>
      <c r="G199" s="111">
        <v>4</v>
      </c>
      <c r="H199" s="131"/>
      <c r="I199" s="112">
        <f t="shared" si="9"/>
        <v>0</v>
      </c>
      <c r="J199" s="113"/>
      <c r="K199" s="120"/>
    </row>
    <row r="200" spans="1:11" x14ac:dyDescent="0.25">
      <c r="A200" s="128"/>
      <c r="B200" s="166">
        <v>45510</v>
      </c>
      <c r="C200" s="150" t="s">
        <v>836</v>
      </c>
      <c r="D200" s="21" t="s">
        <v>763</v>
      </c>
      <c r="E200" s="22" t="s">
        <v>83</v>
      </c>
      <c r="F200" s="109">
        <f>48+8</f>
        <v>56</v>
      </c>
      <c r="G200" s="111"/>
      <c r="H200" s="131"/>
      <c r="I200" s="112">
        <f t="shared" si="9"/>
        <v>0</v>
      </c>
      <c r="J200" s="113"/>
      <c r="K200" s="120"/>
    </row>
    <row r="201" spans="1:11" x14ac:dyDescent="0.25">
      <c r="A201" s="128"/>
      <c r="B201" s="166">
        <v>45510</v>
      </c>
      <c r="C201" s="150" t="s">
        <v>836</v>
      </c>
      <c r="D201" s="21" t="s">
        <v>20</v>
      </c>
      <c r="E201" s="23" t="s">
        <v>21</v>
      </c>
      <c r="F201" s="109">
        <v>12</v>
      </c>
      <c r="G201" s="111"/>
      <c r="H201" s="131"/>
      <c r="I201" s="112">
        <f t="shared" si="9"/>
        <v>0</v>
      </c>
      <c r="J201" s="114"/>
      <c r="K201" s="120"/>
    </row>
    <row r="202" spans="1:11" x14ac:dyDescent="0.25">
      <c r="A202" s="128"/>
      <c r="B202" s="166">
        <v>45510</v>
      </c>
      <c r="C202" s="150" t="s">
        <v>836</v>
      </c>
      <c r="D202" s="10" t="s">
        <v>172</v>
      </c>
      <c r="E202" s="9" t="s">
        <v>173</v>
      </c>
      <c r="F202" s="109">
        <v>1</v>
      </c>
      <c r="G202" s="111"/>
      <c r="H202" s="131"/>
      <c r="I202" s="112">
        <f t="shared" si="9"/>
        <v>0</v>
      </c>
      <c r="J202" s="114"/>
      <c r="K202" s="120"/>
    </row>
    <row r="203" spans="1:11" x14ac:dyDescent="0.25">
      <c r="A203" s="128"/>
      <c r="B203" s="166">
        <v>45510</v>
      </c>
      <c r="C203" s="150" t="s">
        <v>836</v>
      </c>
      <c r="D203" s="10" t="s">
        <v>124</v>
      </c>
      <c r="E203" s="9" t="s">
        <v>125</v>
      </c>
      <c r="F203" s="109">
        <v>16</v>
      </c>
      <c r="G203" s="111"/>
      <c r="H203" s="131"/>
      <c r="I203" s="112">
        <f t="shared" si="9"/>
        <v>0</v>
      </c>
      <c r="J203" s="114"/>
      <c r="K203" s="120"/>
    </row>
    <row r="204" spans="1:11" x14ac:dyDescent="0.25">
      <c r="A204" s="128"/>
      <c r="B204" s="166">
        <v>45510</v>
      </c>
      <c r="C204" s="150" t="s">
        <v>836</v>
      </c>
      <c r="D204" s="10" t="s">
        <v>16</v>
      </c>
      <c r="E204" s="7" t="s">
        <v>17</v>
      </c>
      <c r="F204" s="109">
        <v>60</v>
      </c>
      <c r="G204" s="111">
        <v>5</v>
      </c>
      <c r="H204" s="131"/>
      <c r="I204" s="112">
        <f t="shared" si="9"/>
        <v>0</v>
      </c>
      <c r="J204" s="114"/>
      <c r="K204" s="120"/>
    </row>
    <row r="205" spans="1:11" ht="15.75" x14ac:dyDescent="0.25">
      <c r="A205" s="128"/>
      <c r="B205" s="166">
        <v>45510</v>
      </c>
      <c r="C205" s="150" t="s">
        <v>836</v>
      </c>
      <c r="D205" s="15" t="s">
        <v>238</v>
      </c>
      <c r="E205" s="45" t="s">
        <v>239</v>
      </c>
      <c r="F205" s="109">
        <v>3</v>
      </c>
      <c r="G205" s="111"/>
      <c r="H205" s="131"/>
      <c r="I205" s="112">
        <f t="shared" si="9"/>
        <v>0</v>
      </c>
      <c r="J205" s="114"/>
      <c r="K205" s="120" t="s">
        <v>882</v>
      </c>
    </row>
    <row r="206" spans="1:11" x14ac:dyDescent="0.25">
      <c r="A206" s="128"/>
      <c r="B206" s="166">
        <v>45510</v>
      </c>
      <c r="C206" s="150" t="s">
        <v>836</v>
      </c>
      <c r="D206" s="21" t="s">
        <v>142</v>
      </c>
      <c r="E206" s="22" t="s">
        <v>143</v>
      </c>
      <c r="F206" s="109">
        <v>48</v>
      </c>
      <c r="G206" s="111">
        <v>1</v>
      </c>
      <c r="H206" s="131"/>
      <c r="I206" s="112">
        <f t="shared" si="9"/>
        <v>0</v>
      </c>
      <c r="J206" s="114"/>
      <c r="K206" s="120"/>
    </row>
    <row r="207" spans="1:11" x14ac:dyDescent="0.25">
      <c r="A207" s="128"/>
      <c r="B207" s="132">
        <v>45511</v>
      </c>
      <c r="C207" s="128" t="s">
        <v>846</v>
      </c>
      <c r="D207" s="21" t="s">
        <v>20</v>
      </c>
      <c r="E207" s="23" t="s">
        <v>21</v>
      </c>
      <c r="F207" s="109">
        <v>8</v>
      </c>
      <c r="G207" s="111"/>
      <c r="H207" s="131">
        <f>452400/24</f>
        <v>18850</v>
      </c>
      <c r="I207" s="112">
        <f>F207*H207</f>
        <v>150800</v>
      </c>
      <c r="J207" s="364">
        <f>SUM(I207:I214)</f>
        <v>1264280</v>
      </c>
      <c r="K207" s="120"/>
    </row>
    <row r="208" spans="1:11" x14ac:dyDescent="0.25">
      <c r="A208" s="128"/>
      <c r="B208" s="132">
        <v>45511</v>
      </c>
      <c r="C208" s="128" t="s">
        <v>846</v>
      </c>
      <c r="D208" s="10" t="s">
        <v>24</v>
      </c>
      <c r="E208" s="7" t="s">
        <v>25</v>
      </c>
      <c r="F208" s="109">
        <v>6</v>
      </c>
      <c r="G208" s="111"/>
      <c r="H208" s="131">
        <v>23970</v>
      </c>
      <c r="I208" s="112">
        <f t="shared" ref="I208:I209" si="13">F208*H208</f>
        <v>143820</v>
      </c>
      <c r="J208" s="365"/>
      <c r="K208" s="120"/>
    </row>
    <row r="209" spans="1:11" x14ac:dyDescent="0.25">
      <c r="A209" s="128"/>
      <c r="B209" s="132">
        <v>45511</v>
      </c>
      <c r="C209" s="128" t="s">
        <v>846</v>
      </c>
      <c r="D209" s="10" t="s">
        <v>32</v>
      </c>
      <c r="E209" s="7" t="s">
        <v>33</v>
      </c>
      <c r="F209" s="109">
        <v>4</v>
      </c>
      <c r="G209" s="111"/>
      <c r="H209" s="131">
        <v>30090</v>
      </c>
      <c r="I209" s="112">
        <f t="shared" si="13"/>
        <v>120360</v>
      </c>
      <c r="J209" s="365"/>
      <c r="K209" s="120"/>
    </row>
    <row r="210" spans="1:11" x14ac:dyDescent="0.25">
      <c r="A210" s="128"/>
      <c r="B210" s="132">
        <v>45511</v>
      </c>
      <c r="C210" s="128" t="s">
        <v>846</v>
      </c>
      <c r="D210" s="10" t="s">
        <v>759</v>
      </c>
      <c r="E210" s="7" t="s">
        <v>758</v>
      </c>
      <c r="F210" s="109">
        <v>24</v>
      </c>
      <c r="G210" s="111">
        <v>0.5</v>
      </c>
      <c r="H210" s="131">
        <v>367200</v>
      </c>
      <c r="I210" s="112">
        <f t="shared" si="9"/>
        <v>183600</v>
      </c>
      <c r="J210" s="365"/>
      <c r="K210" s="120"/>
    </row>
    <row r="211" spans="1:11" x14ac:dyDescent="0.25">
      <c r="A211" s="128"/>
      <c r="B211" s="132">
        <v>45511</v>
      </c>
      <c r="C211" s="128" t="s">
        <v>846</v>
      </c>
      <c r="D211" s="21" t="s">
        <v>764</v>
      </c>
      <c r="E211" s="23" t="s">
        <v>69</v>
      </c>
      <c r="F211" s="109">
        <v>24</v>
      </c>
      <c r="G211" s="111">
        <v>0.5</v>
      </c>
      <c r="H211" s="131">
        <v>343200</v>
      </c>
      <c r="I211" s="112">
        <f t="shared" si="9"/>
        <v>171600</v>
      </c>
      <c r="J211" s="365"/>
      <c r="K211" s="120"/>
    </row>
    <row r="212" spans="1:11" x14ac:dyDescent="0.25">
      <c r="A212" s="128"/>
      <c r="B212" s="132">
        <v>45511</v>
      </c>
      <c r="C212" s="128" t="s">
        <v>846</v>
      </c>
      <c r="D212" s="21" t="s">
        <v>765</v>
      </c>
      <c r="E212" s="22" t="s">
        <v>75</v>
      </c>
      <c r="F212" s="109">
        <v>24</v>
      </c>
      <c r="G212" s="111">
        <v>0.5</v>
      </c>
      <c r="H212" s="131">
        <v>343200</v>
      </c>
      <c r="I212" s="112">
        <f t="shared" si="9"/>
        <v>171600</v>
      </c>
      <c r="J212" s="365"/>
      <c r="K212" s="120"/>
    </row>
    <row r="213" spans="1:11" x14ac:dyDescent="0.25">
      <c r="A213" s="128"/>
      <c r="B213" s="132">
        <v>45511</v>
      </c>
      <c r="C213" s="128" t="s">
        <v>846</v>
      </c>
      <c r="D213" s="21" t="s">
        <v>766</v>
      </c>
      <c r="E213" s="22" t="s">
        <v>77</v>
      </c>
      <c r="F213" s="109">
        <v>24</v>
      </c>
      <c r="G213" s="111">
        <v>0.5</v>
      </c>
      <c r="H213" s="131">
        <v>215000</v>
      </c>
      <c r="I213" s="112">
        <f t="shared" si="9"/>
        <v>107500</v>
      </c>
      <c r="J213" s="365"/>
      <c r="K213" s="120"/>
    </row>
    <row r="214" spans="1:11" x14ac:dyDescent="0.25">
      <c r="A214" s="128"/>
      <c r="B214" s="132">
        <v>45511</v>
      </c>
      <c r="C214" s="128" t="s">
        <v>846</v>
      </c>
      <c r="D214" s="10" t="s">
        <v>158</v>
      </c>
      <c r="E214" s="9" t="s">
        <v>159</v>
      </c>
      <c r="F214" s="109">
        <v>50</v>
      </c>
      <c r="G214" s="111">
        <v>1</v>
      </c>
      <c r="H214" s="131">
        <v>215000</v>
      </c>
      <c r="I214" s="112">
        <f t="shared" si="9"/>
        <v>215000</v>
      </c>
      <c r="J214" s="366"/>
      <c r="K214" s="120"/>
    </row>
    <row r="215" spans="1:11" x14ac:dyDescent="0.25">
      <c r="A215" s="128"/>
      <c r="B215" s="132">
        <v>45511</v>
      </c>
      <c r="C215" s="109" t="s">
        <v>886</v>
      </c>
      <c r="D215" s="10" t="s">
        <v>22</v>
      </c>
      <c r="E215" s="7" t="s">
        <v>23</v>
      </c>
      <c r="F215" s="109">
        <v>24</v>
      </c>
      <c r="G215" s="111">
        <v>2</v>
      </c>
      <c r="H215" s="131">
        <v>739016</v>
      </c>
      <c r="I215" s="112">
        <f t="shared" si="9"/>
        <v>1478032</v>
      </c>
      <c r="J215" s="364">
        <f>I215+I216</f>
        <v>1732972</v>
      </c>
      <c r="K215" s="367" t="s">
        <v>823</v>
      </c>
    </row>
    <row r="216" spans="1:11" x14ac:dyDescent="0.25">
      <c r="A216" s="128"/>
      <c r="B216" s="132">
        <v>45511</v>
      </c>
      <c r="C216" s="109" t="s">
        <v>886</v>
      </c>
      <c r="D216" s="21" t="s">
        <v>34</v>
      </c>
      <c r="E216" s="23" t="s">
        <v>35</v>
      </c>
      <c r="F216" s="109">
        <v>60</v>
      </c>
      <c r="G216" s="111"/>
      <c r="H216" s="131">
        <f>4249*180</f>
        <v>764820</v>
      </c>
      <c r="I216" s="112">
        <f>H216/180*F216</f>
        <v>254940</v>
      </c>
      <c r="J216" s="366"/>
      <c r="K216" s="366"/>
    </row>
    <row r="217" spans="1:11" x14ac:dyDescent="0.25">
      <c r="A217" s="236"/>
      <c r="B217" s="132">
        <v>45511</v>
      </c>
      <c r="C217" s="237" t="s">
        <v>851</v>
      </c>
      <c r="D217" s="29" t="s">
        <v>762</v>
      </c>
      <c r="E217" s="30" t="s">
        <v>85</v>
      </c>
      <c r="F217" s="237">
        <v>24</v>
      </c>
      <c r="G217" s="238">
        <v>2</v>
      </c>
      <c r="H217" s="239">
        <v>380000</v>
      </c>
      <c r="I217" s="112">
        <f t="shared" si="9"/>
        <v>760000</v>
      </c>
      <c r="J217" s="241">
        <f>I217</f>
        <v>760000</v>
      </c>
      <c r="K217" s="240" t="s">
        <v>825</v>
      </c>
    </row>
    <row r="218" spans="1:11" x14ac:dyDescent="0.25">
      <c r="A218" s="242"/>
      <c r="B218" s="132">
        <v>45511</v>
      </c>
      <c r="C218" s="243" t="s">
        <v>890</v>
      </c>
      <c r="D218" s="21" t="s">
        <v>40</v>
      </c>
      <c r="E218" s="23" t="s">
        <v>41</v>
      </c>
      <c r="F218" s="243">
        <v>15</v>
      </c>
      <c r="G218" s="245"/>
      <c r="H218" s="246"/>
      <c r="I218" s="247"/>
      <c r="J218" s="248"/>
      <c r="K218" s="249" t="s">
        <v>892</v>
      </c>
    </row>
    <row r="219" spans="1:11" ht="15.75" x14ac:dyDescent="0.25">
      <c r="A219" s="242"/>
      <c r="B219" s="132">
        <v>45511</v>
      </c>
      <c r="C219" s="243" t="s">
        <v>891</v>
      </c>
      <c r="D219" s="15" t="s">
        <v>202</v>
      </c>
      <c r="E219" s="16" t="s">
        <v>203</v>
      </c>
      <c r="F219" s="243">
        <v>24</v>
      </c>
      <c r="G219" s="245">
        <v>1</v>
      </c>
      <c r="H219" s="246"/>
      <c r="I219" s="247"/>
      <c r="J219" s="248"/>
      <c r="K219" s="249" t="s">
        <v>822</v>
      </c>
    </row>
    <row r="220" spans="1:11" x14ac:dyDescent="0.25">
      <c r="A220" s="128"/>
      <c r="B220" s="132">
        <v>45511</v>
      </c>
      <c r="C220" s="148" t="s">
        <v>777</v>
      </c>
      <c r="D220" s="29" t="s">
        <v>762</v>
      </c>
      <c r="E220" s="30" t="s">
        <v>85</v>
      </c>
      <c r="F220" s="109">
        <v>12</v>
      </c>
      <c r="G220" s="111">
        <v>1</v>
      </c>
      <c r="H220" s="131"/>
      <c r="I220" s="112">
        <f t="shared" si="9"/>
        <v>0</v>
      </c>
      <c r="J220" s="114"/>
      <c r="K220" s="120"/>
    </row>
    <row r="221" spans="1:11" x14ac:dyDescent="0.25">
      <c r="A221" s="128"/>
      <c r="B221" s="132">
        <v>45511</v>
      </c>
      <c r="C221" s="148" t="s">
        <v>777</v>
      </c>
      <c r="D221" s="21" t="s">
        <v>126</v>
      </c>
      <c r="E221" s="22" t="s">
        <v>127</v>
      </c>
      <c r="F221" s="109">
        <v>6</v>
      </c>
      <c r="G221" s="111"/>
      <c r="H221" s="131"/>
      <c r="I221" s="112">
        <f t="shared" si="9"/>
        <v>0</v>
      </c>
      <c r="J221" s="114"/>
      <c r="K221" s="120"/>
    </row>
    <row r="222" spans="1:11" x14ac:dyDescent="0.25">
      <c r="A222" s="128"/>
      <c r="B222" s="132">
        <v>45511</v>
      </c>
      <c r="C222" s="148" t="s">
        <v>834</v>
      </c>
      <c r="D222" s="10" t="s">
        <v>24</v>
      </c>
      <c r="E222" s="7" t="s">
        <v>25</v>
      </c>
      <c r="F222" s="109">
        <v>240</v>
      </c>
      <c r="G222" s="111">
        <v>5</v>
      </c>
      <c r="H222" s="131"/>
      <c r="I222" s="112">
        <f t="shared" si="9"/>
        <v>0</v>
      </c>
      <c r="J222" s="114"/>
      <c r="K222" s="120"/>
    </row>
    <row r="223" spans="1:11" x14ac:dyDescent="0.25">
      <c r="A223" s="128"/>
      <c r="B223" s="132">
        <v>45511</v>
      </c>
      <c r="C223" s="149" t="s">
        <v>775</v>
      </c>
      <c r="D223" s="29" t="s">
        <v>762</v>
      </c>
      <c r="E223" s="30" t="s">
        <v>85</v>
      </c>
      <c r="F223" s="109">
        <v>24</v>
      </c>
      <c r="G223" s="111">
        <v>2</v>
      </c>
      <c r="H223" s="131"/>
      <c r="I223" s="112">
        <f t="shared" si="9"/>
        <v>0</v>
      </c>
      <c r="J223" s="114"/>
      <c r="K223" s="120"/>
    </row>
    <row r="224" spans="1:11" x14ac:dyDescent="0.25">
      <c r="A224" s="128"/>
      <c r="B224" s="132">
        <v>45511</v>
      </c>
      <c r="C224" s="149" t="s">
        <v>775</v>
      </c>
      <c r="D224" s="10" t="s">
        <v>56</v>
      </c>
      <c r="E224" s="7" t="s">
        <v>57</v>
      </c>
      <c r="F224" s="109">
        <v>12</v>
      </c>
      <c r="G224" s="111">
        <v>1</v>
      </c>
      <c r="H224" s="131"/>
      <c r="I224" s="112">
        <f t="shared" si="9"/>
        <v>0</v>
      </c>
      <c r="J224" s="114"/>
      <c r="K224" s="120"/>
    </row>
    <row r="225" spans="1:11" x14ac:dyDescent="0.25">
      <c r="A225" s="128"/>
      <c r="B225" s="132">
        <v>45511</v>
      </c>
      <c r="C225" s="149" t="s">
        <v>775</v>
      </c>
      <c r="D225" s="10" t="s">
        <v>26</v>
      </c>
      <c r="E225" s="7" t="s">
        <v>27</v>
      </c>
      <c r="F225" s="109">
        <v>36</v>
      </c>
      <c r="G225" s="111">
        <v>3</v>
      </c>
      <c r="H225" s="131"/>
      <c r="I225" s="112">
        <f t="shared" ref="I225:I290" si="14">G225*H225</f>
        <v>0</v>
      </c>
      <c r="J225" s="114"/>
      <c r="K225" s="120"/>
    </row>
    <row r="226" spans="1:11" x14ac:dyDescent="0.25">
      <c r="A226" s="128"/>
      <c r="B226" s="132">
        <v>45511</v>
      </c>
      <c r="C226" s="150" t="s">
        <v>836</v>
      </c>
      <c r="D226" s="21" t="s">
        <v>40</v>
      </c>
      <c r="E226" s="23" t="s">
        <v>41</v>
      </c>
      <c r="F226" s="109">
        <v>96</v>
      </c>
      <c r="G226" s="111">
        <v>2</v>
      </c>
      <c r="H226" s="131"/>
      <c r="I226" s="112">
        <f t="shared" si="14"/>
        <v>0</v>
      </c>
      <c r="J226" s="114"/>
      <c r="K226" s="120"/>
    </row>
    <row r="227" spans="1:11" x14ac:dyDescent="0.25">
      <c r="A227" s="128"/>
      <c r="B227" s="132">
        <v>45511</v>
      </c>
      <c r="C227" s="150" t="s">
        <v>836</v>
      </c>
      <c r="D227" s="10" t="s">
        <v>86</v>
      </c>
      <c r="E227" s="9" t="s">
        <v>87</v>
      </c>
      <c r="F227" s="109">
        <v>48</v>
      </c>
      <c r="G227" s="111">
        <v>4</v>
      </c>
      <c r="H227" s="131"/>
      <c r="I227" s="112">
        <f t="shared" si="14"/>
        <v>0</v>
      </c>
      <c r="J227" s="114"/>
      <c r="K227" s="120"/>
    </row>
    <row r="228" spans="1:11" x14ac:dyDescent="0.25">
      <c r="A228" s="128"/>
      <c r="B228" s="132">
        <v>45511</v>
      </c>
      <c r="C228" s="150" t="s">
        <v>836</v>
      </c>
      <c r="D228" s="10" t="s">
        <v>172</v>
      </c>
      <c r="E228" s="9" t="s">
        <v>173</v>
      </c>
      <c r="F228" s="109">
        <v>4</v>
      </c>
      <c r="G228" s="111"/>
      <c r="H228" s="131"/>
      <c r="I228" s="112">
        <f t="shared" si="14"/>
        <v>0</v>
      </c>
      <c r="J228" s="114"/>
      <c r="K228" s="120"/>
    </row>
    <row r="229" spans="1:11" x14ac:dyDescent="0.25">
      <c r="A229" s="128"/>
      <c r="B229" s="132">
        <v>45511</v>
      </c>
      <c r="C229" s="150" t="s">
        <v>836</v>
      </c>
      <c r="D229" s="21" t="s">
        <v>764</v>
      </c>
      <c r="E229" s="23" t="s">
        <v>69</v>
      </c>
      <c r="F229" s="109">
        <v>96</v>
      </c>
      <c r="G229" s="111">
        <v>2</v>
      </c>
      <c r="H229" s="131"/>
      <c r="I229" s="112">
        <f t="shared" si="14"/>
        <v>0</v>
      </c>
      <c r="J229" s="114"/>
      <c r="K229" s="120"/>
    </row>
    <row r="230" spans="1:11" x14ac:dyDescent="0.25">
      <c r="A230" s="128"/>
      <c r="B230" s="132">
        <v>45511</v>
      </c>
      <c r="C230" s="150" t="s">
        <v>836</v>
      </c>
      <c r="D230" s="21" t="s">
        <v>126</v>
      </c>
      <c r="E230" s="22" t="s">
        <v>127</v>
      </c>
      <c r="F230" s="109">
        <v>96</v>
      </c>
      <c r="G230" s="111">
        <v>2</v>
      </c>
      <c r="H230" s="131"/>
      <c r="I230" s="112">
        <f t="shared" si="14"/>
        <v>0</v>
      </c>
      <c r="J230" s="114"/>
      <c r="K230" s="120"/>
    </row>
    <row r="231" spans="1:11" x14ac:dyDescent="0.25">
      <c r="A231" s="128"/>
      <c r="B231" s="132">
        <v>45511</v>
      </c>
      <c r="C231" s="150" t="s">
        <v>836</v>
      </c>
      <c r="D231" s="33" t="s">
        <v>760</v>
      </c>
      <c r="E231" s="34" t="s">
        <v>761</v>
      </c>
      <c r="F231" s="109">
        <v>24</v>
      </c>
      <c r="G231" s="111">
        <v>2</v>
      </c>
      <c r="H231" s="131"/>
      <c r="I231" s="112">
        <f t="shared" si="14"/>
        <v>0</v>
      </c>
      <c r="J231" s="114"/>
      <c r="K231" s="120"/>
    </row>
    <row r="232" spans="1:11" x14ac:dyDescent="0.25">
      <c r="A232" s="128"/>
      <c r="B232" s="132">
        <v>45511</v>
      </c>
      <c r="C232" s="148" t="s">
        <v>782</v>
      </c>
      <c r="D232" s="29" t="s">
        <v>762</v>
      </c>
      <c r="E232" s="30" t="s">
        <v>85</v>
      </c>
      <c r="F232" s="109">
        <v>12</v>
      </c>
      <c r="G232" s="111">
        <v>1</v>
      </c>
      <c r="H232" s="131"/>
      <c r="I232" s="112">
        <f t="shared" si="14"/>
        <v>0</v>
      </c>
      <c r="J232" s="114"/>
      <c r="K232" s="120"/>
    </row>
    <row r="233" spans="1:11" x14ac:dyDescent="0.25">
      <c r="A233" s="128"/>
      <c r="B233" s="132">
        <v>45511</v>
      </c>
      <c r="C233" s="148" t="s">
        <v>780</v>
      </c>
      <c r="D233" s="29" t="s">
        <v>762</v>
      </c>
      <c r="E233" s="30" t="s">
        <v>85</v>
      </c>
      <c r="F233" s="109">
        <v>60</v>
      </c>
      <c r="G233" s="111">
        <v>5</v>
      </c>
      <c r="H233" s="131"/>
      <c r="I233" s="112">
        <f t="shared" si="14"/>
        <v>0</v>
      </c>
      <c r="J233" s="114"/>
      <c r="K233" s="120"/>
    </row>
    <row r="234" spans="1:11" x14ac:dyDescent="0.25">
      <c r="A234" s="128"/>
      <c r="B234" s="132">
        <v>45511</v>
      </c>
      <c r="C234" s="148" t="s">
        <v>780</v>
      </c>
      <c r="D234" s="21" t="s">
        <v>126</v>
      </c>
      <c r="E234" s="22" t="s">
        <v>127</v>
      </c>
      <c r="F234" s="109">
        <v>96</v>
      </c>
      <c r="G234" s="111">
        <v>2</v>
      </c>
      <c r="H234" s="131"/>
      <c r="I234" s="112">
        <f t="shared" si="14"/>
        <v>0</v>
      </c>
      <c r="J234" s="114"/>
      <c r="K234" s="120"/>
    </row>
    <row r="235" spans="1:11" x14ac:dyDescent="0.25">
      <c r="A235" s="128"/>
      <c r="B235" s="252">
        <v>45512</v>
      </c>
      <c r="C235" s="109" t="s">
        <v>839</v>
      </c>
      <c r="D235" s="21" t="s">
        <v>142</v>
      </c>
      <c r="E235" s="22" t="s">
        <v>143</v>
      </c>
      <c r="F235" s="109">
        <v>480</v>
      </c>
      <c r="G235" s="111">
        <v>10</v>
      </c>
      <c r="H235" s="131">
        <v>250000</v>
      </c>
      <c r="I235" s="112">
        <f t="shared" si="14"/>
        <v>2500000</v>
      </c>
      <c r="J235" s="364">
        <f>I235+I236</f>
        <v>5000000</v>
      </c>
      <c r="K235" s="367" t="s">
        <v>825</v>
      </c>
    </row>
    <row r="236" spans="1:11" x14ac:dyDescent="0.25">
      <c r="A236" s="128"/>
      <c r="B236" s="252">
        <v>45512</v>
      </c>
      <c r="C236" s="109" t="s">
        <v>839</v>
      </c>
      <c r="D236" s="21" t="s">
        <v>126</v>
      </c>
      <c r="E236" s="22" t="s">
        <v>127</v>
      </c>
      <c r="F236" s="109">
        <v>480</v>
      </c>
      <c r="G236" s="111">
        <v>10</v>
      </c>
      <c r="H236" s="131">
        <v>250000</v>
      </c>
      <c r="I236" s="112">
        <f t="shared" si="14"/>
        <v>2500000</v>
      </c>
      <c r="J236" s="366"/>
      <c r="K236" s="366"/>
    </row>
    <row r="237" spans="1:11" x14ac:dyDescent="0.25">
      <c r="A237" s="128"/>
      <c r="B237" s="252">
        <v>45512</v>
      </c>
      <c r="C237" s="128" t="s">
        <v>895</v>
      </c>
      <c r="D237" s="10" t="s">
        <v>22</v>
      </c>
      <c r="E237" s="7" t="s">
        <v>23</v>
      </c>
      <c r="F237" s="109">
        <v>24</v>
      </c>
      <c r="G237" s="111">
        <v>2</v>
      </c>
      <c r="H237" s="109">
        <v>715000</v>
      </c>
      <c r="I237" s="112">
        <f t="shared" si="14"/>
        <v>1430000</v>
      </c>
      <c r="J237" s="113">
        <f>I237</f>
        <v>1430000</v>
      </c>
      <c r="K237" s="120" t="s">
        <v>825</v>
      </c>
    </row>
    <row r="238" spans="1:11" x14ac:dyDescent="0.25">
      <c r="A238" s="128"/>
      <c r="B238" s="252">
        <v>45512</v>
      </c>
      <c r="C238" s="128" t="s">
        <v>896</v>
      </c>
      <c r="D238" s="21" t="s">
        <v>764</v>
      </c>
      <c r="E238" s="23" t="s">
        <v>69</v>
      </c>
      <c r="F238" s="109">
        <v>240</v>
      </c>
      <c r="G238" s="111">
        <v>5</v>
      </c>
      <c r="H238" s="109">
        <v>345050</v>
      </c>
      <c r="I238" s="112">
        <f t="shared" si="14"/>
        <v>1725250</v>
      </c>
      <c r="J238" s="364">
        <f>SUM(I238:I241)</f>
        <v>5585827</v>
      </c>
      <c r="K238" s="367"/>
    </row>
    <row r="239" spans="1:11" x14ac:dyDescent="0.25">
      <c r="A239" s="128"/>
      <c r="B239" s="252">
        <v>45512</v>
      </c>
      <c r="C239" s="128" t="s">
        <v>896</v>
      </c>
      <c r="D239" s="21" t="s">
        <v>765</v>
      </c>
      <c r="E239" s="22" t="s">
        <v>75</v>
      </c>
      <c r="F239" s="109">
        <v>240</v>
      </c>
      <c r="G239" s="111">
        <v>5</v>
      </c>
      <c r="H239" s="109">
        <v>345050</v>
      </c>
      <c r="I239" s="112">
        <f t="shared" si="14"/>
        <v>1725250</v>
      </c>
      <c r="J239" s="365"/>
      <c r="K239" s="365"/>
    </row>
    <row r="240" spans="1:11" x14ac:dyDescent="0.25">
      <c r="A240" s="128"/>
      <c r="B240" s="252">
        <v>45512</v>
      </c>
      <c r="C240" s="128" t="s">
        <v>896</v>
      </c>
      <c r="D240" s="21" t="s">
        <v>763</v>
      </c>
      <c r="E240" s="22" t="s">
        <v>83</v>
      </c>
      <c r="F240" s="109">
        <v>240</v>
      </c>
      <c r="G240" s="111">
        <v>5</v>
      </c>
      <c r="H240" s="109">
        <v>345050</v>
      </c>
      <c r="I240" s="112">
        <f t="shared" si="14"/>
        <v>1725250</v>
      </c>
      <c r="J240" s="365"/>
      <c r="K240" s="365"/>
    </row>
    <row r="241" spans="1:11" x14ac:dyDescent="0.25">
      <c r="A241" s="128"/>
      <c r="B241" s="252">
        <v>45512</v>
      </c>
      <c r="C241" s="128" t="s">
        <v>896</v>
      </c>
      <c r="D241" s="21" t="s">
        <v>30</v>
      </c>
      <c r="E241" s="23" t="s">
        <v>31</v>
      </c>
      <c r="F241" s="109">
        <v>24</v>
      </c>
      <c r="G241" s="111">
        <v>1</v>
      </c>
      <c r="H241" s="131">
        <v>410077</v>
      </c>
      <c r="I241" s="112">
        <f t="shared" si="14"/>
        <v>410077</v>
      </c>
      <c r="J241" s="366"/>
      <c r="K241" s="366"/>
    </row>
    <row r="242" spans="1:11" x14ac:dyDescent="0.25">
      <c r="A242" s="128"/>
      <c r="B242" s="252">
        <v>45512</v>
      </c>
      <c r="C242" s="128" t="s">
        <v>853</v>
      </c>
      <c r="D242" s="10" t="s">
        <v>10</v>
      </c>
      <c r="E242" s="7" t="s">
        <v>11</v>
      </c>
      <c r="F242" s="109">
        <v>240</v>
      </c>
      <c r="G242" s="111">
        <v>5</v>
      </c>
      <c r="H242" s="131">
        <v>370000</v>
      </c>
      <c r="I242" s="112">
        <f t="shared" si="14"/>
        <v>1850000</v>
      </c>
      <c r="J242" s="364">
        <f>SUM(I242:I254)</f>
        <v>8520000</v>
      </c>
      <c r="K242" s="120"/>
    </row>
    <row r="243" spans="1:11" x14ac:dyDescent="0.25">
      <c r="A243" s="128"/>
      <c r="B243" s="252">
        <v>45512</v>
      </c>
      <c r="C243" s="128" t="s">
        <v>853</v>
      </c>
      <c r="D243" s="10" t="s">
        <v>32</v>
      </c>
      <c r="E243" s="7" t="s">
        <v>33</v>
      </c>
      <c r="F243" s="109">
        <v>96</v>
      </c>
      <c r="G243" s="111">
        <v>2</v>
      </c>
      <c r="H243" s="131">
        <v>1440000</v>
      </c>
      <c r="I243" s="112">
        <f t="shared" si="14"/>
        <v>2880000</v>
      </c>
      <c r="J243" s="365"/>
      <c r="K243" s="120"/>
    </row>
    <row r="244" spans="1:11" x14ac:dyDescent="0.25">
      <c r="A244" s="128"/>
      <c r="B244" s="252">
        <v>45512</v>
      </c>
      <c r="C244" s="128" t="s">
        <v>853</v>
      </c>
      <c r="D244" s="21" t="s">
        <v>40</v>
      </c>
      <c r="E244" s="23" t="s">
        <v>41</v>
      </c>
      <c r="F244" s="109">
        <v>96</v>
      </c>
      <c r="G244" s="111">
        <v>2</v>
      </c>
      <c r="H244" s="131">
        <v>325000</v>
      </c>
      <c r="I244" s="112">
        <f t="shared" si="14"/>
        <v>650000</v>
      </c>
      <c r="J244" s="365"/>
      <c r="K244" s="120"/>
    </row>
    <row r="245" spans="1:11" x14ac:dyDescent="0.25">
      <c r="A245" s="128"/>
      <c r="B245" s="252">
        <v>45512</v>
      </c>
      <c r="C245" s="128" t="s">
        <v>853</v>
      </c>
      <c r="D245" s="21" t="s">
        <v>44</v>
      </c>
      <c r="E245" s="23" t="s">
        <v>45</v>
      </c>
      <c r="F245" s="109">
        <v>96</v>
      </c>
      <c r="G245" s="111">
        <v>2</v>
      </c>
      <c r="H245" s="131">
        <v>325000</v>
      </c>
      <c r="I245" s="112">
        <f t="shared" si="14"/>
        <v>650000</v>
      </c>
      <c r="J245" s="365"/>
      <c r="K245" s="120"/>
    </row>
    <row r="246" spans="1:11" x14ac:dyDescent="0.25">
      <c r="A246" s="128"/>
      <c r="B246" s="252">
        <v>45512</v>
      </c>
      <c r="C246" s="128" t="s">
        <v>853</v>
      </c>
      <c r="D246" s="10" t="s">
        <v>144</v>
      </c>
      <c r="E246" s="9" t="s">
        <v>145</v>
      </c>
      <c r="F246" s="109">
        <v>50</v>
      </c>
      <c r="G246" s="111">
        <v>1</v>
      </c>
      <c r="H246" s="131">
        <v>215000</v>
      </c>
      <c r="I246" s="112">
        <f t="shared" si="14"/>
        <v>215000</v>
      </c>
      <c r="J246" s="365"/>
      <c r="K246" s="120"/>
    </row>
    <row r="247" spans="1:11" x14ac:dyDescent="0.25">
      <c r="A247" s="128"/>
      <c r="B247" s="252">
        <v>45512</v>
      </c>
      <c r="C247" s="128" t="s">
        <v>853</v>
      </c>
      <c r="D247" s="10" t="s">
        <v>146</v>
      </c>
      <c r="E247" s="9" t="s">
        <v>147</v>
      </c>
      <c r="F247" s="109">
        <v>50</v>
      </c>
      <c r="G247" s="111">
        <v>1</v>
      </c>
      <c r="H247" s="131">
        <v>215000</v>
      </c>
      <c r="I247" s="112">
        <f t="shared" si="14"/>
        <v>215000</v>
      </c>
      <c r="J247" s="365"/>
      <c r="K247" s="120"/>
    </row>
    <row r="248" spans="1:11" x14ac:dyDescent="0.25">
      <c r="A248" s="128"/>
      <c r="B248" s="252">
        <v>45512</v>
      </c>
      <c r="C248" s="128" t="s">
        <v>853</v>
      </c>
      <c r="D248" s="10" t="s">
        <v>148</v>
      </c>
      <c r="E248" s="9" t="s">
        <v>149</v>
      </c>
      <c r="F248" s="109">
        <v>100</v>
      </c>
      <c r="G248" s="111">
        <v>2</v>
      </c>
      <c r="H248" s="131">
        <v>215000</v>
      </c>
      <c r="I248" s="112">
        <f t="shared" si="14"/>
        <v>430000</v>
      </c>
      <c r="J248" s="365"/>
      <c r="K248" s="120"/>
    </row>
    <row r="249" spans="1:11" x14ac:dyDescent="0.25">
      <c r="A249" s="128"/>
      <c r="B249" s="252">
        <v>45512</v>
      </c>
      <c r="C249" s="128" t="s">
        <v>853</v>
      </c>
      <c r="D249" s="10" t="s">
        <v>154</v>
      </c>
      <c r="E249" s="9" t="s">
        <v>155</v>
      </c>
      <c r="F249" s="109">
        <v>100</v>
      </c>
      <c r="G249" s="111">
        <v>2</v>
      </c>
      <c r="H249" s="131">
        <v>215000</v>
      </c>
      <c r="I249" s="112">
        <f t="shared" si="14"/>
        <v>430000</v>
      </c>
      <c r="J249" s="365"/>
      <c r="K249" s="120"/>
    </row>
    <row r="250" spans="1:11" x14ac:dyDescent="0.25">
      <c r="A250" s="128"/>
      <c r="B250" s="252">
        <v>45512</v>
      </c>
      <c r="C250" s="128" t="s">
        <v>853</v>
      </c>
      <c r="D250" s="10" t="s">
        <v>158</v>
      </c>
      <c r="E250" s="9" t="s">
        <v>159</v>
      </c>
      <c r="F250" s="109">
        <v>100</v>
      </c>
      <c r="G250" s="111">
        <v>2</v>
      </c>
      <c r="H250" s="131">
        <v>215000</v>
      </c>
      <c r="I250" s="112">
        <f t="shared" si="14"/>
        <v>430000</v>
      </c>
      <c r="J250" s="365"/>
      <c r="K250" s="120"/>
    </row>
    <row r="251" spans="1:11" x14ac:dyDescent="0.25">
      <c r="A251" s="242"/>
      <c r="B251" s="252">
        <v>45512</v>
      </c>
      <c r="C251" s="128" t="s">
        <v>853</v>
      </c>
      <c r="D251" s="10" t="s">
        <v>150</v>
      </c>
      <c r="E251" s="9" t="s">
        <v>151</v>
      </c>
      <c r="F251" s="243">
        <v>24</v>
      </c>
      <c r="G251" s="245">
        <v>1</v>
      </c>
      <c r="H251" s="246">
        <v>185000</v>
      </c>
      <c r="I251" s="247">
        <f t="shared" si="14"/>
        <v>185000</v>
      </c>
      <c r="J251" s="365"/>
      <c r="K251" s="249"/>
    </row>
    <row r="252" spans="1:11" x14ac:dyDescent="0.25">
      <c r="A252" s="242"/>
      <c r="B252" s="252">
        <v>45512</v>
      </c>
      <c r="C252" s="128" t="s">
        <v>853</v>
      </c>
      <c r="D252" s="10" t="s">
        <v>156</v>
      </c>
      <c r="E252" s="9" t="s">
        <v>157</v>
      </c>
      <c r="F252" s="243">
        <v>24</v>
      </c>
      <c r="G252" s="245">
        <v>1</v>
      </c>
      <c r="H252" s="246">
        <v>185000</v>
      </c>
      <c r="I252" s="247">
        <f t="shared" ref="I252:I253" si="15">G252*H252</f>
        <v>185000</v>
      </c>
      <c r="J252" s="365"/>
      <c r="K252" s="249"/>
    </row>
    <row r="253" spans="1:11" x14ac:dyDescent="0.25">
      <c r="A253" s="242"/>
      <c r="B253" s="252">
        <v>45512</v>
      </c>
      <c r="C253" s="128" t="s">
        <v>853</v>
      </c>
      <c r="D253" s="10" t="s">
        <v>162</v>
      </c>
      <c r="E253" s="9" t="s">
        <v>163</v>
      </c>
      <c r="F253" s="243">
        <v>24</v>
      </c>
      <c r="G253" s="245">
        <v>1</v>
      </c>
      <c r="H253" s="246">
        <v>185000</v>
      </c>
      <c r="I253" s="247">
        <f t="shared" si="15"/>
        <v>185000</v>
      </c>
      <c r="J253" s="365"/>
      <c r="K253" s="249"/>
    </row>
    <row r="254" spans="1:11" x14ac:dyDescent="0.25">
      <c r="A254" s="128"/>
      <c r="B254" s="252">
        <v>45512</v>
      </c>
      <c r="C254" s="128" t="s">
        <v>853</v>
      </c>
      <c r="D254" s="10" t="s">
        <v>160</v>
      </c>
      <c r="E254" s="9" t="s">
        <v>161</v>
      </c>
      <c r="F254" s="109">
        <v>50</v>
      </c>
      <c r="G254" s="111">
        <v>1</v>
      </c>
      <c r="H254" s="131">
        <v>215000</v>
      </c>
      <c r="I254" s="112">
        <f t="shared" si="14"/>
        <v>215000</v>
      </c>
      <c r="J254" s="366"/>
      <c r="K254" s="120"/>
    </row>
    <row r="255" spans="1:11" x14ac:dyDescent="0.25">
      <c r="A255" s="128"/>
      <c r="B255" s="252">
        <v>45512</v>
      </c>
      <c r="C255" s="148" t="s">
        <v>777</v>
      </c>
      <c r="D255" s="29" t="s">
        <v>762</v>
      </c>
      <c r="E255" s="30" t="s">
        <v>85</v>
      </c>
      <c r="F255" s="109">
        <v>11</v>
      </c>
      <c r="G255" s="111"/>
      <c r="H255" s="131"/>
      <c r="I255" s="112">
        <f t="shared" si="14"/>
        <v>0</v>
      </c>
      <c r="J255" s="114"/>
      <c r="K255" s="120"/>
    </row>
    <row r="256" spans="1:11" x14ac:dyDescent="0.25">
      <c r="A256" s="128"/>
      <c r="B256" s="252">
        <v>45512</v>
      </c>
      <c r="C256" s="148" t="s">
        <v>777</v>
      </c>
      <c r="D256" s="21" t="s">
        <v>126</v>
      </c>
      <c r="E256" s="22" t="s">
        <v>127</v>
      </c>
      <c r="F256" s="109">
        <v>6</v>
      </c>
      <c r="G256" s="111"/>
      <c r="H256" s="131"/>
      <c r="I256" s="112">
        <f t="shared" si="14"/>
        <v>0</v>
      </c>
      <c r="J256" s="114"/>
      <c r="K256" s="120"/>
    </row>
    <row r="257" spans="1:11" x14ac:dyDescent="0.25">
      <c r="A257" s="128"/>
      <c r="B257" s="252">
        <v>45512</v>
      </c>
      <c r="C257" s="148" t="s">
        <v>835</v>
      </c>
      <c r="D257" s="29" t="s">
        <v>762</v>
      </c>
      <c r="E257" s="30" t="s">
        <v>85</v>
      </c>
      <c r="F257" s="109">
        <v>60</v>
      </c>
      <c r="G257" s="111">
        <v>5</v>
      </c>
      <c r="H257" s="131"/>
      <c r="I257" s="112">
        <f t="shared" si="14"/>
        <v>0</v>
      </c>
      <c r="J257" s="114"/>
      <c r="K257" s="120"/>
    </row>
    <row r="258" spans="1:11" x14ac:dyDescent="0.25">
      <c r="A258" s="128"/>
      <c r="B258" s="252">
        <v>45512</v>
      </c>
      <c r="C258" s="150" t="s">
        <v>836</v>
      </c>
      <c r="D258" s="33" t="s">
        <v>760</v>
      </c>
      <c r="E258" s="34" t="s">
        <v>761</v>
      </c>
      <c r="F258" s="109">
        <v>24</v>
      </c>
      <c r="G258" s="111">
        <v>2</v>
      </c>
      <c r="H258" s="131"/>
      <c r="I258" s="112">
        <f t="shared" si="14"/>
        <v>0</v>
      </c>
      <c r="J258" s="114"/>
      <c r="K258" s="120"/>
    </row>
    <row r="259" spans="1:11" x14ac:dyDescent="0.25">
      <c r="A259" s="128"/>
      <c r="B259" s="252">
        <v>45512</v>
      </c>
      <c r="C259" s="150" t="s">
        <v>836</v>
      </c>
      <c r="D259" s="10" t="s">
        <v>86</v>
      </c>
      <c r="E259" s="9" t="s">
        <v>87</v>
      </c>
      <c r="F259" s="109">
        <v>24</v>
      </c>
      <c r="G259" s="111">
        <v>2</v>
      </c>
      <c r="H259" s="131"/>
      <c r="I259" s="112">
        <f t="shared" si="14"/>
        <v>0</v>
      </c>
      <c r="J259" s="114"/>
      <c r="K259" s="120"/>
    </row>
    <row r="260" spans="1:11" x14ac:dyDescent="0.25">
      <c r="A260" s="128"/>
      <c r="B260" s="252">
        <v>45512</v>
      </c>
      <c r="C260" s="150" t="s">
        <v>836</v>
      </c>
      <c r="D260" s="21" t="s">
        <v>763</v>
      </c>
      <c r="E260" s="22" t="s">
        <v>83</v>
      </c>
      <c r="F260" s="109">
        <v>12</v>
      </c>
      <c r="G260" s="111"/>
      <c r="H260" s="131"/>
      <c r="I260" s="112">
        <f t="shared" si="14"/>
        <v>0</v>
      </c>
      <c r="J260" s="114"/>
      <c r="K260" s="120"/>
    </row>
    <row r="261" spans="1:11" x14ac:dyDescent="0.25">
      <c r="A261" s="128"/>
      <c r="B261" s="252">
        <v>45512</v>
      </c>
      <c r="C261" s="150" t="s">
        <v>836</v>
      </c>
      <c r="D261" s="10" t="s">
        <v>24</v>
      </c>
      <c r="E261" s="7" t="s">
        <v>25</v>
      </c>
      <c r="F261" s="109">
        <v>10</v>
      </c>
      <c r="G261" s="111"/>
      <c r="H261" s="131"/>
      <c r="I261" s="112">
        <f t="shared" si="14"/>
        <v>0</v>
      </c>
      <c r="J261" s="113"/>
      <c r="K261" s="120"/>
    </row>
    <row r="262" spans="1:11" x14ac:dyDescent="0.25">
      <c r="A262" s="128"/>
      <c r="B262" s="252">
        <v>45512</v>
      </c>
      <c r="C262" s="150" t="s">
        <v>836</v>
      </c>
      <c r="D262" s="10" t="s">
        <v>164</v>
      </c>
      <c r="E262" s="9" t="s">
        <v>165</v>
      </c>
      <c r="F262" s="109">
        <v>12</v>
      </c>
      <c r="G262" s="111">
        <v>1</v>
      </c>
      <c r="H262" s="131"/>
      <c r="I262" s="112">
        <f t="shared" si="14"/>
        <v>0</v>
      </c>
      <c r="J262" s="114"/>
      <c r="K262" s="120"/>
    </row>
    <row r="263" spans="1:11" x14ac:dyDescent="0.25">
      <c r="A263" s="128"/>
      <c r="B263" s="252">
        <v>45512</v>
      </c>
      <c r="C263" s="150" t="s">
        <v>836</v>
      </c>
      <c r="D263" s="29" t="s">
        <v>762</v>
      </c>
      <c r="E263" s="30" t="s">
        <v>85</v>
      </c>
      <c r="F263" s="109">
        <f>100*12</f>
        <v>1200</v>
      </c>
      <c r="G263" s="111">
        <v>100</v>
      </c>
      <c r="H263" s="131">
        <v>357000</v>
      </c>
      <c r="I263" s="112">
        <f t="shared" si="14"/>
        <v>35700000</v>
      </c>
      <c r="J263" s="113"/>
      <c r="K263" s="120"/>
    </row>
    <row r="264" spans="1:11" x14ac:dyDescent="0.25">
      <c r="A264" s="128"/>
      <c r="B264" s="132">
        <v>45513</v>
      </c>
      <c r="C264" s="109" t="s">
        <v>827</v>
      </c>
      <c r="D264" s="21" t="s">
        <v>142</v>
      </c>
      <c r="E264" s="22" t="s">
        <v>143</v>
      </c>
      <c r="F264" s="109">
        <f>36*48</f>
        <v>1728</v>
      </c>
      <c r="G264" s="111">
        <v>36</v>
      </c>
      <c r="H264" s="109">
        <v>260000</v>
      </c>
      <c r="I264" s="112">
        <f t="shared" si="14"/>
        <v>9360000</v>
      </c>
      <c r="J264" s="113">
        <f>I264</f>
        <v>9360000</v>
      </c>
      <c r="K264" s="120" t="s">
        <v>925</v>
      </c>
    </row>
    <row r="265" spans="1:11" x14ac:dyDescent="0.25">
      <c r="A265" s="128"/>
      <c r="B265" s="132">
        <v>45513</v>
      </c>
      <c r="C265" s="128" t="s">
        <v>847</v>
      </c>
      <c r="D265" s="29" t="s">
        <v>762</v>
      </c>
      <c r="E265" s="30" t="s">
        <v>85</v>
      </c>
      <c r="F265" s="109">
        <v>60</v>
      </c>
      <c r="G265" s="111">
        <v>5</v>
      </c>
      <c r="H265" s="131">
        <v>370000</v>
      </c>
      <c r="I265" s="112">
        <f t="shared" si="14"/>
        <v>1850000</v>
      </c>
      <c r="J265" s="364">
        <f>I265+I266</f>
        <v>2630000</v>
      </c>
      <c r="K265" s="367" t="s">
        <v>915</v>
      </c>
    </row>
    <row r="266" spans="1:11" x14ac:dyDescent="0.25">
      <c r="A266" s="128"/>
      <c r="B266" s="132">
        <v>45513</v>
      </c>
      <c r="C266" s="128" t="s">
        <v>847</v>
      </c>
      <c r="D266" s="21" t="s">
        <v>126</v>
      </c>
      <c r="E266" s="22" t="s">
        <v>127</v>
      </c>
      <c r="F266" s="109">
        <v>144</v>
      </c>
      <c r="G266" s="111">
        <v>3</v>
      </c>
      <c r="H266" s="131">
        <v>260000</v>
      </c>
      <c r="I266" s="112">
        <f t="shared" si="14"/>
        <v>780000</v>
      </c>
      <c r="J266" s="370"/>
      <c r="K266" s="366"/>
    </row>
    <row r="267" spans="1:11" x14ac:dyDescent="0.25">
      <c r="A267" s="128"/>
      <c r="B267" s="132">
        <v>45513</v>
      </c>
      <c r="C267" s="109" t="s">
        <v>861</v>
      </c>
      <c r="D267" s="29" t="s">
        <v>762</v>
      </c>
      <c r="E267" s="30" t="s">
        <v>85</v>
      </c>
      <c r="F267" s="109">
        <f>50*12</f>
        <v>600</v>
      </c>
      <c r="G267" s="111">
        <v>50</v>
      </c>
      <c r="H267" s="131"/>
      <c r="I267" s="112">
        <f t="shared" si="14"/>
        <v>0</v>
      </c>
      <c r="J267" s="114"/>
      <c r="K267" s="120"/>
    </row>
    <row r="268" spans="1:11" x14ac:dyDescent="0.25">
      <c r="A268" s="128"/>
      <c r="B268" s="132">
        <v>45513</v>
      </c>
      <c r="C268" s="149" t="s">
        <v>775</v>
      </c>
      <c r="D268" s="29" t="s">
        <v>762</v>
      </c>
      <c r="E268" s="30" t="s">
        <v>85</v>
      </c>
      <c r="F268" s="109">
        <v>24</v>
      </c>
      <c r="G268" s="111">
        <v>2</v>
      </c>
      <c r="H268" s="131"/>
      <c r="I268" s="112">
        <f t="shared" si="14"/>
        <v>0</v>
      </c>
      <c r="J268" s="114"/>
      <c r="K268" s="120"/>
    </row>
    <row r="269" spans="1:11" x14ac:dyDescent="0.25">
      <c r="A269" s="128"/>
      <c r="B269" s="132">
        <v>45513</v>
      </c>
      <c r="C269" s="149" t="s">
        <v>775</v>
      </c>
      <c r="D269" s="10" t="s">
        <v>86</v>
      </c>
      <c r="E269" s="9" t="s">
        <v>87</v>
      </c>
      <c r="F269" s="109">
        <v>4</v>
      </c>
      <c r="G269" s="111"/>
      <c r="H269" s="131"/>
      <c r="I269" s="112">
        <f t="shared" si="14"/>
        <v>0</v>
      </c>
      <c r="J269" s="114"/>
      <c r="K269" s="120"/>
    </row>
    <row r="270" spans="1:11" x14ac:dyDescent="0.25">
      <c r="A270" s="128"/>
      <c r="B270" s="132">
        <v>45513</v>
      </c>
      <c r="C270" s="148" t="s">
        <v>834</v>
      </c>
      <c r="D270" s="10" t="s">
        <v>166</v>
      </c>
      <c r="E270" s="9" t="s">
        <v>167</v>
      </c>
      <c r="F270" s="109">
        <v>120</v>
      </c>
      <c r="G270" s="111">
        <v>10</v>
      </c>
      <c r="H270" s="131"/>
      <c r="I270" s="112">
        <f t="shared" si="14"/>
        <v>0</v>
      </c>
      <c r="J270" s="114"/>
      <c r="K270" s="120"/>
    </row>
    <row r="271" spans="1:11" x14ac:dyDescent="0.25">
      <c r="A271" s="128"/>
      <c r="B271" s="132">
        <v>45513</v>
      </c>
      <c r="C271" s="148" t="s">
        <v>834</v>
      </c>
      <c r="D271" s="10" t="s">
        <v>172</v>
      </c>
      <c r="E271" s="9" t="s">
        <v>173</v>
      </c>
      <c r="F271" s="109">
        <v>120</v>
      </c>
      <c r="G271" s="111">
        <v>10</v>
      </c>
      <c r="H271" s="131"/>
      <c r="I271" s="112">
        <f t="shared" si="14"/>
        <v>0</v>
      </c>
      <c r="J271" s="114"/>
      <c r="K271" s="120"/>
    </row>
    <row r="272" spans="1:11" x14ac:dyDescent="0.25">
      <c r="A272" s="128"/>
      <c r="B272" s="132">
        <v>45513</v>
      </c>
      <c r="C272" s="148" t="s">
        <v>777</v>
      </c>
      <c r="D272" s="29" t="s">
        <v>762</v>
      </c>
      <c r="E272" s="30" t="s">
        <v>85</v>
      </c>
      <c r="F272" s="109">
        <v>7</v>
      </c>
      <c r="G272" s="111"/>
      <c r="H272" s="131"/>
      <c r="I272" s="112">
        <f t="shared" si="14"/>
        <v>0</v>
      </c>
      <c r="J272" s="114"/>
      <c r="K272" s="120"/>
    </row>
    <row r="273" spans="1:11" x14ac:dyDescent="0.25">
      <c r="A273" s="128"/>
      <c r="B273" s="132">
        <v>45513</v>
      </c>
      <c r="C273" s="148" t="s">
        <v>777</v>
      </c>
      <c r="D273" s="21" t="s">
        <v>126</v>
      </c>
      <c r="E273" s="22" t="s">
        <v>127</v>
      </c>
      <c r="F273" s="109">
        <v>6</v>
      </c>
      <c r="G273" s="111"/>
      <c r="H273" s="131"/>
      <c r="I273" s="112">
        <f t="shared" si="14"/>
        <v>0</v>
      </c>
      <c r="J273" s="114"/>
      <c r="K273" s="120"/>
    </row>
    <row r="274" spans="1:11" x14ac:dyDescent="0.25">
      <c r="A274" s="128"/>
      <c r="B274" s="132">
        <v>45513</v>
      </c>
      <c r="C274" s="148" t="s">
        <v>849</v>
      </c>
      <c r="D274" s="21" t="s">
        <v>142</v>
      </c>
      <c r="E274" s="22" t="s">
        <v>143</v>
      </c>
      <c r="F274" s="109">
        <v>96</v>
      </c>
      <c r="G274" s="111">
        <v>2</v>
      </c>
      <c r="H274" s="131"/>
      <c r="I274" s="112">
        <f t="shared" si="14"/>
        <v>0</v>
      </c>
      <c r="J274" s="114"/>
      <c r="K274" s="120"/>
    </row>
    <row r="275" spans="1:11" x14ac:dyDescent="0.25">
      <c r="A275" s="128"/>
      <c r="B275" s="132">
        <v>45513</v>
      </c>
      <c r="C275" s="148" t="s">
        <v>849</v>
      </c>
      <c r="D275" s="29" t="s">
        <v>762</v>
      </c>
      <c r="E275" s="30" t="s">
        <v>85</v>
      </c>
      <c r="F275" s="109">
        <v>12</v>
      </c>
      <c r="G275" s="111">
        <v>1</v>
      </c>
      <c r="H275" s="131"/>
      <c r="I275" s="112">
        <f t="shared" si="14"/>
        <v>0</v>
      </c>
      <c r="J275" s="114"/>
      <c r="K275" s="120"/>
    </row>
    <row r="276" spans="1:11" x14ac:dyDescent="0.25">
      <c r="A276" s="128"/>
      <c r="B276" s="132">
        <v>45513</v>
      </c>
      <c r="C276" s="148" t="s">
        <v>849</v>
      </c>
      <c r="D276" s="10" t="s">
        <v>22</v>
      </c>
      <c r="E276" s="7" t="s">
        <v>23</v>
      </c>
      <c r="F276" s="109">
        <v>12</v>
      </c>
      <c r="G276" s="111">
        <v>1</v>
      </c>
      <c r="H276" s="131"/>
      <c r="I276" s="112">
        <f t="shared" si="14"/>
        <v>0</v>
      </c>
      <c r="J276" s="114"/>
      <c r="K276" s="120"/>
    </row>
    <row r="277" spans="1:11" x14ac:dyDescent="0.25">
      <c r="A277" s="128"/>
      <c r="B277" s="132">
        <v>45513</v>
      </c>
      <c r="C277" s="149" t="s">
        <v>856</v>
      </c>
      <c r="D277" s="29" t="s">
        <v>762</v>
      </c>
      <c r="E277" s="30" t="s">
        <v>85</v>
      </c>
      <c r="F277" s="109">
        <v>24</v>
      </c>
      <c r="G277" s="111">
        <v>2</v>
      </c>
      <c r="H277" s="131"/>
      <c r="I277" s="112">
        <f t="shared" si="14"/>
        <v>0</v>
      </c>
      <c r="J277" s="114"/>
      <c r="K277" s="120"/>
    </row>
    <row r="278" spans="1:11" x14ac:dyDescent="0.25">
      <c r="A278" s="128"/>
      <c r="B278" s="132">
        <v>45513</v>
      </c>
      <c r="C278" s="148" t="s">
        <v>780</v>
      </c>
      <c r="D278" s="29" t="s">
        <v>762</v>
      </c>
      <c r="E278" s="30" t="s">
        <v>85</v>
      </c>
      <c r="F278" s="109">
        <v>60</v>
      </c>
      <c r="G278" s="111">
        <v>5</v>
      </c>
      <c r="H278" s="131"/>
      <c r="I278" s="112">
        <f t="shared" si="14"/>
        <v>0</v>
      </c>
      <c r="J278" s="114"/>
      <c r="K278" s="120"/>
    </row>
    <row r="279" spans="1:11" x14ac:dyDescent="0.25">
      <c r="A279" s="128"/>
      <c r="B279" s="132">
        <v>45513</v>
      </c>
      <c r="C279" s="150" t="s">
        <v>836</v>
      </c>
      <c r="D279" s="21" t="s">
        <v>126</v>
      </c>
      <c r="E279" s="22" t="s">
        <v>127</v>
      </c>
      <c r="F279" s="109">
        <v>144</v>
      </c>
      <c r="G279" s="111">
        <v>3</v>
      </c>
      <c r="H279" s="131"/>
      <c r="I279" s="112">
        <f t="shared" si="14"/>
        <v>0</v>
      </c>
      <c r="J279" s="113"/>
      <c r="K279" s="120"/>
    </row>
    <row r="280" spans="1:11" x14ac:dyDescent="0.25">
      <c r="A280" s="128"/>
      <c r="B280" s="132">
        <v>45513</v>
      </c>
      <c r="C280" s="150" t="s">
        <v>836</v>
      </c>
      <c r="D280" s="10" t="s">
        <v>56</v>
      </c>
      <c r="E280" s="7" t="s">
        <v>57</v>
      </c>
      <c r="F280" s="109">
        <v>12</v>
      </c>
      <c r="G280" s="111">
        <v>1</v>
      </c>
      <c r="H280" s="131"/>
      <c r="I280" s="112">
        <f t="shared" si="14"/>
        <v>0</v>
      </c>
      <c r="J280" s="113"/>
      <c r="K280" s="120"/>
    </row>
    <row r="281" spans="1:11" ht="15.75" x14ac:dyDescent="0.25">
      <c r="A281" s="128"/>
      <c r="B281" s="132">
        <v>45513</v>
      </c>
      <c r="C281" s="150" t="s">
        <v>836</v>
      </c>
      <c r="D281" s="15" t="s">
        <v>238</v>
      </c>
      <c r="E281" s="45" t="s">
        <v>239</v>
      </c>
      <c r="F281" s="109">
        <v>6</v>
      </c>
      <c r="G281" s="111"/>
      <c r="H281" s="131"/>
      <c r="I281" s="112">
        <f t="shared" si="14"/>
        <v>0</v>
      </c>
      <c r="J281" s="114"/>
      <c r="K281" s="120" t="s">
        <v>897</v>
      </c>
    </row>
    <row r="282" spans="1:11" x14ac:dyDescent="0.25">
      <c r="A282" s="128"/>
      <c r="B282" s="132">
        <v>45513</v>
      </c>
      <c r="C282" s="150" t="s">
        <v>836</v>
      </c>
      <c r="D282" s="21" t="s">
        <v>764</v>
      </c>
      <c r="E282" s="23" t="s">
        <v>69</v>
      </c>
      <c r="F282" s="109">
        <v>144</v>
      </c>
      <c r="G282" s="111">
        <v>3</v>
      </c>
      <c r="H282" s="131"/>
      <c r="I282" s="112">
        <f t="shared" si="14"/>
        <v>0</v>
      </c>
      <c r="J282" s="113"/>
      <c r="K282" s="120"/>
    </row>
    <row r="283" spans="1:11" x14ac:dyDescent="0.25">
      <c r="A283" s="128"/>
      <c r="B283" s="132">
        <v>45513</v>
      </c>
      <c r="C283" s="150" t="s">
        <v>836</v>
      </c>
      <c r="D283" s="10" t="s">
        <v>86</v>
      </c>
      <c r="E283" s="9" t="s">
        <v>87</v>
      </c>
      <c r="F283" s="109">
        <v>46</v>
      </c>
      <c r="G283" s="111"/>
      <c r="H283" s="131"/>
      <c r="I283" s="112">
        <f t="shared" si="14"/>
        <v>0</v>
      </c>
      <c r="J283" s="114"/>
      <c r="K283" s="120"/>
    </row>
    <row r="284" spans="1:11" x14ac:dyDescent="0.25">
      <c r="A284" s="128"/>
      <c r="B284" s="132">
        <v>45513</v>
      </c>
      <c r="C284" s="150" t="s">
        <v>836</v>
      </c>
      <c r="D284" s="21" t="s">
        <v>142</v>
      </c>
      <c r="E284" s="22" t="s">
        <v>143</v>
      </c>
      <c r="F284" s="109">
        <v>48</v>
      </c>
      <c r="G284" s="111">
        <v>1</v>
      </c>
      <c r="H284" s="131"/>
      <c r="I284" s="112">
        <f t="shared" si="14"/>
        <v>0</v>
      </c>
      <c r="J284" s="114"/>
      <c r="K284" s="120"/>
    </row>
    <row r="285" spans="1:11" ht="15.75" x14ac:dyDescent="0.25">
      <c r="A285" s="128"/>
      <c r="B285" s="132">
        <v>45513</v>
      </c>
      <c r="C285" s="150" t="s">
        <v>836</v>
      </c>
      <c r="D285" s="69" t="s">
        <v>811</v>
      </c>
      <c r="E285" s="16" t="s">
        <v>810</v>
      </c>
      <c r="F285" s="109">
        <v>12</v>
      </c>
      <c r="G285" s="111">
        <v>1</v>
      </c>
      <c r="H285" s="131"/>
      <c r="I285" s="112">
        <f t="shared" si="14"/>
        <v>0</v>
      </c>
      <c r="J285" s="114"/>
      <c r="K285" s="120"/>
    </row>
    <row r="286" spans="1:11" x14ac:dyDescent="0.25">
      <c r="A286" s="128"/>
      <c r="B286" s="132">
        <v>45513</v>
      </c>
      <c r="C286" s="150" t="s">
        <v>836</v>
      </c>
      <c r="D286" s="21" t="s">
        <v>44</v>
      </c>
      <c r="E286" s="23" t="s">
        <v>45</v>
      </c>
      <c r="F286" s="109">
        <v>5</v>
      </c>
      <c r="G286" s="111"/>
      <c r="H286" s="131"/>
      <c r="I286" s="112">
        <f t="shared" si="14"/>
        <v>0</v>
      </c>
      <c r="J286" s="114"/>
      <c r="K286" s="120"/>
    </row>
    <row r="287" spans="1:11" x14ac:dyDescent="0.25">
      <c r="A287" s="128"/>
      <c r="B287" s="252">
        <v>45514</v>
      </c>
      <c r="C287" s="109" t="s">
        <v>827</v>
      </c>
      <c r="D287" s="21" t="s">
        <v>142</v>
      </c>
      <c r="E287" s="22" t="s">
        <v>143</v>
      </c>
      <c r="F287" s="109">
        <f>28*48</f>
        <v>1344</v>
      </c>
      <c r="G287" s="111">
        <v>28</v>
      </c>
      <c r="H287" s="131">
        <v>260000</v>
      </c>
      <c r="I287" s="112">
        <f t="shared" si="14"/>
        <v>7280000</v>
      </c>
      <c r="J287" s="364">
        <f>SUM(I287:I289)</f>
        <v>15810000</v>
      </c>
      <c r="K287" s="367" t="s">
        <v>925</v>
      </c>
    </row>
    <row r="288" spans="1:11" x14ac:dyDescent="0.25">
      <c r="A288" s="128"/>
      <c r="B288" s="252">
        <v>45514</v>
      </c>
      <c r="C288" s="109" t="s">
        <v>827</v>
      </c>
      <c r="D288" s="10" t="s">
        <v>132</v>
      </c>
      <c r="E288" s="9" t="s">
        <v>133</v>
      </c>
      <c r="F288" s="109">
        <f>25*48</f>
        <v>1200</v>
      </c>
      <c r="G288" s="111">
        <v>25</v>
      </c>
      <c r="H288" s="131">
        <v>310000</v>
      </c>
      <c r="I288" s="112">
        <f t="shared" si="14"/>
        <v>7750000</v>
      </c>
      <c r="J288" s="365"/>
      <c r="K288" s="365"/>
    </row>
    <row r="289" spans="1:11" x14ac:dyDescent="0.25">
      <c r="A289" s="128"/>
      <c r="B289" s="252">
        <v>45514</v>
      </c>
      <c r="C289" s="109" t="s">
        <v>827</v>
      </c>
      <c r="D289" s="21" t="s">
        <v>126</v>
      </c>
      <c r="E289" s="22" t="s">
        <v>127</v>
      </c>
      <c r="F289" s="109">
        <v>144</v>
      </c>
      <c r="G289" s="111">
        <v>3</v>
      </c>
      <c r="H289" s="131">
        <v>260000</v>
      </c>
      <c r="I289" s="112">
        <f t="shared" si="14"/>
        <v>780000</v>
      </c>
      <c r="J289" s="366"/>
      <c r="K289" s="366"/>
    </row>
    <row r="290" spans="1:11" x14ac:dyDescent="0.25">
      <c r="A290" s="128"/>
      <c r="B290" s="252">
        <v>45514</v>
      </c>
      <c r="C290" s="128" t="s">
        <v>826</v>
      </c>
      <c r="D290" s="10" t="s">
        <v>124</v>
      </c>
      <c r="E290" s="9" t="s">
        <v>125</v>
      </c>
      <c r="F290" s="109">
        <v>144</v>
      </c>
      <c r="G290" s="111">
        <v>3</v>
      </c>
      <c r="H290" s="131">
        <v>275000</v>
      </c>
      <c r="I290" s="112">
        <f t="shared" si="14"/>
        <v>825000</v>
      </c>
      <c r="J290" s="364">
        <f>SUM(I290:I292)</f>
        <v>1515000</v>
      </c>
      <c r="K290" s="367" t="s">
        <v>825</v>
      </c>
    </row>
    <row r="291" spans="1:11" x14ac:dyDescent="0.25">
      <c r="A291" s="128"/>
      <c r="B291" s="252">
        <v>45514</v>
      </c>
      <c r="C291" s="128" t="s">
        <v>826</v>
      </c>
      <c r="D291" s="21" t="s">
        <v>765</v>
      </c>
      <c r="E291" s="22" t="s">
        <v>75</v>
      </c>
      <c r="F291" s="109">
        <v>48</v>
      </c>
      <c r="G291" s="111">
        <v>1</v>
      </c>
      <c r="H291" s="131">
        <v>345000</v>
      </c>
      <c r="I291" s="112">
        <f t="shared" ref="I291:I357" si="16">G291*H291</f>
        <v>345000</v>
      </c>
      <c r="J291" s="365"/>
      <c r="K291" s="365"/>
    </row>
    <row r="292" spans="1:11" x14ac:dyDescent="0.25">
      <c r="A292" s="128"/>
      <c r="B292" s="252">
        <v>45514</v>
      </c>
      <c r="C292" s="128" t="s">
        <v>826</v>
      </c>
      <c r="D292" s="21" t="s">
        <v>763</v>
      </c>
      <c r="E292" s="22" t="s">
        <v>83</v>
      </c>
      <c r="F292" s="109">
        <v>48</v>
      </c>
      <c r="G292" s="111">
        <v>1</v>
      </c>
      <c r="H292" s="131">
        <v>345000</v>
      </c>
      <c r="I292" s="112">
        <f t="shared" si="16"/>
        <v>345000</v>
      </c>
      <c r="J292" s="366"/>
      <c r="K292" s="366"/>
    </row>
    <row r="293" spans="1:11" x14ac:dyDescent="0.25">
      <c r="A293" s="128"/>
      <c r="B293" s="252">
        <v>45514</v>
      </c>
      <c r="C293" s="109" t="s">
        <v>852</v>
      </c>
      <c r="D293" s="29" t="s">
        <v>762</v>
      </c>
      <c r="E293" s="30" t="s">
        <v>85</v>
      </c>
      <c r="F293" s="109">
        <v>120</v>
      </c>
      <c r="G293" s="111">
        <v>10</v>
      </c>
      <c r="H293" s="131">
        <v>360000</v>
      </c>
      <c r="I293" s="112">
        <f t="shared" si="16"/>
        <v>3600000</v>
      </c>
      <c r="J293" s="113">
        <f>I293</f>
        <v>3600000</v>
      </c>
      <c r="K293" s="124" t="s">
        <v>954</v>
      </c>
    </row>
    <row r="294" spans="1:11" x14ac:dyDescent="0.25">
      <c r="A294" s="128"/>
      <c r="B294" s="252">
        <v>45514</v>
      </c>
      <c r="C294" s="128" t="s">
        <v>842</v>
      </c>
      <c r="D294" s="21" t="s">
        <v>78</v>
      </c>
      <c r="E294" s="22" t="s">
        <v>79</v>
      </c>
      <c r="F294" s="109">
        <v>12</v>
      </c>
      <c r="G294" s="111">
        <v>1</v>
      </c>
      <c r="H294" s="131">
        <v>550000</v>
      </c>
      <c r="I294" s="112">
        <f t="shared" si="16"/>
        <v>550000</v>
      </c>
      <c r="J294" s="113">
        <f>I294</f>
        <v>550000</v>
      </c>
      <c r="K294" s="120"/>
    </row>
    <row r="295" spans="1:11" x14ac:dyDescent="0.25">
      <c r="A295" s="128"/>
      <c r="B295" s="252">
        <v>45514</v>
      </c>
      <c r="C295" s="148" t="s">
        <v>777</v>
      </c>
      <c r="D295" s="29" t="s">
        <v>762</v>
      </c>
      <c r="E295" s="30" t="s">
        <v>85</v>
      </c>
      <c r="F295" s="109">
        <v>11</v>
      </c>
      <c r="G295" s="111"/>
      <c r="H295" s="131"/>
      <c r="I295" s="112">
        <f t="shared" si="16"/>
        <v>0</v>
      </c>
      <c r="J295" s="114"/>
      <c r="K295" s="120"/>
    </row>
    <row r="296" spans="1:11" x14ac:dyDescent="0.25">
      <c r="A296" s="128"/>
      <c r="B296" s="252">
        <v>45514</v>
      </c>
      <c r="C296" s="148" t="s">
        <v>834</v>
      </c>
      <c r="D296" s="10" t="s">
        <v>132</v>
      </c>
      <c r="E296" s="9" t="s">
        <v>133</v>
      </c>
      <c r="F296" s="109">
        <v>960</v>
      </c>
      <c r="G296" s="111">
        <v>20</v>
      </c>
      <c r="H296" s="131"/>
      <c r="I296" s="112">
        <f t="shared" si="16"/>
        <v>0</v>
      </c>
      <c r="J296" s="113"/>
      <c r="K296" s="120"/>
    </row>
    <row r="297" spans="1:11" x14ac:dyDescent="0.25">
      <c r="A297" s="128"/>
      <c r="B297" s="252">
        <v>45514</v>
      </c>
      <c r="C297" s="148" t="s">
        <v>780</v>
      </c>
      <c r="D297" s="21" t="s">
        <v>126</v>
      </c>
      <c r="E297" s="22" t="s">
        <v>127</v>
      </c>
      <c r="F297" s="109">
        <v>48</v>
      </c>
      <c r="G297" s="111">
        <v>1</v>
      </c>
      <c r="H297" s="131"/>
      <c r="I297" s="112">
        <f t="shared" si="16"/>
        <v>0</v>
      </c>
      <c r="J297" s="114"/>
      <c r="K297" s="120"/>
    </row>
    <row r="298" spans="1:11" x14ac:dyDescent="0.25">
      <c r="A298" s="128"/>
      <c r="B298" s="252">
        <v>45514</v>
      </c>
      <c r="C298" s="148" t="s">
        <v>780</v>
      </c>
      <c r="D298" s="29" t="s">
        <v>762</v>
      </c>
      <c r="E298" s="30" t="s">
        <v>85</v>
      </c>
      <c r="F298" s="109">
        <v>60</v>
      </c>
      <c r="G298" s="111">
        <v>5</v>
      </c>
      <c r="H298" s="109"/>
      <c r="I298" s="112">
        <f t="shared" si="16"/>
        <v>0</v>
      </c>
      <c r="J298" s="114"/>
      <c r="K298" s="120"/>
    </row>
    <row r="299" spans="1:11" x14ac:dyDescent="0.25">
      <c r="A299" s="128"/>
      <c r="B299" s="252">
        <v>45514</v>
      </c>
      <c r="C299" s="148" t="s">
        <v>780</v>
      </c>
      <c r="D299" s="10" t="s">
        <v>164</v>
      </c>
      <c r="E299" s="9" t="s">
        <v>165</v>
      </c>
      <c r="F299" s="109">
        <v>36</v>
      </c>
      <c r="G299" s="111">
        <v>3</v>
      </c>
      <c r="H299" s="131"/>
      <c r="I299" s="112">
        <f t="shared" si="16"/>
        <v>0</v>
      </c>
      <c r="J299" s="114"/>
      <c r="K299" s="120"/>
    </row>
    <row r="300" spans="1:11" x14ac:dyDescent="0.25">
      <c r="A300" s="128"/>
      <c r="B300" s="252">
        <v>45514</v>
      </c>
      <c r="C300" s="148" t="s">
        <v>780</v>
      </c>
      <c r="D300" s="10" t="s">
        <v>172</v>
      </c>
      <c r="E300" s="9" t="s">
        <v>173</v>
      </c>
      <c r="F300" s="109">
        <v>36</v>
      </c>
      <c r="G300" s="111">
        <v>3</v>
      </c>
      <c r="H300" s="131"/>
      <c r="I300" s="112">
        <f t="shared" si="16"/>
        <v>0</v>
      </c>
      <c r="J300" s="114"/>
      <c r="K300" s="120"/>
    </row>
    <row r="301" spans="1:11" x14ac:dyDescent="0.25">
      <c r="A301" s="128"/>
      <c r="B301" s="252">
        <v>45514</v>
      </c>
      <c r="C301" s="148" t="s">
        <v>835</v>
      </c>
      <c r="D301" s="21" t="s">
        <v>126</v>
      </c>
      <c r="E301" s="22" t="s">
        <v>127</v>
      </c>
      <c r="F301" s="109">
        <v>24</v>
      </c>
      <c r="G301" s="111">
        <v>0.5</v>
      </c>
      <c r="H301" s="131"/>
      <c r="I301" s="112">
        <f t="shared" si="16"/>
        <v>0</v>
      </c>
      <c r="J301" s="114"/>
      <c r="K301" s="120"/>
    </row>
    <row r="302" spans="1:11" x14ac:dyDescent="0.25">
      <c r="A302" s="128"/>
      <c r="B302" s="252">
        <v>45514</v>
      </c>
      <c r="C302" s="148" t="s">
        <v>785</v>
      </c>
      <c r="D302" s="29" t="s">
        <v>762</v>
      </c>
      <c r="E302" s="30" t="s">
        <v>85</v>
      </c>
      <c r="F302" s="109">
        <v>24</v>
      </c>
      <c r="G302" s="111">
        <v>2</v>
      </c>
      <c r="H302" s="131"/>
      <c r="I302" s="112">
        <f t="shared" si="16"/>
        <v>0</v>
      </c>
      <c r="J302" s="114"/>
      <c r="K302" s="120"/>
    </row>
    <row r="303" spans="1:11" x14ac:dyDescent="0.25">
      <c r="A303" s="128"/>
      <c r="B303" s="252">
        <v>45514</v>
      </c>
      <c r="C303" s="148" t="s">
        <v>785</v>
      </c>
      <c r="D303" s="10" t="s">
        <v>86</v>
      </c>
      <c r="E303" s="9" t="s">
        <v>87</v>
      </c>
      <c r="F303" s="109">
        <v>12</v>
      </c>
      <c r="G303" s="111">
        <v>1</v>
      </c>
      <c r="H303" s="131"/>
      <c r="I303" s="112">
        <f t="shared" si="16"/>
        <v>0</v>
      </c>
      <c r="J303" s="114"/>
      <c r="K303" s="120"/>
    </row>
    <row r="304" spans="1:11" x14ac:dyDescent="0.25">
      <c r="A304" s="128"/>
      <c r="B304" s="252">
        <v>45514</v>
      </c>
      <c r="C304" s="148" t="s">
        <v>848</v>
      </c>
      <c r="D304" s="21" t="s">
        <v>142</v>
      </c>
      <c r="E304" s="22" t="s">
        <v>143</v>
      </c>
      <c r="F304" s="109">
        <v>48</v>
      </c>
      <c r="G304" s="111">
        <v>1</v>
      </c>
      <c r="H304" s="131"/>
      <c r="I304" s="112">
        <f t="shared" si="16"/>
        <v>0</v>
      </c>
      <c r="J304" s="114"/>
      <c r="K304" s="120"/>
    </row>
    <row r="305" spans="1:11" x14ac:dyDescent="0.25">
      <c r="A305" s="128"/>
      <c r="B305" s="252">
        <v>45514</v>
      </c>
      <c r="C305" s="148" t="s">
        <v>782</v>
      </c>
      <c r="D305" s="29" t="s">
        <v>762</v>
      </c>
      <c r="E305" s="30" t="s">
        <v>85</v>
      </c>
      <c r="F305" s="109">
        <v>60</v>
      </c>
      <c r="G305" s="111">
        <v>5</v>
      </c>
      <c r="H305" s="131"/>
      <c r="I305" s="112">
        <f t="shared" si="16"/>
        <v>0</v>
      </c>
      <c r="J305" s="114"/>
      <c r="K305" s="120"/>
    </row>
    <row r="306" spans="1:11" x14ac:dyDescent="0.25">
      <c r="A306" s="128"/>
      <c r="B306" s="252">
        <v>45514</v>
      </c>
      <c r="C306" s="149" t="s">
        <v>775</v>
      </c>
      <c r="D306" s="29" t="s">
        <v>762</v>
      </c>
      <c r="E306" s="30" t="s">
        <v>85</v>
      </c>
      <c r="F306" s="109">
        <v>12</v>
      </c>
      <c r="G306" s="111">
        <v>1</v>
      </c>
      <c r="H306" s="131"/>
      <c r="I306" s="112">
        <f t="shared" si="16"/>
        <v>0</v>
      </c>
      <c r="J306" s="114"/>
      <c r="K306" s="120"/>
    </row>
    <row r="307" spans="1:11" x14ac:dyDescent="0.25">
      <c r="A307" s="128"/>
      <c r="B307" s="252">
        <v>45514</v>
      </c>
      <c r="C307" s="149" t="s">
        <v>775</v>
      </c>
      <c r="D307" s="10" t="s">
        <v>56</v>
      </c>
      <c r="E307" s="7" t="s">
        <v>57</v>
      </c>
      <c r="F307" s="109">
        <v>12</v>
      </c>
      <c r="G307" s="111">
        <v>1</v>
      </c>
      <c r="H307" s="131"/>
      <c r="I307" s="112">
        <f t="shared" si="16"/>
        <v>0</v>
      </c>
      <c r="J307" s="114"/>
      <c r="K307" s="120"/>
    </row>
    <row r="308" spans="1:11" x14ac:dyDescent="0.25">
      <c r="A308" s="128"/>
      <c r="B308" s="252">
        <v>45514</v>
      </c>
      <c r="C308" s="150" t="s">
        <v>836</v>
      </c>
      <c r="D308" s="10" t="s">
        <v>86</v>
      </c>
      <c r="E308" s="9" t="s">
        <v>87</v>
      </c>
      <c r="F308" s="109">
        <v>41</v>
      </c>
      <c r="G308" s="111"/>
      <c r="H308" s="131"/>
      <c r="I308" s="112">
        <f t="shared" si="16"/>
        <v>0</v>
      </c>
      <c r="J308" s="114"/>
      <c r="K308" s="120"/>
    </row>
    <row r="309" spans="1:11" x14ac:dyDescent="0.25">
      <c r="A309" s="128"/>
      <c r="B309" s="132">
        <v>45515</v>
      </c>
      <c r="C309" s="109" t="s">
        <v>859</v>
      </c>
      <c r="D309" s="29" t="s">
        <v>762</v>
      </c>
      <c r="E309" s="30" t="s">
        <v>85</v>
      </c>
      <c r="F309" s="109">
        <f>15*12</f>
        <v>180</v>
      </c>
      <c r="G309" s="111">
        <v>15</v>
      </c>
      <c r="H309" s="131">
        <v>360000</v>
      </c>
      <c r="I309" s="112">
        <f t="shared" si="16"/>
        <v>5400000</v>
      </c>
      <c r="J309" s="364">
        <f>I309+I310</f>
        <v>6115000</v>
      </c>
      <c r="K309" s="367" t="s">
        <v>922</v>
      </c>
    </row>
    <row r="310" spans="1:11" x14ac:dyDescent="0.25">
      <c r="A310" s="128"/>
      <c r="B310" s="132">
        <v>45515</v>
      </c>
      <c r="C310" s="109" t="s">
        <v>859</v>
      </c>
      <c r="D310" s="10" t="s">
        <v>22</v>
      </c>
      <c r="E310" s="7" t="s">
        <v>23</v>
      </c>
      <c r="F310" s="109">
        <v>12</v>
      </c>
      <c r="G310" s="111">
        <v>1</v>
      </c>
      <c r="H310" s="131">
        <v>715000</v>
      </c>
      <c r="I310" s="112">
        <f t="shared" si="16"/>
        <v>715000</v>
      </c>
      <c r="J310" s="366"/>
      <c r="K310" s="366"/>
    </row>
    <row r="311" spans="1:11" x14ac:dyDescent="0.25">
      <c r="A311" s="128"/>
      <c r="B311" s="132">
        <v>45515</v>
      </c>
      <c r="C311" s="148" t="s">
        <v>779</v>
      </c>
      <c r="D311" s="21" t="s">
        <v>126</v>
      </c>
      <c r="E311" s="22" t="s">
        <v>127</v>
      </c>
      <c r="F311" s="109">
        <v>48</v>
      </c>
      <c r="G311" s="111">
        <v>1</v>
      </c>
      <c r="H311" s="131"/>
      <c r="I311" s="112">
        <f t="shared" si="16"/>
        <v>0</v>
      </c>
      <c r="J311" s="113"/>
      <c r="K311" s="120"/>
    </row>
    <row r="312" spans="1:11" x14ac:dyDescent="0.25">
      <c r="A312" s="128"/>
      <c r="B312" s="132">
        <v>45515</v>
      </c>
      <c r="C312" s="148" t="s">
        <v>777</v>
      </c>
      <c r="D312" s="21" t="s">
        <v>767</v>
      </c>
      <c r="E312" s="23" t="s">
        <v>63</v>
      </c>
      <c r="F312" s="109">
        <v>66</v>
      </c>
      <c r="G312" s="111"/>
      <c r="H312" s="131"/>
      <c r="I312" s="112">
        <f t="shared" si="16"/>
        <v>0</v>
      </c>
      <c r="J312" s="113"/>
      <c r="K312" s="120"/>
    </row>
    <row r="313" spans="1:11" x14ac:dyDescent="0.25">
      <c r="A313" s="128"/>
      <c r="B313" s="132">
        <v>45515</v>
      </c>
      <c r="C313" s="148" t="s">
        <v>777</v>
      </c>
      <c r="D313" s="29" t="s">
        <v>762</v>
      </c>
      <c r="E313" s="30" t="s">
        <v>85</v>
      </c>
      <c r="F313" s="109">
        <v>22</v>
      </c>
      <c r="G313" s="111"/>
      <c r="H313" s="131"/>
      <c r="I313" s="112">
        <f t="shared" si="16"/>
        <v>0</v>
      </c>
      <c r="J313" s="114"/>
      <c r="K313" s="120"/>
    </row>
    <row r="314" spans="1:11" x14ac:dyDescent="0.25">
      <c r="A314" s="128"/>
      <c r="B314" s="132">
        <v>45515</v>
      </c>
      <c r="C314" s="148" t="s">
        <v>777</v>
      </c>
      <c r="D314" s="21" t="s">
        <v>126</v>
      </c>
      <c r="E314" s="22" t="s">
        <v>127</v>
      </c>
      <c r="F314" s="109">
        <v>16</v>
      </c>
      <c r="G314" s="111"/>
      <c r="H314" s="131"/>
      <c r="I314" s="112">
        <f t="shared" si="16"/>
        <v>0</v>
      </c>
      <c r="J314" s="114"/>
      <c r="K314" s="120"/>
    </row>
    <row r="315" spans="1:11" x14ac:dyDescent="0.25">
      <c r="A315" s="128"/>
      <c r="B315" s="132">
        <v>45515</v>
      </c>
      <c r="C315" s="148" t="s">
        <v>835</v>
      </c>
      <c r="D315" s="29" t="s">
        <v>762</v>
      </c>
      <c r="E315" s="30" t="s">
        <v>85</v>
      </c>
      <c r="F315" s="109">
        <f>7*12</f>
        <v>84</v>
      </c>
      <c r="G315" s="111">
        <v>7</v>
      </c>
      <c r="H315" s="131"/>
      <c r="I315" s="112">
        <f t="shared" si="16"/>
        <v>0</v>
      </c>
      <c r="J315" s="114"/>
      <c r="K315" s="120"/>
    </row>
    <row r="316" spans="1:11" x14ac:dyDescent="0.25">
      <c r="A316" s="128"/>
      <c r="B316" s="132">
        <v>45515</v>
      </c>
      <c r="C316" s="150" t="s">
        <v>836</v>
      </c>
      <c r="D316" s="10" t="s">
        <v>772</v>
      </c>
      <c r="E316" s="22" t="s">
        <v>773</v>
      </c>
      <c r="F316" s="109">
        <v>6</v>
      </c>
      <c r="G316" s="111"/>
      <c r="H316" s="131"/>
      <c r="I316" s="112">
        <f t="shared" si="16"/>
        <v>0</v>
      </c>
      <c r="J316" s="113"/>
      <c r="K316" s="120"/>
    </row>
    <row r="317" spans="1:11" x14ac:dyDescent="0.25">
      <c r="A317" s="128"/>
      <c r="B317" s="132">
        <v>45515</v>
      </c>
      <c r="C317" s="150" t="s">
        <v>836</v>
      </c>
      <c r="D317" s="10" t="s">
        <v>172</v>
      </c>
      <c r="E317" s="9" t="s">
        <v>173</v>
      </c>
      <c r="F317" s="109">
        <v>2</v>
      </c>
      <c r="G317" s="111"/>
      <c r="H317" s="131"/>
      <c r="I317" s="112">
        <f t="shared" si="16"/>
        <v>0</v>
      </c>
      <c r="J317" s="114"/>
      <c r="K317" s="120"/>
    </row>
    <row r="318" spans="1:11" x14ac:dyDescent="0.25">
      <c r="A318" s="128"/>
      <c r="B318" s="132">
        <v>45515</v>
      </c>
      <c r="C318" s="150" t="s">
        <v>836</v>
      </c>
      <c r="D318" s="21" t="s">
        <v>126</v>
      </c>
      <c r="E318" s="22" t="s">
        <v>127</v>
      </c>
      <c r="F318" s="109">
        <v>48</v>
      </c>
      <c r="G318" s="111">
        <v>1</v>
      </c>
      <c r="H318" s="131"/>
      <c r="I318" s="112">
        <f t="shared" si="16"/>
        <v>0</v>
      </c>
      <c r="J318" s="114"/>
      <c r="K318" s="120"/>
    </row>
    <row r="319" spans="1:11" x14ac:dyDescent="0.25">
      <c r="A319" s="128"/>
      <c r="B319" s="252">
        <v>45516</v>
      </c>
      <c r="C319" s="128" t="s">
        <v>846</v>
      </c>
      <c r="D319" s="21" t="s">
        <v>765</v>
      </c>
      <c r="E319" s="22" t="s">
        <v>75</v>
      </c>
      <c r="F319" s="109">
        <v>24</v>
      </c>
      <c r="G319" s="111">
        <v>0.5</v>
      </c>
      <c r="H319" s="131">
        <v>343200</v>
      </c>
      <c r="I319" s="112">
        <f t="shared" si="16"/>
        <v>171600</v>
      </c>
      <c r="J319" s="364">
        <f>SUM(I319:I321)</f>
        <v>460000</v>
      </c>
      <c r="K319" s="367"/>
    </row>
    <row r="320" spans="1:11" x14ac:dyDescent="0.25">
      <c r="A320" s="128"/>
      <c r="B320" s="252">
        <v>45516</v>
      </c>
      <c r="C320" s="128" t="s">
        <v>846</v>
      </c>
      <c r="D320" s="10" t="s">
        <v>52</v>
      </c>
      <c r="E320" s="7" t="s">
        <v>53</v>
      </c>
      <c r="F320" s="109">
        <v>24</v>
      </c>
      <c r="G320" s="111">
        <v>0.5</v>
      </c>
      <c r="H320" s="131">
        <v>230000</v>
      </c>
      <c r="I320" s="112">
        <f t="shared" si="16"/>
        <v>115000</v>
      </c>
      <c r="J320" s="373"/>
      <c r="K320" s="365"/>
    </row>
    <row r="321" spans="1:11" x14ac:dyDescent="0.25">
      <c r="A321" s="128"/>
      <c r="B321" s="252">
        <v>45516</v>
      </c>
      <c r="C321" s="128" t="s">
        <v>846</v>
      </c>
      <c r="D321" s="21" t="s">
        <v>30</v>
      </c>
      <c r="E321" s="23" t="s">
        <v>31</v>
      </c>
      <c r="F321" s="109">
        <v>10</v>
      </c>
      <c r="G321" s="111"/>
      <c r="H321" s="131">
        <v>17340</v>
      </c>
      <c r="I321" s="112">
        <f>F321*H321</f>
        <v>173400</v>
      </c>
      <c r="J321" s="370"/>
      <c r="K321" s="366"/>
    </row>
    <row r="322" spans="1:11" x14ac:dyDescent="0.25">
      <c r="A322" s="128"/>
      <c r="B322" s="252">
        <v>45516</v>
      </c>
      <c r="C322" s="128" t="s">
        <v>906</v>
      </c>
      <c r="D322" s="10" t="s">
        <v>22</v>
      </c>
      <c r="E322" s="7" t="s">
        <v>23</v>
      </c>
      <c r="F322" s="109">
        <v>24</v>
      </c>
      <c r="G322" s="111">
        <v>2</v>
      </c>
      <c r="H322" s="131">
        <v>715000</v>
      </c>
      <c r="I322" s="112">
        <f t="shared" si="16"/>
        <v>1430000</v>
      </c>
      <c r="J322" s="364">
        <f>SUM(I322:I330)</f>
        <v>4310000</v>
      </c>
      <c r="K322" s="367" t="s">
        <v>825</v>
      </c>
    </row>
    <row r="323" spans="1:11" x14ac:dyDescent="0.25">
      <c r="A323" s="128"/>
      <c r="B323" s="252">
        <v>45516</v>
      </c>
      <c r="C323" s="128" t="s">
        <v>906</v>
      </c>
      <c r="D323" s="21" t="s">
        <v>20</v>
      </c>
      <c r="E323" s="23" t="s">
        <v>21</v>
      </c>
      <c r="F323" s="109">
        <v>48</v>
      </c>
      <c r="G323" s="111">
        <v>2</v>
      </c>
      <c r="H323" s="131">
        <v>435000</v>
      </c>
      <c r="I323" s="112">
        <f t="shared" si="16"/>
        <v>870000</v>
      </c>
      <c r="J323" s="365"/>
      <c r="K323" s="365"/>
    </row>
    <row r="324" spans="1:11" x14ac:dyDescent="0.25">
      <c r="A324" s="128"/>
      <c r="B324" s="252">
        <v>45516</v>
      </c>
      <c r="C324" s="128" t="s">
        <v>906</v>
      </c>
      <c r="D324" s="29" t="s">
        <v>762</v>
      </c>
      <c r="E324" s="30" t="s">
        <v>85</v>
      </c>
      <c r="F324" s="109">
        <v>24</v>
      </c>
      <c r="G324" s="111">
        <v>2</v>
      </c>
      <c r="H324" s="131">
        <v>365000</v>
      </c>
      <c r="I324" s="112">
        <f t="shared" si="16"/>
        <v>730000</v>
      </c>
      <c r="J324" s="365"/>
      <c r="K324" s="365"/>
    </row>
    <row r="325" spans="1:11" x14ac:dyDescent="0.25">
      <c r="A325" s="128"/>
      <c r="B325" s="252">
        <v>45516</v>
      </c>
      <c r="C325" s="128" t="s">
        <v>906</v>
      </c>
      <c r="D325" s="21" t="s">
        <v>768</v>
      </c>
      <c r="E325" s="23" t="s">
        <v>67</v>
      </c>
      <c r="F325" s="109">
        <v>6</v>
      </c>
      <c r="G325" s="111">
        <v>0.5</v>
      </c>
      <c r="H325" s="131">
        <v>365000</v>
      </c>
      <c r="I325" s="112">
        <f t="shared" si="16"/>
        <v>182500</v>
      </c>
      <c r="J325" s="365"/>
      <c r="K325" s="365"/>
    </row>
    <row r="326" spans="1:11" x14ac:dyDescent="0.25">
      <c r="A326" s="128"/>
      <c r="B326" s="252">
        <v>45516</v>
      </c>
      <c r="C326" s="128" t="s">
        <v>906</v>
      </c>
      <c r="D326" s="21" t="s">
        <v>801</v>
      </c>
      <c r="E326" s="22" t="s">
        <v>73</v>
      </c>
      <c r="F326" s="109">
        <v>6</v>
      </c>
      <c r="G326" s="111">
        <v>0.5</v>
      </c>
      <c r="H326" s="131">
        <v>365000</v>
      </c>
      <c r="I326" s="112">
        <f t="shared" si="16"/>
        <v>182500</v>
      </c>
      <c r="J326" s="365"/>
      <c r="K326" s="365"/>
    </row>
    <row r="327" spans="1:11" x14ac:dyDescent="0.25">
      <c r="A327" s="128"/>
      <c r="B327" s="252">
        <v>45516</v>
      </c>
      <c r="C327" s="128" t="s">
        <v>906</v>
      </c>
      <c r="D327" s="21" t="s">
        <v>40</v>
      </c>
      <c r="E327" s="23" t="s">
        <v>41</v>
      </c>
      <c r="F327" s="109">
        <v>48</v>
      </c>
      <c r="G327" s="111">
        <v>1</v>
      </c>
      <c r="H327" s="131">
        <v>315000</v>
      </c>
      <c r="I327" s="112">
        <f t="shared" si="16"/>
        <v>315000</v>
      </c>
      <c r="J327" s="365"/>
      <c r="K327" s="365"/>
    </row>
    <row r="328" spans="1:11" x14ac:dyDescent="0.25">
      <c r="A328" s="128"/>
      <c r="B328" s="252">
        <v>45516</v>
      </c>
      <c r="C328" s="128" t="s">
        <v>906</v>
      </c>
      <c r="D328" s="21" t="s">
        <v>44</v>
      </c>
      <c r="E328" s="23" t="s">
        <v>45</v>
      </c>
      <c r="F328" s="109">
        <v>48</v>
      </c>
      <c r="G328" s="111">
        <v>1</v>
      </c>
      <c r="H328" s="131">
        <v>315000</v>
      </c>
      <c r="I328" s="112">
        <f t="shared" si="16"/>
        <v>315000</v>
      </c>
      <c r="J328" s="365"/>
      <c r="K328" s="365"/>
    </row>
    <row r="329" spans="1:11" x14ac:dyDescent="0.25">
      <c r="A329" s="128"/>
      <c r="B329" s="252">
        <v>45516</v>
      </c>
      <c r="C329" s="128" t="s">
        <v>906</v>
      </c>
      <c r="D329" s="10" t="s">
        <v>132</v>
      </c>
      <c r="E329" s="9" t="s">
        <v>133</v>
      </c>
      <c r="F329" s="109">
        <v>24</v>
      </c>
      <c r="G329" s="111">
        <v>0.5</v>
      </c>
      <c r="H329" s="131">
        <v>315000</v>
      </c>
      <c r="I329" s="112">
        <f t="shared" si="16"/>
        <v>157500</v>
      </c>
      <c r="J329" s="365"/>
      <c r="K329" s="365"/>
    </row>
    <row r="330" spans="1:11" x14ac:dyDescent="0.25">
      <c r="A330" s="128"/>
      <c r="B330" s="252">
        <v>45516</v>
      </c>
      <c r="C330" s="128" t="s">
        <v>906</v>
      </c>
      <c r="D330" s="10" t="s">
        <v>124</v>
      </c>
      <c r="E330" s="9" t="s">
        <v>125</v>
      </c>
      <c r="F330" s="109">
        <v>24</v>
      </c>
      <c r="G330" s="111">
        <v>0.5</v>
      </c>
      <c r="H330" s="131">
        <v>255000</v>
      </c>
      <c r="I330" s="112">
        <f t="shared" si="16"/>
        <v>127500</v>
      </c>
      <c r="J330" s="366"/>
      <c r="K330" s="366"/>
    </row>
    <row r="331" spans="1:11" x14ac:dyDescent="0.25">
      <c r="A331" s="128"/>
      <c r="B331" s="252">
        <v>45516</v>
      </c>
      <c r="C331" s="109" t="s">
        <v>839</v>
      </c>
      <c r="D331" s="21" t="s">
        <v>142</v>
      </c>
      <c r="E331" s="22" t="s">
        <v>143</v>
      </c>
      <c r="F331" s="109">
        <v>480</v>
      </c>
      <c r="G331" s="111">
        <v>10</v>
      </c>
      <c r="H331" s="131">
        <v>250000</v>
      </c>
      <c r="I331" s="112">
        <f t="shared" si="16"/>
        <v>2500000</v>
      </c>
      <c r="J331" s="364">
        <f>I331+I332</f>
        <v>5000000</v>
      </c>
      <c r="K331" s="367" t="s">
        <v>825</v>
      </c>
    </row>
    <row r="332" spans="1:11" x14ac:dyDescent="0.25">
      <c r="A332" s="128"/>
      <c r="B332" s="252">
        <v>45516</v>
      </c>
      <c r="C332" s="109" t="s">
        <v>839</v>
      </c>
      <c r="D332" s="21" t="s">
        <v>126</v>
      </c>
      <c r="E332" s="22" t="s">
        <v>127</v>
      </c>
      <c r="F332" s="109">
        <v>480</v>
      </c>
      <c r="G332" s="111">
        <v>10</v>
      </c>
      <c r="H332" s="131">
        <v>250000</v>
      </c>
      <c r="I332" s="112">
        <f t="shared" si="16"/>
        <v>2500000</v>
      </c>
      <c r="J332" s="366"/>
      <c r="K332" s="366"/>
    </row>
    <row r="333" spans="1:11" x14ac:dyDescent="0.25">
      <c r="A333" s="128"/>
      <c r="B333" s="252">
        <v>45516</v>
      </c>
      <c r="C333" s="109" t="s">
        <v>899</v>
      </c>
      <c r="D333" s="21" t="s">
        <v>20</v>
      </c>
      <c r="E333" s="23" t="s">
        <v>21</v>
      </c>
      <c r="F333" s="109">
        <v>48</v>
      </c>
      <c r="G333" s="111">
        <v>2</v>
      </c>
      <c r="H333" s="131">
        <v>432000</v>
      </c>
      <c r="I333" s="112">
        <f t="shared" si="16"/>
        <v>864000</v>
      </c>
      <c r="J333" s="364">
        <f>SUM(I333:I335)</f>
        <v>2214000</v>
      </c>
      <c r="K333" s="367" t="s">
        <v>825</v>
      </c>
    </row>
    <row r="334" spans="1:11" ht="15.75" x14ac:dyDescent="0.25">
      <c r="A334" s="128"/>
      <c r="B334" s="252">
        <v>45516</v>
      </c>
      <c r="C334" s="109" t="s">
        <v>899</v>
      </c>
      <c r="D334" s="15" t="s">
        <v>194</v>
      </c>
      <c r="E334" s="16" t="s">
        <v>195</v>
      </c>
      <c r="F334" s="109">
        <v>144</v>
      </c>
      <c r="G334" s="111">
        <v>3</v>
      </c>
      <c r="H334" s="131">
        <v>270000</v>
      </c>
      <c r="I334" s="112">
        <f t="shared" si="16"/>
        <v>810000</v>
      </c>
      <c r="J334" s="365"/>
      <c r="K334" s="365"/>
    </row>
    <row r="335" spans="1:11" ht="15.75" x14ac:dyDescent="0.25">
      <c r="A335" s="128"/>
      <c r="B335" s="252">
        <v>45516</v>
      </c>
      <c r="C335" s="109" t="s">
        <v>899</v>
      </c>
      <c r="D335" s="15" t="s">
        <v>215</v>
      </c>
      <c r="E335" s="17" t="s">
        <v>216</v>
      </c>
      <c r="F335" s="109">
        <v>96</v>
      </c>
      <c r="G335" s="111">
        <v>2</v>
      </c>
      <c r="H335" s="131">
        <v>270000</v>
      </c>
      <c r="I335" s="112">
        <f t="shared" si="16"/>
        <v>540000</v>
      </c>
      <c r="J335" s="366"/>
      <c r="K335" s="366"/>
    </row>
    <row r="336" spans="1:11" x14ac:dyDescent="0.25">
      <c r="A336" s="128"/>
      <c r="B336" s="252">
        <v>45516</v>
      </c>
      <c r="C336" s="109" t="s">
        <v>853</v>
      </c>
      <c r="D336" s="10" t="s">
        <v>132</v>
      </c>
      <c r="E336" s="9" t="s">
        <v>133</v>
      </c>
      <c r="F336" s="109">
        <v>48</v>
      </c>
      <c r="G336" s="111">
        <v>1</v>
      </c>
      <c r="H336" s="131">
        <v>318000</v>
      </c>
      <c r="I336" s="112">
        <f t="shared" si="16"/>
        <v>318000</v>
      </c>
      <c r="J336" s="364">
        <f>SUM(I336:I339)</f>
        <v>2258000</v>
      </c>
      <c r="K336" s="367"/>
    </row>
    <row r="337" spans="1:11" x14ac:dyDescent="0.25">
      <c r="A337" s="128"/>
      <c r="B337" s="252">
        <v>45516</v>
      </c>
      <c r="C337" s="109" t="s">
        <v>853</v>
      </c>
      <c r="D337" s="21" t="s">
        <v>142</v>
      </c>
      <c r="E337" s="22" t="s">
        <v>143</v>
      </c>
      <c r="F337" s="109">
        <v>240</v>
      </c>
      <c r="G337" s="111">
        <v>5</v>
      </c>
      <c r="H337" s="131">
        <v>265000</v>
      </c>
      <c r="I337" s="112">
        <f t="shared" si="16"/>
        <v>1325000</v>
      </c>
      <c r="J337" s="365"/>
      <c r="K337" s="365"/>
    </row>
    <row r="338" spans="1:11" x14ac:dyDescent="0.25">
      <c r="A338" s="128"/>
      <c r="B338" s="252">
        <v>45516</v>
      </c>
      <c r="C338" s="109" t="s">
        <v>853</v>
      </c>
      <c r="D338" s="21" t="s">
        <v>126</v>
      </c>
      <c r="E338" s="22" t="s">
        <v>127</v>
      </c>
      <c r="F338" s="109">
        <v>48</v>
      </c>
      <c r="G338" s="111">
        <v>1</v>
      </c>
      <c r="H338" s="131">
        <v>265000</v>
      </c>
      <c r="I338" s="112">
        <f t="shared" si="16"/>
        <v>265000</v>
      </c>
      <c r="J338" s="365"/>
      <c r="K338" s="365"/>
    </row>
    <row r="339" spans="1:11" x14ac:dyDescent="0.25">
      <c r="A339" s="128"/>
      <c r="B339" s="252">
        <v>45516</v>
      </c>
      <c r="C339" s="109" t="s">
        <v>853</v>
      </c>
      <c r="D339" s="21" t="s">
        <v>798</v>
      </c>
      <c r="E339" s="23" t="s">
        <v>796</v>
      </c>
      <c r="F339" s="109">
        <v>48</v>
      </c>
      <c r="G339" s="111">
        <v>2</v>
      </c>
      <c r="H339" s="131">
        <v>175000</v>
      </c>
      <c r="I339" s="112">
        <f t="shared" si="16"/>
        <v>350000</v>
      </c>
      <c r="J339" s="366"/>
      <c r="K339" s="366"/>
    </row>
    <row r="340" spans="1:11" x14ac:dyDescent="0.25">
      <c r="A340" s="128"/>
      <c r="B340" s="252">
        <v>45516</v>
      </c>
      <c r="C340" s="128" t="s">
        <v>826</v>
      </c>
      <c r="D340" s="10" t="s">
        <v>124</v>
      </c>
      <c r="E340" s="9" t="s">
        <v>125</v>
      </c>
      <c r="F340" s="109">
        <v>240</v>
      </c>
      <c r="G340" s="111">
        <v>5</v>
      </c>
      <c r="H340" s="131">
        <v>275000</v>
      </c>
      <c r="I340" s="112">
        <f t="shared" si="16"/>
        <v>1375000</v>
      </c>
      <c r="J340" s="113">
        <f>I340</f>
        <v>1375000</v>
      </c>
      <c r="K340" s="120" t="s">
        <v>825</v>
      </c>
    </row>
    <row r="341" spans="1:11" x14ac:dyDescent="0.25">
      <c r="A341" s="242"/>
      <c r="B341" s="252">
        <v>45516</v>
      </c>
      <c r="C341" s="242" t="s">
        <v>901</v>
      </c>
      <c r="D341" s="29" t="s">
        <v>762</v>
      </c>
      <c r="E341" s="30" t="s">
        <v>85</v>
      </c>
      <c r="F341" s="243">
        <f>100*12</f>
        <v>1200</v>
      </c>
      <c r="G341" s="245">
        <v>100</v>
      </c>
      <c r="H341" s="246">
        <v>350000</v>
      </c>
      <c r="I341" s="112">
        <f t="shared" si="16"/>
        <v>35000000</v>
      </c>
      <c r="J341" s="256">
        <f>I341</f>
        <v>35000000</v>
      </c>
      <c r="K341" s="253"/>
    </row>
    <row r="342" spans="1:11" x14ac:dyDescent="0.25">
      <c r="A342" s="128"/>
      <c r="B342" s="252">
        <v>45516</v>
      </c>
      <c r="C342" s="128" t="s">
        <v>900</v>
      </c>
      <c r="D342" s="10" t="s">
        <v>759</v>
      </c>
      <c r="E342" s="7" t="s">
        <v>758</v>
      </c>
      <c r="F342" s="109">
        <v>240</v>
      </c>
      <c r="G342" s="111">
        <v>5</v>
      </c>
      <c r="H342" s="131">
        <v>350000</v>
      </c>
      <c r="I342" s="112">
        <f t="shared" si="16"/>
        <v>1750000</v>
      </c>
      <c r="J342" s="364">
        <f>SUM(I342:I345)</f>
        <v>5575000</v>
      </c>
      <c r="K342" s="367"/>
    </row>
    <row r="343" spans="1:11" x14ac:dyDescent="0.25">
      <c r="A343" s="128"/>
      <c r="B343" s="252">
        <v>45516</v>
      </c>
      <c r="C343" s="128" t="s">
        <v>900</v>
      </c>
      <c r="D343" s="10" t="s">
        <v>52</v>
      </c>
      <c r="E343" s="7" t="s">
        <v>53</v>
      </c>
      <c r="F343" s="109">
        <v>240</v>
      </c>
      <c r="G343" s="111">
        <v>5</v>
      </c>
      <c r="H343" s="131">
        <v>235000</v>
      </c>
      <c r="I343" s="112">
        <f t="shared" si="16"/>
        <v>1175000</v>
      </c>
      <c r="J343" s="373"/>
      <c r="K343" s="365"/>
    </row>
    <row r="344" spans="1:11" x14ac:dyDescent="0.25">
      <c r="A344" s="128"/>
      <c r="B344" s="252">
        <v>45516</v>
      </c>
      <c r="C344" s="128" t="s">
        <v>900</v>
      </c>
      <c r="D344" s="21" t="s">
        <v>765</v>
      </c>
      <c r="E344" s="22" t="s">
        <v>75</v>
      </c>
      <c r="F344" s="109">
        <v>240</v>
      </c>
      <c r="G344" s="111">
        <v>5</v>
      </c>
      <c r="H344" s="131">
        <v>320000</v>
      </c>
      <c r="I344" s="112">
        <f t="shared" si="16"/>
        <v>1600000</v>
      </c>
      <c r="J344" s="373"/>
      <c r="K344" s="365"/>
    </row>
    <row r="345" spans="1:11" x14ac:dyDescent="0.25">
      <c r="A345" s="128"/>
      <c r="B345" s="252">
        <v>45516</v>
      </c>
      <c r="C345" s="128" t="s">
        <v>900</v>
      </c>
      <c r="D345" s="21" t="s">
        <v>766</v>
      </c>
      <c r="E345" s="22" t="s">
        <v>77</v>
      </c>
      <c r="F345" s="109">
        <v>240</v>
      </c>
      <c r="G345" s="111">
        <v>5</v>
      </c>
      <c r="H345" s="131">
        <v>210000</v>
      </c>
      <c r="I345" s="112">
        <f t="shared" si="16"/>
        <v>1050000</v>
      </c>
      <c r="J345" s="370"/>
      <c r="K345" s="366"/>
    </row>
    <row r="346" spans="1:11" x14ac:dyDescent="0.25">
      <c r="A346" s="242"/>
      <c r="B346" s="252">
        <v>45516</v>
      </c>
      <c r="C346" s="242" t="s">
        <v>870</v>
      </c>
      <c r="D346" s="21" t="s">
        <v>142</v>
      </c>
      <c r="E346" s="22" t="s">
        <v>143</v>
      </c>
      <c r="F346" s="109">
        <v>90</v>
      </c>
      <c r="G346" s="210"/>
      <c r="H346" s="211">
        <v>285000</v>
      </c>
      <c r="I346" s="203">
        <f>H346/48*F346</f>
        <v>534375</v>
      </c>
      <c r="J346" s="371">
        <f>I346+I347</f>
        <v>595783</v>
      </c>
      <c r="K346" s="367"/>
    </row>
    <row r="347" spans="1:11" ht="15.75" x14ac:dyDescent="0.25">
      <c r="A347" s="242"/>
      <c r="B347" s="252">
        <v>45516</v>
      </c>
      <c r="C347" s="242" t="s">
        <v>870</v>
      </c>
      <c r="D347" s="15" t="s">
        <v>212</v>
      </c>
      <c r="E347" s="31" t="s">
        <v>213</v>
      </c>
      <c r="F347" s="109">
        <v>2</v>
      </c>
      <c r="G347" s="210"/>
      <c r="H347" s="211">
        <v>30704</v>
      </c>
      <c r="I347" s="203">
        <f>H347*F347</f>
        <v>61408</v>
      </c>
      <c r="J347" s="370"/>
      <c r="K347" s="366"/>
    </row>
    <row r="348" spans="1:11" x14ac:dyDescent="0.25">
      <c r="A348" s="242"/>
      <c r="B348" s="252">
        <v>45516</v>
      </c>
      <c r="C348" s="242" t="s">
        <v>842</v>
      </c>
      <c r="D348" s="257" t="s">
        <v>905</v>
      </c>
      <c r="E348" s="22" t="s">
        <v>904</v>
      </c>
      <c r="F348" s="109">
        <v>1</v>
      </c>
      <c r="G348" s="245"/>
      <c r="H348" s="246"/>
      <c r="I348" s="247"/>
      <c r="J348" s="255"/>
      <c r="K348" s="254" t="s">
        <v>903</v>
      </c>
    </row>
    <row r="349" spans="1:11" x14ac:dyDescent="0.25">
      <c r="A349" s="128"/>
      <c r="B349" s="252">
        <v>45516</v>
      </c>
      <c r="C349" s="148" t="s">
        <v>848</v>
      </c>
      <c r="D349" s="29" t="s">
        <v>762</v>
      </c>
      <c r="E349" s="30" t="s">
        <v>85</v>
      </c>
      <c r="F349" s="109">
        <v>24</v>
      </c>
      <c r="G349" s="111">
        <v>2</v>
      </c>
      <c r="H349" s="131"/>
      <c r="I349" s="112">
        <f t="shared" si="16"/>
        <v>0</v>
      </c>
      <c r="J349" s="114"/>
      <c r="K349" s="120"/>
    </row>
    <row r="350" spans="1:11" x14ac:dyDescent="0.25">
      <c r="A350" s="128"/>
      <c r="B350" s="252">
        <v>45516</v>
      </c>
      <c r="C350" s="148" t="s">
        <v>849</v>
      </c>
      <c r="D350" s="21" t="s">
        <v>142</v>
      </c>
      <c r="E350" s="22" t="s">
        <v>143</v>
      </c>
      <c r="F350" s="109">
        <v>96</v>
      </c>
      <c r="G350" s="111">
        <v>2</v>
      </c>
      <c r="H350" s="131"/>
      <c r="I350" s="112">
        <f t="shared" si="16"/>
        <v>0</v>
      </c>
      <c r="J350" s="114"/>
      <c r="K350" s="120"/>
    </row>
    <row r="351" spans="1:11" x14ac:dyDescent="0.25">
      <c r="A351" s="128"/>
      <c r="B351" s="252">
        <v>45516</v>
      </c>
      <c r="C351" s="149" t="s">
        <v>775</v>
      </c>
      <c r="D351" s="10" t="s">
        <v>86</v>
      </c>
      <c r="E351" s="9" t="s">
        <v>87</v>
      </c>
      <c r="F351" s="243">
        <v>12</v>
      </c>
      <c r="G351" s="111">
        <v>1</v>
      </c>
      <c r="H351" s="131"/>
      <c r="I351" s="112">
        <f t="shared" si="16"/>
        <v>0</v>
      </c>
      <c r="J351" s="114"/>
      <c r="K351" s="120"/>
    </row>
    <row r="352" spans="1:11" x14ac:dyDescent="0.25">
      <c r="A352" s="128"/>
      <c r="B352" s="252">
        <v>45516</v>
      </c>
      <c r="C352" s="149" t="s">
        <v>775</v>
      </c>
      <c r="D352" s="29" t="s">
        <v>762</v>
      </c>
      <c r="E352" s="30" t="s">
        <v>85</v>
      </c>
      <c r="F352" s="109">
        <v>24</v>
      </c>
      <c r="G352" s="111">
        <v>2</v>
      </c>
      <c r="H352" s="131"/>
      <c r="I352" s="112">
        <f t="shared" si="16"/>
        <v>0</v>
      </c>
      <c r="J352" s="113"/>
      <c r="K352" s="120"/>
    </row>
    <row r="353" spans="1:11" x14ac:dyDescent="0.25">
      <c r="A353" s="128"/>
      <c r="B353" s="252">
        <v>45516</v>
      </c>
      <c r="C353" s="149" t="s">
        <v>775</v>
      </c>
      <c r="D353" s="10" t="s">
        <v>124</v>
      </c>
      <c r="E353" s="9" t="s">
        <v>125</v>
      </c>
      <c r="F353" s="109">
        <v>48</v>
      </c>
      <c r="G353" s="111">
        <v>1</v>
      </c>
      <c r="H353" s="131"/>
      <c r="I353" s="112">
        <f t="shared" si="16"/>
        <v>0</v>
      </c>
      <c r="J353" s="113"/>
      <c r="K353" s="120"/>
    </row>
    <row r="354" spans="1:11" x14ac:dyDescent="0.25">
      <c r="A354" s="128"/>
      <c r="B354" s="252">
        <v>45516</v>
      </c>
      <c r="C354" s="150" t="s">
        <v>836</v>
      </c>
      <c r="D354" s="27" t="s">
        <v>244</v>
      </c>
      <c r="E354" s="28" t="s">
        <v>245</v>
      </c>
      <c r="F354" s="109">
        <v>12</v>
      </c>
      <c r="G354" s="111">
        <v>1</v>
      </c>
      <c r="H354" s="131"/>
      <c r="I354" s="112">
        <f t="shared" si="16"/>
        <v>0</v>
      </c>
      <c r="J354" s="114"/>
      <c r="K354" s="120"/>
    </row>
    <row r="355" spans="1:11" x14ac:dyDescent="0.25">
      <c r="A355" s="128"/>
      <c r="B355" s="252">
        <v>45516</v>
      </c>
      <c r="C355" s="150" t="s">
        <v>836</v>
      </c>
      <c r="D355" s="21" t="s">
        <v>764</v>
      </c>
      <c r="E355" s="23" t="s">
        <v>69</v>
      </c>
      <c r="F355" s="109">
        <v>8</v>
      </c>
      <c r="G355" s="111"/>
      <c r="H355" s="131"/>
      <c r="I355" s="112">
        <f t="shared" si="16"/>
        <v>0</v>
      </c>
      <c r="J355" s="113"/>
      <c r="K355" s="120"/>
    </row>
    <row r="356" spans="1:11" x14ac:dyDescent="0.25">
      <c r="A356" s="128"/>
      <c r="B356" s="252">
        <v>45516</v>
      </c>
      <c r="C356" s="150" t="s">
        <v>836</v>
      </c>
      <c r="D356" s="21" t="s">
        <v>763</v>
      </c>
      <c r="E356" s="22" t="s">
        <v>83</v>
      </c>
      <c r="F356" s="109">
        <v>12</v>
      </c>
      <c r="G356" s="111"/>
      <c r="H356" s="131"/>
      <c r="I356" s="112">
        <f t="shared" si="16"/>
        <v>0</v>
      </c>
      <c r="J356" s="113"/>
      <c r="K356" s="120"/>
    </row>
    <row r="357" spans="1:11" x14ac:dyDescent="0.25">
      <c r="A357" s="128"/>
      <c r="B357" s="252">
        <v>45516</v>
      </c>
      <c r="C357" s="150" t="s">
        <v>836</v>
      </c>
      <c r="D357" s="10" t="s">
        <v>86</v>
      </c>
      <c r="E357" s="9" t="s">
        <v>87</v>
      </c>
      <c r="F357" s="109">
        <v>24</v>
      </c>
      <c r="G357" s="111">
        <v>2</v>
      </c>
      <c r="H357" s="131"/>
      <c r="I357" s="112">
        <f t="shared" si="16"/>
        <v>0</v>
      </c>
      <c r="J357" s="114"/>
      <c r="K357" s="120"/>
    </row>
    <row r="358" spans="1:11" x14ac:dyDescent="0.25">
      <c r="A358" s="128"/>
      <c r="B358" s="252">
        <v>45516</v>
      </c>
      <c r="C358" s="150" t="s">
        <v>836</v>
      </c>
      <c r="D358" s="21" t="s">
        <v>142</v>
      </c>
      <c r="E358" s="22" t="s">
        <v>143</v>
      </c>
      <c r="F358" s="109">
        <v>48</v>
      </c>
      <c r="G358" s="111">
        <v>1</v>
      </c>
      <c r="H358" s="131"/>
      <c r="I358" s="112">
        <f t="shared" ref="I358:I424" si="17">G358*H358</f>
        <v>0</v>
      </c>
      <c r="J358" s="114"/>
      <c r="K358" s="120"/>
    </row>
    <row r="359" spans="1:11" x14ac:dyDescent="0.25">
      <c r="A359" s="128"/>
      <c r="B359" s="252">
        <v>45516</v>
      </c>
      <c r="C359" s="150" t="s">
        <v>836</v>
      </c>
      <c r="D359" s="21" t="s">
        <v>767</v>
      </c>
      <c r="E359" s="23" t="s">
        <v>63</v>
      </c>
      <c r="F359" s="109">
        <v>96</v>
      </c>
      <c r="G359" s="111">
        <v>2</v>
      </c>
      <c r="H359" s="131"/>
      <c r="I359" s="112">
        <f t="shared" si="17"/>
        <v>0</v>
      </c>
      <c r="J359" s="114"/>
      <c r="K359" s="120"/>
    </row>
    <row r="360" spans="1:11" x14ac:dyDescent="0.25">
      <c r="A360" s="128"/>
      <c r="B360" s="252">
        <v>45516</v>
      </c>
      <c r="C360" s="148" t="s">
        <v>902</v>
      </c>
      <c r="D360" s="10" t="s">
        <v>22</v>
      </c>
      <c r="E360" s="7" t="s">
        <v>23</v>
      </c>
      <c r="F360" s="243">
        <v>29</v>
      </c>
      <c r="G360" s="111"/>
      <c r="H360" s="131"/>
      <c r="I360" s="112">
        <f t="shared" si="17"/>
        <v>0</v>
      </c>
      <c r="J360" s="114"/>
      <c r="K360" s="120"/>
    </row>
    <row r="361" spans="1:11" x14ac:dyDescent="0.25">
      <c r="A361" s="128"/>
      <c r="B361" s="252">
        <v>45516</v>
      </c>
      <c r="C361" s="148" t="s">
        <v>902</v>
      </c>
      <c r="D361" s="29" t="s">
        <v>762</v>
      </c>
      <c r="E361" s="30" t="s">
        <v>85</v>
      </c>
      <c r="F361" s="109">
        <v>24</v>
      </c>
      <c r="G361" s="111">
        <v>2</v>
      </c>
      <c r="H361" s="131"/>
      <c r="I361" s="112">
        <f t="shared" si="17"/>
        <v>0</v>
      </c>
      <c r="J361" s="114"/>
      <c r="K361" s="120"/>
    </row>
    <row r="362" spans="1:11" x14ac:dyDescent="0.25">
      <c r="A362" s="128"/>
      <c r="B362" s="252">
        <v>45516</v>
      </c>
      <c r="C362" s="148" t="s">
        <v>902</v>
      </c>
      <c r="D362" s="21" t="s">
        <v>126</v>
      </c>
      <c r="E362" s="22" t="s">
        <v>127</v>
      </c>
      <c r="F362" s="109">
        <v>8</v>
      </c>
      <c r="G362" s="111"/>
      <c r="H362" s="131"/>
      <c r="I362" s="112">
        <f t="shared" si="17"/>
        <v>0</v>
      </c>
      <c r="J362" s="114"/>
      <c r="K362" s="120"/>
    </row>
    <row r="363" spans="1:11" x14ac:dyDescent="0.25">
      <c r="A363" s="128"/>
      <c r="B363" s="132">
        <v>45517</v>
      </c>
      <c r="C363" s="109" t="s">
        <v>907</v>
      </c>
      <c r="D363" s="10" t="s">
        <v>150</v>
      </c>
      <c r="E363" s="9" t="s">
        <v>151</v>
      </c>
      <c r="F363" s="109">
        <v>24</v>
      </c>
      <c r="G363" s="111">
        <v>1</v>
      </c>
      <c r="H363" s="131">
        <v>176400</v>
      </c>
      <c r="I363" s="112">
        <f t="shared" si="17"/>
        <v>176400</v>
      </c>
      <c r="J363" s="364">
        <f>SUM(I363:I365)</f>
        <v>617800</v>
      </c>
      <c r="K363" s="367" t="s">
        <v>825</v>
      </c>
    </row>
    <row r="364" spans="1:11" x14ac:dyDescent="0.25">
      <c r="A364" s="128"/>
      <c r="B364" s="132">
        <v>45517</v>
      </c>
      <c r="C364" s="109" t="s">
        <v>907</v>
      </c>
      <c r="D364" s="10" t="s">
        <v>162</v>
      </c>
      <c r="E364" s="9" t="s">
        <v>163</v>
      </c>
      <c r="F364" s="109">
        <v>24</v>
      </c>
      <c r="G364" s="111">
        <v>1</v>
      </c>
      <c r="H364" s="131">
        <v>176400</v>
      </c>
      <c r="I364" s="112">
        <f t="shared" si="17"/>
        <v>176400</v>
      </c>
      <c r="J364" s="365"/>
      <c r="K364" s="365"/>
    </row>
    <row r="365" spans="1:11" x14ac:dyDescent="0.25">
      <c r="A365" s="128"/>
      <c r="B365" s="132">
        <v>45517</v>
      </c>
      <c r="C365" s="109" t="s">
        <v>907</v>
      </c>
      <c r="D365" s="10" t="s">
        <v>124</v>
      </c>
      <c r="E365" s="9" t="s">
        <v>125</v>
      </c>
      <c r="F365" s="109">
        <v>48</v>
      </c>
      <c r="G365" s="111">
        <v>1</v>
      </c>
      <c r="H365" s="131">
        <v>265000</v>
      </c>
      <c r="I365" s="112">
        <f t="shared" si="17"/>
        <v>265000</v>
      </c>
      <c r="J365" s="366"/>
      <c r="K365" s="366"/>
    </row>
    <row r="366" spans="1:11" x14ac:dyDescent="0.25">
      <c r="A366" s="128"/>
      <c r="B366" s="132">
        <v>45517</v>
      </c>
      <c r="C366" s="109" t="s">
        <v>860</v>
      </c>
      <c r="D366" s="29" t="s">
        <v>762</v>
      </c>
      <c r="E366" s="30" t="s">
        <v>85</v>
      </c>
      <c r="F366" s="109">
        <v>12</v>
      </c>
      <c r="G366" s="111">
        <v>1</v>
      </c>
      <c r="H366" s="131">
        <v>375000</v>
      </c>
      <c r="I366" s="112">
        <f t="shared" si="17"/>
        <v>375000</v>
      </c>
      <c r="J366" s="113">
        <f>I366</f>
        <v>375000</v>
      </c>
      <c r="K366" s="120" t="s">
        <v>825</v>
      </c>
    </row>
    <row r="367" spans="1:11" x14ac:dyDescent="0.25">
      <c r="A367" s="128"/>
      <c r="B367" s="132">
        <v>45517</v>
      </c>
      <c r="C367" s="109" t="s">
        <v>896</v>
      </c>
      <c r="D367" s="10" t="s">
        <v>22</v>
      </c>
      <c r="E367" s="7" t="s">
        <v>23</v>
      </c>
      <c r="F367" s="109">
        <v>60</v>
      </c>
      <c r="G367" s="111">
        <v>5</v>
      </c>
      <c r="H367" s="131">
        <v>745000</v>
      </c>
      <c r="I367" s="112">
        <f t="shared" si="17"/>
        <v>3725000</v>
      </c>
      <c r="J367" s="113">
        <f>I367</f>
        <v>3725000</v>
      </c>
      <c r="K367" s="120"/>
    </row>
    <row r="368" spans="1:11" x14ac:dyDescent="0.25">
      <c r="A368" s="128"/>
      <c r="B368" s="132">
        <v>45517</v>
      </c>
      <c r="C368" s="109" t="s">
        <v>851</v>
      </c>
      <c r="D368" s="29" t="s">
        <v>762</v>
      </c>
      <c r="E368" s="30" t="s">
        <v>85</v>
      </c>
      <c r="F368" s="109">
        <v>12</v>
      </c>
      <c r="G368" s="111">
        <v>1</v>
      </c>
      <c r="H368" s="131">
        <v>380000</v>
      </c>
      <c r="I368" s="112">
        <f t="shared" si="17"/>
        <v>380000</v>
      </c>
      <c r="J368" s="113">
        <f>I368</f>
        <v>380000</v>
      </c>
      <c r="K368" s="240" t="s">
        <v>825</v>
      </c>
    </row>
    <row r="369" spans="1:11" x14ac:dyDescent="0.25">
      <c r="A369" s="128"/>
      <c r="B369" s="132">
        <v>45517</v>
      </c>
      <c r="C369" s="109" t="s">
        <v>841</v>
      </c>
      <c r="D369" s="29" t="s">
        <v>762</v>
      </c>
      <c r="E369" s="30" t="s">
        <v>85</v>
      </c>
      <c r="F369" s="243">
        <v>120</v>
      </c>
      <c r="G369" s="111">
        <v>10</v>
      </c>
      <c r="H369" s="131">
        <v>360000</v>
      </c>
      <c r="I369" s="112">
        <f t="shared" si="17"/>
        <v>3600000</v>
      </c>
      <c r="J369" s="113">
        <f>I369</f>
        <v>3600000</v>
      </c>
      <c r="K369" s="124" t="s">
        <v>954</v>
      </c>
    </row>
    <row r="370" spans="1:11" x14ac:dyDescent="0.25">
      <c r="A370" s="128"/>
      <c r="B370" s="132">
        <v>45517</v>
      </c>
      <c r="C370" s="109" t="s">
        <v>831</v>
      </c>
      <c r="D370" s="10" t="s">
        <v>144</v>
      </c>
      <c r="E370" s="9" t="s">
        <v>145</v>
      </c>
      <c r="F370" s="109">
        <v>25</v>
      </c>
      <c r="G370" s="111"/>
      <c r="H370" s="147">
        <f>215600/50</f>
        <v>4312</v>
      </c>
      <c r="I370" s="112">
        <f>F370*H370</f>
        <v>107800</v>
      </c>
      <c r="J370" s="364">
        <f>SUM(I370:I382)</f>
        <v>3717100</v>
      </c>
      <c r="K370" s="367" t="s">
        <v>825</v>
      </c>
    </row>
    <row r="371" spans="1:11" x14ac:dyDescent="0.25">
      <c r="A371" s="128"/>
      <c r="B371" s="132">
        <v>45517</v>
      </c>
      <c r="C371" s="109" t="s">
        <v>831</v>
      </c>
      <c r="D371" s="10" t="s">
        <v>146</v>
      </c>
      <c r="E371" s="9" t="s">
        <v>147</v>
      </c>
      <c r="F371" s="109">
        <v>25</v>
      </c>
      <c r="G371" s="111"/>
      <c r="H371" s="147">
        <f>215600/50</f>
        <v>4312</v>
      </c>
      <c r="I371" s="112">
        <f t="shared" ref="I371:I399" si="18">F371*H371</f>
        <v>107800</v>
      </c>
      <c r="J371" s="365"/>
      <c r="K371" s="365"/>
    </row>
    <row r="372" spans="1:11" x14ac:dyDescent="0.25">
      <c r="A372" s="128"/>
      <c r="B372" s="132">
        <v>45517</v>
      </c>
      <c r="C372" s="109" t="s">
        <v>831</v>
      </c>
      <c r="D372" s="10" t="s">
        <v>148</v>
      </c>
      <c r="E372" s="9" t="s">
        <v>149</v>
      </c>
      <c r="F372" s="109">
        <v>25</v>
      </c>
      <c r="G372" s="111"/>
      <c r="H372" s="147">
        <f>215600/50</f>
        <v>4312</v>
      </c>
      <c r="I372" s="112">
        <f t="shared" si="18"/>
        <v>107800</v>
      </c>
      <c r="J372" s="365"/>
      <c r="K372" s="365"/>
    </row>
    <row r="373" spans="1:11" x14ac:dyDescent="0.25">
      <c r="A373" s="128"/>
      <c r="B373" s="132">
        <v>45517</v>
      </c>
      <c r="C373" s="109" t="s">
        <v>831</v>
      </c>
      <c r="D373" s="10" t="s">
        <v>154</v>
      </c>
      <c r="E373" s="9" t="s">
        <v>155</v>
      </c>
      <c r="F373" s="109">
        <v>25</v>
      </c>
      <c r="G373" s="111"/>
      <c r="H373" s="147">
        <f>215600/50</f>
        <v>4312</v>
      </c>
      <c r="I373" s="112">
        <f t="shared" si="18"/>
        <v>107800</v>
      </c>
      <c r="J373" s="365"/>
      <c r="K373" s="365"/>
    </row>
    <row r="374" spans="1:11" x14ac:dyDescent="0.25">
      <c r="A374" s="128"/>
      <c r="B374" s="132">
        <v>45517</v>
      </c>
      <c r="C374" s="109" t="s">
        <v>831</v>
      </c>
      <c r="D374" s="10" t="s">
        <v>124</v>
      </c>
      <c r="E374" s="9" t="s">
        <v>125</v>
      </c>
      <c r="F374" s="109">
        <v>48</v>
      </c>
      <c r="G374" s="111">
        <v>1</v>
      </c>
      <c r="H374" s="147">
        <f>265000/48</f>
        <v>5520.833333333333</v>
      </c>
      <c r="I374" s="112">
        <f t="shared" si="18"/>
        <v>265000</v>
      </c>
      <c r="J374" s="365"/>
      <c r="K374" s="365"/>
    </row>
    <row r="375" spans="1:11" x14ac:dyDescent="0.25">
      <c r="A375" s="128"/>
      <c r="B375" s="132">
        <v>45517</v>
      </c>
      <c r="C375" s="109" t="s">
        <v>831</v>
      </c>
      <c r="D375" s="21" t="s">
        <v>142</v>
      </c>
      <c r="E375" s="22" t="s">
        <v>143</v>
      </c>
      <c r="F375" s="109">
        <v>48</v>
      </c>
      <c r="G375" s="111">
        <v>1</v>
      </c>
      <c r="H375" s="147">
        <f>265000/48</f>
        <v>5520.833333333333</v>
      </c>
      <c r="I375" s="112">
        <f t="shared" si="18"/>
        <v>265000</v>
      </c>
      <c r="J375" s="365"/>
      <c r="K375" s="365"/>
    </row>
    <row r="376" spans="1:11" x14ac:dyDescent="0.25">
      <c r="A376" s="128"/>
      <c r="B376" s="132">
        <v>45517</v>
      </c>
      <c r="C376" s="109" t="s">
        <v>831</v>
      </c>
      <c r="D376" s="10" t="s">
        <v>12</v>
      </c>
      <c r="E376" s="7" t="s">
        <v>13</v>
      </c>
      <c r="F376" s="109">
        <v>10</v>
      </c>
      <c r="G376" s="111"/>
      <c r="H376" s="147">
        <f>24290*1.02</f>
        <v>24775.8</v>
      </c>
      <c r="I376" s="112">
        <f t="shared" si="18"/>
        <v>247758</v>
      </c>
      <c r="J376" s="365"/>
      <c r="K376" s="365"/>
    </row>
    <row r="377" spans="1:11" x14ac:dyDescent="0.25">
      <c r="A377" s="128"/>
      <c r="B377" s="132">
        <v>45517</v>
      </c>
      <c r="C377" s="109" t="s">
        <v>831</v>
      </c>
      <c r="D377" s="10" t="s">
        <v>24</v>
      </c>
      <c r="E377" s="7" t="s">
        <v>25</v>
      </c>
      <c r="F377" s="109">
        <v>10</v>
      </c>
      <c r="G377" s="111"/>
      <c r="H377" s="147">
        <f>23210*1.02</f>
        <v>23674.2</v>
      </c>
      <c r="I377" s="112">
        <f t="shared" si="18"/>
        <v>236742</v>
      </c>
      <c r="J377" s="365"/>
      <c r="K377" s="365"/>
    </row>
    <row r="378" spans="1:11" x14ac:dyDescent="0.25">
      <c r="A378" s="128"/>
      <c r="B378" s="132">
        <v>45517</v>
      </c>
      <c r="C378" s="109" t="s">
        <v>831</v>
      </c>
      <c r="D378" s="10" t="s">
        <v>32</v>
      </c>
      <c r="E378" s="7" t="s">
        <v>33</v>
      </c>
      <c r="F378" s="243">
        <v>10</v>
      </c>
      <c r="G378" s="111"/>
      <c r="H378" s="147">
        <f>29500*1.02</f>
        <v>30090</v>
      </c>
      <c r="I378" s="112">
        <f t="shared" si="18"/>
        <v>300900</v>
      </c>
      <c r="J378" s="365"/>
      <c r="K378" s="365"/>
    </row>
    <row r="379" spans="1:11" x14ac:dyDescent="0.25">
      <c r="A379" s="128"/>
      <c r="B379" s="132">
        <v>45517</v>
      </c>
      <c r="C379" s="109" t="s">
        <v>831</v>
      </c>
      <c r="D379" s="72" t="s">
        <v>816</v>
      </c>
      <c r="E379" s="81" t="s">
        <v>817</v>
      </c>
      <c r="F379" s="109">
        <v>10</v>
      </c>
      <c r="G379" s="111"/>
      <c r="H379" s="147">
        <v>57828</v>
      </c>
      <c r="I379" s="112">
        <f t="shared" si="18"/>
        <v>578280</v>
      </c>
      <c r="J379" s="365"/>
      <c r="K379" s="365"/>
    </row>
    <row r="380" spans="1:11" x14ac:dyDescent="0.25">
      <c r="A380" s="128"/>
      <c r="B380" s="132">
        <v>45517</v>
      </c>
      <c r="C380" s="109" t="s">
        <v>831</v>
      </c>
      <c r="D380" s="10" t="s">
        <v>22</v>
      </c>
      <c r="E380" s="7" t="s">
        <v>23</v>
      </c>
      <c r="F380" s="109">
        <v>10</v>
      </c>
      <c r="G380" s="111"/>
      <c r="H380" s="147">
        <v>61000</v>
      </c>
      <c r="I380" s="112">
        <f t="shared" si="18"/>
        <v>610000</v>
      </c>
      <c r="J380" s="365"/>
      <c r="K380" s="365"/>
    </row>
    <row r="381" spans="1:11" x14ac:dyDescent="0.25">
      <c r="A381" s="128"/>
      <c r="B381" s="132">
        <v>45517</v>
      </c>
      <c r="C381" s="109" t="s">
        <v>831</v>
      </c>
      <c r="D381" s="10" t="s">
        <v>16</v>
      </c>
      <c r="E381" s="7" t="s">
        <v>17</v>
      </c>
      <c r="F381" s="109">
        <v>10</v>
      </c>
      <c r="G381" s="111"/>
      <c r="H381" s="147">
        <v>52500</v>
      </c>
      <c r="I381" s="112">
        <f t="shared" si="18"/>
        <v>525000</v>
      </c>
      <c r="J381" s="365"/>
      <c r="K381" s="365"/>
    </row>
    <row r="382" spans="1:11" x14ac:dyDescent="0.25">
      <c r="A382" s="128"/>
      <c r="B382" s="132">
        <v>45517</v>
      </c>
      <c r="C382" s="109" t="s">
        <v>831</v>
      </c>
      <c r="D382" s="21" t="s">
        <v>34</v>
      </c>
      <c r="E382" s="56" t="s">
        <v>35</v>
      </c>
      <c r="F382" s="109">
        <f>10*6</f>
        <v>60</v>
      </c>
      <c r="G382" s="264"/>
      <c r="H382" s="65">
        <v>4287</v>
      </c>
      <c r="I382" s="265">
        <f t="shared" si="18"/>
        <v>257220</v>
      </c>
      <c r="J382" s="365"/>
      <c r="K382" s="366"/>
    </row>
    <row r="383" spans="1:11" x14ac:dyDescent="0.25">
      <c r="A383" s="128"/>
      <c r="B383" s="132">
        <v>45517</v>
      </c>
      <c r="C383" s="109" t="s">
        <v>908</v>
      </c>
      <c r="D383" s="259" t="s">
        <v>156</v>
      </c>
      <c r="E383" s="271" t="s">
        <v>157</v>
      </c>
      <c r="F383" s="109">
        <v>48</v>
      </c>
      <c r="G383" s="245"/>
      <c r="H383" s="271">
        <v>7350</v>
      </c>
      <c r="I383" s="247">
        <f t="shared" si="18"/>
        <v>352800</v>
      </c>
      <c r="J383" s="379">
        <f>SUM(I383:I399)</f>
        <v>4660551.3600000003</v>
      </c>
      <c r="K383" s="367" t="s">
        <v>825</v>
      </c>
    </row>
    <row r="384" spans="1:11" x14ac:dyDescent="0.25">
      <c r="A384" s="128"/>
      <c r="B384" s="132">
        <v>45517</v>
      </c>
      <c r="C384" s="109" t="s">
        <v>908</v>
      </c>
      <c r="D384" s="259" t="s">
        <v>162</v>
      </c>
      <c r="E384" s="271" t="s">
        <v>163</v>
      </c>
      <c r="F384" s="109">
        <v>48</v>
      </c>
      <c r="G384" s="245"/>
      <c r="H384" s="271">
        <v>7350</v>
      </c>
      <c r="I384" s="247">
        <f t="shared" si="18"/>
        <v>352800</v>
      </c>
      <c r="J384" s="380"/>
      <c r="K384" s="365"/>
    </row>
    <row r="385" spans="1:11" x14ac:dyDescent="0.25">
      <c r="A385" s="128"/>
      <c r="B385" s="132">
        <v>45517</v>
      </c>
      <c r="C385" s="109" t="s">
        <v>908</v>
      </c>
      <c r="D385" s="259" t="s">
        <v>144</v>
      </c>
      <c r="E385" s="271" t="s">
        <v>145</v>
      </c>
      <c r="F385" s="109">
        <v>50</v>
      </c>
      <c r="G385" s="245">
        <v>1</v>
      </c>
      <c r="H385" s="271">
        <v>4312</v>
      </c>
      <c r="I385" s="247">
        <f t="shared" si="18"/>
        <v>215600</v>
      </c>
      <c r="J385" s="380"/>
      <c r="K385" s="365"/>
    </row>
    <row r="386" spans="1:11" x14ac:dyDescent="0.25">
      <c r="A386" s="128"/>
      <c r="B386" s="132">
        <v>45517</v>
      </c>
      <c r="C386" s="109" t="s">
        <v>908</v>
      </c>
      <c r="D386" s="259" t="s">
        <v>146</v>
      </c>
      <c r="E386" s="271" t="s">
        <v>147</v>
      </c>
      <c r="F386" s="109">
        <v>50</v>
      </c>
      <c r="G386" s="245">
        <v>1</v>
      </c>
      <c r="H386" s="271">
        <v>4312</v>
      </c>
      <c r="I386" s="247">
        <f t="shared" si="18"/>
        <v>215600</v>
      </c>
      <c r="J386" s="380"/>
      <c r="K386" s="365"/>
    </row>
    <row r="387" spans="1:11" x14ac:dyDescent="0.25">
      <c r="A387" s="128"/>
      <c r="B387" s="132">
        <v>45517</v>
      </c>
      <c r="C387" s="109" t="s">
        <v>908</v>
      </c>
      <c r="D387" s="259" t="s">
        <v>148</v>
      </c>
      <c r="E387" s="271" t="s">
        <v>149</v>
      </c>
      <c r="F387" s="243">
        <v>50</v>
      </c>
      <c r="G387" s="245">
        <v>1</v>
      </c>
      <c r="H387" s="271">
        <v>4312</v>
      </c>
      <c r="I387" s="247">
        <f t="shared" si="18"/>
        <v>215600</v>
      </c>
      <c r="J387" s="380"/>
      <c r="K387" s="365"/>
    </row>
    <row r="388" spans="1:11" x14ac:dyDescent="0.25">
      <c r="A388" s="128"/>
      <c r="B388" s="132">
        <v>45517</v>
      </c>
      <c r="C388" s="109" t="s">
        <v>908</v>
      </c>
      <c r="D388" s="259" t="s">
        <v>154</v>
      </c>
      <c r="E388" s="271" t="s">
        <v>155</v>
      </c>
      <c r="F388" s="109">
        <v>50</v>
      </c>
      <c r="G388" s="245">
        <v>1</v>
      </c>
      <c r="H388" s="271">
        <v>4312</v>
      </c>
      <c r="I388" s="247">
        <f t="shared" si="18"/>
        <v>215600</v>
      </c>
      <c r="J388" s="380"/>
      <c r="K388" s="365"/>
    </row>
    <row r="389" spans="1:11" x14ac:dyDescent="0.25">
      <c r="A389" s="128"/>
      <c r="B389" s="132">
        <v>45517</v>
      </c>
      <c r="C389" s="109" t="s">
        <v>908</v>
      </c>
      <c r="D389" s="259" t="s">
        <v>158</v>
      </c>
      <c r="E389" s="271" t="s">
        <v>159</v>
      </c>
      <c r="F389" s="109">
        <v>50</v>
      </c>
      <c r="G389" s="245">
        <v>1</v>
      </c>
      <c r="H389" s="271">
        <v>4312</v>
      </c>
      <c r="I389" s="247">
        <f t="shared" si="18"/>
        <v>215600</v>
      </c>
      <c r="J389" s="380"/>
      <c r="K389" s="365"/>
    </row>
    <row r="390" spans="1:11" ht="15.75" x14ac:dyDescent="0.25">
      <c r="A390" s="128"/>
      <c r="B390" s="132">
        <v>45517</v>
      </c>
      <c r="C390" s="109" t="s">
        <v>908</v>
      </c>
      <c r="D390" s="260" t="s">
        <v>200</v>
      </c>
      <c r="E390" s="272" t="s">
        <v>201</v>
      </c>
      <c r="F390" s="109">
        <v>48</v>
      </c>
      <c r="G390" s="245">
        <v>2</v>
      </c>
      <c r="H390" s="251">
        <f>235000/24</f>
        <v>9791.6666666666661</v>
      </c>
      <c r="I390" s="247">
        <f t="shared" si="18"/>
        <v>470000</v>
      </c>
      <c r="J390" s="380"/>
      <c r="K390" s="365"/>
    </row>
    <row r="391" spans="1:11" ht="15.75" x14ac:dyDescent="0.25">
      <c r="A391" s="128"/>
      <c r="B391" s="132">
        <v>45517</v>
      </c>
      <c r="C391" s="109" t="s">
        <v>908</v>
      </c>
      <c r="D391" s="260" t="s">
        <v>194</v>
      </c>
      <c r="E391" s="272" t="s">
        <v>195</v>
      </c>
      <c r="F391" s="109">
        <v>48</v>
      </c>
      <c r="G391" s="245">
        <v>1</v>
      </c>
      <c r="H391" s="271">
        <v>5920.8333333333339</v>
      </c>
      <c r="I391" s="247">
        <f t="shared" si="18"/>
        <v>284200</v>
      </c>
      <c r="J391" s="380"/>
      <c r="K391" s="365"/>
    </row>
    <row r="392" spans="1:11" ht="15.75" x14ac:dyDescent="0.25">
      <c r="A392" s="128"/>
      <c r="B392" s="132">
        <v>45517</v>
      </c>
      <c r="C392" s="109" t="s">
        <v>908</v>
      </c>
      <c r="D392" s="260" t="s">
        <v>215</v>
      </c>
      <c r="E392" s="273" t="s">
        <v>216</v>
      </c>
      <c r="F392" s="109">
        <v>48</v>
      </c>
      <c r="G392" s="245">
        <v>1</v>
      </c>
      <c r="H392" s="271">
        <v>5921.16</v>
      </c>
      <c r="I392" s="247">
        <f t="shared" si="18"/>
        <v>284215.67999999999</v>
      </c>
      <c r="J392" s="380"/>
      <c r="K392" s="365"/>
    </row>
    <row r="393" spans="1:11" ht="15.75" x14ac:dyDescent="0.25">
      <c r="A393" s="128"/>
      <c r="B393" s="132">
        <v>45517</v>
      </c>
      <c r="C393" s="109" t="s">
        <v>908</v>
      </c>
      <c r="D393" s="260" t="s">
        <v>217</v>
      </c>
      <c r="E393" s="273" t="s">
        <v>218</v>
      </c>
      <c r="F393" s="109">
        <v>48</v>
      </c>
      <c r="G393" s="245">
        <v>1</v>
      </c>
      <c r="H393" s="271">
        <v>5921.16</v>
      </c>
      <c r="I393" s="247">
        <f t="shared" si="18"/>
        <v>284215.67999999999</v>
      </c>
      <c r="J393" s="380"/>
      <c r="K393" s="365"/>
    </row>
    <row r="394" spans="1:11" x14ac:dyDescent="0.25">
      <c r="A394" s="128"/>
      <c r="B394" s="132">
        <v>45517</v>
      </c>
      <c r="C394" s="109" t="s">
        <v>908</v>
      </c>
      <c r="D394" s="261" t="s">
        <v>30</v>
      </c>
      <c r="E394" s="251" t="s">
        <v>31</v>
      </c>
      <c r="F394" s="109">
        <v>10</v>
      </c>
      <c r="G394" s="245"/>
      <c r="H394" s="271">
        <f>18000*1.02</f>
        <v>18360</v>
      </c>
      <c r="I394" s="247">
        <f t="shared" si="18"/>
        <v>183600</v>
      </c>
      <c r="J394" s="380"/>
      <c r="K394" s="365"/>
    </row>
    <row r="395" spans="1:11" x14ac:dyDescent="0.25">
      <c r="A395" s="128"/>
      <c r="B395" s="132">
        <v>45517</v>
      </c>
      <c r="C395" s="109" t="s">
        <v>908</v>
      </c>
      <c r="D395" s="261" t="s">
        <v>807</v>
      </c>
      <c r="E395" s="251" t="s">
        <v>806</v>
      </c>
      <c r="F395" s="109">
        <v>10</v>
      </c>
      <c r="G395" s="245"/>
      <c r="H395" s="271">
        <f>18000*1.02</f>
        <v>18360</v>
      </c>
      <c r="I395" s="247">
        <f t="shared" si="18"/>
        <v>183600</v>
      </c>
      <c r="J395" s="380"/>
      <c r="K395" s="365"/>
    </row>
    <row r="396" spans="1:11" x14ac:dyDescent="0.25">
      <c r="A396" s="128"/>
      <c r="B396" s="132">
        <v>45517</v>
      </c>
      <c r="C396" s="109" t="s">
        <v>908</v>
      </c>
      <c r="D396" s="261" t="s">
        <v>805</v>
      </c>
      <c r="E396" s="251" t="s">
        <v>804</v>
      </c>
      <c r="F396" s="243">
        <v>10</v>
      </c>
      <c r="G396" s="245"/>
      <c r="H396" s="271">
        <f>18000*1.02</f>
        <v>18360</v>
      </c>
      <c r="I396" s="247">
        <f t="shared" si="18"/>
        <v>183600</v>
      </c>
      <c r="J396" s="380"/>
      <c r="K396" s="365"/>
    </row>
    <row r="397" spans="1:11" x14ac:dyDescent="0.25">
      <c r="A397" s="128"/>
      <c r="B397" s="132">
        <v>45517</v>
      </c>
      <c r="C397" s="109" t="s">
        <v>908</v>
      </c>
      <c r="D397" s="259" t="s">
        <v>56</v>
      </c>
      <c r="E397" s="271" t="s">
        <v>57</v>
      </c>
      <c r="F397" s="109">
        <v>12</v>
      </c>
      <c r="G397" s="245">
        <v>1</v>
      </c>
      <c r="H397" s="271">
        <v>28583.333333333336</v>
      </c>
      <c r="I397" s="247">
        <f t="shared" si="18"/>
        <v>343000</v>
      </c>
      <c r="J397" s="380"/>
      <c r="K397" s="365"/>
    </row>
    <row r="398" spans="1:11" x14ac:dyDescent="0.25">
      <c r="A398" s="128"/>
      <c r="B398" s="132">
        <v>45517</v>
      </c>
      <c r="C398" s="109" t="s">
        <v>908</v>
      </c>
      <c r="D398" s="262" t="s">
        <v>244</v>
      </c>
      <c r="E398" s="274" t="s">
        <v>245</v>
      </c>
      <c r="F398" s="109">
        <v>12</v>
      </c>
      <c r="G398" s="245"/>
      <c r="H398" s="271">
        <v>31360</v>
      </c>
      <c r="I398" s="247">
        <f t="shared" si="18"/>
        <v>376320</v>
      </c>
      <c r="J398" s="380"/>
      <c r="K398" s="365"/>
    </row>
    <row r="399" spans="1:11" x14ac:dyDescent="0.25">
      <c r="A399" s="128"/>
      <c r="B399" s="132">
        <v>45517</v>
      </c>
      <c r="C399" s="109" t="s">
        <v>908</v>
      </c>
      <c r="D399" s="259" t="s">
        <v>86</v>
      </c>
      <c r="E399" s="271" t="s">
        <v>87</v>
      </c>
      <c r="F399" s="109">
        <v>12</v>
      </c>
      <c r="G399" s="245"/>
      <c r="H399" s="271">
        <v>23683.333333333336</v>
      </c>
      <c r="I399" s="247">
        <f t="shared" si="18"/>
        <v>284200</v>
      </c>
      <c r="J399" s="380"/>
      <c r="K399" s="366"/>
    </row>
    <row r="400" spans="1:11" x14ac:dyDescent="0.25">
      <c r="A400" s="242"/>
      <c r="B400" s="132">
        <v>45517</v>
      </c>
      <c r="C400" s="243" t="s">
        <v>853</v>
      </c>
      <c r="D400" s="259" t="s">
        <v>132</v>
      </c>
      <c r="E400" s="271" t="s">
        <v>133</v>
      </c>
      <c r="F400" s="109">
        <v>48</v>
      </c>
      <c r="G400" s="245">
        <v>1</v>
      </c>
      <c r="H400" s="271">
        <v>318000</v>
      </c>
      <c r="I400" s="247">
        <f>G400*H400</f>
        <v>318000</v>
      </c>
      <c r="J400" s="364">
        <f>SUM(I400:I404)</f>
        <v>3804000</v>
      </c>
      <c r="K400" s="367"/>
    </row>
    <row r="401" spans="1:11" x14ac:dyDescent="0.25">
      <c r="A401" s="242"/>
      <c r="B401" s="132">
        <v>45517</v>
      </c>
      <c r="C401" s="243" t="s">
        <v>853</v>
      </c>
      <c r="D401" s="259" t="s">
        <v>140</v>
      </c>
      <c r="E401" s="271" t="s">
        <v>141</v>
      </c>
      <c r="F401" s="109">
        <v>96</v>
      </c>
      <c r="G401" s="245">
        <v>2</v>
      </c>
      <c r="H401" s="271">
        <v>318000</v>
      </c>
      <c r="I401" s="247">
        <f t="shared" ref="I401:I405" si="19">G401*H401</f>
        <v>636000</v>
      </c>
      <c r="J401" s="365"/>
      <c r="K401" s="365"/>
    </row>
    <row r="402" spans="1:11" x14ac:dyDescent="0.25">
      <c r="A402" s="242"/>
      <c r="B402" s="132">
        <v>45517</v>
      </c>
      <c r="C402" s="243" t="s">
        <v>853</v>
      </c>
      <c r="D402" s="21" t="s">
        <v>249</v>
      </c>
      <c r="E402" s="9" t="s">
        <v>250</v>
      </c>
      <c r="F402" s="109">
        <v>96</v>
      </c>
      <c r="G402" s="245">
        <v>2</v>
      </c>
      <c r="H402" s="271">
        <v>225000</v>
      </c>
      <c r="I402" s="247">
        <f t="shared" si="19"/>
        <v>450000</v>
      </c>
      <c r="J402" s="365"/>
      <c r="K402" s="365"/>
    </row>
    <row r="403" spans="1:11" x14ac:dyDescent="0.25">
      <c r="A403" s="242"/>
      <c r="B403" s="132">
        <v>45517</v>
      </c>
      <c r="C403" s="243" t="s">
        <v>853</v>
      </c>
      <c r="D403" s="21" t="s">
        <v>765</v>
      </c>
      <c r="E403" s="22" t="s">
        <v>75</v>
      </c>
      <c r="F403" s="109">
        <v>240</v>
      </c>
      <c r="G403" s="245">
        <v>5</v>
      </c>
      <c r="H403" s="271">
        <v>345000</v>
      </c>
      <c r="I403" s="247">
        <f t="shared" si="19"/>
        <v>1725000</v>
      </c>
      <c r="J403" s="365"/>
      <c r="K403" s="365"/>
    </row>
    <row r="404" spans="1:11" x14ac:dyDescent="0.25">
      <c r="A404" s="242"/>
      <c r="B404" s="132">
        <v>45517</v>
      </c>
      <c r="C404" s="243" t="s">
        <v>853</v>
      </c>
      <c r="D404" s="21" t="s">
        <v>766</v>
      </c>
      <c r="E404" s="22" t="s">
        <v>77</v>
      </c>
      <c r="F404" s="109">
        <v>144</v>
      </c>
      <c r="G404" s="245">
        <v>3</v>
      </c>
      <c r="H404" s="271">
        <v>225000</v>
      </c>
      <c r="I404" s="247">
        <f t="shared" si="19"/>
        <v>675000</v>
      </c>
      <c r="J404" s="366"/>
      <c r="K404" s="366"/>
    </row>
    <row r="405" spans="1:11" x14ac:dyDescent="0.25">
      <c r="A405" s="242"/>
      <c r="B405" s="132">
        <v>45517</v>
      </c>
      <c r="C405" s="243" t="s">
        <v>875</v>
      </c>
      <c r="D405" s="10" t="s">
        <v>22</v>
      </c>
      <c r="E405" s="7" t="s">
        <v>23</v>
      </c>
      <c r="F405" s="243">
        <v>12</v>
      </c>
      <c r="G405" s="245">
        <v>1</v>
      </c>
      <c r="H405" s="271">
        <v>740000</v>
      </c>
      <c r="I405" s="247">
        <f t="shared" si="19"/>
        <v>740000</v>
      </c>
      <c r="J405" s="364">
        <f>I405+I406</f>
        <v>802000</v>
      </c>
      <c r="K405" s="367" t="s">
        <v>825</v>
      </c>
    </row>
    <row r="406" spans="1:11" x14ac:dyDescent="0.25">
      <c r="A406" s="242"/>
      <c r="B406" s="132">
        <v>45517</v>
      </c>
      <c r="C406" s="243" t="s">
        <v>875</v>
      </c>
      <c r="D406" s="263" t="s">
        <v>762</v>
      </c>
      <c r="E406" s="275" t="s">
        <v>85</v>
      </c>
      <c r="F406" s="109">
        <v>2</v>
      </c>
      <c r="G406" s="245"/>
      <c r="H406" s="271">
        <v>31000</v>
      </c>
      <c r="I406" s="247">
        <f>H406*2</f>
        <v>62000</v>
      </c>
      <c r="J406" s="366"/>
      <c r="K406" s="366"/>
    </row>
    <row r="407" spans="1:11" x14ac:dyDescent="0.25">
      <c r="A407" s="242"/>
      <c r="B407" s="132">
        <v>45517</v>
      </c>
      <c r="C407" s="243" t="s">
        <v>912</v>
      </c>
      <c r="D407" s="10" t="s">
        <v>80</v>
      </c>
      <c r="E407" s="9" t="s">
        <v>81</v>
      </c>
      <c r="F407" s="109">
        <v>96</v>
      </c>
      <c r="G407" s="245">
        <v>2</v>
      </c>
      <c r="H407" s="271"/>
      <c r="I407" s="247">
        <f t="shared" si="17"/>
        <v>0</v>
      </c>
      <c r="J407" s="258"/>
      <c r="K407" s="258"/>
    </row>
    <row r="408" spans="1:11" x14ac:dyDescent="0.25">
      <c r="A408" s="242"/>
      <c r="B408" s="132">
        <v>45517</v>
      </c>
      <c r="C408" s="243" t="s">
        <v>913</v>
      </c>
      <c r="D408" s="261" t="s">
        <v>126</v>
      </c>
      <c r="E408" s="251" t="s">
        <v>127</v>
      </c>
      <c r="F408" s="109">
        <v>48</v>
      </c>
      <c r="G408" s="245">
        <v>1</v>
      </c>
      <c r="H408" s="271">
        <v>260000</v>
      </c>
      <c r="I408" s="247">
        <f t="shared" si="17"/>
        <v>260000</v>
      </c>
      <c r="J408" s="258"/>
      <c r="K408" s="258"/>
    </row>
    <row r="409" spans="1:11" x14ac:dyDescent="0.25">
      <c r="A409" s="128"/>
      <c r="B409" s="132">
        <v>45517</v>
      </c>
      <c r="C409" s="148" t="s">
        <v>777</v>
      </c>
      <c r="D409" s="261" t="s">
        <v>44</v>
      </c>
      <c r="E409" s="251" t="s">
        <v>45</v>
      </c>
      <c r="F409" s="109">
        <v>5</v>
      </c>
      <c r="G409" s="245"/>
      <c r="H409" s="246"/>
      <c r="I409" s="247">
        <f t="shared" si="17"/>
        <v>0</v>
      </c>
      <c r="J409" s="248"/>
      <c r="K409" s="120"/>
    </row>
    <row r="410" spans="1:11" x14ac:dyDescent="0.25">
      <c r="A410" s="128"/>
      <c r="B410" s="132">
        <v>45517</v>
      </c>
      <c r="C410" s="148" t="s">
        <v>777</v>
      </c>
      <c r="D410" s="263" t="s">
        <v>762</v>
      </c>
      <c r="E410" s="275" t="s">
        <v>85</v>
      </c>
      <c r="F410" s="109">
        <v>11</v>
      </c>
      <c r="G410" s="245"/>
      <c r="H410" s="246"/>
      <c r="I410" s="247">
        <f t="shared" si="17"/>
        <v>0</v>
      </c>
      <c r="J410" s="248"/>
      <c r="K410" s="120"/>
    </row>
    <row r="411" spans="1:11" x14ac:dyDescent="0.25">
      <c r="A411" s="128"/>
      <c r="B411" s="132">
        <v>45517</v>
      </c>
      <c r="C411" s="148" t="s">
        <v>777</v>
      </c>
      <c r="D411" s="261" t="s">
        <v>126</v>
      </c>
      <c r="E411" s="251" t="s">
        <v>127</v>
      </c>
      <c r="F411" s="109">
        <v>6</v>
      </c>
      <c r="G411" s="245"/>
      <c r="H411" s="246"/>
      <c r="I411" s="247">
        <f t="shared" si="17"/>
        <v>0</v>
      </c>
      <c r="J411" s="276"/>
      <c r="K411" s="120"/>
    </row>
    <row r="412" spans="1:11" x14ac:dyDescent="0.25">
      <c r="A412" s="128"/>
      <c r="B412" s="132">
        <v>45517</v>
      </c>
      <c r="C412" s="149" t="s">
        <v>775</v>
      </c>
      <c r="D412" s="259" t="s">
        <v>124</v>
      </c>
      <c r="E412" s="271" t="s">
        <v>125</v>
      </c>
      <c r="F412" s="109">
        <f>6*48</f>
        <v>288</v>
      </c>
      <c r="G412" s="245">
        <v>6</v>
      </c>
      <c r="H412" s="246"/>
      <c r="I412" s="247">
        <f t="shared" si="17"/>
        <v>0</v>
      </c>
      <c r="J412" s="248"/>
      <c r="K412" s="120"/>
    </row>
    <row r="413" spans="1:11" x14ac:dyDescent="0.25">
      <c r="A413" s="128"/>
      <c r="B413" s="132">
        <v>45517</v>
      </c>
      <c r="C413" s="148" t="s">
        <v>779</v>
      </c>
      <c r="D413" s="263" t="s">
        <v>762</v>
      </c>
      <c r="E413" s="275" t="s">
        <v>85</v>
      </c>
      <c r="F413" s="109">
        <v>24</v>
      </c>
      <c r="G413" s="245">
        <v>2</v>
      </c>
      <c r="H413" s="246"/>
      <c r="I413" s="247">
        <f t="shared" si="17"/>
        <v>0</v>
      </c>
      <c r="J413" s="276"/>
      <c r="K413" s="120"/>
    </row>
    <row r="414" spans="1:11" x14ac:dyDescent="0.25">
      <c r="A414" s="128"/>
      <c r="B414" s="132">
        <v>45517</v>
      </c>
      <c r="C414" s="148" t="s">
        <v>844</v>
      </c>
      <c r="D414" s="259" t="s">
        <v>22</v>
      </c>
      <c r="E414" s="271" t="s">
        <v>23</v>
      </c>
      <c r="F414" s="243">
        <v>1</v>
      </c>
      <c r="G414" s="245"/>
      <c r="H414" s="246"/>
      <c r="I414" s="247">
        <f t="shared" si="17"/>
        <v>0</v>
      </c>
      <c r="J414" s="248"/>
      <c r="K414" s="120"/>
    </row>
    <row r="415" spans="1:11" x14ac:dyDescent="0.25">
      <c r="A415" s="128"/>
      <c r="B415" s="132">
        <v>45517</v>
      </c>
      <c r="C415" s="148" t="s">
        <v>844</v>
      </c>
      <c r="D415" s="261" t="s">
        <v>126</v>
      </c>
      <c r="E415" s="251" t="s">
        <v>127</v>
      </c>
      <c r="F415" s="109">
        <v>144</v>
      </c>
      <c r="G415" s="245">
        <v>3</v>
      </c>
      <c r="H415" s="246"/>
      <c r="I415" s="247">
        <f t="shared" si="17"/>
        <v>0</v>
      </c>
      <c r="J415" s="276"/>
      <c r="K415" s="120"/>
    </row>
    <row r="416" spans="1:11" x14ac:dyDescent="0.25">
      <c r="A416" s="128"/>
      <c r="B416" s="132">
        <v>45517</v>
      </c>
      <c r="C416" s="148" t="s">
        <v>844</v>
      </c>
      <c r="D416" s="261" t="s">
        <v>142</v>
      </c>
      <c r="E416" s="251" t="s">
        <v>143</v>
      </c>
      <c r="F416" s="109">
        <v>96</v>
      </c>
      <c r="G416" s="245">
        <v>2</v>
      </c>
      <c r="H416" s="246"/>
      <c r="I416" s="247">
        <f t="shared" si="17"/>
        <v>0</v>
      </c>
      <c r="J416" s="248"/>
      <c r="K416" s="120"/>
    </row>
    <row r="417" spans="1:11" x14ac:dyDescent="0.25">
      <c r="A417" s="128"/>
      <c r="B417" s="132">
        <v>45517</v>
      </c>
      <c r="C417" s="148" t="s">
        <v>785</v>
      </c>
      <c r="D417" s="29" t="s">
        <v>762</v>
      </c>
      <c r="E417" s="266" t="s">
        <v>85</v>
      </c>
      <c r="F417" s="109">
        <v>12</v>
      </c>
      <c r="G417" s="267">
        <v>1</v>
      </c>
      <c r="H417" s="268"/>
      <c r="I417" s="269">
        <f t="shared" si="17"/>
        <v>0</v>
      </c>
      <c r="J417" s="270"/>
      <c r="K417" s="120"/>
    </row>
    <row r="418" spans="1:11" x14ac:dyDescent="0.25">
      <c r="A418" s="128"/>
      <c r="B418" s="132">
        <v>45517</v>
      </c>
      <c r="C418" s="148" t="s">
        <v>835</v>
      </c>
      <c r="D418" s="29" t="s">
        <v>762</v>
      </c>
      <c r="E418" s="30" t="s">
        <v>85</v>
      </c>
      <c r="F418" s="109">
        <f>12*12</f>
        <v>144</v>
      </c>
      <c r="G418" s="111">
        <v>12</v>
      </c>
      <c r="H418" s="131"/>
      <c r="I418" s="112">
        <f t="shared" si="17"/>
        <v>0</v>
      </c>
      <c r="J418" s="114"/>
      <c r="K418" s="120"/>
    </row>
    <row r="419" spans="1:11" x14ac:dyDescent="0.25">
      <c r="A419" s="128"/>
      <c r="B419" s="132">
        <v>45517</v>
      </c>
      <c r="C419" s="148" t="s">
        <v>782</v>
      </c>
      <c r="D419" s="29" t="s">
        <v>762</v>
      </c>
      <c r="E419" s="30" t="s">
        <v>85</v>
      </c>
      <c r="F419" s="109">
        <v>24</v>
      </c>
      <c r="G419" s="111">
        <v>2</v>
      </c>
      <c r="H419" s="131"/>
      <c r="I419" s="112">
        <f t="shared" si="17"/>
        <v>0</v>
      </c>
      <c r="J419" s="114"/>
      <c r="K419" s="120"/>
    </row>
    <row r="420" spans="1:11" x14ac:dyDescent="0.25">
      <c r="A420" s="128"/>
      <c r="B420" s="132">
        <v>45517</v>
      </c>
      <c r="C420" s="148" t="s">
        <v>782</v>
      </c>
      <c r="D420" s="10" t="s">
        <v>22</v>
      </c>
      <c r="E420" s="7" t="s">
        <v>23</v>
      </c>
      <c r="F420" s="109">
        <v>12</v>
      </c>
      <c r="G420" s="111">
        <v>1</v>
      </c>
      <c r="H420" s="131"/>
      <c r="I420" s="112">
        <f t="shared" si="17"/>
        <v>0</v>
      </c>
      <c r="J420" s="120"/>
      <c r="K420" s="120"/>
    </row>
    <row r="421" spans="1:11" x14ac:dyDescent="0.25">
      <c r="A421" s="128"/>
      <c r="B421" s="132">
        <v>45517</v>
      </c>
      <c r="C421" s="150" t="s">
        <v>836</v>
      </c>
      <c r="D421" s="10" t="s">
        <v>86</v>
      </c>
      <c r="E421" s="9" t="s">
        <v>87</v>
      </c>
      <c r="F421" s="109">
        <f>5*12+2</f>
        <v>62</v>
      </c>
      <c r="G421" s="111"/>
      <c r="H421" s="131"/>
      <c r="I421" s="112">
        <f t="shared" si="17"/>
        <v>0</v>
      </c>
      <c r="J421" s="120"/>
      <c r="K421" s="120"/>
    </row>
    <row r="422" spans="1:11" x14ac:dyDescent="0.25">
      <c r="A422" s="128"/>
      <c r="B422" s="132">
        <v>45517</v>
      </c>
      <c r="C422" s="150" t="s">
        <v>836</v>
      </c>
      <c r="D422" s="10" t="s">
        <v>772</v>
      </c>
      <c r="E422" s="22" t="s">
        <v>773</v>
      </c>
      <c r="F422" s="109">
        <v>12</v>
      </c>
      <c r="G422" s="111">
        <v>1</v>
      </c>
      <c r="H422" s="131"/>
      <c r="I422" s="112">
        <f t="shared" si="17"/>
        <v>0</v>
      </c>
      <c r="J422" s="120"/>
      <c r="K422" s="120"/>
    </row>
    <row r="423" spans="1:11" x14ac:dyDescent="0.25">
      <c r="A423" s="128"/>
      <c r="B423" s="132">
        <v>45517</v>
      </c>
      <c r="C423" s="150" t="s">
        <v>836</v>
      </c>
      <c r="D423" s="21" t="s">
        <v>126</v>
      </c>
      <c r="E423" s="22" t="s">
        <v>127</v>
      </c>
      <c r="F423" s="243">
        <f>6*48+144</f>
        <v>432</v>
      </c>
      <c r="G423" s="111">
        <v>9</v>
      </c>
      <c r="H423" s="131"/>
      <c r="I423" s="112">
        <f t="shared" si="17"/>
        <v>0</v>
      </c>
      <c r="J423" s="121"/>
      <c r="K423" s="120"/>
    </row>
    <row r="424" spans="1:11" x14ac:dyDescent="0.25">
      <c r="A424" s="128"/>
      <c r="B424" s="132">
        <v>45517</v>
      </c>
      <c r="C424" s="150" t="s">
        <v>836</v>
      </c>
      <c r="D424" s="21" t="s">
        <v>142</v>
      </c>
      <c r="E424" s="22" t="s">
        <v>143</v>
      </c>
      <c r="F424" s="109">
        <v>48</v>
      </c>
      <c r="G424" s="111">
        <v>1</v>
      </c>
      <c r="H424" s="131"/>
      <c r="I424" s="112">
        <f t="shared" si="17"/>
        <v>0</v>
      </c>
      <c r="J424" s="114"/>
      <c r="K424" s="120"/>
    </row>
    <row r="425" spans="1:11" ht="15.75" x14ac:dyDescent="0.25">
      <c r="A425" s="128"/>
      <c r="B425" s="132">
        <v>45517</v>
      </c>
      <c r="C425" s="150" t="s">
        <v>836</v>
      </c>
      <c r="D425" s="69" t="s">
        <v>811</v>
      </c>
      <c r="E425" s="16" t="s">
        <v>810</v>
      </c>
      <c r="F425" s="109">
        <v>12</v>
      </c>
      <c r="G425" s="111">
        <v>1</v>
      </c>
      <c r="H425" s="131"/>
      <c r="I425" s="112">
        <f t="shared" ref="I425:I508" si="20">G425*H425</f>
        <v>0</v>
      </c>
      <c r="J425" s="114"/>
      <c r="K425" s="120"/>
    </row>
    <row r="426" spans="1:11" x14ac:dyDescent="0.25">
      <c r="A426" s="128"/>
      <c r="B426" s="132">
        <v>45517</v>
      </c>
      <c r="C426" s="150" t="s">
        <v>836</v>
      </c>
      <c r="D426" s="10" t="s">
        <v>172</v>
      </c>
      <c r="E426" s="9" t="s">
        <v>173</v>
      </c>
      <c r="F426" s="109">
        <v>2</v>
      </c>
      <c r="G426" s="111"/>
      <c r="H426" s="131"/>
      <c r="I426" s="112">
        <f t="shared" si="20"/>
        <v>0</v>
      </c>
      <c r="J426" s="114"/>
      <c r="K426" s="120"/>
    </row>
    <row r="427" spans="1:11" x14ac:dyDescent="0.25">
      <c r="A427" s="128"/>
      <c r="B427" s="132">
        <v>45517</v>
      </c>
      <c r="C427" s="150" t="s">
        <v>836</v>
      </c>
      <c r="D427" s="21" t="s">
        <v>763</v>
      </c>
      <c r="E427" s="22" t="s">
        <v>83</v>
      </c>
      <c r="F427" s="109">
        <v>96</v>
      </c>
      <c r="G427" s="111">
        <v>2</v>
      </c>
      <c r="H427" s="131"/>
      <c r="I427" s="112">
        <f t="shared" si="20"/>
        <v>0</v>
      </c>
      <c r="J427" s="114"/>
      <c r="K427" s="120"/>
    </row>
    <row r="428" spans="1:11" x14ac:dyDescent="0.25">
      <c r="A428" s="128"/>
      <c r="B428" s="132">
        <v>45517</v>
      </c>
      <c r="C428" s="148" t="s">
        <v>778</v>
      </c>
      <c r="D428" s="21" t="s">
        <v>142</v>
      </c>
      <c r="E428" s="22" t="s">
        <v>143</v>
      </c>
      <c r="F428" s="109">
        <v>96</v>
      </c>
      <c r="G428" s="111">
        <v>2</v>
      </c>
      <c r="H428" s="131"/>
      <c r="I428" s="112">
        <f t="shared" si="20"/>
        <v>0</v>
      </c>
      <c r="J428" s="114"/>
      <c r="K428" s="120"/>
    </row>
    <row r="429" spans="1:11" x14ac:dyDescent="0.25">
      <c r="A429" s="128"/>
      <c r="B429" s="252">
        <v>45518</v>
      </c>
      <c r="C429" s="109" t="s">
        <v>877</v>
      </c>
      <c r="D429" s="21" t="s">
        <v>20</v>
      </c>
      <c r="E429" s="23" t="s">
        <v>21</v>
      </c>
      <c r="F429" s="109">
        <f>27*24</f>
        <v>648</v>
      </c>
      <c r="G429" s="111">
        <v>27</v>
      </c>
      <c r="H429" s="131">
        <v>432000</v>
      </c>
      <c r="I429" s="112">
        <f t="shared" si="20"/>
        <v>11664000</v>
      </c>
      <c r="J429" s="368">
        <f>SUM(I429:I431)</f>
        <v>64264000</v>
      </c>
      <c r="K429" s="369"/>
    </row>
    <row r="430" spans="1:11" x14ac:dyDescent="0.25">
      <c r="A430" s="128"/>
      <c r="B430" s="252">
        <v>45518</v>
      </c>
      <c r="C430" s="109" t="s">
        <v>877</v>
      </c>
      <c r="D430" s="21" t="s">
        <v>40</v>
      </c>
      <c r="E430" s="23" t="s">
        <v>41</v>
      </c>
      <c r="F430" s="109">
        <f>114*48</f>
        <v>5472</v>
      </c>
      <c r="G430" s="111">
        <v>114</v>
      </c>
      <c r="H430" s="131">
        <v>320000</v>
      </c>
      <c r="I430" s="112">
        <f t="shared" si="20"/>
        <v>36480000</v>
      </c>
      <c r="J430" s="365"/>
      <c r="K430" s="365"/>
    </row>
    <row r="431" spans="1:11" x14ac:dyDescent="0.25">
      <c r="A431" s="128"/>
      <c r="B431" s="252">
        <v>45518</v>
      </c>
      <c r="C431" s="109" t="s">
        <v>877</v>
      </c>
      <c r="D431" s="21" t="s">
        <v>142</v>
      </c>
      <c r="E431" s="22" t="s">
        <v>143</v>
      </c>
      <c r="F431" s="109">
        <f>62*48</f>
        <v>2976</v>
      </c>
      <c r="G431" s="111">
        <v>62</v>
      </c>
      <c r="H431" s="131">
        <v>260000</v>
      </c>
      <c r="I431" s="112">
        <f t="shared" si="20"/>
        <v>16120000</v>
      </c>
      <c r="J431" s="366"/>
      <c r="K431" s="366"/>
    </row>
    <row r="432" spans="1:11" x14ac:dyDescent="0.25">
      <c r="A432" s="128"/>
      <c r="B432" s="252">
        <v>45518</v>
      </c>
      <c r="C432" s="109" t="s">
        <v>908</v>
      </c>
      <c r="D432" s="10" t="s">
        <v>185</v>
      </c>
      <c r="E432" s="9" t="s">
        <v>186</v>
      </c>
      <c r="F432" s="243">
        <v>12</v>
      </c>
      <c r="G432" s="111"/>
      <c r="H432" s="131">
        <f>42000</f>
        <v>42000</v>
      </c>
      <c r="I432" s="112">
        <f>H432*F432</f>
        <v>504000</v>
      </c>
      <c r="J432" s="113">
        <f>I432</f>
        <v>504000</v>
      </c>
      <c r="K432" s="120" t="s">
        <v>825</v>
      </c>
    </row>
    <row r="433" spans="1:11" x14ac:dyDescent="0.25">
      <c r="A433" s="128"/>
      <c r="B433" s="252">
        <v>45518</v>
      </c>
      <c r="C433" s="109" t="s">
        <v>831</v>
      </c>
      <c r="D433" s="29" t="s">
        <v>528</v>
      </c>
      <c r="E433" s="9" t="s">
        <v>529</v>
      </c>
      <c r="F433" s="109">
        <v>10</v>
      </c>
      <c r="G433" s="111"/>
      <c r="H433" s="131">
        <v>24010</v>
      </c>
      <c r="I433" s="112">
        <f t="shared" ref="I433:I435" si="21">H433*F433</f>
        <v>240100</v>
      </c>
      <c r="J433" s="368">
        <f>SUM(I433:I435)</f>
        <v>978100</v>
      </c>
      <c r="K433" s="369"/>
    </row>
    <row r="434" spans="1:11" x14ac:dyDescent="0.25">
      <c r="A434" s="128"/>
      <c r="B434" s="252">
        <v>45518</v>
      </c>
      <c r="C434" s="109" t="s">
        <v>831</v>
      </c>
      <c r="D434" s="21" t="s">
        <v>797</v>
      </c>
      <c r="E434" s="23" t="s">
        <v>795</v>
      </c>
      <c r="F434" s="109">
        <v>48</v>
      </c>
      <c r="G434" s="111"/>
      <c r="H434" s="131">
        <v>6875</v>
      </c>
      <c r="I434" s="112">
        <f t="shared" si="21"/>
        <v>330000</v>
      </c>
      <c r="J434" s="365"/>
      <c r="K434" s="365"/>
    </row>
    <row r="435" spans="1:11" x14ac:dyDescent="0.25">
      <c r="A435" s="128"/>
      <c r="B435" s="252">
        <v>45518</v>
      </c>
      <c r="C435" s="109" t="s">
        <v>831</v>
      </c>
      <c r="D435" s="10" t="s">
        <v>120</v>
      </c>
      <c r="E435" s="9" t="s">
        <v>121</v>
      </c>
      <c r="F435" s="109">
        <v>48</v>
      </c>
      <c r="G435" s="111"/>
      <c r="H435" s="131">
        <v>8500</v>
      </c>
      <c r="I435" s="112">
        <f t="shared" si="21"/>
        <v>408000</v>
      </c>
      <c r="J435" s="366"/>
      <c r="K435" s="366"/>
    </row>
    <row r="436" spans="1:11" x14ac:dyDescent="0.25">
      <c r="A436" s="128"/>
      <c r="B436" s="252">
        <v>45518</v>
      </c>
      <c r="C436" s="109" t="s">
        <v>854</v>
      </c>
      <c r="D436" s="21" t="s">
        <v>763</v>
      </c>
      <c r="E436" s="22" t="s">
        <v>83</v>
      </c>
      <c r="F436" s="109">
        <v>48</v>
      </c>
      <c r="G436" s="111">
        <v>1</v>
      </c>
      <c r="H436" s="131">
        <v>350000</v>
      </c>
      <c r="I436" s="112">
        <f t="shared" si="20"/>
        <v>350000</v>
      </c>
      <c r="J436" s="113">
        <f>I436</f>
        <v>350000</v>
      </c>
      <c r="K436" s="120" t="s">
        <v>825</v>
      </c>
    </row>
    <row r="437" spans="1:11" x14ac:dyDescent="0.25">
      <c r="A437" s="128"/>
      <c r="B437" s="252">
        <v>45518</v>
      </c>
      <c r="C437" s="109" t="s">
        <v>829</v>
      </c>
      <c r="D437" s="10" t="s">
        <v>106</v>
      </c>
      <c r="E437" s="9" t="s">
        <v>107</v>
      </c>
      <c r="F437" s="109">
        <f>8*48</f>
        <v>384</v>
      </c>
      <c r="G437" s="111">
        <v>8</v>
      </c>
      <c r="H437" s="131"/>
      <c r="I437" s="112">
        <f t="shared" si="20"/>
        <v>0</v>
      </c>
      <c r="J437" s="114"/>
      <c r="K437" s="120"/>
    </row>
    <row r="438" spans="1:11" x14ac:dyDescent="0.25">
      <c r="A438" s="128"/>
      <c r="B438" s="252">
        <v>45518</v>
      </c>
      <c r="C438" s="109" t="s">
        <v>847</v>
      </c>
      <c r="D438" s="29" t="s">
        <v>762</v>
      </c>
      <c r="E438" s="30" t="s">
        <v>85</v>
      </c>
      <c r="F438" s="109">
        <v>72</v>
      </c>
      <c r="G438" s="111">
        <v>6</v>
      </c>
      <c r="H438" s="131">
        <v>370000</v>
      </c>
      <c r="I438" s="112">
        <f t="shared" si="20"/>
        <v>2220000</v>
      </c>
      <c r="J438" s="113">
        <f>I438</f>
        <v>2220000</v>
      </c>
      <c r="K438" s="120"/>
    </row>
    <row r="439" spans="1:11" x14ac:dyDescent="0.25">
      <c r="A439" s="128"/>
      <c r="B439" s="252">
        <v>45518</v>
      </c>
      <c r="C439" s="109" t="s">
        <v>829</v>
      </c>
      <c r="D439" s="21" t="s">
        <v>126</v>
      </c>
      <c r="E439" s="22" t="s">
        <v>127</v>
      </c>
      <c r="F439" s="109">
        <v>1</v>
      </c>
      <c r="G439" s="111"/>
      <c r="H439" s="131"/>
      <c r="I439" s="112">
        <f t="shared" si="20"/>
        <v>0</v>
      </c>
      <c r="J439" s="114"/>
      <c r="K439" s="120" t="s">
        <v>916</v>
      </c>
    </row>
    <row r="440" spans="1:11" x14ac:dyDescent="0.25">
      <c r="A440" s="128"/>
      <c r="B440" s="252">
        <v>45518</v>
      </c>
      <c r="C440" s="109" t="s">
        <v>839</v>
      </c>
      <c r="D440" s="21" t="s">
        <v>142</v>
      </c>
      <c r="E440" s="22" t="s">
        <v>143</v>
      </c>
      <c r="F440" s="109">
        <v>480</v>
      </c>
      <c r="G440" s="111">
        <v>10</v>
      </c>
      <c r="H440" s="131">
        <v>250000</v>
      </c>
      <c r="I440" s="112">
        <f t="shared" si="20"/>
        <v>2500000</v>
      </c>
      <c r="J440" s="368">
        <f>I440+I441</f>
        <v>5000000</v>
      </c>
      <c r="K440" s="369" t="s">
        <v>825</v>
      </c>
    </row>
    <row r="441" spans="1:11" x14ac:dyDescent="0.25">
      <c r="A441" s="128"/>
      <c r="B441" s="252">
        <v>45518</v>
      </c>
      <c r="C441" s="109" t="s">
        <v>839</v>
      </c>
      <c r="D441" s="21" t="s">
        <v>126</v>
      </c>
      <c r="E441" s="22" t="s">
        <v>127</v>
      </c>
      <c r="F441" s="243">
        <v>480</v>
      </c>
      <c r="G441" s="111">
        <v>10</v>
      </c>
      <c r="H441" s="131">
        <v>250000</v>
      </c>
      <c r="I441" s="112">
        <f t="shared" si="20"/>
        <v>2500000</v>
      </c>
      <c r="J441" s="366"/>
      <c r="K441" s="366"/>
    </row>
    <row r="442" spans="1:11" x14ac:dyDescent="0.25">
      <c r="A442" s="242"/>
      <c r="B442" s="252">
        <v>45518</v>
      </c>
      <c r="C442" s="243" t="s">
        <v>826</v>
      </c>
      <c r="D442" s="10" t="s">
        <v>124</v>
      </c>
      <c r="E442" s="9" t="s">
        <v>125</v>
      </c>
      <c r="F442" s="243">
        <v>96</v>
      </c>
      <c r="G442" s="245">
        <v>2</v>
      </c>
      <c r="H442" s="246">
        <v>275000</v>
      </c>
      <c r="I442" s="247">
        <f t="shared" si="20"/>
        <v>550000</v>
      </c>
      <c r="J442" s="368">
        <f>SUM(I442:I445)</f>
        <v>3063000</v>
      </c>
      <c r="K442" s="369" t="s">
        <v>825</v>
      </c>
    </row>
    <row r="443" spans="1:11" x14ac:dyDescent="0.25">
      <c r="A443" s="242"/>
      <c r="B443" s="252">
        <v>45518</v>
      </c>
      <c r="C443" s="243" t="s">
        <v>826</v>
      </c>
      <c r="D443" s="21" t="s">
        <v>765</v>
      </c>
      <c r="E443" s="22" t="s">
        <v>75</v>
      </c>
      <c r="F443" s="243">
        <v>48</v>
      </c>
      <c r="G443" s="245">
        <v>1</v>
      </c>
      <c r="H443" s="246">
        <v>345000</v>
      </c>
      <c r="I443" s="247">
        <f t="shared" si="20"/>
        <v>345000</v>
      </c>
      <c r="J443" s="365"/>
      <c r="K443" s="365"/>
    </row>
    <row r="444" spans="1:11" x14ac:dyDescent="0.25">
      <c r="A444" s="242"/>
      <c r="B444" s="252">
        <v>45518</v>
      </c>
      <c r="C444" s="243" t="s">
        <v>826</v>
      </c>
      <c r="D444" s="21" t="s">
        <v>763</v>
      </c>
      <c r="E444" s="22" t="s">
        <v>83</v>
      </c>
      <c r="F444" s="243">
        <v>96</v>
      </c>
      <c r="G444" s="245">
        <v>2</v>
      </c>
      <c r="H444" s="246">
        <v>345000</v>
      </c>
      <c r="I444" s="247">
        <f t="shared" si="20"/>
        <v>690000</v>
      </c>
      <c r="J444" s="365"/>
      <c r="K444" s="365"/>
    </row>
    <row r="445" spans="1:11" x14ac:dyDescent="0.25">
      <c r="A445" s="242"/>
      <c r="B445" s="252">
        <v>45518</v>
      </c>
      <c r="C445" s="243" t="s">
        <v>826</v>
      </c>
      <c r="D445" s="10" t="s">
        <v>22</v>
      </c>
      <c r="E445" s="7" t="s">
        <v>23</v>
      </c>
      <c r="F445" s="243">
        <v>24</v>
      </c>
      <c r="G445" s="245">
        <v>2</v>
      </c>
      <c r="H445" s="246">
        <v>739000</v>
      </c>
      <c r="I445" s="247">
        <f t="shared" si="20"/>
        <v>1478000</v>
      </c>
      <c r="J445" s="366"/>
      <c r="K445" s="366"/>
    </row>
    <row r="446" spans="1:11" x14ac:dyDescent="0.25">
      <c r="A446" s="242"/>
      <c r="B446" s="252">
        <v>45518</v>
      </c>
      <c r="C446" s="243" t="s">
        <v>846</v>
      </c>
      <c r="D446" s="21" t="s">
        <v>126</v>
      </c>
      <c r="E446" s="22" t="s">
        <v>127</v>
      </c>
      <c r="F446" s="243">
        <v>24</v>
      </c>
      <c r="G446" s="245">
        <v>0.5</v>
      </c>
      <c r="H446" s="246">
        <v>268000</v>
      </c>
      <c r="I446" s="247">
        <f t="shared" si="20"/>
        <v>134000</v>
      </c>
      <c r="J446" s="368">
        <f>SUM(I446:I450)</f>
        <v>785600</v>
      </c>
      <c r="K446" s="369"/>
    </row>
    <row r="447" spans="1:11" x14ac:dyDescent="0.25">
      <c r="A447" s="242"/>
      <c r="B447" s="252">
        <v>45518</v>
      </c>
      <c r="C447" s="243" t="s">
        <v>846</v>
      </c>
      <c r="D447" s="10" t="s">
        <v>140</v>
      </c>
      <c r="E447" s="9" t="s">
        <v>141</v>
      </c>
      <c r="F447" s="243">
        <v>24</v>
      </c>
      <c r="G447" s="245">
        <v>0.5</v>
      </c>
      <c r="H447" s="246">
        <v>315000</v>
      </c>
      <c r="I447" s="247">
        <f t="shared" si="20"/>
        <v>157500</v>
      </c>
      <c r="J447" s="365"/>
      <c r="K447" s="365"/>
    </row>
    <row r="448" spans="1:11" x14ac:dyDescent="0.25">
      <c r="A448" s="242"/>
      <c r="B448" s="252">
        <v>45518</v>
      </c>
      <c r="C448" s="243" t="s">
        <v>846</v>
      </c>
      <c r="D448" s="10" t="s">
        <v>158</v>
      </c>
      <c r="E448" s="9" t="s">
        <v>159</v>
      </c>
      <c r="F448" s="243">
        <v>50</v>
      </c>
      <c r="G448" s="245">
        <v>1</v>
      </c>
      <c r="H448" s="246">
        <v>215000</v>
      </c>
      <c r="I448" s="247">
        <f t="shared" si="20"/>
        <v>215000</v>
      </c>
      <c r="J448" s="365"/>
      <c r="K448" s="365"/>
    </row>
    <row r="449" spans="1:11" x14ac:dyDescent="0.25">
      <c r="A449" s="242"/>
      <c r="B449" s="252">
        <v>45518</v>
      </c>
      <c r="C449" s="243" t="s">
        <v>846</v>
      </c>
      <c r="D449" s="21" t="s">
        <v>764</v>
      </c>
      <c r="E449" s="23" t="s">
        <v>69</v>
      </c>
      <c r="F449" s="243">
        <v>24</v>
      </c>
      <c r="G449" s="245">
        <v>0.5</v>
      </c>
      <c r="H449" s="246">
        <v>343200</v>
      </c>
      <c r="I449" s="247">
        <f t="shared" si="20"/>
        <v>171600</v>
      </c>
      <c r="J449" s="365"/>
      <c r="K449" s="365"/>
    </row>
    <row r="450" spans="1:11" x14ac:dyDescent="0.25">
      <c r="A450" s="242"/>
      <c r="B450" s="252">
        <v>45518</v>
      </c>
      <c r="C450" s="243" t="s">
        <v>846</v>
      </c>
      <c r="D450" s="21" t="s">
        <v>249</v>
      </c>
      <c r="E450" s="9" t="s">
        <v>250</v>
      </c>
      <c r="F450" s="243">
        <v>24</v>
      </c>
      <c r="G450" s="245">
        <v>0.5</v>
      </c>
      <c r="H450" s="246">
        <v>215000</v>
      </c>
      <c r="I450" s="247">
        <f t="shared" si="20"/>
        <v>107500</v>
      </c>
      <c r="J450" s="366"/>
      <c r="K450" s="366"/>
    </row>
    <row r="451" spans="1:11" x14ac:dyDescent="0.25">
      <c r="A451" s="242"/>
      <c r="B451" s="252">
        <v>45518</v>
      </c>
      <c r="C451" s="243" t="s">
        <v>918</v>
      </c>
      <c r="D451" s="10" t="s">
        <v>132</v>
      </c>
      <c r="E451" s="9" t="s">
        <v>133</v>
      </c>
      <c r="F451" s="243">
        <v>48</v>
      </c>
      <c r="G451" s="245">
        <v>1</v>
      </c>
      <c r="H451" s="246"/>
      <c r="I451" s="247"/>
      <c r="J451" s="278"/>
      <c r="K451" s="395" t="s">
        <v>919</v>
      </c>
    </row>
    <row r="452" spans="1:11" ht="15.75" x14ac:dyDescent="0.25">
      <c r="A452" s="242"/>
      <c r="B452" s="252">
        <v>45518</v>
      </c>
      <c r="C452" s="243" t="s">
        <v>918</v>
      </c>
      <c r="D452" s="15" t="s">
        <v>228</v>
      </c>
      <c r="E452" s="31" t="s">
        <v>802</v>
      </c>
      <c r="F452" s="243">
        <v>12</v>
      </c>
      <c r="G452" s="245">
        <v>1</v>
      </c>
      <c r="H452" s="246"/>
      <c r="I452" s="247"/>
      <c r="J452" s="278"/>
      <c r="K452" s="366"/>
    </row>
    <row r="453" spans="1:11" x14ac:dyDescent="0.25">
      <c r="A453" s="242"/>
      <c r="B453" s="252">
        <v>45518</v>
      </c>
      <c r="C453" s="243" t="s">
        <v>877</v>
      </c>
      <c r="D453" s="72" t="s">
        <v>879</v>
      </c>
      <c r="E453" s="23" t="s">
        <v>878</v>
      </c>
      <c r="F453" s="109">
        <v>12</v>
      </c>
      <c r="G453" s="111">
        <v>1</v>
      </c>
      <c r="H453" s="131">
        <v>530000</v>
      </c>
      <c r="I453" s="112">
        <f t="shared" ref="I453:I454" si="22">G453*H453</f>
        <v>530000</v>
      </c>
      <c r="J453" s="371">
        <f>I453+I454</f>
        <v>895000</v>
      </c>
      <c r="K453" s="369"/>
    </row>
    <row r="454" spans="1:11" x14ac:dyDescent="0.25">
      <c r="A454" s="242"/>
      <c r="B454" s="252">
        <v>45518</v>
      </c>
      <c r="C454" s="243" t="s">
        <v>877</v>
      </c>
      <c r="D454" s="21" t="s">
        <v>768</v>
      </c>
      <c r="E454" s="23" t="s">
        <v>67</v>
      </c>
      <c r="F454" s="109">
        <v>12</v>
      </c>
      <c r="G454" s="111">
        <v>1</v>
      </c>
      <c r="H454" s="131">
        <v>365000</v>
      </c>
      <c r="I454" s="112">
        <f t="shared" si="22"/>
        <v>365000</v>
      </c>
      <c r="J454" s="366"/>
      <c r="K454" s="366"/>
    </row>
    <row r="455" spans="1:11" x14ac:dyDescent="0.25">
      <c r="A455" s="242"/>
      <c r="B455" s="252">
        <v>45518</v>
      </c>
      <c r="C455" s="243" t="s">
        <v>870</v>
      </c>
      <c r="D455" s="29" t="s">
        <v>762</v>
      </c>
      <c r="E455" s="30" t="s">
        <v>85</v>
      </c>
      <c r="F455" s="243">
        <v>5</v>
      </c>
      <c r="G455" s="245"/>
      <c r="H455" s="246">
        <v>380000</v>
      </c>
      <c r="I455" s="247">
        <f>H455/12*F455</f>
        <v>158333.33333333334</v>
      </c>
      <c r="J455" s="279">
        <f>I455</f>
        <v>158333.33333333334</v>
      </c>
      <c r="K455" s="278"/>
    </row>
    <row r="456" spans="1:11" x14ac:dyDescent="0.25">
      <c r="A456" s="242"/>
      <c r="B456" s="252">
        <v>45518</v>
      </c>
      <c r="C456" s="109" t="s">
        <v>827</v>
      </c>
      <c r="D456" s="21" t="s">
        <v>142</v>
      </c>
      <c r="E456" s="22" t="s">
        <v>143</v>
      </c>
      <c r="F456" s="109">
        <f>40*48</f>
        <v>1920</v>
      </c>
      <c r="G456" s="111">
        <v>40</v>
      </c>
      <c r="H456" s="131">
        <v>260000</v>
      </c>
      <c r="I456" s="112">
        <f t="shared" ref="I456:I458" si="23">G456*H456</f>
        <v>10400000</v>
      </c>
      <c r="J456" s="368">
        <f>I456+I457</f>
        <v>22800000</v>
      </c>
      <c r="K456" s="369" t="s">
        <v>925</v>
      </c>
    </row>
    <row r="457" spans="1:11" x14ac:dyDescent="0.25">
      <c r="A457" s="242"/>
      <c r="B457" s="252">
        <v>45518</v>
      </c>
      <c r="C457" s="109" t="s">
        <v>827</v>
      </c>
      <c r="D457" s="10" t="s">
        <v>132</v>
      </c>
      <c r="E457" s="9" t="s">
        <v>133</v>
      </c>
      <c r="F457" s="109">
        <f>40*48</f>
        <v>1920</v>
      </c>
      <c r="G457" s="111">
        <v>40</v>
      </c>
      <c r="H457" s="131">
        <v>310000</v>
      </c>
      <c r="I457" s="112">
        <f t="shared" si="23"/>
        <v>12400000</v>
      </c>
      <c r="J457" s="366"/>
      <c r="K457" s="366"/>
    </row>
    <row r="458" spans="1:11" x14ac:dyDescent="0.25">
      <c r="A458" s="242"/>
      <c r="B458" s="252">
        <v>45518</v>
      </c>
      <c r="C458" s="243" t="s">
        <v>868</v>
      </c>
      <c r="D458" s="10" t="s">
        <v>16</v>
      </c>
      <c r="E458" s="7" t="s">
        <v>17</v>
      </c>
      <c r="F458" s="243">
        <v>12</v>
      </c>
      <c r="G458" s="245">
        <v>1</v>
      </c>
      <c r="H458" s="246">
        <v>620000</v>
      </c>
      <c r="I458" s="247">
        <f t="shared" si="23"/>
        <v>620000</v>
      </c>
      <c r="J458" s="284">
        <f>I458</f>
        <v>620000</v>
      </c>
      <c r="K458" s="283" t="s">
        <v>825</v>
      </c>
    </row>
    <row r="459" spans="1:11" x14ac:dyDescent="0.25">
      <c r="A459" s="128"/>
      <c r="B459" s="252">
        <v>45518</v>
      </c>
      <c r="C459" s="148" t="s">
        <v>834</v>
      </c>
      <c r="D459" s="10" t="s">
        <v>86</v>
      </c>
      <c r="E459" s="9" t="s">
        <v>87</v>
      </c>
      <c r="F459" s="109">
        <v>24</v>
      </c>
      <c r="G459" s="111">
        <v>2</v>
      </c>
      <c r="H459" s="131"/>
      <c r="I459" s="247">
        <f t="shared" si="20"/>
        <v>0</v>
      </c>
      <c r="J459" s="114"/>
      <c r="K459" s="120"/>
    </row>
    <row r="460" spans="1:11" x14ac:dyDescent="0.25">
      <c r="A460" s="128"/>
      <c r="B460" s="252">
        <v>45518</v>
      </c>
      <c r="C460" s="148" t="s">
        <v>777</v>
      </c>
      <c r="D460" s="263" t="s">
        <v>762</v>
      </c>
      <c r="E460" s="275" t="s">
        <v>85</v>
      </c>
      <c r="F460" s="109">
        <v>10</v>
      </c>
      <c r="G460" s="111"/>
      <c r="H460" s="131"/>
      <c r="I460" s="247">
        <f t="shared" si="20"/>
        <v>0</v>
      </c>
      <c r="J460" s="113"/>
      <c r="K460" s="120"/>
    </row>
    <row r="461" spans="1:11" x14ac:dyDescent="0.25">
      <c r="A461" s="128"/>
      <c r="B461" s="252">
        <v>45518</v>
      </c>
      <c r="C461" s="148" t="s">
        <v>777</v>
      </c>
      <c r="D461" s="261" t="s">
        <v>126</v>
      </c>
      <c r="E461" s="251" t="s">
        <v>127</v>
      </c>
      <c r="F461" s="109">
        <v>6</v>
      </c>
      <c r="G461" s="111"/>
      <c r="H461" s="131"/>
      <c r="I461" s="112">
        <f t="shared" si="20"/>
        <v>0</v>
      </c>
      <c r="J461" s="114"/>
      <c r="K461" s="120"/>
    </row>
    <row r="462" spans="1:11" x14ac:dyDescent="0.25">
      <c r="A462" s="128"/>
      <c r="B462" s="252">
        <v>45518</v>
      </c>
      <c r="C462" s="148" t="s">
        <v>779</v>
      </c>
      <c r="D462" s="261" t="s">
        <v>126</v>
      </c>
      <c r="E462" s="251" t="s">
        <v>127</v>
      </c>
      <c r="F462" s="109">
        <v>12</v>
      </c>
      <c r="G462" s="111"/>
      <c r="H462" s="131"/>
      <c r="I462" s="112">
        <f t="shared" si="20"/>
        <v>0</v>
      </c>
      <c r="J462" s="114"/>
      <c r="K462" s="120"/>
    </row>
    <row r="463" spans="1:11" x14ac:dyDescent="0.25">
      <c r="A463" s="128"/>
      <c r="B463" s="252">
        <v>45518</v>
      </c>
      <c r="C463" s="148" t="s">
        <v>849</v>
      </c>
      <c r="D463" s="21" t="s">
        <v>142</v>
      </c>
      <c r="E463" s="22" t="s">
        <v>143</v>
      </c>
      <c r="F463" s="109">
        <v>96</v>
      </c>
      <c r="G463" s="111">
        <v>2</v>
      </c>
      <c r="H463" s="131"/>
      <c r="I463" s="112">
        <f t="shared" si="20"/>
        <v>0</v>
      </c>
      <c r="J463" s="114"/>
      <c r="K463" s="120"/>
    </row>
    <row r="464" spans="1:11" x14ac:dyDescent="0.25">
      <c r="A464" s="128"/>
      <c r="B464" s="252">
        <v>45518</v>
      </c>
      <c r="C464" s="148" t="s">
        <v>835</v>
      </c>
      <c r="D464" s="259" t="s">
        <v>124</v>
      </c>
      <c r="E464" s="271" t="s">
        <v>125</v>
      </c>
      <c r="F464" s="109">
        <v>150</v>
      </c>
      <c r="G464" s="111"/>
      <c r="H464" s="131"/>
      <c r="I464" s="112">
        <f t="shared" si="20"/>
        <v>0</v>
      </c>
      <c r="J464" s="114"/>
      <c r="K464" s="120"/>
    </row>
    <row r="465" spans="1:11" x14ac:dyDescent="0.25">
      <c r="A465" s="128"/>
      <c r="B465" s="252">
        <v>45518</v>
      </c>
      <c r="C465" s="148" t="s">
        <v>835</v>
      </c>
      <c r="D465" s="263" t="s">
        <v>762</v>
      </c>
      <c r="E465" s="275" t="s">
        <v>85</v>
      </c>
      <c r="F465" s="109">
        <v>60</v>
      </c>
      <c r="G465" s="111">
        <v>5</v>
      </c>
      <c r="H465" s="131"/>
      <c r="I465" s="112">
        <f t="shared" si="20"/>
        <v>0</v>
      </c>
      <c r="J465" s="114"/>
      <c r="K465" s="120"/>
    </row>
    <row r="466" spans="1:11" x14ac:dyDescent="0.25">
      <c r="A466" s="128"/>
      <c r="B466" s="252">
        <v>45518</v>
      </c>
      <c r="C466" s="148" t="s">
        <v>835</v>
      </c>
      <c r="D466" s="10" t="s">
        <v>16</v>
      </c>
      <c r="E466" s="7" t="s">
        <v>17</v>
      </c>
      <c r="F466" s="109">
        <v>48</v>
      </c>
      <c r="G466" s="111">
        <v>4</v>
      </c>
      <c r="H466" s="131"/>
      <c r="I466" s="112">
        <f t="shared" si="20"/>
        <v>0</v>
      </c>
      <c r="J466" s="113"/>
      <c r="K466" s="120"/>
    </row>
    <row r="467" spans="1:11" x14ac:dyDescent="0.25">
      <c r="A467" s="128"/>
      <c r="B467" s="252">
        <v>45518</v>
      </c>
      <c r="C467" s="148" t="s">
        <v>844</v>
      </c>
      <c r="D467" s="21" t="s">
        <v>142</v>
      </c>
      <c r="E467" s="22" t="s">
        <v>143</v>
      </c>
      <c r="F467" s="243">
        <v>50</v>
      </c>
      <c r="G467" s="111"/>
      <c r="H467" s="131"/>
      <c r="I467" s="112">
        <f t="shared" si="20"/>
        <v>0</v>
      </c>
      <c r="J467" s="114"/>
      <c r="K467" s="120"/>
    </row>
    <row r="468" spans="1:11" x14ac:dyDescent="0.25">
      <c r="A468" s="128"/>
      <c r="B468" s="252">
        <v>45518</v>
      </c>
      <c r="C468" s="149" t="s">
        <v>856</v>
      </c>
      <c r="D468" s="263" t="s">
        <v>762</v>
      </c>
      <c r="E468" s="275" t="s">
        <v>85</v>
      </c>
      <c r="F468" s="109">
        <v>24</v>
      </c>
      <c r="G468" s="111">
        <v>2</v>
      </c>
      <c r="H468" s="131"/>
      <c r="I468" s="112">
        <f t="shared" si="20"/>
        <v>0</v>
      </c>
      <c r="J468" s="114"/>
      <c r="K468" s="120"/>
    </row>
    <row r="469" spans="1:11" x14ac:dyDescent="0.25">
      <c r="A469" s="128"/>
      <c r="B469" s="252">
        <v>45518</v>
      </c>
      <c r="C469" s="149" t="s">
        <v>775</v>
      </c>
      <c r="D469" s="263" t="s">
        <v>762</v>
      </c>
      <c r="E469" s="275" t="s">
        <v>85</v>
      </c>
      <c r="F469" s="109">
        <v>24</v>
      </c>
      <c r="G469" s="111">
        <v>2</v>
      </c>
      <c r="H469" s="131"/>
      <c r="I469" s="112">
        <f t="shared" si="20"/>
        <v>0</v>
      </c>
      <c r="J469" s="114"/>
      <c r="K469" s="120"/>
    </row>
    <row r="470" spans="1:11" x14ac:dyDescent="0.25">
      <c r="A470" s="128"/>
      <c r="B470" s="252">
        <v>45518</v>
      </c>
      <c r="C470" s="149" t="s">
        <v>775</v>
      </c>
      <c r="D470" s="10" t="s">
        <v>56</v>
      </c>
      <c r="E470" s="7" t="s">
        <v>57</v>
      </c>
      <c r="F470" s="109">
        <v>12</v>
      </c>
      <c r="G470" s="111">
        <v>1</v>
      </c>
      <c r="H470" s="131"/>
      <c r="I470" s="112">
        <f t="shared" si="20"/>
        <v>0</v>
      </c>
      <c r="J470" s="113"/>
      <c r="K470" s="120"/>
    </row>
    <row r="471" spans="1:11" x14ac:dyDescent="0.25">
      <c r="A471" s="128"/>
      <c r="B471" s="252">
        <v>45518</v>
      </c>
      <c r="C471" s="150" t="s">
        <v>836</v>
      </c>
      <c r="D471" s="10" t="s">
        <v>86</v>
      </c>
      <c r="E471" s="9" t="s">
        <v>87</v>
      </c>
      <c r="F471" s="109">
        <v>55</v>
      </c>
      <c r="G471" s="111"/>
      <c r="H471" s="131"/>
      <c r="I471" s="112">
        <f t="shared" si="20"/>
        <v>0</v>
      </c>
      <c r="J471" s="114"/>
      <c r="K471" s="120"/>
    </row>
    <row r="472" spans="1:11" x14ac:dyDescent="0.25">
      <c r="A472" s="128"/>
      <c r="B472" s="252">
        <v>45518</v>
      </c>
      <c r="C472" s="150" t="s">
        <v>836</v>
      </c>
      <c r="D472" s="21" t="s">
        <v>764</v>
      </c>
      <c r="E472" s="23" t="s">
        <v>69</v>
      </c>
      <c r="F472" s="109">
        <v>60</v>
      </c>
      <c r="G472" s="111"/>
      <c r="H472" s="131"/>
      <c r="I472" s="112">
        <f t="shared" si="20"/>
        <v>0</v>
      </c>
      <c r="J472" s="113"/>
      <c r="K472" s="120"/>
    </row>
    <row r="473" spans="1:11" x14ac:dyDescent="0.25">
      <c r="A473" s="128"/>
      <c r="B473" s="252">
        <v>45518</v>
      </c>
      <c r="C473" s="150" t="s">
        <v>836</v>
      </c>
      <c r="D473" s="10" t="s">
        <v>172</v>
      </c>
      <c r="E473" s="9" t="s">
        <v>173</v>
      </c>
      <c r="F473" s="109">
        <v>4</v>
      </c>
      <c r="G473" s="111"/>
      <c r="H473" s="131"/>
      <c r="I473" s="112">
        <f t="shared" si="20"/>
        <v>0</v>
      </c>
      <c r="J473" s="114"/>
      <c r="K473" s="120"/>
    </row>
    <row r="474" spans="1:11" x14ac:dyDescent="0.25">
      <c r="A474" s="128"/>
      <c r="B474" s="252">
        <v>45518</v>
      </c>
      <c r="C474" s="150" t="s">
        <v>836</v>
      </c>
      <c r="D474" s="261" t="s">
        <v>126</v>
      </c>
      <c r="E474" s="251" t="s">
        <v>127</v>
      </c>
      <c r="F474" s="109">
        <v>96</v>
      </c>
      <c r="G474" s="111">
        <v>2</v>
      </c>
      <c r="H474" s="131"/>
      <c r="I474" s="112">
        <f t="shared" si="20"/>
        <v>0</v>
      </c>
      <c r="J474" s="114"/>
      <c r="K474" s="120"/>
    </row>
    <row r="475" spans="1:11" x14ac:dyDescent="0.25">
      <c r="A475" s="128"/>
      <c r="B475" s="252">
        <v>45518</v>
      </c>
      <c r="C475" s="150" t="s">
        <v>836</v>
      </c>
      <c r="D475" s="10" t="s">
        <v>56</v>
      </c>
      <c r="E475" s="7" t="s">
        <v>57</v>
      </c>
      <c r="F475" s="109">
        <v>36</v>
      </c>
      <c r="G475" s="111">
        <v>3</v>
      </c>
      <c r="H475" s="131"/>
      <c r="I475" s="112">
        <f t="shared" si="20"/>
        <v>0</v>
      </c>
      <c r="J475" s="121"/>
      <c r="K475" s="120"/>
    </row>
    <row r="476" spans="1:11" x14ac:dyDescent="0.25">
      <c r="A476" s="242"/>
      <c r="B476" s="252">
        <v>45518</v>
      </c>
      <c r="C476" s="150" t="s">
        <v>836</v>
      </c>
      <c r="D476" s="259" t="s">
        <v>124</v>
      </c>
      <c r="E476" s="271" t="s">
        <v>125</v>
      </c>
      <c r="F476" s="243">
        <v>20</v>
      </c>
      <c r="G476" s="245"/>
      <c r="H476" s="246"/>
      <c r="I476" s="247"/>
      <c r="J476" s="280"/>
      <c r="K476" s="281"/>
    </row>
    <row r="477" spans="1:11" x14ac:dyDescent="0.25">
      <c r="A477" s="128"/>
      <c r="B477" s="252">
        <v>45518</v>
      </c>
      <c r="C477" s="148" t="s">
        <v>780</v>
      </c>
      <c r="D477" s="10" t="s">
        <v>22</v>
      </c>
      <c r="E477" s="7" t="s">
        <v>23</v>
      </c>
      <c r="F477" s="243">
        <v>24</v>
      </c>
      <c r="G477" s="111">
        <v>2</v>
      </c>
      <c r="H477" s="131"/>
      <c r="I477" s="112">
        <f t="shared" si="20"/>
        <v>0</v>
      </c>
      <c r="J477" s="114"/>
      <c r="K477" s="120"/>
    </row>
    <row r="478" spans="1:11" x14ac:dyDescent="0.25">
      <c r="A478" s="128"/>
      <c r="B478" s="252">
        <v>45518</v>
      </c>
      <c r="C478" s="148" t="s">
        <v>780</v>
      </c>
      <c r="D478" s="263" t="s">
        <v>762</v>
      </c>
      <c r="E478" s="275" t="s">
        <v>85</v>
      </c>
      <c r="F478" s="109">
        <f>8*12</f>
        <v>96</v>
      </c>
      <c r="G478" s="111">
        <v>8</v>
      </c>
      <c r="H478" s="131"/>
      <c r="I478" s="112">
        <f t="shared" si="20"/>
        <v>0</v>
      </c>
      <c r="J478" s="114"/>
      <c r="K478" s="120"/>
    </row>
    <row r="479" spans="1:11" ht="15.75" x14ac:dyDescent="0.25">
      <c r="A479" s="128"/>
      <c r="B479" s="132">
        <v>45519</v>
      </c>
      <c r="C479" s="109" t="s">
        <v>826</v>
      </c>
      <c r="D479" s="15" t="s">
        <v>788</v>
      </c>
      <c r="E479" s="34" t="s">
        <v>789</v>
      </c>
      <c r="F479" s="243">
        <v>48</v>
      </c>
      <c r="G479" s="111">
        <v>1</v>
      </c>
      <c r="H479" s="131">
        <v>355000</v>
      </c>
      <c r="I479" s="112">
        <f t="shared" si="20"/>
        <v>355000</v>
      </c>
      <c r="J479" s="113">
        <f>I479</f>
        <v>355000</v>
      </c>
      <c r="K479" s="120" t="s">
        <v>825</v>
      </c>
    </row>
    <row r="480" spans="1:11" ht="15.75" x14ac:dyDescent="0.25">
      <c r="A480" s="128"/>
      <c r="B480" s="132">
        <v>45519</v>
      </c>
      <c r="C480" s="109" t="s">
        <v>869</v>
      </c>
      <c r="D480" s="15" t="s">
        <v>194</v>
      </c>
      <c r="E480" s="16" t="s">
        <v>195</v>
      </c>
      <c r="F480" s="109">
        <v>96</v>
      </c>
      <c r="G480" s="111">
        <v>2</v>
      </c>
      <c r="H480" s="131">
        <v>270000</v>
      </c>
      <c r="I480" s="112">
        <f t="shared" si="20"/>
        <v>540000</v>
      </c>
      <c r="J480" s="364">
        <f>I480+I481</f>
        <v>850000</v>
      </c>
      <c r="K480" s="367" t="s">
        <v>825</v>
      </c>
    </row>
    <row r="481" spans="1:11" ht="15.75" x14ac:dyDescent="0.25">
      <c r="A481" s="128"/>
      <c r="B481" s="132">
        <v>45519</v>
      </c>
      <c r="C481" s="109" t="s">
        <v>869</v>
      </c>
      <c r="D481" s="15" t="s">
        <v>198</v>
      </c>
      <c r="E481" s="16" t="s">
        <v>199</v>
      </c>
      <c r="F481" s="109">
        <v>48</v>
      </c>
      <c r="G481" s="111">
        <v>1</v>
      </c>
      <c r="H481" s="131">
        <v>310000</v>
      </c>
      <c r="I481" s="112">
        <f t="shared" si="20"/>
        <v>310000</v>
      </c>
      <c r="J481" s="366"/>
      <c r="K481" s="366"/>
    </row>
    <row r="482" spans="1:11" x14ac:dyDescent="0.25">
      <c r="A482" s="128"/>
      <c r="B482" s="132">
        <v>45519</v>
      </c>
      <c r="C482" s="109" t="s">
        <v>896</v>
      </c>
      <c r="D482" s="10" t="s">
        <v>124</v>
      </c>
      <c r="E482" s="9" t="s">
        <v>125</v>
      </c>
      <c r="F482" s="109">
        <v>96</v>
      </c>
      <c r="G482" s="111">
        <v>2</v>
      </c>
      <c r="H482" s="131">
        <v>275786</v>
      </c>
      <c r="I482" s="112">
        <f t="shared" si="20"/>
        <v>551572</v>
      </c>
      <c r="J482" s="364">
        <f>SUM(I482:I484)</f>
        <v>2926319</v>
      </c>
      <c r="K482" s="367"/>
    </row>
    <row r="483" spans="1:11" x14ac:dyDescent="0.25">
      <c r="A483" s="128"/>
      <c r="B483" s="132">
        <v>45519</v>
      </c>
      <c r="C483" s="109" t="s">
        <v>896</v>
      </c>
      <c r="D483" s="10" t="s">
        <v>132</v>
      </c>
      <c r="E483" s="9" t="s">
        <v>133</v>
      </c>
      <c r="F483" s="109">
        <v>144</v>
      </c>
      <c r="G483" s="111">
        <v>3</v>
      </c>
      <c r="H483" s="131">
        <v>331939</v>
      </c>
      <c r="I483" s="112">
        <f t="shared" si="20"/>
        <v>995817</v>
      </c>
      <c r="J483" s="365"/>
      <c r="K483" s="365"/>
    </row>
    <row r="484" spans="1:11" x14ac:dyDescent="0.25">
      <c r="A484" s="128"/>
      <c r="B484" s="132">
        <v>45519</v>
      </c>
      <c r="C484" s="109" t="s">
        <v>896</v>
      </c>
      <c r="D484" s="21" t="s">
        <v>142</v>
      </c>
      <c r="E484" s="22" t="s">
        <v>143</v>
      </c>
      <c r="F484" s="109">
        <v>240</v>
      </c>
      <c r="G484" s="111">
        <v>5</v>
      </c>
      <c r="H484" s="131">
        <v>275786</v>
      </c>
      <c r="I484" s="112">
        <f t="shared" si="20"/>
        <v>1378930</v>
      </c>
      <c r="J484" s="366"/>
      <c r="K484" s="366"/>
    </row>
    <row r="485" spans="1:11" x14ac:dyDescent="0.25">
      <c r="A485" s="128"/>
      <c r="B485" s="132">
        <v>45519</v>
      </c>
      <c r="C485" s="109" t="s">
        <v>918</v>
      </c>
      <c r="D485" s="10" t="s">
        <v>132</v>
      </c>
      <c r="E485" s="9" t="s">
        <v>133</v>
      </c>
      <c r="F485" s="109">
        <v>96</v>
      </c>
      <c r="G485" s="111">
        <v>2</v>
      </c>
      <c r="H485" s="131"/>
      <c r="I485" s="112">
        <f t="shared" si="20"/>
        <v>0</v>
      </c>
      <c r="J485" s="114"/>
      <c r="K485" s="120" t="s">
        <v>920</v>
      </c>
    </row>
    <row r="486" spans="1:11" x14ac:dyDescent="0.25">
      <c r="A486" s="128"/>
      <c r="B486" s="132">
        <v>45519</v>
      </c>
      <c r="C486" s="109" t="s">
        <v>921</v>
      </c>
      <c r="D486" s="21" t="s">
        <v>764</v>
      </c>
      <c r="E486" s="23" t="s">
        <v>69</v>
      </c>
      <c r="F486" s="243">
        <v>173</v>
      </c>
      <c r="G486" s="111"/>
      <c r="H486" s="131">
        <v>352300</v>
      </c>
      <c r="I486" s="112">
        <f>H486/48*F486</f>
        <v>1269747.9166666665</v>
      </c>
      <c r="J486" s="364">
        <f>I486+I487</f>
        <v>1954347.9166666665</v>
      </c>
      <c r="K486" s="367"/>
    </row>
    <row r="487" spans="1:11" x14ac:dyDescent="0.25">
      <c r="A487" s="128"/>
      <c r="B487" s="132">
        <v>45519</v>
      </c>
      <c r="C487" s="109" t="s">
        <v>921</v>
      </c>
      <c r="D487" s="21" t="s">
        <v>763</v>
      </c>
      <c r="E487" s="22" t="s">
        <v>83</v>
      </c>
      <c r="F487" s="109">
        <v>96</v>
      </c>
      <c r="G487" s="111">
        <v>2</v>
      </c>
      <c r="H487" s="131">
        <v>342300</v>
      </c>
      <c r="I487" s="112">
        <f t="shared" si="20"/>
        <v>684600</v>
      </c>
      <c r="J487" s="366"/>
      <c r="K487" s="366"/>
    </row>
    <row r="488" spans="1:11" x14ac:dyDescent="0.25">
      <c r="A488" s="128"/>
      <c r="B488" s="132">
        <v>45519</v>
      </c>
      <c r="C488" s="109" t="s">
        <v>877</v>
      </c>
      <c r="D488" s="21" t="s">
        <v>20</v>
      </c>
      <c r="E488" s="23" t="s">
        <v>21</v>
      </c>
      <c r="F488" s="109">
        <f>30*24</f>
        <v>720</v>
      </c>
      <c r="G488" s="111">
        <v>30</v>
      </c>
      <c r="H488" s="131">
        <v>432000</v>
      </c>
      <c r="I488" s="112">
        <f t="shared" ref="I488:I490" si="24">G488*H488</f>
        <v>12960000</v>
      </c>
      <c r="J488" s="368">
        <f>SUM(I488:I490)</f>
        <v>48420000</v>
      </c>
      <c r="K488" s="369" t="s">
        <v>923</v>
      </c>
    </row>
    <row r="489" spans="1:11" x14ac:dyDescent="0.25">
      <c r="A489" s="128"/>
      <c r="B489" s="132">
        <v>45519</v>
      </c>
      <c r="C489" s="109" t="s">
        <v>877</v>
      </c>
      <c r="D489" s="21" t="s">
        <v>40</v>
      </c>
      <c r="E489" s="23" t="s">
        <v>41</v>
      </c>
      <c r="F489" s="109">
        <f>71*48</f>
        <v>3408</v>
      </c>
      <c r="G489" s="111">
        <v>71</v>
      </c>
      <c r="H489" s="131">
        <v>320000</v>
      </c>
      <c r="I489" s="112">
        <f t="shared" si="24"/>
        <v>22720000</v>
      </c>
      <c r="J489" s="365"/>
      <c r="K489" s="365"/>
    </row>
    <row r="490" spans="1:11" x14ac:dyDescent="0.25">
      <c r="A490" s="128"/>
      <c r="B490" s="132">
        <v>45519</v>
      </c>
      <c r="C490" s="109" t="s">
        <v>877</v>
      </c>
      <c r="D490" s="21" t="s">
        <v>142</v>
      </c>
      <c r="E490" s="22" t="s">
        <v>143</v>
      </c>
      <c r="F490" s="109">
        <f>49*48</f>
        <v>2352</v>
      </c>
      <c r="G490" s="111">
        <v>49</v>
      </c>
      <c r="H490" s="131">
        <v>260000</v>
      </c>
      <c r="I490" s="112">
        <f t="shared" si="24"/>
        <v>12740000</v>
      </c>
      <c r="J490" s="366"/>
      <c r="K490" s="366"/>
    </row>
    <row r="491" spans="1:11" x14ac:dyDescent="0.25">
      <c r="A491" s="128"/>
      <c r="B491" s="132">
        <v>45519</v>
      </c>
      <c r="C491" s="109" t="s">
        <v>868</v>
      </c>
      <c r="D491" s="21" t="s">
        <v>44</v>
      </c>
      <c r="E491" s="23" t="s">
        <v>45</v>
      </c>
      <c r="F491" s="109">
        <v>144</v>
      </c>
      <c r="G491" s="111">
        <v>3</v>
      </c>
      <c r="H491" s="131">
        <v>320000</v>
      </c>
      <c r="I491" s="112">
        <f t="shared" si="20"/>
        <v>960000</v>
      </c>
      <c r="J491" s="364">
        <f>I491+I492</f>
        <v>1580000</v>
      </c>
      <c r="K491" s="367" t="s">
        <v>948</v>
      </c>
    </row>
    <row r="492" spans="1:11" x14ac:dyDescent="0.25">
      <c r="A492" s="128"/>
      <c r="B492" s="132">
        <v>45519</v>
      </c>
      <c r="C492" s="109" t="s">
        <v>868</v>
      </c>
      <c r="D492" s="10" t="s">
        <v>16</v>
      </c>
      <c r="E492" s="7" t="s">
        <v>17</v>
      </c>
      <c r="F492" s="243">
        <v>12</v>
      </c>
      <c r="G492" s="245">
        <v>1</v>
      </c>
      <c r="H492" s="246">
        <v>620000</v>
      </c>
      <c r="I492" s="112">
        <f t="shared" si="20"/>
        <v>620000</v>
      </c>
      <c r="J492" s="366"/>
      <c r="K492" s="366"/>
    </row>
    <row r="493" spans="1:11" x14ac:dyDescent="0.25">
      <c r="A493" s="242"/>
      <c r="B493" s="132">
        <v>45519</v>
      </c>
      <c r="C493" s="243" t="s">
        <v>924</v>
      </c>
      <c r="D493" s="10" t="s">
        <v>124</v>
      </c>
      <c r="E493" s="9" t="s">
        <v>125</v>
      </c>
      <c r="F493" s="243">
        <v>48</v>
      </c>
      <c r="G493" s="245">
        <v>1</v>
      </c>
      <c r="H493" s="246">
        <v>272000</v>
      </c>
      <c r="I493" s="247">
        <f t="shared" si="20"/>
        <v>272000</v>
      </c>
      <c r="J493" s="287">
        <f>I493</f>
        <v>272000</v>
      </c>
      <c r="K493" s="285" t="s">
        <v>825</v>
      </c>
    </row>
    <row r="494" spans="1:11" x14ac:dyDescent="0.25">
      <c r="A494" s="242"/>
      <c r="B494" s="132">
        <v>45519</v>
      </c>
      <c r="C494" s="243" t="s">
        <v>861</v>
      </c>
      <c r="D494" s="263" t="s">
        <v>762</v>
      </c>
      <c r="E494" s="275" t="s">
        <v>85</v>
      </c>
      <c r="F494" s="243">
        <f>50*12</f>
        <v>600</v>
      </c>
      <c r="G494" s="245">
        <v>50</v>
      </c>
      <c r="H494" s="246">
        <v>343000</v>
      </c>
      <c r="I494" s="247">
        <f t="shared" si="20"/>
        <v>17150000</v>
      </c>
      <c r="J494" s="287">
        <f>I494</f>
        <v>17150000</v>
      </c>
      <c r="K494" s="285"/>
    </row>
    <row r="495" spans="1:11" x14ac:dyDescent="0.25">
      <c r="A495" s="128"/>
      <c r="B495" s="132">
        <v>45519</v>
      </c>
      <c r="C495" s="148" t="s">
        <v>834</v>
      </c>
      <c r="D495" s="10" t="s">
        <v>172</v>
      </c>
      <c r="E495" s="9" t="s">
        <v>173</v>
      </c>
      <c r="F495" s="109">
        <v>60</v>
      </c>
      <c r="G495" s="111">
        <v>5</v>
      </c>
      <c r="H495" s="131"/>
      <c r="I495" s="112">
        <f t="shared" si="20"/>
        <v>0</v>
      </c>
      <c r="J495" s="113"/>
      <c r="K495" s="120"/>
    </row>
    <row r="496" spans="1:11" x14ac:dyDescent="0.25">
      <c r="A496" s="128"/>
      <c r="B496" s="132">
        <v>45519</v>
      </c>
      <c r="C496" s="148" t="s">
        <v>777</v>
      </c>
      <c r="D496" s="263" t="s">
        <v>762</v>
      </c>
      <c r="E496" s="275" t="s">
        <v>85</v>
      </c>
      <c r="F496" s="109">
        <v>11</v>
      </c>
      <c r="G496" s="111"/>
      <c r="H496" s="131"/>
      <c r="I496" s="112">
        <f t="shared" si="20"/>
        <v>0</v>
      </c>
      <c r="J496" s="114"/>
      <c r="K496" s="120"/>
    </row>
    <row r="497" spans="1:11" x14ac:dyDescent="0.25">
      <c r="A497" s="128"/>
      <c r="B497" s="132">
        <v>45519</v>
      </c>
      <c r="C497" s="148" t="s">
        <v>777</v>
      </c>
      <c r="D497" s="261" t="s">
        <v>126</v>
      </c>
      <c r="E497" s="251" t="s">
        <v>127</v>
      </c>
      <c r="F497" s="243">
        <v>6</v>
      </c>
      <c r="G497" s="111"/>
      <c r="H497" s="131"/>
      <c r="I497" s="112">
        <f t="shared" si="20"/>
        <v>0</v>
      </c>
      <c r="J497" s="114"/>
      <c r="K497" s="120"/>
    </row>
    <row r="498" spans="1:11" x14ac:dyDescent="0.25">
      <c r="A498" s="128"/>
      <c r="B498" s="132">
        <v>45519</v>
      </c>
      <c r="C498" s="148" t="s">
        <v>848</v>
      </c>
      <c r="D498" s="263" t="s">
        <v>762</v>
      </c>
      <c r="E498" s="275" t="s">
        <v>85</v>
      </c>
      <c r="F498" s="109">
        <v>24</v>
      </c>
      <c r="G498" s="111">
        <v>2</v>
      </c>
      <c r="H498" s="131"/>
      <c r="I498" s="112">
        <f t="shared" si="20"/>
        <v>0</v>
      </c>
      <c r="J498" s="113"/>
      <c r="K498" s="120"/>
    </row>
    <row r="499" spans="1:11" x14ac:dyDescent="0.25">
      <c r="A499" s="128"/>
      <c r="B499" s="132">
        <v>45519</v>
      </c>
      <c r="C499" s="148" t="s">
        <v>785</v>
      </c>
      <c r="D499" s="10" t="s">
        <v>86</v>
      </c>
      <c r="E499" s="9" t="s">
        <v>87</v>
      </c>
      <c r="F499" s="109">
        <v>12</v>
      </c>
      <c r="G499" s="111">
        <v>1</v>
      </c>
      <c r="H499" s="131"/>
      <c r="I499" s="112">
        <f t="shared" si="20"/>
        <v>0</v>
      </c>
      <c r="J499" s="114"/>
      <c r="K499" s="120"/>
    </row>
    <row r="500" spans="1:11" x14ac:dyDescent="0.25">
      <c r="A500" s="128"/>
      <c r="B500" s="132">
        <v>45519</v>
      </c>
      <c r="C500" s="150" t="s">
        <v>836</v>
      </c>
      <c r="D500" s="10" t="s">
        <v>164</v>
      </c>
      <c r="E500" s="9" t="s">
        <v>165</v>
      </c>
      <c r="F500" s="109">
        <f>20*12+3</f>
        <v>243</v>
      </c>
      <c r="G500" s="111"/>
      <c r="H500" s="131"/>
      <c r="I500" s="112">
        <f t="shared" si="20"/>
        <v>0</v>
      </c>
      <c r="J500" s="114"/>
      <c r="K500" s="120"/>
    </row>
    <row r="501" spans="1:11" x14ac:dyDescent="0.25">
      <c r="A501" s="128"/>
      <c r="B501" s="132">
        <v>45519</v>
      </c>
      <c r="C501" s="150" t="s">
        <v>836</v>
      </c>
      <c r="D501" s="10" t="s">
        <v>86</v>
      </c>
      <c r="E501" s="9" t="s">
        <v>87</v>
      </c>
      <c r="F501" s="109">
        <v>12</v>
      </c>
      <c r="G501" s="111">
        <v>1</v>
      </c>
      <c r="H501" s="131"/>
      <c r="I501" s="112">
        <f t="shared" si="20"/>
        <v>0</v>
      </c>
      <c r="J501" s="114"/>
      <c r="K501" s="120"/>
    </row>
    <row r="502" spans="1:11" x14ac:dyDescent="0.25">
      <c r="A502" s="128"/>
      <c r="B502" s="132">
        <v>45519</v>
      </c>
      <c r="C502" s="150" t="s">
        <v>836</v>
      </c>
      <c r="D502" s="10" t="s">
        <v>172</v>
      </c>
      <c r="E502" s="9" t="s">
        <v>173</v>
      </c>
      <c r="F502" s="109">
        <v>1</v>
      </c>
      <c r="G502" s="111"/>
      <c r="H502" s="131"/>
      <c r="I502" s="112">
        <f t="shared" si="20"/>
        <v>0</v>
      </c>
      <c r="J502" s="114"/>
      <c r="K502" s="120"/>
    </row>
    <row r="503" spans="1:11" x14ac:dyDescent="0.25">
      <c r="A503" s="128"/>
      <c r="B503" s="132">
        <v>45519</v>
      </c>
      <c r="C503" s="150" t="s">
        <v>836</v>
      </c>
      <c r="D503" s="21" t="s">
        <v>763</v>
      </c>
      <c r="E503" s="22" t="s">
        <v>83</v>
      </c>
      <c r="F503" s="109">
        <v>24</v>
      </c>
      <c r="G503" s="111">
        <v>0.5</v>
      </c>
      <c r="H503" s="131"/>
      <c r="I503" s="112">
        <f t="shared" si="20"/>
        <v>0</v>
      </c>
      <c r="J503" s="114"/>
      <c r="K503" s="120"/>
    </row>
    <row r="504" spans="1:11" x14ac:dyDescent="0.25">
      <c r="A504" s="242"/>
      <c r="B504" s="132">
        <v>45519</v>
      </c>
      <c r="C504" s="150" t="s">
        <v>836</v>
      </c>
      <c r="D504" s="10" t="s">
        <v>166</v>
      </c>
      <c r="E504" s="9" t="s">
        <v>167</v>
      </c>
      <c r="F504" s="243">
        <v>12</v>
      </c>
      <c r="G504" s="245"/>
      <c r="H504" s="246"/>
      <c r="I504" s="247"/>
      <c r="J504" s="276"/>
      <c r="K504" s="286"/>
    </row>
    <row r="505" spans="1:11" x14ac:dyDescent="0.25">
      <c r="A505" s="128"/>
      <c r="B505" s="132">
        <v>45519</v>
      </c>
      <c r="C505" s="148" t="s">
        <v>778</v>
      </c>
      <c r="D505" s="263" t="s">
        <v>762</v>
      </c>
      <c r="E505" s="275" t="s">
        <v>85</v>
      </c>
      <c r="F505" s="109">
        <v>24</v>
      </c>
      <c r="G505" s="111">
        <v>2</v>
      </c>
      <c r="H505" s="131"/>
      <c r="I505" s="112">
        <f t="shared" si="20"/>
        <v>0</v>
      </c>
      <c r="J505" s="114"/>
      <c r="K505" s="120"/>
    </row>
    <row r="506" spans="1:11" x14ac:dyDescent="0.25">
      <c r="A506" s="128"/>
      <c r="B506" s="132">
        <v>45519</v>
      </c>
      <c r="C506" s="148" t="s">
        <v>778</v>
      </c>
      <c r="D506" s="10" t="s">
        <v>16</v>
      </c>
      <c r="E506" s="7" t="s">
        <v>17</v>
      </c>
      <c r="F506" s="243">
        <v>12</v>
      </c>
      <c r="G506" s="111">
        <v>1</v>
      </c>
      <c r="H506" s="131"/>
      <c r="I506" s="112">
        <f t="shared" si="20"/>
        <v>0</v>
      </c>
      <c r="J506" s="114"/>
      <c r="K506" s="120"/>
    </row>
    <row r="507" spans="1:11" x14ac:dyDescent="0.25">
      <c r="A507" s="128"/>
      <c r="B507" s="252">
        <v>45520</v>
      </c>
      <c r="C507" s="109" t="s">
        <v>847</v>
      </c>
      <c r="D507" s="263" t="s">
        <v>762</v>
      </c>
      <c r="E507" s="275" t="s">
        <v>85</v>
      </c>
      <c r="F507" s="243">
        <v>24</v>
      </c>
      <c r="G507" s="111">
        <v>2</v>
      </c>
      <c r="H507" s="131">
        <v>370000</v>
      </c>
      <c r="I507" s="112">
        <f t="shared" si="20"/>
        <v>740000</v>
      </c>
      <c r="J507" s="368">
        <f>I507+I508</f>
        <v>2040000</v>
      </c>
      <c r="K507" s="369"/>
    </row>
    <row r="508" spans="1:11" x14ac:dyDescent="0.25">
      <c r="A508" s="128"/>
      <c r="B508" s="252">
        <v>45520</v>
      </c>
      <c r="C508" s="289" t="s">
        <v>847</v>
      </c>
      <c r="D508" s="290" t="s">
        <v>126</v>
      </c>
      <c r="E508" s="291" t="s">
        <v>127</v>
      </c>
      <c r="F508" s="243">
        <v>240</v>
      </c>
      <c r="G508" s="264">
        <v>5</v>
      </c>
      <c r="H508" s="282">
        <v>260000</v>
      </c>
      <c r="I508" s="265">
        <f t="shared" si="20"/>
        <v>1300000</v>
      </c>
      <c r="J508" s="373"/>
      <c r="K508" s="366"/>
    </row>
    <row r="509" spans="1:11" x14ac:dyDescent="0.25">
      <c r="A509" s="128"/>
      <c r="B509" s="252">
        <v>45520</v>
      </c>
      <c r="C509" s="242" t="s">
        <v>863</v>
      </c>
      <c r="D509" s="297" t="s">
        <v>528</v>
      </c>
      <c r="E509" s="271" t="s">
        <v>529</v>
      </c>
      <c r="F509" s="243">
        <v>5</v>
      </c>
      <c r="G509" s="245"/>
      <c r="H509" s="271">
        <f>288120/12</f>
        <v>24010</v>
      </c>
      <c r="I509" s="247">
        <f>F509*H509</f>
        <v>120050</v>
      </c>
      <c r="J509" s="363">
        <f>SUM(I509:I523)</f>
        <v>1742916.6666666665</v>
      </c>
      <c r="K509" s="369" t="s">
        <v>825</v>
      </c>
    </row>
    <row r="510" spans="1:11" x14ac:dyDescent="0.25">
      <c r="A510" s="128"/>
      <c r="B510" s="252">
        <v>45520</v>
      </c>
      <c r="C510" s="242" t="s">
        <v>863</v>
      </c>
      <c r="D510" s="299" t="s">
        <v>124</v>
      </c>
      <c r="E510" s="271" t="s">
        <v>125</v>
      </c>
      <c r="F510" s="243">
        <v>24</v>
      </c>
      <c r="G510" s="245"/>
      <c r="H510" s="271">
        <f>265000/48</f>
        <v>5520.833333333333</v>
      </c>
      <c r="I510" s="247">
        <f t="shared" ref="I510:I523" si="25">F510*H510</f>
        <v>132500</v>
      </c>
      <c r="J510" s="363"/>
      <c r="K510" s="365"/>
    </row>
    <row r="511" spans="1:11" x14ac:dyDescent="0.25">
      <c r="A511" s="128"/>
      <c r="B511" s="252">
        <v>45520</v>
      </c>
      <c r="C511" s="242" t="s">
        <v>863</v>
      </c>
      <c r="D511" s="298" t="s">
        <v>142</v>
      </c>
      <c r="E511" s="251" t="s">
        <v>143</v>
      </c>
      <c r="F511" s="243">
        <v>24</v>
      </c>
      <c r="G511" s="245"/>
      <c r="H511" s="271">
        <f>265000/48</f>
        <v>5520.833333333333</v>
      </c>
      <c r="I511" s="247">
        <f t="shared" si="25"/>
        <v>132500</v>
      </c>
      <c r="J511" s="363"/>
      <c r="K511" s="365"/>
    </row>
    <row r="512" spans="1:11" x14ac:dyDescent="0.25">
      <c r="A512" s="128"/>
      <c r="B512" s="252">
        <v>45520</v>
      </c>
      <c r="C512" s="242" t="s">
        <v>863</v>
      </c>
      <c r="D512" s="298" t="s">
        <v>126</v>
      </c>
      <c r="E512" s="251" t="s">
        <v>127</v>
      </c>
      <c r="F512" s="243">
        <v>24</v>
      </c>
      <c r="G512" s="245"/>
      <c r="H512" s="271">
        <f>265000/48</f>
        <v>5520.833333333333</v>
      </c>
      <c r="I512" s="247">
        <f t="shared" si="25"/>
        <v>132500</v>
      </c>
      <c r="J512" s="363"/>
      <c r="K512" s="365"/>
    </row>
    <row r="513" spans="1:11" x14ac:dyDescent="0.25">
      <c r="A513" s="128"/>
      <c r="B513" s="252">
        <v>45520</v>
      </c>
      <c r="C513" s="242" t="s">
        <v>863</v>
      </c>
      <c r="D513" s="299" t="s">
        <v>156</v>
      </c>
      <c r="E513" s="271" t="s">
        <v>157</v>
      </c>
      <c r="F513" s="243">
        <v>12</v>
      </c>
      <c r="G513" s="245"/>
      <c r="H513" s="271">
        <v>7350</v>
      </c>
      <c r="I513" s="247">
        <f t="shared" si="25"/>
        <v>88200</v>
      </c>
      <c r="J513" s="363"/>
      <c r="K513" s="365"/>
    </row>
    <row r="514" spans="1:11" x14ac:dyDescent="0.25">
      <c r="A514" s="128"/>
      <c r="B514" s="252">
        <v>45520</v>
      </c>
      <c r="C514" s="242" t="s">
        <v>863</v>
      </c>
      <c r="D514" s="299" t="s">
        <v>162</v>
      </c>
      <c r="E514" s="271" t="s">
        <v>163</v>
      </c>
      <c r="F514" s="243">
        <v>12</v>
      </c>
      <c r="G514" s="245"/>
      <c r="H514" s="271">
        <v>7350</v>
      </c>
      <c r="I514" s="247">
        <f t="shared" si="25"/>
        <v>88200</v>
      </c>
      <c r="J514" s="363"/>
      <c r="K514" s="365"/>
    </row>
    <row r="515" spans="1:11" x14ac:dyDescent="0.25">
      <c r="A515" s="128"/>
      <c r="B515" s="252">
        <v>45520</v>
      </c>
      <c r="C515" s="242" t="s">
        <v>863</v>
      </c>
      <c r="D515" s="299" t="s">
        <v>132</v>
      </c>
      <c r="E515" s="271" t="s">
        <v>133</v>
      </c>
      <c r="F515" s="243">
        <v>24</v>
      </c>
      <c r="G515" s="245"/>
      <c r="H515" s="271">
        <v>6458.333333333333</v>
      </c>
      <c r="I515" s="247">
        <f t="shared" si="25"/>
        <v>155000</v>
      </c>
      <c r="J515" s="363"/>
      <c r="K515" s="365"/>
    </row>
    <row r="516" spans="1:11" x14ac:dyDescent="0.25">
      <c r="A516" s="128"/>
      <c r="B516" s="252">
        <v>45520</v>
      </c>
      <c r="C516" s="242" t="s">
        <v>863</v>
      </c>
      <c r="D516" s="299" t="s">
        <v>122</v>
      </c>
      <c r="E516" s="271" t="s">
        <v>123</v>
      </c>
      <c r="F516" s="243">
        <v>20</v>
      </c>
      <c r="G516" s="245"/>
      <c r="H516" s="271">
        <v>6458.333333333333</v>
      </c>
      <c r="I516" s="247">
        <f t="shared" si="25"/>
        <v>129166.66666666666</v>
      </c>
      <c r="J516" s="363"/>
      <c r="K516" s="365"/>
    </row>
    <row r="517" spans="1:11" x14ac:dyDescent="0.25">
      <c r="A517" s="128"/>
      <c r="B517" s="252">
        <v>45520</v>
      </c>
      <c r="C517" s="242" t="s">
        <v>863</v>
      </c>
      <c r="D517" s="299" t="s">
        <v>144</v>
      </c>
      <c r="E517" s="271" t="s">
        <v>145</v>
      </c>
      <c r="F517" s="243">
        <v>25</v>
      </c>
      <c r="G517" s="245"/>
      <c r="H517" s="271">
        <v>4312</v>
      </c>
      <c r="I517" s="247">
        <f t="shared" si="25"/>
        <v>107800</v>
      </c>
      <c r="J517" s="363"/>
      <c r="K517" s="365"/>
    </row>
    <row r="518" spans="1:11" x14ac:dyDescent="0.25">
      <c r="A518" s="128"/>
      <c r="B518" s="252">
        <v>45520</v>
      </c>
      <c r="C518" s="242" t="s">
        <v>863</v>
      </c>
      <c r="D518" s="299" t="s">
        <v>146</v>
      </c>
      <c r="E518" s="271" t="s">
        <v>147</v>
      </c>
      <c r="F518" s="243">
        <v>25</v>
      </c>
      <c r="G518" s="245"/>
      <c r="H518" s="271">
        <v>4312</v>
      </c>
      <c r="I518" s="247">
        <f t="shared" si="25"/>
        <v>107800</v>
      </c>
      <c r="J518" s="363"/>
      <c r="K518" s="365"/>
    </row>
    <row r="519" spans="1:11" x14ac:dyDescent="0.25">
      <c r="A519" s="128"/>
      <c r="B519" s="252">
        <v>45520</v>
      </c>
      <c r="C519" s="242" t="s">
        <v>863</v>
      </c>
      <c r="D519" s="299" t="s">
        <v>148</v>
      </c>
      <c r="E519" s="271" t="s">
        <v>149</v>
      </c>
      <c r="F519" s="243">
        <v>25</v>
      </c>
      <c r="G519" s="245"/>
      <c r="H519" s="271">
        <v>4312</v>
      </c>
      <c r="I519" s="247">
        <f t="shared" si="25"/>
        <v>107800</v>
      </c>
      <c r="J519" s="363"/>
      <c r="K519" s="365"/>
    </row>
    <row r="520" spans="1:11" x14ac:dyDescent="0.25">
      <c r="A520" s="128"/>
      <c r="B520" s="252">
        <v>45520</v>
      </c>
      <c r="C520" s="242" t="s">
        <v>863</v>
      </c>
      <c r="D520" s="299" t="s">
        <v>154</v>
      </c>
      <c r="E520" s="271" t="s">
        <v>155</v>
      </c>
      <c r="F520" s="243">
        <v>25</v>
      </c>
      <c r="G520" s="245"/>
      <c r="H520" s="271">
        <v>4312</v>
      </c>
      <c r="I520" s="247">
        <f t="shared" si="25"/>
        <v>107800</v>
      </c>
      <c r="J520" s="363"/>
      <c r="K520" s="365"/>
    </row>
    <row r="521" spans="1:11" x14ac:dyDescent="0.25">
      <c r="A521" s="128"/>
      <c r="B521" s="252">
        <v>45520</v>
      </c>
      <c r="C521" s="242" t="s">
        <v>863</v>
      </c>
      <c r="D521" s="298" t="s">
        <v>798</v>
      </c>
      <c r="E521" s="251" t="s">
        <v>796</v>
      </c>
      <c r="F521" s="243">
        <v>20</v>
      </c>
      <c r="G521" s="245"/>
      <c r="H521" s="271">
        <v>7500</v>
      </c>
      <c r="I521" s="247">
        <f t="shared" si="25"/>
        <v>150000</v>
      </c>
      <c r="J521" s="363"/>
      <c r="K521" s="365"/>
    </row>
    <row r="522" spans="1:11" x14ac:dyDescent="0.25">
      <c r="A522" s="128"/>
      <c r="B522" s="252">
        <v>45520</v>
      </c>
      <c r="C522" s="242" t="s">
        <v>863</v>
      </c>
      <c r="D522" s="298" t="s">
        <v>805</v>
      </c>
      <c r="E522" s="251" t="s">
        <v>804</v>
      </c>
      <c r="F522" s="243">
        <v>5</v>
      </c>
      <c r="G522" s="245"/>
      <c r="H522" s="271">
        <f>18000*1.02</f>
        <v>18360</v>
      </c>
      <c r="I522" s="247">
        <f t="shared" si="25"/>
        <v>91800</v>
      </c>
      <c r="J522" s="363"/>
      <c r="K522" s="365"/>
    </row>
    <row r="523" spans="1:11" x14ac:dyDescent="0.25">
      <c r="A523" s="128"/>
      <c r="B523" s="252">
        <v>45520</v>
      </c>
      <c r="C523" s="242" t="s">
        <v>863</v>
      </c>
      <c r="D523" s="298" t="s">
        <v>30</v>
      </c>
      <c r="E523" s="251" t="s">
        <v>31</v>
      </c>
      <c r="F523" s="243">
        <v>5</v>
      </c>
      <c r="G523" s="245"/>
      <c r="H523" s="271">
        <f>18000*1.02</f>
        <v>18360</v>
      </c>
      <c r="I523" s="247">
        <f t="shared" si="25"/>
        <v>91800</v>
      </c>
      <c r="J523" s="363"/>
      <c r="K523" s="366"/>
    </row>
    <row r="524" spans="1:11" x14ac:dyDescent="0.25">
      <c r="A524" s="242"/>
      <c r="B524" s="252">
        <v>45520</v>
      </c>
      <c r="C524" s="242" t="s">
        <v>839</v>
      </c>
      <c r="D524" s="10" t="s">
        <v>80</v>
      </c>
      <c r="E524" s="9" t="s">
        <v>81</v>
      </c>
      <c r="F524" s="243">
        <v>192</v>
      </c>
      <c r="G524" s="245">
        <v>4</v>
      </c>
      <c r="H524" s="271">
        <v>420000</v>
      </c>
      <c r="I524" s="247">
        <f>G524*H524</f>
        <v>1680000</v>
      </c>
      <c r="J524" s="300">
        <f>I524</f>
        <v>1680000</v>
      </c>
      <c r="K524" s="288" t="s">
        <v>825</v>
      </c>
    </row>
    <row r="525" spans="1:11" x14ac:dyDescent="0.25">
      <c r="A525" s="242"/>
      <c r="B525" s="252">
        <v>45520</v>
      </c>
      <c r="C525" s="242" t="s">
        <v>901</v>
      </c>
      <c r="D525" s="298" t="s">
        <v>142</v>
      </c>
      <c r="E525" s="251" t="s">
        <v>143</v>
      </c>
      <c r="F525" s="243">
        <v>480</v>
      </c>
      <c r="G525" s="245">
        <v>10</v>
      </c>
      <c r="H525" s="271">
        <v>250000</v>
      </c>
      <c r="I525" s="247">
        <f t="shared" ref="I525:I529" si="26">G525*H525</f>
        <v>2500000</v>
      </c>
      <c r="J525" s="357">
        <f>I525+I526</f>
        <v>3550000</v>
      </c>
      <c r="K525" s="367"/>
    </row>
    <row r="526" spans="1:11" x14ac:dyDescent="0.25">
      <c r="A526" s="242"/>
      <c r="B526" s="252">
        <v>45520</v>
      </c>
      <c r="C526" s="242" t="s">
        <v>901</v>
      </c>
      <c r="D526" s="21" t="s">
        <v>768</v>
      </c>
      <c r="E526" s="23" t="s">
        <v>67</v>
      </c>
      <c r="F526" s="243">
        <v>36</v>
      </c>
      <c r="G526" s="245">
        <v>3</v>
      </c>
      <c r="H526" s="271">
        <v>350000</v>
      </c>
      <c r="I526" s="247">
        <f t="shared" si="26"/>
        <v>1050000</v>
      </c>
      <c r="J526" s="354"/>
      <c r="K526" s="366"/>
    </row>
    <row r="527" spans="1:11" x14ac:dyDescent="0.25">
      <c r="A527" s="128"/>
      <c r="B527" s="252">
        <v>45520</v>
      </c>
      <c r="C527" s="301" t="s">
        <v>777</v>
      </c>
      <c r="D527" s="297" t="s">
        <v>762</v>
      </c>
      <c r="E527" s="275" t="s">
        <v>85</v>
      </c>
      <c r="F527" s="243">
        <v>12</v>
      </c>
      <c r="G527" s="245">
        <v>1</v>
      </c>
      <c r="H527" s="251"/>
      <c r="I527" s="247">
        <f t="shared" si="26"/>
        <v>0</v>
      </c>
      <c r="J527" s="248"/>
      <c r="K527" s="120"/>
    </row>
    <row r="528" spans="1:11" x14ac:dyDescent="0.25">
      <c r="A528" s="128"/>
      <c r="B528" s="252">
        <v>45520</v>
      </c>
      <c r="C528" s="301" t="s">
        <v>777</v>
      </c>
      <c r="D528" s="298" t="s">
        <v>126</v>
      </c>
      <c r="E528" s="251" t="s">
        <v>127</v>
      </c>
      <c r="F528" s="243">
        <v>6</v>
      </c>
      <c r="G528" s="245"/>
      <c r="H528" s="251"/>
      <c r="I528" s="247">
        <f t="shared" si="26"/>
        <v>0</v>
      </c>
      <c r="J528" s="248"/>
      <c r="K528" s="120"/>
    </row>
    <row r="529" spans="1:11" x14ac:dyDescent="0.25">
      <c r="A529" s="128"/>
      <c r="B529" s="252">
        <v>45520</v>
      </c>
      <c r="C529" s="302" t="s">
        <v>775</v>
      </c>
      <c r="D529" s="297" t="s">
        <v>762</v>
      </c>
      <c r="E529" s="275" t="s">
        <v>85</v>
      </c>
      <c r="F529" s="243">
        <v>24</v>
      </c>
      <c r="G529" s="245">
        <v>2</v>
      </c>
      <c r="H529" s="251"/>
      <c r="I529" s="247">
        <f t="shared" si="26"/>
        <v>0</v>
      </c>
      <c r="J529" s="248"/>
      <c r="K529" s="120"/>
    </row>
    <row r="530" spans="1:11" ht="15.75" x14ac:dyDescent="0.25">
      <c r="A530" s="128"/>
      <c r="B530" s="252">
        <v>45520</v>
      </c>
      <c r="C530" s="303" t="s">
        <v>836</v>
      </c>
      <c r="D530" s="304" t="s">
        <v>238</v>
      </c>
      <c r="E530" s="305" t="s">
        <v>239</v>
      </c>
      <c r="F530" s="243">
        <v>9</v>
      </c>
      <c r="G530" s="245"/>
      <c r="H530" s="251"/>
      <c r="I530" s="247">
        <f t="shared" ref="I530:I579" si="27">G530*H530</f>
        <v>0</v>
      </c>
      <c r="J530" s="248"/>
      <c r="K530" s="120" t="s">
        <v>927</v>
      </c>
    </row>
    <row r="531" spans="1:11" x14ac:dyDescent="0.25">
      <c r="A531" s="128"/>
      <c r="B531" s="252">
        <v>45520</v>
      </c>
      <c r="C531" s="303" t="s">
        <v>836</v>
      </c>
      <c r="D531" s="299" t="s">
        <v>124</v>
      </c>
      <c r="E531" s="271" t="s">
        <v>125</v>
      </c>
      <c r="F531" s="243">
        <v>8</v>
      </c>
      <c r="G531" s="245"/>
      <c r="H531" s="251"/>
      <c r="I531" s="247">
        <f t="shared" si="27"/>
        <v>0</v>
      </c>
      <c r="J531" s="248"/>
      <c r="K531" s="120"/>
    </row>
    <row r="532" spans="1:11" x14ac:dyDescent="0.25">
      <c r="A532" s="128"/>
      <c r="B532" s="252">
        <v>45520</v>
      </c>
      <c r="C532" s="303" t="s">
        <v>836</v>
      </c>
      <c r="D532" s="299" t="s">
        <v>86</v>
      </c>
      <c r="E532" s="271" t="s">
        <v>87</v>
      </c>
      <c r="F532" s="243">
        <v>75</v>
      </c>
      <c r="G532" s="245"/>
      <c r="H532" s="251"/>
      <c r="I532" s="247">
        <f t="shared" si="27"/>
        <v>0</v>
      </c>
      <c r="J532" s="248"/>
      <c r="K532" s="120"/>
    </row>
    <row r="533" spans="1:11" x14ac:dyDescent="0.25">
      <c r="A533" s="128"/>
      <c r="B533" s="252">
        <v>45520</v>
      </c>
      <c r="C533" s="303" t="s">
        <v>836</v>
      </c>
      <c r="D533" s="298" t="s">
        <v>763</v>
      </c>
      <c r="E533" s="251" t="s">
        <v>83</v>
      </c>
      <c r="F533" s="243">
        <v>8</v>
      </c>
      <c r="G533" s="245"/>
      <c r="H533" s="251"/>
      <c r="I533" s="247">
        <f t="shared" si="27"/>
        <v>0</v>
      </c>
      <c r="J533" s="248"/>
      <c r="K533" s="120"/>
    </row>
    <row r="534" spans="1:11" x14ac:dyDescent="0.25">
      <c r="A534" s="128"/>
      <c r="B534" s="252">
        <v>45520</v>
      </c>
      <c r="C534" s="293" t="s">
        <v>836</v>
      </c>
      <c r="D534" s="294" t="s">
        <v>126</v>
      </c>
      <c r="E534" s="295" t="s">
        <v>127</v>
      </c>
      <c r="F534" s="243">
        <v>48</v>
      </c>
      <c r="G534" s="267">
        <v>1</v>
      </c>
      <c r="H534" s="295"/>
      <c r="I534" s="269">
        <f t="shared" si="27"/>
        <v>0</v>
      </c>
      <c r="J534" s="296"/>
      <c r="K534" s="120"/>
    </row>
    <row r="535" spans="1:11" x14ac:dyDescent="0.25">
      <c r="A535" s="128"/>
      <c r="B535" s="252">
        <v>45520</v>
      </c>
      <c r="C535" s="293" t="s">
        <v>836</v>
      </c>
      <c r="D535" s="10" t="s">
        <v>22</v>
      </c>
      <c r="E535" s="7" t="s">
        <v>23</v>
      </c>
      <c r="F535" s="243">
        <v>120</v>
      </c>
      <c r="G535" s="111">
        <v>10</v>
      </c>
      <c r="H535" s="116">
        <v>710000</v>
      </c>
      <c r="I535" s="112">
        <f t="shared" si="27"/>
        <v>7100000</v>
      </c>
      <c r="J535" s="113"/>
      <c r="K535" s="120"/>
    </row>
    <row r="536" spans="1:11" x14ac:dyDescent="0.25">
      <c r="A536" s="128"/>
      <c r="B536" s="252">
        <v>45520</v>
      </c>
      <c r="C536" s="301" t="s">
        <v>780</v>
      </c>
      <c r="D536" s="297" t="s">
        <v>762</v>
      </c>
      <c r="E536" s="275" t="s">
        <v>85</v>
      </c>
      <c r="F536" s="243">
        <v>60</v>
      </c>
      <c r="G536" s="111">
        <v>5</v>
      </c>
      <c r="H536" s="116"/>
      <c r="I536" s="112">
        <f t="shared" si="27"/>
        <v>0</v>
      </c>
      <c r="J536" s="113"/>
      <c r="K536" s="120"/>
    </row>
    <row r="537" spans="1:11" x14ac:dyDescent="0.25">
      <c r="A537" s="128"/>
      <c r="B537" s="127">
        <v>45521</v>
      </c>
      <c r="C537" s="128" t="s">
        <v>853</v>
      </c>
      <c r="D537" s="298" t="s">
        <v>142</v>
      </c>
      <c r="E537" s="251" t="s">
        <v>143</v>
      </c>
      <c r="F537" s="243">
        <v>240</v>
      </c>
      <c r="G537" s="111">
        <v>5</v>
      </c>
      <c r="H537" s="116">
        <v>265000</v>
      </c>
      <c r="I537" s="112">
        <f t="shared" si="27"/>
        <v>1325000</v>
      </c>
      <c r="J537" s="364">
        <f>SUM(I537:I541)</f>
        <v>3106000</v>
      </c>
      <c r="K537" s="367"/>
    </row>
    <row r="538" spans="1:11" x14ac:dyDescent="0.25">
      <c r="A538" s="128"/>
      <c r="B538" s="127">
        <v>45521</v>
      </c>
      <c r="C538" s="128" t="s">
        <v>853</v>
      </c>
      <c r="D538" s="299" t="s">
        <v>124</v>
      </c>
      <c r="E538" s="271" t="s">
        <v>125</v>
      </c>
      <c r="F538" s="243">
        <v>96</v>
      </c>
      <c r="G538" s="111">
        <v>2</v>
      </c>
      <c r="H538" s="116">
        <v>265000</v>
      </c>
      <c r="I538" s="112">
        <f t="shared" si="27"/>
        <v>530000</v>
      </c>
      <c r="J538" s="373"/>
      <c r="K538" s="365"/>
    </row>
    <row r="539" spans="1:11" x14ac:dyDescent="0.25">
      <c r="A539" s="128"/>
      <c r="B539" s="127">
        <v>45521</v>
      </c>
      <c r="C539" s="128" t="s">
        <v>853</v>
      </c>
      <c r="D539" s="21" t="s">
        <v>798</v>
      </c>
      <c r="E539" s="23" t="s">
        <v>796</v>
      </c>
      <c r="F539" s="243">
        <v>48</v>
      </c>
      <c r="G539" s="111">
        <v>2</v>
      </c>
      <c r="H539" s="116">
        <v>175000</v>
      </c>
      <c r="I539" s="112">
        <f t="shared" si="27"/>
        <v>350000</v>
      </c>
      <c r="J539" s="373"/>
      <c r="K539" s="365"/>
    </row>
    <row r="540" spans="1:11" x14ac:dyDescent="0.25">
      <c r="A540" s="242"/>
      <c r="B540" s="127">
        <v>45521</v>
      </c>
      <c r="C540" s="128" t="s">
        <v>853</v>
      </c>
      <c r="D540" s="10" t="s">
        <v>132</v>
      </c>
      <c r="E540" s="9" t="s">
        <v>133</v>
      </c>
      <c r="F540" s="243">
        <v>96</v>
      </c>
      <c r="G540" s="245">
        <v>2</v>
      </c>
      <c r="H540" s="251">
        <v>318000</v>
      </c>
      <c r="I540" s="247">
        <f t="shared" si="27"/>
        <v>636000</v>
      </c>
      <c r="J540" s="373"/>
      <c r="K540" s="365"/>
    </row>
    <row r="541" spans="1:11" x14ac:dyDescent="0.25">
      <c r="A541" s="242"/>
      <c r="B541" s="127">
        <v>45521</v>
      </c>
      <c r="C541" s="128" t="s">
        <v>853</v>
      </c>
      <c r="D541" s="21" t="s">
        <v>126</v>
      </c>
      <c r="E541" s="22" t="s">
        <v>127</v>
      </c>
      <c r="F541" s="243">
        <v>48</v>
      </c>
      <c r="G541" s="245">
        <v>1</v>
      </c>
      <c r="H541" s="251">
        <v>265000</v>
      </c>
      <c r="I541" s="247">
        <f t="shared" si="27"/>
        <v>265000</v>
      </c>
      <c r="J541" s="370"/>
      <c r="K541" s="366"/>
    </row>
    <row r="542" spans="1:11" x14ac:dyDescent="0.25">
      <c r="A542" s="128"/>
      <c r="B542" s="127">
        <v>45521</v>
      </c>
      <c r="C542" s="128" t="s">
        <v>863</v>
      </c>
      <c r="D542" s="29" t="s">
        <v>528</v>
      </c>
      <c r="E542" s="9" t="s">
        <v>529</v>
      </c>
      <c r="F542" s="243">
        <v>8</v>
      </c>
      <c r="G542" s="111"/>
      <c r="H542" s="116">
        <v>24010</v>
      </c>
      <c r="I542" s="112">
        <f>H542*F542</f>
        <v>192080</v>
      </c>
      <c r="J542" s="364">
        <f>SUM(I542:I545)</f>
        <v>696240</v>
      </c>
      <c r="K542" s="367" t="s">
        <v>825</v>
      </c>
    </row>
    <row r="543" spans="1:11" x14ac:dyDescent="0.25">
      <c r="A543" s="128"/>
      <c r="B543" s="127">
        <v>45521</v>
      </c>
      <c r="C543" s="128" t="s">
        <v>863</v>
      </c>
      <c r="D543" s="10" t="s">
        <v>185</v>
      </c>
      <c r="E543" s="9" t="s">
        <v>186</v>
      </c>
      <c r="F543" s="243">
        <v>5</v>
      </c>
      <c r="G543" s="111"/>
      <c r="H543" s="116">
        <v>42000</v>
      </c>
      <c r="I543" s="112">
        <f>H543*F543</f>
        <v>210000</v>
      </c>
      <c r="J543" s="373"/>
      <c r="K543" s="365"/>
    </row>
    <row r="544" spans="1:11" x14ac:dyDescent="0.25">
      <c r="A544" s="128"/>
      <c r="B544" s="127">
        <v>45521</v>
      </c>
      <c r="C544" s="128" t="s">
        <v>863</v>
      </c>
      <c r="D544" s="21" t="s">
        <v>797</v>
      </c>
      <c r="E544" s="23" t="s">
        <v>795</v>
      </c>
      <c r="F544" s="243">
        <v>24</v>
      </c>
      <c r="G544" s="111">
        <v>1</v>
      </c>
      <c r="H544" s="131">
        <v>165000</v>
      </c>
      <c r="I544" s="112">
        <f t="shared" si="27"/>
        <v>165000</v>
      </c>
      <c r="J544" s="373"/>
      <c r="K544" s="365"/>
    </row>
    <row r="545" spans="1:11" x14ac:dyDescent="0.25">
      <c r="A545" s="128"/>
      <c r="B545" s="127">
        <v>45521</v>
      </c>
      <c r="C545" s="128" t="s">
        <v>863</v>
      </c>
      <c r="D545" s="10" t="s">
        <v>140</v>
      </c>
      <c r="E545" s="9" t="s">
        <v>141</v>
      </c>
      <c r="F545" s="243">
        <v>20</v>
      </c>
      <c r="G545" s="111"/>
      <c r="H545" s="131">
        <v>6458</v>
      </c>
      <c r="I545" s="112">
        <f>F545*H545</f>
        <v>129160</v>
      </c>
      <c r="J545" s="370"/>
      <c r="K545" s="366"/>
    </row>
    <row r="546" spans="1:11" x14ac:dyDescent="0.25">
      <c r="A546" s="128"/>
      <c r="B546" s="127">
        <v>45521</v>
      </c>
      <c r="C546" s="109" t="s">
        <v>862</v>
      </c>
      <c r="D546" s="299" t="s">
        <v>124</v>
      </c>
      <c r="E546" s="271" t="s">
        <v>125</v>
      </c>
      <c r="F546" s="243">
        <v>48</v>
      </c>
      <c r="G546" s="111">
        <v>1</v>
      </c>
      <c r="H546" s="131">
        <v>260000</v>
      </c>
      <c r="I546" s="112">
        <f t="shared" si="27"/>
        <v>260000</v>
      </c>
      <c r="J546" s="364">
        <f>I546+I547</f>
        <v>630000</v>
      </c>
      <c r="K546" s="367" t="s">
        <v>850</v>
      </c>
    </row>
    <row r="547" spans="1:11" x14ac:dyDescent="0.25">
      <c r="A547" s="128"/>
      <c r="B547" s="127">
        <v>45521</v>
      </c>
      <c r="C547" s="109" t="s">
        <v>862</v>
      </c>
      <c r="D547" s="297" t="s">
        <v>762</v>
      </c>
      <c r="E547" s="275" t="s">
        <v>85</v>
      </c>
      <c r="F547" s="243">
        <v>12</v>
      </c>
      <c r="G547" s="111">
        <v>1</v>
      </c>
      <c r="H547" s="131">
        <v>370000</v>
      </c>
      <c r="I547" s="112">
        <f t="shared" si="27"/>
        <v>370000</v>
      </c>
      <c r="J547" s="366"/>
      <c r="K547" s="366"/>
    </row>
    <row r="548" spans="1:11" x14ac:dyDescent="0.25">
      <c r="A548" s="128"/>
      <c r="B548" s="127">
        <v>45521</v>
      </c>
      <c r="C548" s="109" t="s">
        <v>846</v>
      </c>
      <c r="D548" s="21" t="s">
        <v>126</v>
      </c>
      <c r="E548" s="22" t="s">
        <v>127</v>
      </c>
      <c r="F548" s="243">
        <v>24</v>
      </c>
      <c r="G548" s="111">
        <v>0.5</v>
      </c>
      <c r="H548" s="131">
        <v>268000</v>
      </c>
      <c r="I548" s="112">
        <f t="shared" si="27"/>
        <v>134000</v>
      </c>
      <c r="J548" s="364">
        <f>SUM(I548:I551)</f>
        <v>665000</v>
      </c>
      <c r="K548" s="120"/>
    </row>
    <row r="549" spans="1:11" x14ac:dyDescent="0.25">
      <c r="A549" s="128"/>
      <c r="B549" s="127">
        <v>45521</v>
      </c>
      <c r="C549" s="109" t="s">
        <v>846</v>
      </c>
      <c r="D549" s="10" t="s">
        <v>132</v>
      </c>
      <c r="E549" s="9" t="s">
        <v>133</v>
      </c>
      <c r="F549" s="243">
        <v>24</v>
      </c>
      <c r="G549" s="111">
        <v>0.5</v>
      </c>
      <c r="H549" s="131">
        <v>308000</v>
      </c>
      <c r="I549" s="112">
        <f t="shared" si="27"/>
        <v>154000</v>
      </c>
      <c r="J549" s="365"/>
      <c r="K549" s="120"/>
    </row>
    <row r="550" spans="1:11" x14ac:dyDescent="0.25">
      <c r="A550" s="128"/>
      <c r="B550" s="127">
        <v>45521</v>
      </c>
      <c r="C550" s="109" t="s">
        <v>846</v>
      </c>
      <c r="D550" s="10" t="s">
        <v>158</v>
      </c>
      <c r="E550" s="9" t="s">
        <v>159</v>
      </c>
      <c r="F550" s="243">
        <v>50</v>
      </c>
      <c r="G550" s="111">
        <v>1</v>
      </c>
      <c r="H550" s="131">
        <v>215000</v>
      </c>
      <c r="I550" s="112">
        <f t="shared" si="27"/>
        <v>215000</v>
      </c>
      <c r="J550" s="365"/>
      <c r="K550" s="120"/>
    </row>
    <row r="551" spans="1:11" ht="15.75" x14ac:dyDescent="0.25">
      <c r="A551" s="128"/>
      <c r="B551" s="127">
        <v>45521</v>
      </c>
      <c r="C551" s="109" t="s">
        <v>846</v>
      </c>
      <c r="D551" s="15" t="s">
        <v>212</v>
      </c>
      <c r="E551" s="31" t="s">
        <v>213</v>
      </c>
      <c r="F551" s="243">
        <v>6</v>
      </c>
      <c r="G551" s="111"/>
      <c r="H551" s="131">
        <v>27000</v>
      </c>
      <c r="I551" s="112">
        <f>F551*H551</f>
        <v>162000</v>
      </c>
      <c r="J551" s="366"/>
      <c r="K551" s="120"/>
    </row>
    <row r="552" spans="1:11" x14ac:dyDescent="0.25">
      <c r="A552" s="128"/>
      <c r="B552" s="127">
        <v>45521</v>
      </c>
      <c r="C552" s="109" t="s">
        <v>874</v>
      </c>
      <c r="D552" s="299" t="s">
        <v>124</v>
      </c>
      <c r="E552" s="271" t="s">
        <v>125</v>
      </c>
      <c r="F552" s="243">
        <v>48</v>
      </c>
      <c r="G552" s="111">
        <v>1</v>
      </c>
      <c r="H552" s="131">
        <v>280000</v>
      </c>
      <c r="I552" s="112">
        <f t="shared" si="27"/>
        <v>280000</v>
      </c>
      <c r="J552" s="113">
        <f>I552</f>
        <v>280000</v>
      </c>
      <c r="K552" s="120" t="s">
        <v>825</v>
      </c>
    </row>
    <row r="553" spans="1:11" x14ac:dyDescent="0.25">
      <c r="A553" s="128"/>
      <c r="B553" s="127">
        <v>45521</v>
      </c>
      <c r="C553" s="109" t="s">
        <v>839</v>
      </c>
      <c r="D553" s="298" t="s">
        <v>142</v>
      </c>
      <c r="E553" s="251" t="s">
        <v>143</v>
      </c>
      <c r="F553" s="243">
        <v>480</v>
      </c>
      <c r="G553" s="111">
        <v>10</v>
      </c>
      <c r="H553" s="131">
        <v>250000</v>
      </c>
      <c r="I553" s="112">
        <f t="shared" si="27"/>
        <v>2500000</v>
      </c>
      <c r="J553" s="364">
        <f>SUM(I553:I555)</f>
        <v>8620000</v>
      </c>
      <c r="K553" s="367" t="s">
        <v>825</v>
      </c>
    </row>
    <row r="554" spans="1:11" x14ac:dyDescent="0.25">
      <c r="A554" s="128"/>
      <c r="B554" s="127">
        <v>45521</v>
      </c>
      <c r="C554" s="109" t="s">
        <v>839</v>
      </c>
      <c r="D554" s="297" t="s">
        <v>762</v>
      </c>
      <c r="E554" s="275" t="s">
        <v>85</v>
      </c>
      <c r="F554" s="243">
        <v>120</v>
      </c>
      <c r="G554" s="111">
        <v>10</v>
      </c>
      <c r="H554" s="131">
        <v>362000</v>
      </c>
      <c r="I554" s="112">
        <f t="shared" si="27"/>
        <v>3620000</v>
      </c>
      <c r="J554" s="365"/>
      <c r="K554" s="365"/>
    </row>
    <row r="555" spans="1:11" x14ac:dyDescent="0.25">
      <c r="A555" s="128"/>
      <c r="B555" s="127">
        <v>45521</v>
      </c>
      <c r="C555" s="109" t="s">
        <v>839</v>
      </c>
      <c r="D555" s="21" t="s">
        <v>126</v>
      </c>
      <c r="E555" s="22" t="s">
        <v>127</v>
      </c>
      <c r="F555" s="243">
        <v>480</v>
      </c>
      <c r="G555" s="111">
        <v>10</v>
      </c>
      <c r="H555" s="131">
        <v>250000</v>
      </c>
      <c r="I555" s="112">
        <f t="shared" si="27"/>
        <v>2500000</v>
      </c>
      <c r="J555" s="366"/>
      <c r="K555" s="366"/>
    </row>
    <row r="556" spans="1:11" x14ac:dyDescent="0.25">
      <c r="A556" s="128"/>
      <c r="B556" s="127">
        <v>45521</v>
      </c>
      <c r="C556" s="109" t="s">
        <v>826</v>
      </c>
      <c r="D556" s="299" t="s">
        <v>124</v>
      </c>
      <c r="E556" s="271" t="s">
        <v>125</v>
      </c>
      <c r="F556" s="243">
        <v>96</v>
      </c>
      <c r="G556" s="111">
        <v>2</v>
      </c>
      <c r="H556" s="131">
        <v>275000</v>
      </c>
      <c r="I556" s="112">
        <f t="shared" si="27"/>
        <v>550000</v>
      </c>
      <c r="J556" s="364">
        <f>I556+I557</f>
        <v>875000</v>
      </c>
      <c r="K556" s="367" t="s">
        <v>825</v>
      </c>
    </row>
    <row r="557" spans="1:11" x14ac:dyDescent="0.25">
      <c r="A557" s="128"/>
      <c r="B557" s="127">
        <v>45521</v>
      </c>
      <c r="C557" s="109" t="s">
        <v>826</v>
      </c>
      <c r="D557" s="21" t="s">
        <v>44</v>
      </c>
      <c r="E557" s="23" t="s">
        <v>45</v>
      </c>
      <c r="F557" s="243">
        <v>48</v>
      </c>
      <c r="G557" s="111">
        <v>1</v>
      </c>
      <c r="H557" s="131">
        <v>325000</v>
      </c>
      <c r="I557" s="112">
        <f t="shared" si="27"/>
        <v>325000</v>
      </c>
      <c r="J557" s="366"/>
      <c r="K557" s="366"/>
    </row>
    <row r="558" spans="1:11" x14ac:dyDescent="0.25">
      <c r="A558" s="128"/>
      <c r="B558" s="127">
        <v>45521</v>
      </c>
      <c r="C558" s="128" t="s">
        <v>928</v>
      </c>
      <c r="D558" s="297" t="s">
        <v>762</v>
      </c>
      <c r="E558" s="275" t="s">
        <v>85</v>
      </c>
      <c r="F558" s="243">
        <v>12</v>
      </c>
      <c r="G558" s="111">
        <v>1</v>
      </c>
      <c r="H558" s="131">
        <v>375000</v>
      </c>
      <c r="I558" s="112">
        <f t="shared" si="27"/>
        <v>375000</v>
      </c>
      <c r="J558" s="113">
        <f>I558</f>
        <v>375000</v>
      </c>
      <c r="K558" s="120" t="s">
        <v>931</v>
      </c>
    </row>
    <row r="559" spans="1:11" x14ac:dyDescent="0.25">
      <c r="A559" s="128"/>
      <c r="B559" s="127">
        <v>45521</v>
      </c>
      <c r="C559" s="128" t="s">
        <v>829</v>
      </c>
      <c r="D559" s="10" t="s">
        <v>174</v>
      </c>
      <c r="E559" s="7" t="s">
        <v>175</v>
      </c>
      <c r="F559" s="243">
        <v>6</v>
      </c>
      <c r="G559" s="111"/>
      <c r="H559" s="131"/>
      <c r="I559" s="112">
        <f t="shared" si="27"/>
        <v>0</v>
      </c>
      <c r="J559" s="113"/>
      <c r="K559" s="120"/>
    </row>
    <row r="560" spans="1:11" x14ac:dyDescent="0.25">
      <c r="A560" s="128"/>
      <c r="B560" s="127">
        <v>45521</v>
      </c>
      <c r="C560" s="128" t="s">
        <v>851</v>
      </c>
      <c r="D560" s="297" t="s">
        <v>762</v>
      </c>
      <c r="E560" s="275" t="s">
        <v>85</v>
      </c>
      <c r="F560" s="243">
        <v>12</v>
      </c>
      <c r="G560" s="111">
        <v>1</v>
      </c>
      <c r="H560" s="131">
        <v>380000</v>
      </c>
      <c r="I560" s="112">
        <f t="shared" si="27"/>
        <v>380000</v>
      </c>
      <c r="J560" s="113">
        <f>I560</f>
        <v>380000</v>
      </c>
      <c r="K560" s="240" t="s">
        <v>825</v>
      </c>
    </row>
    <row r="561" spans="1:11" x14ac:dyDescent="0.25">
      <c r="A561" s="242"/>
      <c r="B561" s="127">
        <v>45521</v>
      </c>
      <c r="C561" s="242" t="s">
        <v>901</v>
      </c>
      <c r="D561" s="21" t="s">
        <v>126</v>
      </c>
      <c r="E561" s="22" t="s">
        <v>127</v>
      </c>
      <c r="F561" s="243">
        <v>480</v>
      </c>
      <c r="G561" s="245">
        <v>10</v>
      </c>
      <c r="H561" s="271">
        <v>250000</v>
      </c>
      <c r="I561" s="247">
        <f t="shared" si="27"/>
        <v>2500000</v>
      </c>
      <c r="J561" s="357">
        <f>I561+I562</f>
        <v>2850000</v>
      </c>
      <c r="K561" s="367"/>
    </row>
    <row r="562" spans="1:11" x14ac:dyDescent="0.25">
      <c r="A562" s="242"/>
      <c r="B562" s="127">
        <v>45521</v>
      </c>
      <c r="C562" s="242" t="s">
        <v>901</v>
      </c>
      <c r="D562" s="21" t="s">
        <v>768</v>
      </c>
      <c r="E562" s="23" t="s">
        <v>67</v>
      </c>
      <c r="F562" s="243">
        <v>12</v>
      </c>
      <c r="G562" s="245">
        <v>1</v>
      </c>
      <c r="H562" s="271">
        <v>350000</v>
      </c>
      <c r="I562" s="247">
        <f t="shared" si="27"/>
        <v>350000</v>
      </c>
      <c r="J562" s="354"/>
      <c r="K562" s="366"/>
    </row>
    <row r="563" spans="1:11" x14ac:dyDescent="0.25">
      <c r="A563" s="128"/>
      <c r="B563" s="127">
        <v>45521</v>
      </c>
      <c r="C563" s="302" t="s">
        <v>775</v>
      </c>
      <c r="D563" s="297" t="s">
        <v>762</v>
      </c>
      <c r="E563" s="275" t="s">
        <v>85</v>
      </c>
      <c r="F563" s="243">
        <v>24</v>
      </c>
      <c r="G563" s="111">
        <v>2</v>
      </c>
      <c r="H563" s="131"/>
      <c r="I563" s="112">
        <f t="shared" si="27"/>
        <v>0</v>
      </c>
      <c r="J563" s="113"/>
      <c r="K563" s="120"/>
    </row>
    <row r="564" spans="1:11" x14ac:dyDescent="0.25">
      <c r="A564" s="128"/>
      <c r="B564" s="127">
        <v>45521</v>
      </c>
      <c r="C564" s="302" t="s">
        <v>775</v>
      </c>
      <c r="D564" s="10" t="s">
        <v>56</v>
      </c>
      <c r="E564" s="7" t="s">
        <v>57</v>
      </c>
      <c r="F564" s="243">
        <v>12</v>
      </c>
      <c r="G564" s="111">
        <v>1</v>
      </c>
      <c r="H564" s="131"/>
      <c r="I564" s="112">
        <f t="shared" si="27"/>
        <v>0</v>
      </c>
      <c r="J564" s="113"/>
      <c r="K564" s="120"/>
    </row>
    <row r="565" spans="1:11" x14ac:dyDescent="0.25">
      <c r="A565" s="128"/>
      <c r="B565" s="127">
        <v>45521</v>
      </c>
      <c r="C565" s="301" t="s">
        <v>777</v>
      </c>
      <c r="D565" s="297" t="s">
        <v>762</v>
      </c>
      <c r="E565" s="275" t="s">
        <v>85</v>
      </c>
      <c r="F565" s="243">
        <v>10</v>
      </c>
      <c r="G565" s="111"/>
      <c r="H565" s="131"/>
      <c r="I565" s="112">
        <f t="shared" si="27"/>
        <v>0</v>
      </c>
      <c r="J565" s="113"/>
      <c r="K565" s="120"/>
    </row>
    <row r="566" spans="1:11" x14ac:dyDescent="0.25">
      <c r="A566" s="128"/>
      <c r="B566" s="127">
        <v>45521</v>
      </c>
      <c r="C566" s="301" t="s">
        <v>777</v>
      </c>
      <c r="D566" s="298" t="s">
        <v>126</v>
      </c>
      <c r="E566" s="251" t="s">
        <v>127</v>
      </c>
      <c r="F566" s="243">
        <v>6</v>
      </c>
      <c r="G566" s="111"/>
      <c r="H566" s="131"/>
      <c r="I566" s="112">
        <f t="shared" si="27"/>
        <v>0</v>
      </c>
      <c r="J566" s="113"/>
      <c r="K566" s="120"/>
    </row>
    <row r="567" spans="1:11" x14ac:dyDescent="0.25">
      <c r="A567" s="128"/>
      <c r="B567" s="127">
        <v>45521</v>
      </c>
      <c r="C567" s="301" t="s">
        <v>834</v>
      </c>
      <c r="D567" s="10" t="s">
        <v>132</v>
      </c>
      <c r="E567" s="9" t="s">
        <v>133</v>
      </c>
      <c r="F567" s="243">
        <v>960</v>
      </c>
      <c r="G567" s="111">
        <v>20</v>
      </c>
      <c r="H567" s="131"/>
      <c r="I567" s="112">
        <f t="shared" si="27"/>
        <v>0</v>
      </c>
      <c r="J567" s="114"/>
      <c r="K567" s="120"/>
    </row>
    <row r="568" spans="1:11" x14ac:dyDescent="0.25">
      <c r="A568" s="128"/>
      <c r="B568" s="127">
        <v>45521</v>
      </c>
      <c r="C568" s="301" t="s">
        <v>779</v>
      </c>
      <c r="D568" s="297" t="s">
        <v>762</v>
      </c>
      <c r="E568" s="275" t="s">
        <v>85</v>
      </c>
      <c r="F568" s="243">
        <v>24</v>
      </c>
      <c r="G568" s="111">
        <v>2</v>
      </c>
      <c r="H568" s="131"/>
      <c r="I568" s="112">
        <f t="shared" si="27"/>
        <v>0</v>
      </c>
      <c r="J568" s="114"/>
      <c r="K568" s="120"/>
    </row>
    <row r="569" spans="1:11" x14ac:dyDescent="0.25">
      <c r="A569" s="128"/>
      <c r="B569" s="127">
        <v>45521</v>
      </c>
      <c r="C569" s="301" t="s">
        <v>779</v>
      </c>
      <c r="D569" s="10" t="s">
        <v>16</v>
      </c>
      <c r="E569" s="7" t="s">
        <v>17</v>
      </c>
      <c r="F569" s="243">
        <v>29</v>
      </c>
      <c r="G569" s="111"/>
      <c r="H569" s="131"/>
      <c r="I569" s="112">
        <f t="shared" si="27"/>
        <v>0</v>
      </c>
      <c r="J569" s="114"/>
      <c r="K569" s="120"/>
    </row>
    <row r="570" spans="1:11" x14ac:dyDescent="0.25">
      <c r="A570" s="128"/>
      <c r="B570" s="127">
        <v>45521</v>
      </c>
      <c r="C570" s="301" t="s">
        <v>849</v>
      </c>
      <c r="D570" s="10" t="s">
        <v>22</v>
      </c>
      <c r="E570" s="7" t="s">
        <v>23</v>
      </c>
      <c r="F570" s="243">
        <v>12</v>
      </c>
      <c r="G570" s="111">
        <v>1</v>
      </c>
      <c r="H570" s="131"/>
      <c r="I570" s="112">
        <f t="shared" si="27"/>
        <v>0</v>
      </c>
      <c r="J570" s="114"/>
      <c r="K570" s="120"/>
    </row>
    <row r="571" spans="1:11" x14ac:dyDescent="0.25">
      <c r="A571" s="128"/>
      <c r="B571" s="127">
        <v>45521</v>
      </c>
      <c r="C571" s="301" t="s">
        <v>849</v>
      </c>
      <c r="D571" s="297" t="s">
        <v>762</v>
      </c>
      <c r="E571" s="275" t="s">
        <v>85</v>
      </c>
      <c r="F571" s="243">
        <v>12</v>
      </c>
      <c r="G571" s="111">
        <v>1</v>
      </c>
      <c r="H571" s="131"/>
      <c r="I571" s="112">
        <f t="shared" si="27"/>
        <v>0</v>
      </c>
      <c r="J571" s="114"/>
      <c r="K571" s="120"/>
    </row>
    <row r="572" spans="1:11" x14ac:dyDescent="0.25">
      <c r="A572" s="128"/>
      <c r="B572" s="127">
        <v>45521</v>
      </c>
      <c r="C572" s="301" t="s">
        <v>849</v>
      </c>
      <c r="D572" s="298" t="s">
        <v>142</v>
      </c>
      <c r="E572" s="251" t="s">
        <v>143</v>
      </c>
      <c r="F572" s="243">
        <v>96</v>
      </c>
      <c r="G572" s="111">
        <v>2</v>
      </c>
      <c r="H572" s="131"/>
      <c r="I572" s="112">
        <f t="shared" si="27"/>
        <v>0</v>
      </c>
      <c r="J572" s="114"/>
      <c r="K572" s="120"/>
    </row>
    <row r="573" spans="1:11" x14ac:dyDescent="0.25">
      <c r="A573" s="128"/>
      <c r="B573" s="127">
        <v>45521</v>
      </c>
      <c r="C573" s="301" t="s">
        <v>785</v>
      </c>
      <c r="D573" s="297" t="s">
        <v>762</v>
      </c>
      <c r="E573" s="275" t="s">
        <v>85</v>
      </c>
      <c r="F573" s="243">
        <v>24</v>
      </c>
      <c r="G573" s="111">
        <v>2</v>
      </c>
      <c r="H573" s="131"/>
      <c r="I573" s="112">
        <f t="shared" si="27"/>
        <v>0</v>
      </c>
      <c r="J573" s="114"/>
      <c r="K573" s="120"/>
    </row>
    <row r="574" spans="1:11" x14ac:dyDescent="0.25">
      <c r="A574" s="128"/>
      <c r="B574" s="127">
        <v>45521</v>
      </c>
      <c r="C574" s="301" t="s">
        <v>835</v>
      </c>
      <c r="D574" s="297" t="s">
        <v>762</v>
      </c>
      <c r="E574" s="275" t="s">
        <v>85</v>
      </c>
      <c r="F574" s="243">
        <v>60</v>
      </c>
      <c r="G574" s="111">
        <v>5</v>
      </c>
      <c r="H574" s="131"/>
      <c r="I574" s="112">
        <f t="shared" si="27"/>
        <v>0</v>
      </c>
      <c r="J574" s="114"/>
      <c r="K574" s="120"/>
    </row>
    <row r="575" spans="1:11" x14ac:dyDescent="0.25">
      <c r="A575" s="128"/>
      <c r="B575" s="127">
        <v>45521</v>
      </c>
      <c r="C575" s="301" t="s">
        <v>848</v>
      </c>
      <c r="D575" s="298" t="s">
        <v>142</v>
      </c>
      <c r="E575" s="251" t="s">
        <v>143</v>
      </c>
      <c r="F575" s="243">
        <v>48</v>
      </c>
      <c r="G575" s="111">
        <v>1</v>
      </c>
      <c r="H575" s="131"/>
      <c r="I575" s="112">
        <f t="shared" si="27"/>
        <v>0</v>
      </c>
      <c r="J575" s="114"/>
      <c r="K575" s="120"/>
    </row>
    <row r="576" spans="1:11" x14ac:dyDescent="0.25">
      <c r="A576" s="128"/>
      <c r="B576" s="127">
        <v>45521</v>
      </c>
      <c r="C576" s="301" t="s">
        <v>780</v>
      </c>
      <c r="D576" s="10" t="s">
        <v>164</v>
      </c>
      <c r="E576" s="9" t="s">
        <v>165</v>
      </c>
      <c r="F576" s="243">
        <v>36</v>
      </c>
      <c r="G576" s="111">
        <v>3</v>
      </c>
      <c r="H576" s="131"/>
      <c r="I576" s="112">
        <f t="shared" si="27"/>
        <v>0</v>
      </c>
      <c r="J576" s="114"/>
      <c r="K576" s="120"/>
    </row>
    <row r="577" spans="1:11" x14ac:dyDescent="0.25">
      <c r="A577" s="128"/>
      <c r="B577" s="127">
        <v>45521</v>
      </c>
      <c r="C577" s="301" t="s">
        <v>780</v>
      </c>
      <c r="D577" s="10" t="s">
        <v>166</v>
      </c>
      <c r="E577" s="9" t="s">
        <v>167</v>
      </c>
      <c r="F577" s="243">
        <v>36</v>
      </c>
      <c r="G577" s="111">
        <v>3</v>
      </c>
      <c r="H577" s="131"/>
      <c r="I577" s="112">
        <f t="shared" si="27"/>
        <v>0</v>
      </c>
      <c r="J577" s="114"/>
      <c r="K577" s="120"/>
    </row>
    <row r="578" spans="1:11" x14ac:dyDescent="0.25">
      <c r="A578" s="128"/>
      <c r="B578" s="127">
        <v>45521</v>
      </c>
      <c r="C578" s="301" t="s">
        <v>780</v>
      </c>
      <c r="D578" s="10" t="s">
        <v>172</v>
      </c>
      <c r="E578" s="9" t="s">
        <v>173</v>
      </c>
      <c r="F578" s="243">
        <v>36</v>
      </c>
      <c r="G578" s="111">
        <v>3</v>
      </c>
      <c r="H578" s="131"/>
      <c r="I578" s="112">
        <f t="shared" si="27"/>
        <v>0</v>
      </c>
      <c r="J578" s="114"/>
      <c r="K578" s="120"/>
    </row>
    <row r="579" spans="1:11" x14ac:dyDescent="0.25">
      <c r="A579" s="128"/>
      <c r="B579" s="127">
        <v>45521</v>
      </c>
      <c r="C579" s="301" t="s">
        <v>780</v>
      </c>
      <c r="D579" s="297" t="s">
        <v>762</v>
      </c>
      <c r="E579" s="275" t="s">
        <v>85</v>
      </c>
      <c r="F579" s="243">
        <v>60</v>
      </c>
      <c r="G579" s="111">
        <v>5</v>
      </c>
      <c r="H579" s="131"/>
      <c r="I579" s="112">
        <f t="shared" si="27"/>
        <v>0</v>
      </c>
      <c r="J579" s="114"/>
      <c r="K579" s="120"/>
    </row>
    <row r="580" spans="1:11" x14ac:dyDescent="0.25">
      <c r="A580" s="128"/>
      <c r="B580" s="127">
        <v>45521</v>
      </c>
      <c r="C580" s="303" t="s">
        <v>836</v>
      </c>
      <c r="D580" s="298" t="s">
        <v>126</v>
      </c>
      <c r="E580" s="251" t="s">
        <v>127</v>
      </c>
      <c r="F580" s="243">
        <f>144+240</f>
        <v>384</v>
      </c>
      <c r="G580" s="111">
        <v>8</v>
      </c>
      <c r="H580" s="131"/>
      <c r="I580" s="112">
        <f t="shared" ref="I580:I649" si="28">G580*H580</f>
        <v>0</v>
      </c>
      <c r="J580" s="113"/>
      <c r="K580" s="120"/>
    </row>
    <row r="581" spans="1:11" x14ac:dyDescent="0.25">
      <c r="A581" s="128"/>
      <c r="B581" s="127">
        <v>45521</v>
      </c>
      <c r="C581" s="303" t="s">
        <v>836</v>
      </c>
      <c r="D581" s="10" t="s">
        <v>172</v>
      </c>
      <c r="E581" s="9" t="s">
        <v>173</v>
      </c>
      <c r="F581" s="243">
        <v>3</v>
      </c>
      <c r="G581" s="111"/>
      <c r="H581" s="131"/>
      <c r="I581" s="112">
        <f t="shared" si="28"/>
        <v>0</v>
      </c>
      <c r="J581" s="114"/>
      <c r="K581" s="120"/>
    </row>
    <row r="582" spans="1:11" x14ac:dyDescent="0.25">
      <c r="A582" s="128"/>
      <c r="B582" s="127">
        <v>45521</v>
      </c>
      <c r="C582" s="303" t="s">
        <v>836</v>
      </c>
      <c r="D582" s="10" t="s">
        <v>22</v>
      </c>
      <c r="E582" s="7" t="s">
        <v>23</v>
      </c>
      <c r="F582" s="243">
        <v>120</v>
      </c>
      <c r="G582" s="111">
        <v>10</v>
      </c>
      <c r="H582" s="131"/>
      <c r="I582" s="112">
        <f t="shared" si="28"/>
        <v>0</v>
      </c>
      <c r="J582" s="114"/>
      <c r="K582" s="120"/>
    </row>
    <row r="583" spans="1:11" x14ac:dyDescent="0.25">
      <c r="A583" s="128"/>
      <c r="B583" s="127">
        <v>45521</v>
      </c>
      <c r="C583" s="301" t="s">
        <v>844</v>
      </c>
      <c r="D583" s="298" t="s">
        <v>142</v>
      </c>
      <c r="E583" s="251" t="s">
        <v>143</v>
      </c>
      <c r="F583" s="243">
        <v>144</v>
      </c>
      <c r="G583" s="111">
        <v>3</v>
      </c>
      <c r="H583" s="131"/>
      <c r="I583" s="112">
        <f t="shared" si="28"/>
        <v>0</v>
      </c>
      <c r="J583" s="114"/>
      <c r="K583" s="120"/>
    </row>
    <row r="584" spans="1:11" x14ac:dyDescent="0.25">
      <c r="A584" s="242"/>
      <c r="B584" s="252">
        <v>45522</v>
      </c>
      <c r="C584" s="109" t="s">
        <v>852</v>
      </c>
      <c r="D584" s="297" t="s">
        <v>762</v>
      </c>
      <c r="E584" s="275" t="s">
        <v>85</v>
      </c>
      <c r="F584" s="243">
        <v>120</v>
      </c>
      <c r="G584" s="245">
        <v>10</v>
      </c>
      <c r="H584" s="246">
        <v>360000</v>
      </c>
      <c r="I584" s="247">
        <f t="shared" si="28"/>
        <v>3600000</v>
      </c>
      <c r="J584" s="248">
        <f>I584</f>
        <v>3600000</v>
      </c>
      <c r="K584" s="124" t="s">
        <v>954</v>
      </c>
    </row>
    <row r="585" spans="1:11" x14ac:dyDescent="0.25">
      <c r="A585" s="242"/>
      <c r="B585" s="252">
        <v>45522</v>
      </c>
      <c r="C585" s="109" t="s">
        <v>860</v>
      </c>
      <c r="D585" s="297" t="s">
        <v>762</v>
      </c>
      <c r="E585" s="275" t="s">
        <v>85</v>
      </c>
      <c r="F585" s="243">
        <v>12</v>
      </c>
      <c r="G585" s="245">
        <v>1</v>
      </c>
      <c r="H585" s="246">
        <v>375000</v>
      </c>
      <c r="I585" s="247">
        <f t="shared" si="28"/>
        <v>375000</v>
      </c>
      <c r="J585" s="248">
        <f>I585</f>
        <v>375000</v>
      </c>
      <c r="K585" s="316" t="s">
        <v>825</v>
      </c>
    </row>
    <row r="586" spans="1:11" x14ac:dyDescent="0.25">
      <c r="A586" s="128"/>
      <c r="B586" s="252">
        <v>45522</v>
      </c>
      <c r="C586" s="301" t="s">
        <v>779</v>
      </c>
      <c r="D586" s="298" t="s">
        <v>126</v>
      </c>
      <c r="E586" s="251" t="s">
        <v>127</v>
      </c>
      <c r="F586" s="243">
        <v>48</v>
      </c>
      <c r="G586" s="111">
        <v>1</v>
      </c>
      <c r="H586" s="131"/>
      <c r="I586" s="247">
        <f t="shared" si="28"/>
        <v>0</v>
      </c>
      <c r="J586" s="113"/>
      <c r="K586" s="120"/>
    </row>
    <row r="587" spans="1:11" x14ac:dyDescent="0.25">
      <c r="A587" s="128"/>
      <c r="B587" s="252">
        <v>45522</v>
      </c>
      <c r="C587" s="301" t="s">
        <v>777</v>
      </c>
      <c r="D587" s="297" t="s">
        <v>762</v>
      </c>
      <c r="E587" s="275" t="s">
        <v>85</v>
      </c>
      <c r="F587" s="243">
        <v>24</v>
      </c>
      <c r="G587" s="111">
        <v>2</v>
      </c>
      <c r="H587" s="131"/>
      <c r="I587" s="247">
        <f t="shared" si="28"/>
        <v>0</v>
      </c>
      <c r="J587" s="114"/>
      <c r="K587" s="120"/>
    </row>
    <row r="588" spans="1:11" x14ac:dyDescent="0.25">
      <c r="A588" s="128"/>
      <c r="B588" s="252">
        <v>45522</v>
      </c>
      <c r="C588" s="301" t="s">
        <v>777</v>
      </c>
      <c r="D588" s="298" t="s">
        <v>126</v>
      </c>
      <c r="E588" s="251" t="s">
        <v>127</v>
      </c>
      <c r="F588" s="243">
        <v>12</v>
      </c>
      <c r="G588" s="111"/>
      <c r="H588" s="131"/>
      <c r="I588" s="112">
        <f t="shared" si="28"/>
        <v>0</v>
      </c>
      <c r="J588" s="114"/>
      <c r="K588" s="120"/>
    </row>
    <row r="589" spans="1:11" x14ac:dyDescent="0.25">
      <c r="A589" s="128"/>
      <c r="B589" s="252">
        <v>45522</v>
      </c>
      <c r="C589" s="303" t="s">
        <v>836</v>
      </c>
      <c r="D589" s="299" t="s">
        <v>86</v>
      </c>
      <c r="E589" s="271" t="s">
        <v>87</v>
      </c>
      <c r="F589" s="243">
        <v>12</v>
      </c>
      <c r="G589" s="111">
        <v>1</v>
      </c>
      <c r="H589" s="131"/>
      <c r="I589" s="112">
        <f t="shared" si="28"/>
        <v>0</v>
      </c>
      <c r="J589" s="114"/>
      <c r="K589" s="120"/>
    </row>
    <row r="590" spans="1:11" x14ac:dyDescent="0.25">
      <c r="A590" s="242"/>
      <c r="B590" s="252">
        <v>45522</v>
      </c>
      <c r="C590" s="303" t="s">
        <v>836</v>
      </c>
      <c r="D590" s="10" t="s">
        <v>164</v>
      </c>
      <c r="E590" s="9" t="s">
        <v>165</v>
      </c>
      <c r="F590" s="243">
        <v>24</v>
      </c>
      <c r="G590" s="111">
        <v>2</v>
      </c>
      <c r="H590" s="246"/>
      <c r="I590" s="247"/>
      <c r="J590" s="276"/>
      <c r="K590" s="318"/>
    </row>
    <row r="591" spans="1:11" x14ac:dyDescent="0.25">
      <c r="A591" s="242"/>
      <c r="B591" s="252">
        <v>45522</v>
      </c>
      <c r="C591" s="303" t="s">
        <v>836</v>
      </c>
      <c r="D591" s="10" t="s">
        <v>172</v>
      </c>
      <c r="E591" s="9" t="s">
        <v>173</v>
      </c>
      <c r="F591" s="243">
        <v>24</v>
      </c>
      <c r="G591" s="111">
        <v>2</v>
      </c>
      <c r="H591" s="246"/>
      <c r="I591" s="247"/>
      <c r="J591" s="276"/>
      <c r="K591" s="318"/>
    </row>
    <row r="592" spans="1:11" x14ac:dyDescent="0.25">
      <c r="A592" s="128"/>
      <c r="B592" s="252">
        <v>45522</v>
      </c>
      <c r="C592" s="301" t="s">
        <v>835</v>
      </c>
      <c r="D592" s="297" t="s">
        <v>762</v>
      </c>
      <c r="E592" s="275" t="s">
        <v>85</v>
      </c>
      <c r="F592" s="243">
        <f>7*12</f>
        <v>84</v>
      </c>
      <c r="G592" s="111">
        <v>7</v>
      </c>
      <c r="H592" s="131"/>
      <c r="I592" s="112">
        <f t="shared" si="28"/>
        <v>0</v>
      </c>
      <c r="J592" s="114"/>
      <c r="K592" s="120"/>
    </row>
    <row r="593" spans="1:11" x14ac:dyDescent="0.25">
      <c r="A593" s="128"/>
      <c r="B593" s="252">
        <v>45522</v>
      </c>
      <c r="C593" s="302" t="s">
        <v>775</v>
      </c>
      <c r="D593" s="10" t="s">
        <v>124</v>
      </c>
      <c r="E593" s="9" t="s">
        <v>125</v>
      </c>
      <c r="F593" s="243">
        <v>288</v>
      </c>
      <c r="G593" s="111">
        <v>6</v>
      </c>
      <c r="H593" s="131"/>
      <c r="I593" s="112">
        <f t="shared" si="28"/>
        <v>0</v>
      </c>
      <c r="J593" s="114"/>
      <c r="K593" s="120"/>
    </row>
    <row r="594" spans="1:11" x14ac:dyDescent="0.25">
      <c r="A594" s="128"/>
      <c r="B594" s="252">
        <v>45522</v>
      </c>
      <c r="C594" s="302" t="s">
        <v>856</v>
      </c>
      <c r="D594" s="297" t="s">
        <v>762</v>
      </c>
      <c r="E594" s="275" t="s">
        <v>85</v>
      </c>
      <c r="F594" s="243">
        <v>24</v>
      </c>
      <c r="G594" s="111">
        <v>2</v>
      </c>
      <c r="H594" s="131"/>
      <c r="I594" s="112">
        <f t="shared" si="28"/>
        <v>0</v>
      </c>
      <c r="J594" s="114"/>
      <c r="K594" s="120"/>
    </row>
    <row r="595" spans="1:11" x14ac:dyDescent="0.25">
      <c r="A595" s="128"/>
      <c r="B595" s="132">
        <v>45523</v>
      </c>
      <c r="C595" s="109" t="s">
        <v>877</v>
      </c>
      <c r="D595" s="10" t="s">
        <v>12</v>
      </c>
      <c r="E595" s="7" t="s">
        <v>13</v>
      </c>
      <c r="F595" s="243">
        <v>96</v>
      </c>
      <c r="G595" s="111">
        <v>2</v>
      </c>
      <c r="H595" s="319">
        <f>1173000*1.02</f>
        <v>1196460</v>
      </c>
      <c r="I595" s="112">
        <f t="shared" si="28"/>
        <v>2392920</v>
      </c>
      <c r="J595" s="364">
        <f>I595+I596</f>
        <v>2716920</v>
      </c>
      <c r="K595" s="367"/>
    </row>
    <row r="596" spans="1:11" x14ac:dyDescent="0.25">
      <c r="A596" s="128"/>
      <c r="B596" s="132">
        <v>45523</v>
      </c>
      <c r="C596" s="109" t="s">
        <v>877</v>
      </c>
      <c r="D596" s="21" t="s">
        <v>44</v>
      </c>
      <c r="E596" s="23" t="s">
        <v>45</v>
      </c>
      <c r="F596" s="243">
        <v>48</v>
      </c>
      <c r="G596" s="111">
        <v>1</v>
      </c>
      <c r="H596" s="131">
        <v>324000</v>
      </c>
      <c r="I596" s="112">
        <f t="shared" si="28"/>
        <v>324000</v>
      </c>
      <c r="J596" s="366"/>
      <c r="K596" s="366"/>
    </row>
    <row r="597" spans="1:11" x14ac:dyDescent="0.25">
      <c r="A597" s="128"/>
      <c r="B597" s="132">
        <v>45523</v>
      </c>
      <c r="C597" s="109" t="s">
        <v>828</v>
      </c>
      <c r="D597" s="10" t="s">
        <v>22</v>
      </c>
      <c r="E597" s="7" t="s">
        <v>23</v>
      </c>
      <c r="F597" s="243">
        <v>24</v>
      </c>
      <c r="G597" s="111">
        <v>2</v>
      </c>
      <c r="H597" s="131">
        <v>720000</v>
      </c>
      <c r="I597" s="112">
        <f t="shared" si="28"/>
        <v>1440000</v>
      </c>
      <c r="J597" s="113">
        <f>I597</f>
        <v>1440000</v>
      </c>
      <c r="K597" s="120"/>
    </row>
    <row r="598" spans="1:11" x14ac:dyDescent="0.25">
      <c r="A598" s="128"/>
      <c r="B598" s="132">
        <v>45523</v>
      </c>
      <c r="C598" s="109" t="s">
        <v>847</v>
      </c>
      <c r="D598" s="10" t="s">
        <v>22</v>
      </c>
      <c r="E598" s="7" t="s">
        <v>23</v>
      </c>
      <c r="F598" s="243">
        <v>24</v>
      </c>
      <c r="G598" s="111">
        <v>2</v>
      </c>
      <c r="H598" s="131">
        <v>715000</v>
      </c>
      <c r="I598" s="112">
        <f t="shared" si="28"/>
        <v>1430000</v>
      </c>
      <c r="J598" s="364">
        <f>I598+I599</f>
        <v>2170000</v>
      </c>
      <c r="K598" s="367"/>
    </row>
    <row r="599" spans="1:11" x14ac:dyDescent="0.25">
      <c r="A599" s="128"/>
      <c r="B599" s="132">
        <v>45523</v>
      </c>
      <c r="C599" s="109" t="s">
        <v>847</v>
      </c>
      <c r="D599" s="297" t="s">
        <v>762</v>
      </c>
      <c r="E599" s="275" t="s">
        <v>85</v>
      </c>
      <c r="F599" s="243">
        <v>24</v>
      </c>
      <c r="G599" s="111">
        <v>2</v>
      </c>
      <c r="H599" s="131">
        <v>370000</v>
      </c>
      <c r="I599" s="112">
        <f t="shared" si="28"/>
        <v>740000</v>
      </c>
      <c r="J599" s="366"/>
      <c r="K599" s="366"/>
    </row>
    <row r="600" spans="1:11" ht="15.75" x14ac:dyDescent="0.25">
      <c r="A600" s="128"/>
      <c r="B600" s="132">
        <v>45523</v>
      </c>
      <c r="C600" s="109" t="s">
        <v>913</v>
      </c>
      <c r="D600" s="15" t="s">
        <v>212</v>
      </c>
      <c r="E600" s="31" t="s">
        <v>213</v>
      </c>
      <c r="F600" s="243">
        <v>2</v>
      </c>
      <c r="G600" s="111"/>
      <c r="H600" s="131">
        <v>30000</v>
      </c>
      <c r="I600" s="112">
        <v>60000</v>
      </c>
      <c r="J600" s="113">
        <f>I600</f>
        <v>60000</v>
      </c>
      <c r="K600" s="120"/>
    </row>
    <row r="601" spans="1:11" x14ac:dyDescent="0.25">
      <c r="A601" s="128"/>
      <c r="B601" s="132">
        <v>45523</v>
      </c>
      <c r="C601" s="109" t="s">
        <v>826</v>
      </c>
      <c r="D601" s="10" t="s">
        <v>124</v>
      </c>
      <c r="E601" s="9" t="s">
        <v>125</v>
      </c>
      <c r="F601" s="243">
        <v>240</v>
      </c>
      <c r="G601" s="111">
        <v>5</v>
      </c>
      <c r="H601" s="131">
        <v>275000</v>
      </c>
      <c r="I601" s="112">
        <f t="shared" si="28"/>
        <v>1375000</v>
      </c>
      <c r="J601" s="364">
        <f>I601+I602</f>
        <v>2065000</v>
      </c>
      <c r="K601" s="367"/>
    </row>
    <row r="602" spans="1:11" x14ac:dyDescent="0.25">
      <c r="A602" s="128"/>
      <c r="B602" s="132">
        <v>45523</v>
      </c>
      <c r="C602" s="109" t="s">
        <v>826</v>
      </c>
      <c r="D602" s="21" t="s">
        <v>765</v>
      </c>
      <c r="E602" s="22" t="s">
        <v>75</v>
      </c>
      <c r="F602" s="243">
        <v>96</v>
      </c>
      <c r="G602" s="111">
        <v>2</v>
      </c>
      <c r="H602" s="131">
        <v>345000</v>
      </c>
      <c r="I602" s="112">
        <f t="shared" si="28"/>
        <v>690000</v>
      </c>
      <c r="J602" s="366"/>
      <c r="K602" s="366"/>
    </row>
    <row r="603" spans="1:11" x14ac:dyDescent="0.25">
      <c r="A603" s="128"/>
      <c r="B603" s="132">
        <v>45523</v>
      </c>
      <c r="C603" s="109" t="s">
        <v>935</v>
      </c>
      <c r="D603" s="257" t="s">
        <v>934</v>
      </c>
      <c r="E603" s="9" t="s">
        <v>933</v>
      </c>
      <c r="F603" s="243">
        <v>96</v>
      </c>
      <c r="G603" s="111">
        <v>2</v>
      </c>
      <c r="H603" s="131">
        <v>420000</v>
      </c>
      <c r="I603" s="112">
        <f t="shared" si="28"/>
        <v>840000</v>
      </c>
      <c r="J603" s="113">
        <f>I603</f>
        <v>840000</v>
      </c>
      <c r="K603" s="120" t="s">
        <v>825</v>
      </c>
    </row>
    <row r="604" spans="1:11" x14ac:dyDescent="0.25">
      <c r="A604" s="242"/>
      <c r="B604" s="132">
        <v>45523</v>
      </c>
      <c r="C604" s="243" t="s">
        <v>827</v>
      </c>
      <c r="D604" s="298" t="s">
        <v>142</v>
      </c>
      <c r="E604" s="251" t="s">
        <v>143</v>
      </c>
      <c r="F604" s="243">
        <v>480</v>
      </c>
      <c r="G604" s="245">
        <v>10</v>
      </c>
      <c r="H604" s="246">
        <v>260000</v>
      </c>
      <c r="I604" s="247">
        <f t="shared" si="28"/>
        <v>2600000</v>
      </c>
      <c r="J604" s="248">
        <f>I604</f>
        <v>2600000</v>
      </c>
      <c r="K604" s="320" t="s">
        <v>936</v>
      </c>
    </row>
    <row r="605" spans="1:11" x14ac:dyDescent="0.25">
      <c r="A605" s="128"/>
      <c r="B605" s="132">
        <v>45523</v>
      </c>
      <c r="C605" s="109" t="s">
        <v>913</v>
      </c>
      <c r="D605" s="297" t="s">
        <v>762</v>
      </c>
      <c r="E605" s="275" t="s">
        <v>85</v>
      </c>
      <c r="F605" s="243">
        <v>24</v>
      </c>
      <c r="G605" s="111">
        <v>2</v>
      </c>
      <c r="H605" s="131">
        <v>370000</v>
      </c>
      <c r="I605" s="112">
        <f t="shared" si="28"/>
        <v>740000</v>
      </c>
      <c r="J605" s="113">
        <f>I605</f>
        <v>740000</v>
      </c>
      <c r="K605" s="120"/>
    </row>
    <row r="606" spans="1:11" x14ac:dyDescent="0.25">
      <c r="A606" s="128"/>
      <c r="B606" s="132">
        <v>45523</v>
      </c>
      <c r="C606" s="301" t="s">
        <v>780</v>
      </c>
      <c r="D606" s="298" t="s">
        <v>142</v>
      </c>
      <c r="E606" s="251" t="s">
        <v>143</v>
      </c>
      <c r="F606" s="243">
        <f>6*48</f>
        <v>288</v>
      </c>
      <c r="G606" s="111">
        <v>6</v>
      </c>
      <c r="H606" s="131"/>
      <c r="I606" s="112">
        <f t="shared" si="28"/>
        <v>0</v>
      </c>
      <c r="J606" s="114"/>
      <c r="K606" s="120"/>
    </row>
    <row r="607" spans="1:11" x14ac:dyDescent="0.25">
      <c r="A607" s="128"/>
      <c r="B607" s="132">
        <v>45523</v>
      </c>
      <c r="C607" s="301" t="s">
        <v>848</v>
      </c>
      <c r="D607" s="297" t="s">
        <v>762</v>
      </c>
      <c r="E607" s="275" t="s">
        <v>85</v>
      </c>
      <c r="F607" s="243">
        <v>24</v>
      </c>
      <c r="G607" s="111">
        <v>2</v>
      </c>
      <c r="H607" s="131"/>
      <c r="I607" s="112">
        <f t="shared" si="28"/>
        <v>0</v>
      </c>
      <c r="J607" s="114"/>
      <c r="K607" s="120"/>
    </row>
    <row r="608" spans="1:11" x14ac:dyDescent="0.25">
      <c r="A608" s="242"/>
      <c r="B608" s="132">
        <v>45523</v>
      </c>
      <c r="C608" s="301" t="s">
        <v>778</v>
      </c>
      <c r="D608" s="298" t="s">
        <v>142</v>
      </c>
      <c r="E608" s="251" t="s">
        <v>143</v>
      </c>
      <c r="F608" s="243">
        <v>96</v>
      </c>
      <c r="G608" s="245">
        <v>2</v>
      </c>
      <c r="H608" s="246"/>
      <c r="I608" s="247">
        <f t="shared" si="28"/>
        <v>0</v>
      </c>
      <c r="J608" s="276"/>
      <c r="K608" s="320"/>
    </row>
    <row r="609" spans="1:11" x14ac:dyDescent="0.25">
      <c r="A609" s="128"/>
      <c r="B609" s="132">
        <v>45523</v>
      </c>
      <c r="C609" s="303" t="s">
        <v>836</v>
      </c>
      <c r="D609" s="21" t="s">
        <v>44</v>
      </c>
      <c r="E609" s="23" t="s">
        <v>45</v>
      </c>
      <c r="F609" s="243">
        <v>10</v>
      </c>
      <c r="G609" s="111"/>
      <c r="H609" s="131"/>
      <c r="I609" s="112">
        <f t="shared" si="28"/>
        <v>0</v>
      </c>
      <c r="J609" s="114"/>
      <c r="K609" s="120"/>
    </row>
    <row r="610" spans="1:11" x14ac:dyDescent="0.25">
      <c r="A610" s="128"/>
      <c r="B610" s="132">
        <v>45523</v>
      </c>
      <c r="C610" s="303" t="s">
        <v>836</v>
      </c>
      <c r="D610" s="10" t="s">
        <v>172</v>
      </c>
      <c r="E610" s="9" t="s">
        <v>173</v>
      </c>
      <c r="F610" s="243">
        <v>4</v>
      </c>
      <c r="G610" s="111"/>
      <c r="H610" s="131"/>
      <c r="I610" s="112">
        <f t="shared" si="28"/>
        <v>0</v>
      </c>
      <c r="J610" s="114"/>
      <c r="K610" s="120"/>
    </row>
    <row r="611" spans="1:11" x14ac:dyDescent="0.25">
      <c r="A611" s="128"/>
      <c r="B611" s="132">
        <v>45523</v>
      </c>
      <c r="C611" s="303" t="s">
        <v>836</v>
      </c>
      <c r="D611" s="21" t="s">
        <v>763</v>
      </c>
      <c r="E611" s="22" t="s">
        <v>83</v>
      </c>
      <c r="F611" s="243">
        <v>12</v>
      </c>
      <c r="G611" s="111"/>
      <c r="H611" s="131"/>
      <c r="I611" s="112">
        <f t="shared" si="28"/>
        <v>0</v>
      </c>
      <c r="J611" s="113"/>
      <c r="K611" s="120"/>
    </row>
    <row r="612" spans="1:11" x14ac:dyDescent="0.25">
      <c r="A612" s="128"/>
      <c r="B612" s="132">
        <v>45523</v>
      </c>
      <c r="C612" s="303" t="s">
        <v>836</v>
      </c>
      <c r="D612" s="10" t="s">
        <v>86</v>
      </c>
      <c r="E612" s="9" t="s">
        <v>87</v>
      </c>
      <c r="F612" s="243">
        <v>24</v>
      </c>
      <c r="G612" s="111">
        <v>2</v>
      </c>
      <c r="H612" s="131"/>
      <c r="I612" s="112">
        <f t="shared" si="28"/>
        <v>0</v>
      </c>
      <c r="J612" s="114"/>
      <c r="K612" s="120"/>
    </row>
    <row r="613" spans="1:11" x14ac:dyDescent="0.25">
      <c r="A613" s="128"/>
      <c r="B613" s="252">
        <v>45524</v>
      </c>
      <c r="C613" s="128" t="s">
        <v>877</v>
      </c>
      <c r="D613" s="21" t="s">
        <v>20</v>
      </c>
      <c r="E613" s="23" t="s">
        <v>21</v>
      </c>
      <c r="F613" s="243">
        <f>18*24</f>
        <v>432</v>
      </c>
      <c r="G613" s="111">
        <v>18</v>
      </c>
      <c r="H613" s="131">
        <v>432000</v>
      </c>
      <c r="I613" s="112">
        <f t="shared" si="28"/>
        <v>7776000</v>
      </c>
      <c r="J613" s="364">
        <f>SUM(I613:I615)</f>
        <v>41436000</v>
      </c>
      <c r="K613" s="367"/>
    </row>
    <row r="614" spans="1:11" x14ac:dyDescent="0.25">
      <c r="A614" s="128"/>
      <c r="B614" s="252">
        <v>45524</v>
      </c>
      <c r="C614" s="128" t="s">
        <v>877</v>
      </c>
      <c r="D614" s="21" t="s">
        <v>40</v>
      </c>
      <c r="E614" s="23" t="s">
        <v>41</v>
      </c>
      <c r="F614" s="243">
        <f>67*48</f>
        <v>3216</v>
      </c>
      <c r="G614" s="111">
        <v>67</v>
      </c>
      <c r="H614" s="131">
        <v>320000</v>
      </c>
      <c r="I614" s="112">
        <f t="shared" si="28"/>
        <v>21440000</v>
      </c>
      <c r="J614" s="365"/>
      <c r="K614" s="365"/>
    </row>
    <row r="615" spans="1:11" x14ac:dyDescent="0.25">
      <c r="A615" s="128"/>
      <c r="B615" s="252">
        <v>45524</v>
      </c>
      <c r="C615" s="128" t="s">
        <v>877</v>
      </c>
      <c r="D615" s="21" t="s">
        <v>142</v>
      </c>
      <c r="E615" s="22" t="s">
        <v>143</v>
      </c>
      <c r="F615" s="243">
        <f>47*48</f>
        <v>2256</v>
      </c>
      <c r="G615" s="111">
        <v>47</v>
      </c>
      <c r="H615" s="131">
        <v>260000</v>
      </c>
      <c r="I615" s="112">
        <f t="shared" si="28"/>
        <v>12220000</v>
      </c>
      <c r="J615" s="366"/>
      <c r="K615" s="366"/>
    </row>
    <row r="616" spans="1:11" x14ac:dyDescent="0.25">
      <c r="A616" s="128"/>
      <c r="B616" s="252">
        <v>45524</v>
      </c>
      <c r="C616" s="128" t="s">
        <v>901</v>
      </c>
      <c r="D616" s="21" t="s">
        <v>768</v>
      </c>
      <c r="E616" s="23" t="s">
        <v>67</v>
      </c>
      <c r="F616" s="243">
        <v>48</v>
      </c>
      <c r="G616" s="111">
        <v>4</v>
      </c>
      <c r="H616" s="131">
        <v>350000</v>
      </c>
      <c r="I616" s="112">
        <f t="shared" si="28"/>
        <v>1400000</v>
      </c>
      <c r="J616" s="113">
        <f>I616</f>
        <v>1400000</v>
      </c>
      <c r="K616" s="120"/>
    </row>
    <row r="617" spans="1:11" x14ac:dyDescent="0.25">
      <c r="A617" s="128"/>
      <c r="B617" s="252">
        <v>45524</v>
      </c>
      <c r="C617" s="109" t="s">
        <v>853</v>
      </c>
      <c r="D617" s="21" t="s">
        <v>34</v>
      </c>
      <c r="E617" s="23" t="s">
        <v>35</v>
      </c>
      <c r="F617" s="243">
        <v>180</v>
      </c>
      <c r="G617" s="111">
        <v>1</v>
      </c>
      <c r="H617" s="131">
        <v>787320</v>
      </c>
      <c r="I617" s="112">
        <f t="shared" si="28"/>
        <v>787320</v>
      </c>
      <c r="J617" s="364">
        <f>SUM(I617:I620)</f>
        <v>7087320</v>
      </c>
      <c r="K617" s="367"/>
    </row>
    <row r="618" spans="1:11" x14ac:dyDescent="0.25">
      <c r="A618" s="128"/>
      <c r="B618" s="252">
        <v>45524</v>
      </c>
      <c r="C618" s="109" t="s">
        <v>853</v>
      </c>
      <c r="D618" s="21" t="s">
        <v>765</v>
      </c>
      <c r="E618" s="22" t="s">
        <v>75</v>
      </c>
      <c r="F618" s="243">
        <v>480</v>
      </c>
      <c r="G618" s="111">
        <v>10</v>
      </c>
      <c r="H618" s="131">
        <v>345000</v>
      </c>
      <c r="I618" s="112">
        <f t="shared" si="28"/>
        <v>3450000</v>
      </c>
      <c r="J618" s="365"/>
      <c r="K618" s="365"/>
    </row>
    <row r="619" spans="1:11" x14ac:dyDescent="0.25">
      <c r="A619" s="128"/>
      <c r="B619" s="252">
        <v>45524</v>
      </c>
      <c r="C619" s="109" t="s">
        <v>853</v>
      </c>
      <c r="D619" s="21" t="s">
        <v>766</v>
      </c>
      <c r="E619" s="22" t="s">
        <v>77</v>
      </c>
      <c r="F619" s="243">
        <v>240</v>
      </c>
      <c r="G619" s="111">
        <v>5</v>
      </c>
      <c r="H619" s="131">
        <v>225000</v>
      </c>
      <c r="I619" s="112">
        <f t="shared" si="28"/>
        <v>1125000</v>
      </c>
      <c r="J619" s="365"/>
      <c r="K619" s="365"/>
    </row>
    <row r="620" spans="1:11" x14ac:dyDescent="0.25">
      <c r="A620" s="128"/>
      <c r="B620" s="252">
        <v>45524</v>
      </c>
      <c r="C620" s="109" t="s">
        <v>853</v>
      </c>
      <c r="D620" s="21" t="s">
        <v>763</v>
      </c>
      <c r="E620" s="22" t="s">
        <v>83</v>
      </c>
      <c r="F620" s="243">
        <v>240</v>
      </c>
      <c r="G620" s="111">
        <v>5</v>
      </c>
      <c r="H620" s="131">
        <v>345000</v>
      </c>
      <c r="I620" s="112">
        <f t="shared" si="28"/>
        <v>1725000</v>
      </c>
      <c r="J620" s="366"/>
      <c r="K620" s="366"/>
    </row>
    <row r="621" spans="1:11" x14ac:dyDescent="0.25">
      <c r="A621" s="128"/>
      <c r="B621" s="252">
        <v>45524</v>
      </c>
      <c r="C621" s="109" t="s">
        <v>875</v>
      </c>
      <c r="D621" s="10" t="s">
        <v>22</v>
      </c>
      <c r="E621" s="7" t="s">
        <v>23</v>
      </c>
      <c r="F621" s="243">
        <v>12</v>
      </c>
      <c r="G621" s="111">
        <v>1</v>
      </c>
      <c r="H621" s="131">
        <v>740000</v>
      </c>
      <c r="I621" s="112">
        <f t="shared" si="28"/>
        <v>740000</v>
      </c>
      <c r="J621" s="364">
        <f>SUM(I621:I623)</f>
        <v>1191000</v>
      </c>
      <c r="K621" s="367" t="s">
        <v>947</v>
      </c>
    </row>
    <row r="622" spans="1:11" x14ac:dyDescent="0.25">
      <c r="A622" s="128"/>
      <c r="B622" s="252">
        <v>45524</v>
      </c>
      <c r="C622" s="109" t="s">
        <v>875</v>
      </c>
      <c r="D622" s="298" t="s">
        <v>142</v>
      </c>
      <c r="E622" s="251" t="s">
        <v>143</v>
      </c>
      <c r="F622" s="243">
        <v>48</v>
      </c>
      <c r="G622" s="111">
        <v>1</v>
      </c>
      <c r="H622" s="131">
        <v>265000</v>
      </c>
      <c r="I622" s="112">
        <f t="shared" si="28"/>
        <v>265000</v>
      </c>
      <c r="J622" s="365"/>
      <c r="K622" s="365"/>
    </row>
    <row r="623" spans="1:11" x14ac:dyDescent="0.25">
      <c r="A623" s="128"/>
      <c r="B623" s="252">
        <v>45524</v>
      </c>
      <c r="C623" s="109" t="s">
        <v>875</v>
      </c>
      <c r="D623" s="297" t="s">
        <v>762</v>
      </c>
      <c r="E623" s="275" t="s">
        <v>85</v>
      </c>
      <c r="F623" s="243">
        <v>6</v>
      </c>
      <c r="G623" s="111"/>
      <c r="H623" s="131">
        <v>31000</v>
      </c>
      <c r="I623" s="112">
        <f>H623*6</f>
        <v>186000</v>
      </c>
      <c r="J623" s="366"/>
      <c r="K623" s="366"/>
    </row>
    <row r="624" spans="1:11" x14ac:dyDescent="0.25">
      <c r="A624" s="128"/>
      <c r="B624" s="252">
        <v>45524</v>
      </c>
      <c r="C624" s="109" t="s">
        <v>859</v>
      </c>
      <c r="D624" s="297" t="s">
        <v>762</v>
      </c>
      <c r="E624" s="275" t="s">
        <v>85</v>
      </c>
      <c r="F624" s="243">
        <f>15*12</f>
        <v>180</v>
      </c>
      <c r="G624" s="111">
        <v>15</v>
      </c>
      <c r="H624" s="131">
        <v>360000</v>
      </c>
      <c r="I624" s="112">
        <f t="shared" si="28"/>
        <v>5400000</v>
      </c>
      <c r="J624" s="113">
        <f>I624</f>
        <v>5400000</v>
      </c>
      <c r="K624" s="120"/>
    </row>
    <row r="625" spans="1:11" x14ac:dyDescent="0.25">
      <c r="A625" s="128"/>
      <c r="B625" s="252">
        <v>45524</v>
      </c>
      <c r="C625" s="109" t="s">
        <v>851</v>
      </c>
      <c r="D625" s="297" t="s">
        <v>762</v>
      </c>
      <c r="E625" s="275" t="s">
        <v>85</v>
      </c>
      <c r="F625" s="243">
        <v>12</v>
      </c>
      <c r="G625" s="111">
        <v>1</v>
      </c>
      <c r="H625" s="131">
        <v>380000</v>
      </c>
      <c r="I625" s="112">
        <f t="shared" si="28"/>
        <v>380000</v>
      </c>
      <c r="J625" s="113">
        <f>I625</f>
        <v>380000</v>
      </c>
      <c r="K625" s="240" t="s">
        <v>825</v>
      </c>
    </row>
    <row r="626" spans="1:11" x14ac:dyDescent="0.25">
      <c r="A626" s="128"/>
      <c r="B626" s="252">
        <v>45524</v>
      </c>
      <c r="C626" s="109" t="s">
        <v>839</v>
      </c>
      <c r="D626" s="298" t="s">
        <v>126</v>
      </c>
      <c r="E626" s="251" t="s">
        <v>127</v>
      </c>
      <c r="F626" s="243">
        <v>480</v>
      </c>
      <c r="G626" s="111">
        <v>10</v>
      </c>
      <c r="H626" s="131">
        <v>250000</v>
      </c>
      <c r="I626" s="112">
        <f t="shared" si="28"/>
        <v>2500000</v>
      </c>
      <c r="J626" s="113">
        <f>I626</f>
        <v>2500000</v>
      </c>
      <c r="K626" s="120" t="s">
        <v>825</v>
      </c>
    </row>
    <row r="627" spans="1:11" x14ac:dyDescent="0.25">
      <c r="A627" s="128"/>
      <c r="B627" s="252">
        <v>45524</v>
      </c>
      <c r="C627" s="301" t="s">
        <v>834</v>
      </c>
      <c r="D627" s="10" t="s">
        <v>24</v>
      </c>
      <c r="E627" s="7" t="s">
        <v>25</v>
      </c>
      <c r="F627" s="243">
        <v>240</v>
      </c>
      <c r="G627" s="111">
        <v>5</v>
      </c>
      <c r="H627" s="131"/>
      <c r="I627" s="112">
        <f t="shared" si="28"/>
        <v>0</v>
      </c>
      <c r="J627" s="114"/>
      <c r="K627" s="120"/>
    </row>
    <row r="628" spans="1:11" x14ac:dyDescent="0.25">
      <c r="A628" s="128"/>
      <c r="B628" s="252">
        <v>45524</v>
      </c>
      <c r="C628" s="301" t="s">
        <v>834</v>
      </c>
      <c r="D628" s="10" t="s">
        <v>86</v>
      </c>
      <c r="E628" s="9" t="s">
        <v>87</v>
      </c>
      <c r="F628" s="243">
        <v>24</v>
      </c>
      <c r="G628" s="111">
        <v>2</v>
      </c>
      <c r="H628" s="131"/>
      <c r="I628" s="112">
        <f t="shared" si="28"/>
        <v>0</v>
      </c>
      <c r="J628" s="114"/>
      <c r="K628" s="120"/>
    </row>
    <row r="629" spans="1:11" x14ac:dyDescent="0.25">
      <c r="A629" s="128"/>
      <c r="B629" s="252">
        <v>45524</v>
      </c>
      <c r="C629" s="301" t="s">
        <v>834</v>
      </c>
      <c r="D629" s="10" t="s">
        <v>132</v>
      </c>
      <c r="E629" s="9" t="s">
        <v>133</v>
      </c>
      <c r="F629" s="243">
        <v>960</v>
      </c>
      <c r="G629" s="111">
        <v>20</v>
      </c>
      <c r="H629" s="131"/>
      <c r="I629" s="112">
        <f t="shared" si="28"/>
        <v>0</v>
      </c>
      <c r="J629" s="114"/>
      <c r="K629" s="120"/>
    </row>
    <row r="630" spans="1:11" x14ac:dyDescent="0.25">
      <c r="A630" s="128"/>
      <c r="B630" s="252">
        <v>45524</v>
      </c>
      <c r="C630" s="301" t="s">
        <v>834</v>
      </c>
      <c r="D630" s="10" t="s">
        <v>166</v>
      </c>
      <c r="E630" s="9" t="s">
        <v>167</v>
      </c>
      <c r="F630" s="243">
        <v>120</v>
      </c>
      <c r="G630" s="111">
        <v>10</v>
      </c>
      <c r="H630" s="131"/>
      <c r="I630" s="112">
        <f t="shared" si="28"/>
        <v>0</v>
      </c>
      <c r="J630" s="114"/>
      <c r="K630" s="120"/>
    </row>
    <row r="631" spans="1:11" x14ac:dyDescent="0.25">
      <c r="A631" s="128"/>
      <c r="B631" s="252">
        <v>45524</v>
      </c>
      <c r="C631" s="301" t="s">
        <v>777</v>
      </c>
      <c r="D631" s="297" t="s">
        <v>762</v>
      </c>
      <c r="E631" s="275" t="s">
        <v>85</v>
      </c>
      <c r="F631" s="243">
        <v>11</v>
      </c>
      <c r="G631" s="111"/>
      <c r="H631" s="131"/>
      <c r="I631" s="112">
        <f t="shared" si="28"/>
        <v>0</v>
      </c>
      <c r="J631" s="113"/>
      <c r="K631" s="120"/>
    </row>
    <row r="632" spans="1:11" x14ac:dyDescent="0.25">
      <c r="A632" s="128"/>
      <c r="B632" s="252">
        <v>45524</v>
      </c>
      <c r="C632" s="301" t="s">
        <v>777</v>
      </c>
      <c r="D632" s="298" t="s">
        <v>126</v>
      </c>
      <c r="E632" s="251" t="s">
        <v>127</v>
      </c>
      <c r="F632" s="243">
        <v>6</v>
      </c>
      <c r="G632" s="111"/>
      <c r="H632" s="131"/>
      <c r="I632" s="112">
        <f t="shared" si="28"/>
        <v>0</v>
      </c>
      <c r="J632" s="113"/>
      <c r="K632" s="120"/>
    </row>
    <row r="633" spans="1:11" x14ac:dyDescent="0.25">
      <c r="A633" s="128"/>
      <c r="B633" s="252">
        <v>45524</v>
      </c>
      <c r="C633" s="301" t="s">
        <v>780</v>
      </c>
      <c r="D633" s="297" t="s">
        <v>762</v>
      </c>
      <c r="E633" s="275" t="s">
        <v>85</v>
      </c>
      <c r="F633" s="243">
        <v>36</v>
      </c>
      <c r="G633" s="111">
        <v>3</v>
      </c>
      <c r="H633" s="131"/>
      <c r="I633" s="112">
        <f t="shared" si="28"/>
        <v>0</v>
      </c>
      <c r="J633" s="113"/>
      <c r="K633" s="120"/>
    </row>
    <row r="634" spans="1:11" x14ac:dyDescent="0.25">
      <c r="A634" s="128"/>
      <c r="B634" s="252">
        <v>45524</v>
      </c>
      <c r="C634" s="301" t="s">
        <v>780</v>
      </c>
      <c r="D634" s="10" t="s">
        <v>22</v>
      </c>
      <c r="E634" s="7" t="s">
        <v>23</v>
      </c>
      <c r="F634" s="243">
        <v>24</v>
      </c>
      <c r="G634" s="111">
        <v>2</v>
      </c>
      <c r="H634" s="131"/>
      <c r="I634" s="112">
        <f t="shared" si="28"/>
        <v>0</v>
      </c>
      <c r="J634" s="114"/>
      <c r="K634" s="120"/>
    </row>
    <row r="635" spans="1:11" x14ac:dyDescent="0.25">
      <c r="A635" s="128"/>
      <c r="B635" s="252">
        <v>45524</v>
      </c>
      <c r="C635" s="301" t="s">
        <v>848</v>
      </c>
      <c r="D635" s="10" t="s">
        <v>22</v>
      </c>
      <c r="E635" s="7" t="s">
        <v>23</v>
      </c>
      <c r="F635" s="243">
        <v>12</v>
      </c>
      <c r="G635" s="111">
        <v>1</v>
      </c>
      <c r="H635" s="131"/>
      <c r="I635" s="112">
        <f t="shared" si="28"/>
        <v>0</v>
      </c>
      <c r="J635" s="113"/>
      <c r="K635" s="120"/>
    </row>
    <row r="636" spans="1:11" x14ac:dyDescent="0.25">
      <c r="A636" s="128"/>
      <c r="B636" s="252">
        <v>45524</v>
      </c>
      <c r="C636" s="301" t="s">
        <v>848</v>
      </c>
      <c r="D636" s="10" t="s">
        <v>164</v>
      </c>
      <c r="E636" s="9" t="s">
        <v>165</v>
      </c>
      <c r="F636" s="243">
        <v>120</v>
      </c>
      <c r="G636" s="111">
        <v>10</v>
      </c>
      <c r="H636" s="131"/>
      <c r="I636" s="112">
        <f t="shared" si="28"/>
        <v>0</v>
      </c>
      <c r="J636" s="114"/>
      <c r="K636" s="120"/>
    </row>
    <row r="637" spans="1:11" x14ac:dyDescent="0.25">
      <c r="A637" s="128"/>
      <c r="B637" s="252">
        <v>45524</v>
      </c>
      <c r="C637" s="301" t="s">
        <v>782</v>
      </c>
      <c r="D637" s="297" t="s">
        <v>762</v>
      </c>
      <c r="E637" s="275" t="s">
        <v>85</v>
      </c>
      <c r="F637" s="243">
        <v>48</v>
      </c>
      <c r="G637" s="111">
        <v>4</v>
      </c>
      <c r="H637" s="131"/>
      <c r="I637" s="112">
        <f t="shared" si="28"/>
        <v>0</v>
      </c>
      <c r="J637" s="114"/>
      <c r="K637" s="120"/>
    </row>
    <row r="638" spans="1:11" x14ac:dyDescent="0.25">
      <c r="A638" s="128"/>
      <c r="B638" s="252">
        <v>45524</v>
      </c>
      <c r="C638" s="301" t="s">
        <v>782</v>
      </c>
      <c r="D638" s="298" t="s">
        <v>126</v>
      </c>
      <c r="E638" s="251" t="s">
        <v>127</v>
      </c>
      <c r="F638" s="243">
        <v>48</v>
      </c>
      <c r="G638" s="111">
        <v>1</v>
      </c>
      <c r="H638" s="131"/>
      <c r="I638" s="112">
        <f t="shared" si="28"/>
        <v>0</v>
      </c>
      <c r="J638" s="114"/>
      <c r="K638" s="120"/>
    </row>
    <row r="639" spans="1:11" x14ac:dyDescent="0.25">
      <c r="A639" s="128"/>
      <c r="B639" s="252">
        <v>45524</v>
      </c>
      <c r="C639" s="302" t="s">
        <v>775</v>
      </c>
      <c r="D639" s="10" t="s">
        <v>86</v>
      </c>
      <c r="E639" s="9" t="s">
        <v>87</v>
      </c>
      <c r="F639" s="243">
        <v>12</v>
      </c>
      <c r="G639" s="111">
        <v>1</v>
      </c>
      <c r="H639" s="131"/>
      <c r="I639" s="112">
        <f t="shared" si="28"/>
        <v>0</v>
      </c>
      <c r="J639" s="114"/>
      <c r="K639" s="120"/>
    </row>
    <row r="640" spans="1:11" x14ac:dyDescent="0.25">
      <c r="A640" s="128"/>
      <c r="B640" s="252">
        <v>45524</v>
      </c>
      <c r="C640" s="302" t="s">
        <v>775</v>
      </c>
      <c r="D640" s="297" t="s">
        <v>762</v>
      </c>
      <c r="E640" s="275" t="s">
        <v>85</v>
      </c>
      <c r="F640" s="243">
        <v>24</v>
      </c>
      <c r="G640" s="111">
        <v>2</v>
      </c>
      <c r="H640" s="131"/>
      <c r="I640" s="112">
        <f t="shared" si="28"/>
        <v>0</v>
      </c>
      <c r="J640" s="114"/>
      <c r="K640" s="120"/>
    </row>
    <row r="641" spans="1:11" x14ac:dyDescent="0.25">
      <c r="A641" s="128"/>
      <c r="B641" s="252">
        <v>45524</v>
      </c>
      <c r="C641" s="303" t="s">
        <v>836</v>
      </c>
      <c r="D641" s="21" t="s">
        <v>40</v>
      </c>
      <c r="E641" s="23" t="s">
        <v>41</v>
      </c>
      <c r="F641" s="243">
        <v>192</v>
      </c>
      <c r="G641" s="111">
        <v>4</v>
      </c>
      <c r="H641" s="131"/>
      <c r="I641" s="112">
        <f t="shared" si="28"/>
        <v>0</v>
      </c>
      <c r="J641" s="114"/>
      <c r="K641" s="120"/>
    </row>
    <row r="642" spans="1:11" x14ac:dyDescent="0.25">
      <c r="A642" s="128"/>
      <c r="B642" s="252">
        <v>45524</v>
      </c>
      <c r="C642" s="303" t="s">
        <v>836</v>
      </c>
      <c r="D642" s="21" t="s">
        <v>764</v>
      </c>
      <c r="E642" s="23" t="s">
        <v>69</v>
      </c>
      <c r="F642" s="243">
        <v>96</v>
      </c>
      <c r="G642" s="111">
        <v>2</v>
      </c>
      <c r="H642" s="131"/>
      <c r="I642" s="112">
        <f t="shared" si="28"/>
        <v>0</v>
      </c>
      <c r="J642" s="114"/>
      <c r="K642" s="120"/>
    </row>
    <row r="643" spans="1:11" x14ac:dyDescent="0.25">
      <c r="A643" s="128"/>
      <c r="B643" s="252">
        <v>45524</v>
      </c>
      <c r="C643" s="303" t="s">
        <v>836</v>
      </c>
      <c r="D643" s="10" t="s">
        <v>86</v>
      </c>
      <c r="E643" s="9" t="s">
        <v>87</v>
      </c>
      <c r="F643" s="243">
        <f>8*12+8</f>
        <v>104</v>
      </c>
      <c r="G643" s="111"/>
      <c r="H643" s="131"/>
      <c r="I643" s="112">
        <f t="shared" si="28"/>
        <v>0</v>
      </c>
      <c r="J643" s="114"/>
      <c r="K643" s="120"/>
    </row>
    <row r="644" spans="1:11" x14ac:dyDescent="0.25">
      <c r="A644" s="128"/>
      <c r="B644" s="252">
        <v>45524</v>
      </c>
      <c r="C644" s="303" t="s">
        <v>836</v>
      </c>
      <c r="D644" s="10" t="s">
        <v>124</v>
      </c>
      <c r="E644" s="9" t="s">
        <v>125</v>
      </c>
      <c r="F644" s="243">
        <v>12</v>
      </c>
      <c r="G644" s="111"/>
      <c r="H644" s="131"/>
      <c r="I644" s="112">
        <f t="shared" si="28"/>
        <v>0</v>
      </c>
      <c r="J644" s="114"/>
      <c r="K644" s="120"/>
    </row>
    <row r="645" spans="1:11" x14ac:dyDescent="0.25">
      <c r="A645" s="128"/>
      <c r="B645" s="252">
        <v>45524</v>
      </c>
      <c r="C645" s="303" t="s">
        <v>836</v>
      </c>
      <c r="D645" s="21" t="s">
        <v>126</v>
      </c>
      <c r="E645" s="22" t="s">
        <v>127</v>
      </c>
      <c r="F645" s="243">
        <v>48</v>
      </c>
      <c r="G645" s="111">
        <v>1</v>
      </c>
      <c r="H645" s="131"/>
      <c r="I645" s="112">
        <f t="shared" si="28"/>
        <v>0</v>
      </c>
      <c r="J645" s="114"/>
      <c r="K645" s="120"/>
    </row>
    <row r="646" spans="1:11" x14ac:dyDescent="0.25">
      <c r="A646" s="128"/>
      <c r="B646" s="252">
        <v>45524</v>
      </c>
      <c r="C646" s="303" t="s">
        <v>836</v>
      </c>
      <c r="D646" s="10" t="s">
        <v>172</v>
      </c>
      <c r="E646" s="9" t="s">
        <v>173</v>
      </c>
      <c r="F646" s="243">
        <v>4</v>
      </c>
      <c r="G646" s="111"/>
      <c r="H646" s="131"/>
      <c r="I646" s="112">
        <f t="shared" si="28"/>
        <v>0</v>
      </c>
      <c r="J646" s="114"/>
      <c r="K646" s="120"/>
    </row>
    <row r="647" spans="1:11" x14ac:dyDescent="0.25">
      <c r="A647" s="128"/>
      <c r="B647" s="252">
        <v>45524</v>
      </c>
      <c r="C647" s="303" t="s">
        <v>836</v>
      </c>
      <c r="D647" s="33" t="s">
        <v>760</v>
      </c>
      <c r="E647" s="34" t="s">
        <v>761</v>
      </c>
      <c r="F647" s="243">
        <v>12</v>
      </c>
      <c r="G647" s="111">
        <v>1</v>
      </c>
      <c r="H647" s="131"/>
      <c r="I647" s="112">
        <f t="shared" si="28"/>
        <v>0</v>
      </c>
      <c r="J647" s="114"/>
      <c r="K647" s="120"/>
    </row>
    <row r="648" spans="1:11" x14ac:dyDescent="0.25">
      <c r="A648" s="128"/>
      <c r="B648" s="132">
        <v>45525</v>
      </c>
      <c r="C648" s="109" t="s">
        <v>939</v>
      </c>
      <c r="D648" s="21" t="s">
        <v>767</v>
      </c>
      <c r="E648" s="23" t="s">
        <v>63</v>
      </c>
      <c r="F648" s="243">
        <v>16</v>
      </c>
      <c r="G648" s="111"/>
      <c r="H648" s="131"/>
      <c r="I648" s="112">
        <f t="shared" si="28"/>
        <v>0</v>
      </c>
      <c r="J648" s="114"/>
      <c r="K648" s="120"/>
    </row>
    <row r="649" spans="1:11" x14ac:dyDescent="0.25">
      <c r="A649" s="128"/>
      <c r="B649" s="132">
        <v>45525</v>
      </c>
      <c r="C649" s="109" t="s">
        <v>939</v>
      </c>
      <c r="D649" s="21" t="s">
        <v>764</v>
      </c>
      <c r="E649" s="23" t="s">
        <v>69</v>
      </c>
      <c r="F649" s="243">
        <v>16</v>
      </c>
      <c r="G649" s="111"/>
      <c r="H649" s="131"/>
      <c r="I649" s="112">
        <f t="shared" si="28"/>
        <v>0</v>
      </c>
      <c r="J649" s="114"/>
      <c r="K649" s="120"/>
    </row>
    <row r="650" spans="1:11" x14ac:dyDescent="0.25">
      <c r="A650" s="128"/>
      <c r="B650" s="132">
        <v>45525</v>
      </c>
      <c r="C650" s="109" t="s">
        <v>939</v>
      </c>
      <c r="D650" s="21" t="s">
        <v>765</v>
      </c>
      <c r="E650" s="22" t="s">
        <v>75</v>
      </c>
      <c r="F650" s="243">
        <v>16</v>
      </c>
      <c r="G650" s="111"/>
      <c r="H650" s="131"/>
      <c r="I650" s="112">
        <f t="shared" ref="I650:I711" si="29">G650*H650</f>
        <v>0</v>
      </c>
      <c r="J650" s="114"/>
      <c r="K650" s="120"/>
    </row>
    <row r="651" spans="1:11" x14ac:dyDescent="0.25">
      <c r="A651" s="128"/>
      <c r="B651" s="132">
        <v>45525</v>
      </c>
      <c r="C651" s="109" t="s">
        <v>939</v>
      </c>
      <c r="D651" s="10" t="s">
        <v>132</v>
      </c>
      <c r="E651" s="9" t="s">
        <v>133</v>
      </c>
      <c r="F651" s="243">
        <v>24</v>
      </c>
      <c r="G651" s="111">
        <v>0.5</v>
      </c>
      <c r="H651" s="131"/>
      <c r="I651" s="112">
        <f t="shared" si="29"/>
        <v>0</v>
      </c>
      <c r="J651" s="114"/>
      <c r="K651" s="120"/>
    </row>
    <row r="652" spans="1:11" x14ac:dyDescent="0.25">
      <c r="A652" s="128"/>
      <c r="B652" s="132">
        <v>45525</v>
      </c>
      <c r="C652" s="109" t="s">
        <v>939</v>
      </c>
      <c r="D652" s="10" t="s">
        <v>172</v>
      </c>
      <c r="E652" s="9" t="s">
        <v>173</v>
      </c>
      <c r="F652" s="243">
        <v>3</v>
      </c>
      <c r="G652" s="111"/>
      <c r="H652" s="131"/>
      <c r="I652" s="112">
        <f t="shared" si="29"/>
        <v>0</v>
      </c>
      <c r="J652" s="114"/>
      <c r="K652" s="120"/>
    </row>
    <row r="653" spans="1:11" x14ac:dyDescent="0.25">
      <c r="A653" s="128"/>
      <c r="B653" s="132">
        <v>45525</v>
      </c>
      <c r="C653" s="109" t="s">
        <v>907</v>
      </c>
      <c r="D653" s="10" t="s">
        <v>124</v>
      </c>
      <c r="E653" s="9" t="s">
        <v>125</v>
      </c>
      <c r="F653" s="243">
        <v>96</v>
      </c>
      <c r="G653" s="111">
        <v>2</v>
      </c>
      <c r="H653" s="131">
        <v>265000</v>
      </c>
      <c r="I653" s="112">
        <f t="shared" si="29"/>
        <v>530000</v>
      </c>
      <c r="J653" s="113">
        <f>I653</f>
        <v>530000</v>
      </c>
      <c r="K653" s="120"/>
    </row>
    <row r="654" spans="1:11" x14ac:dyDescent="0.25">
      <c r="A654" s="128"/>
      <c r="B654" s="132">
        <v>45525</v>
      </c>
      <c r="C654" s="109" t="s">
        <v>940</v>
      </c>
      <c r="D654" s="21" t="s">
        <v>763</v>
      </c>
      <c r="E654" s="22" t="s">
        <v>83</v>
      </c>
      <c r="F654" s="243">
        <v>48</v>
      </c>
      <c r="G654" s="111">
        <v>1</v>
      </c>
      <c r="H654" s="131">
        <v>350000</v>
      </c>
      <c r="I654" s="112">
        <f t="shared" si="29"/>
        <v>350000</v>
      </c>
      <c r="J654" s="113">
        <f>I654</f>
        <v>350000</v>
      </c>
      <c r="K654" s="120"/>
    </row>
    <row r="655" spans="1:11" x14ac:dyDescent="0.25">
      <c r="A655" s="128"/>
      <c r="B655" s="132">
        <v>45525</v>
      </c>
      <c r="C655" s="109" t="s">
        <v>941</v>
      </c>
      <c r="D655" s="297" t="s">
        <v>762</v>
      </c>
      <c r="E655" s="275" t="s">
        <v>85</v>
      </c>
      <c r="F655" s="243">
        <v>24</v>
      </c>
      <c r="G655" s="111">
        <v>2</v>
      </c>
      <c r="H655" s="131">
        <v>380000</v>
      </c>
      <c r="I655" s="112">
        <f t="shared" si="29"/>
        <v>760000</v>
      </c>
      <c r="J655" s="364">
        <f>I655+I656</f>
        <v>1110000</v>
      </c>
      <c r="K655" s="120"/>
    </row>
    <row r="656" spans="1:11" x14ac:dyDescent="0.25">
      <c r="A656" s="128"/>
      <c r="B656" s="132">
        <v>45525</v>
      </c>
      <c r="C656" s="109" t="s">
        <v>941</v>
      </c>
      <c r="D656" s="21" t="s">
        <v>763</v>
      </c>
      <c r="E656" s="22" t="s">
        <v>83</v>
      </c>
      <c r="F656" s="243">
        <v>48</v>
      </c>
      <c r="G656" s="111">
        <v>1</v>
      </c>
      <c r="H656" s="131">
        <v>350000</v>
      </c>
      <c r="I656" s="112">
        <f t="shared" si="29"/>
        <v>350000</v>
      </c>
      <c r="J656" s="366"/>
      <c r="K656" s="120"/>
    </row>
    <row r="657" spans="1:11" x14ac:dyDescent="0.25">
      <c r="A657" s="128"/>
      <c r="B657" s="132">
        <v>45525</v>
      </c>
      <c r="C657" s="128" t="s">
        <v>842</v>
      </c>
      <c r="D657" s="257" t="s">
        <v>905</v>
      </c>
      <c r="E657" s="22" t="s">
        <v>904</v>
      </c>
      <c r="F657" s="243">
        <v>12</v>
      </c>
      <c r="G657" s="111">
        <v>1</v>
      </c>
      <c r="H657" s="131"/>
      <c r="I657" s="112">
        <f t="shared" si="29"/>
        <v>0</v>
      </c>
      <c r="J657" s="113"/>
      <c r="K657" s="120"/>
    </row>
    <row r="658" spans="1:11" x14ac:dyDescent="0.25">
      <c r="A658" s="128"/>
      <c r="B658" s="132">
        <v>45525</v>
      </c>
      <c r="C658" s="128" t="s">
        <v>942</v>
      </c>
      <c r="D658" s="10" t="s">
        <v>124</v>
      </c>
      <c r="E658" s="9" t="s">
        <v>125</v>
      </c>
      <c r="F658" s="243">
        <v>96</v>
      </c>
      <c r="G658" s="111">
        <v>2</v>
      </c>
      <c r="H658" s="131">
        <v>270000</v>
      </c>
      <c r="I658" s="112">
        <f t="shared" si="29"/>
        <v>540000</v>
      </c>
      <c r="J658" s="364">
        <f>SUM(I658:I661)</f>
        <v>4035000</v>
      </c>
      <c r="K658" s="367"/>
    </row>
    <row r="659" spans="1:11" x14ac:dyDescent="0.25">
      <c r="A659" s="128"/>
      <c r="B659" s="132">
        <v>45525</v>
      </c>
      <c r="C659" s="128" t="s">
        <v>942</v>
      </c>
      <c r="D659" s="21" t="s">
        <v>801</v>
      </c>
      <c r="E659" s="22" t="s">
        <v>73</v>
      </c>
      <c r="F659" s="243">
        <v>30</v>
      </c>
      <c r="G659" s="111"/>
      <c r="H659" s="131">
        <v>382000</v>
      </c>
      <c r="I659" s="112">
        <f>H659/12*F659</f>
        <v>955000</v>
      </c>
      <c r="J659" s="373"/>
      <c r="K659" s="365"/>
    </row>
    <row r="660" spans="1:11" x14ac:dyDescent="0.25">
      <c r="A660" s="128"/>
      <c r="B660" s="132">
        <v>45525</v>
      </c>
      <c r="C660" s="128" t="s">
        <v>942</v>
      </c>
      <c r="D660" s="10" t="s">
        <v>130</v>
      </c>
      <c r="E660" s="9" t="s">
        <v>131</v>
      </c>
      <c r="F660" s="243">
        <v>48</v>
      </c>
      <c r="G660" s="111">
        <v>2</v>
      </c>
      <c r="H660" s="131">
        <v>190000</v>
      </c>
      <c r="I660" s="112">
        <f t="shared" si="29"/>
        <v>380000</v>
      </c>
      <c r="J660" s="373"/>
      <c r="K660" s="365"/>
    </row>
    <row r="661" spans="1:11" x14ac:dyDescent="0.25">
      <c r="A661" s="128"/>
      <c r="B661" s="132">
        <v>45525</v>
      </c>
      <c r="C661" s="128" t="s">
        <v>942</v>
      </c>
      <c r="D661" s="10" t="s">
        <v>132</v>
      </c>
      <c r="E661" s="9" t="s">
        <v>133</v>
      </c>
      <c r="F661" s="243">
        <f>81*4</f>
        <v>324</v>
      </c>
      <c r="G661" s="111"/>
      <c r="H661" s="131">
        <v>320000</v>
      </c>
      <c r="I661" s="112">
        <f>H661/48*F661</f>
        <v>2160000</v>
      </c>
      <c r="J661" s="370"/>
      <c r="K661" s="366"/>
    </row>
    <row r="662" spans="1:11" x14ac:dyDescent="0.25">
      <c r="A662" s="242"/>
      <c r="B662" s="132">
        <v>45525</v>
      </c>
      <c r="C662" s="242" t="s">
        <v>950</v>
      </c>
      <c r="D662" s="21" t="s">
        <v>142</v>
      </c>
      <c r="E662" s="22" t="s">
        <v>143</v>
      </c>
      <c r="F662" s="243">
        <v>48</v>
      </c>
      <c r="G662" s="245">
        <v>1</v>
      </c>
      <c r="H662" s="246">
        <v>270000</v>
      </c>
      <c r="I662" s="112">
        <f t="shared" ref="I662:I667" si="30">H662/48*F662</f>
        <v>270000</v>
      </c>
      <c r="J662" s="364">
        <f>I662+I663</f>
        <v>1245000</v>
      </c>
      <c r="K662" s="367" t="s">
        <v>936</v>
      </c>
    </row>
    <row r="663" spans="1:11" x14ac:dyDescent="0.25">
      <c r="A663" s="242"/>
      <c r="B663" s="132">
        <v>45525</v>
      </c>
      <c r="C663" s="242" t="s">
        <v>950</v>
      </c>
      <c r="D663" s="10" t="s">
        <v>132</v>
      </c>
      <c r="E663" s="9" t="s">
        <v>133</v>
      </c>
      <c r="F663" s="243">
        <v>144</v>
      </c>
      <c r="G663" s="245">
        <v>3</v>
      </c>
      <c r="H663" s="246">
        <v>325000</v>
      </c>
      <c r="I663" s="112">
        <f t="shared" si="30"/>
        <v>975000</v>
      </c>
      <c r="J663" s="370"/>
      <c r="K663" s="366"/>
    </row>
    <row r="664" spans="1:11" x14ac:dyDescent="0.25">
      <c r="A664" s="242"/>
      <c r="B664" s="132">
        <v>45525</v>
      </c>
      <c r="C664" s="242" t="s">
        <v>943</v>
      </c>
      <c r="D664" s="21" t="s">
        <v>764</v>
      </c>
      <c r="E664" s="23" t="s">
        <v>69</v>
      </c>
      <c r="F664" s="243">
        <v>144</v>
      </c>
      <c r="G664" s="245">
        <v>3</v>
      </c>
      <c r="H664" s="246"/>
      <c r="I664" s="112">
        <f t="shared" si="30"/>
        <v>0</v>
      </c>
      <c r="J664" s="323"/>
      <c r="K664" s="322"/>
    </row>
    <row r="665" spans="1:11" x14ac:dyDescent="0.25">
      <c r="A665" s="242"/>
      <c r="B665" s="132">
        <v>45525</v>
      </c>
      <c r="C665" s="128" t="s">
        <v>942</v>
      </c>
      <c r="D665" s="10" t="s">
        <v>124</v>
      </c>
      <c r="E665" s="9" t="s">
        <v>125</v>
      </c>
      <c r="F665" s="243">
        <v>48</v>
      </c>
      <c r="G665" s="245">
        <v>1</v>
      </c>
      <c r="H665" s="131">
        <v>270000</v>
      </c>
      <c r="I665" s="112">
        <f t="shared" si="30"/>
        <v>270000</v>
      </c>
      <c r="J665" s="323">
        <f>I665</f>
        <v>270000</v>
      </c>
      <c r="K665" s="322"/>
    </row>
    <row r="666" spans="1:11" x14ac:dyDescent="0.25">
      <c r="A666" s="128"/>
      <c r="B666" s="132">
        <v>45525</v>
      </c>
      <c r="C666" s="301" t="s">
        <v>834</v>
      </c>
      <c r="D666" s="10" t="s">
        <v>132</v>
      </c>
      <c r="E666" s="9" t="s">
        <v>133</v>
      </c>
      <c r="F666" s="243">
        <f>13*48</f>
        <v>624</v>
      </c>
      <c r="G666" s="111">
        <v>13</v>
      </c>
      <c r="H666" s="131"/>
      <c r="I666" s="112">
        <f t="shared" si="30"/>
        <v>0</v>
      </c>
      <c r="J666" s="114"/>
      <c r="K666" s="120"/>
    </row>
    <row r="667" spans="1:11" x14ac:dyDescent="0.25">
      <c r="A667" s="128"/>
      <c r="B667" s="132">
        <v>45525</v>
      </c>
      <c r="C667" s="301" t="s">
        <v>777</v>
      </c>
      <c r="D667" s="297" t="s">
        <v>762</v>
      </c>
      <c r="E667" s="275" t="s">
        <v>85</v>
      </c>
      <c r="F667" s="243">
        <v>14</v>
      </c>
      <c r="G667" s="111"/>
      <c r="H667" s="131"/>
      <c r="I667" s="112">
        <f t="shared" si="30"/>
        <v>0</v>
      </c>
      <c r="J667" s="113"/>
      <c r="K667" s="120"/>
    </row>
    <row r="668" spans="1:11" x14ac:dyDescent="0.25">
      <c r="A668" s="128"/>
      <c r="B668" s="132">
        <v>45525</v>
      </c>
      <c r="C668" s="301" t="s">
        <v>777</v>
      </c>
      <c r="D668" s="298" t="s">
        <v>126</v>
      </c>
      <c r="E668" s="251" t="s">
        <v>127</v>
      </c>
      <c r="F668" s="243">
        <v>6</v>
      </c>
      <c r="G668" s="111"/>
      <c r="H668" s="131"/>
      <c r="I668" s="112">
        <f t="shared" si="29"/>
        <v>0</v>
      </c>
      <c r="J668" s="114"/>
      <c r="K668" s="120"/>
    </row>
    <row r="669" spans="1:11" x14ac:dyDescent="0.25">
      <c r="A669" s="128"/>
      <c r="B669" s="132">
        <v>45525</v>
      </c>
      <c r="C669" s="301" t="s">
        <v>777</v>
      </c>
      <c r="D669" s="21" t="s">
        <v>767</v>
      </c>
      <c r="E669" s="23" t="s">
        <v>63</v>
      </c>
      <c r="F669" s="243">
        <v>65</v>
      </c>
      <c r="G669" s="111"/>
      <c r="H669" s="131"/>
      <c r="I669" s="112">
        <f t="shared" si="29"/>
        <v>0</v>
      </c>
      <c r="J669" s="114"/>
      <c r="K669" s="120"/>
    </row>
    <row r="670" spans="1:11" x14ac:dyDescent="0.25">
      <c r="A670" s="128"/>
      <c r="B670" s="132">
        <v>45525</v>
      </c>
      <c r="C670" s="301" t="s">
        <v>848</v>
      </c>
      <c r="D670" s="21" t="s">
        <v>142</v>
      </c>
      <c r="E670" s="22" t="s">
        <v>143</v>
      </c>
      <c r="F670" s="243">
        <v>48</v>
      </c>
      <c r="G670" s="111">
        <v>1</v>
      </c>
      <c r="H670" s="131"/>
      <c r="I670" s="112">
        <f t="shared" si="29"/>
        <v>0</v>
      </c>
      <c r="J670" s="114"/>
      <c r="K670" s="120"/>
    </row>
    <row r="671" spans="1:11" x14ac:dyDescent="0.25">
      <c r="A671" s="128"/>
      <c r="B671" s="132">
        <v>45525</v>
      </c>
      <c r="C671" s="301" t="s">
        <v>785</v>
      </c>
      <c r="D671" s="10" t="s">
        <v>22</v>
      </c>
      <c r="E671" s="7" t="s">
        <v>23</v>
      </c>
      <c r="F671" s="243">
        <v>12</v>
      </c>
      <c r="G671" s="111">
        <v>1</v>
      </c>
      <c r="H671" s="131"/>
      <c r="I671" s="112">
        <f t="shared" si="29"/>
        <v>0</v>
      </c>
      <c r="J671" s="114"/>
      <c r="K671" s="120"/>
    </row>
    <row r="672" spans="1:11" x14ac:dyDescent="0.25">
      <c r="A672" s="128"/>
      <c r="B672" s="132">
        <v>45525</v>
      </c>
      <c r="C672" s="301" t="s">
        <v>785</v>
      </c>
      <c r="D672" s="10" t="s">
        <v>86</v>
      </c>
      <c r="E672" s="9" t="s">
        <v>87</v>
      </c>
      <c r="F672" s="243">
        <v>12</v>
      </c>
      <c r="G672" s="111">
        <v>1</v>
      </c>
      <c r="H672" s="131"/>
      <c r="I672" s="112">
        <f t="shared" si="29"/>
        <v>0</v>
      </c>
      <c r="J672" s="114"/>
      <c r="K672" s="120"/>
    </row>
    <row r="673" spans="1:11" x14ac:dyDescent="0.25">
      <c r="A673" s="128"/>
      <c r="B673" s="132">
        <v>45525</v>
      </c>
      <c r="C673" s="301" t="s">
        <v>835</v>
      </c>
      <c r="D673" s="297" t="s">
        <v>762</v>
      </c>
      <c r="E673" s="275" t="s">
        <v>85</v>
      </c>
      <c r="F673" s="243">
        <v>120</v>
      </c>
      <c r="G673" s="111">
        <v>10</v>
      </c>
      <c r="H673" s="131"/>
      <c r="I673" s="112">
        <f t="shared" si="29"/>
        <v>0</v>
      </c>
      <c r="J673" s="114"/>
      <c r="K673" s="120"/>
    </row>
    <row r="674" spans="1:11" x14ac:dyDescent="0.25">
      <c r="A674" s="128"/>
      <c r="B674" s="132">
        <v>45525</v>
      </c>
      <c r="C674" s="301" t="s">
        <v>844</v>
      </c>
      <c r="D674" s="10" t="s">
        <v>22</v>
      </c>
      <c r="E674" s="7" t="s">
        <v>23</v>
      </c>
      <c r="F674" s="243">
        <v>12</v>
      </c>
      <c r="G674" s="111">
        <v>1</v>
      </c>
      <c r="H674" s="131"/>
      <c r="I674" s="112">
        <f t="shared" si="29"/>
        <v>0</v>
      </c>
      <c r="J674" s="114"/>
      <c r="K674" s="120"/>
    </row>
    <row r="675" spans="1:11" x14ac:dyDescent="0.25">
      <c r="A675" s="128"/>
      <c r="B675" s="132">
        <v>45525</v>
      </c>
      <c r="C675" s="301" t="s">
        <v>844</v>
      </c>
      <c r="D675" s="21" t="s">
        <v>142</v>
      </c>
      <c r="E675" s="22" t="s">
        <v>143</v>
      </c>
      <c r="F675" s="243">
        <v>96</v>
      </c>
      <c r="G675" s="111">
        <v>2</v>
      </c>
      <c r="H675" s="131"/>
      <c r="I675" s="112">
        <f t="shared" si="29"/>
        <v>0</v>
      </c>
      <c r="J675" s="114"/>
      <c r="K675" s="120"/>
    </row>
    <row r="676" spans="1:11" x14ac:dyDescent="0.25">
      <c r="A676" s="128"/>
      <c r="B676" s="132">
        <v>45525</v>
      </c>
      <c r="C676" s="303" t="s">
        <v>836</v>
      </c>
      <c r="D676" s="10" t="s">
        <v>86</v>
      </c>
      <c r="E676" s="9" t="s">
        <v>87</v>
      </c>
      <c r="F676" s="243">
        <f>14*12</f>
        <v>168</v>
      </c>
      <c r="G676" s="111">
        <v>14</v>
      </c>
      <c r="H676" s="131"/>
      <c r="I676" s="112">
        <f t="shared" si="29"/>
        <v>0</v>
      </c>
      <c r="J676" s="114"/>
      <c r="K676" s="120"/>
    </row>
    <row r="677" spans="1:11" x14ac:dyDescent="0.25">
      <c r="A677" s="128"/>
      <c r="B677" s="132">
        <v>45525</v>
      </c>
      <c r="C677" s="303" t="s">
        <v>836</v>
      </c>
      <c r="D677" s="21" t="s">
        <v>767</v>
      </c>
      <c r="E677" s="23" t="s">
        <v>63</v>
      </c>
      <c r="F677" s="243">
        <f>6*48</f>
        <v>288</v>
      </c>
      <c r="G677" s="111">
        <v>6</v>
      </c>
      <c r="H677" s="131"/>
      <c r="I677" s="112">
        <f t="shared" si="29"/>
        <v>0</v>
      </c>
      <c r="J677" s="114"/>
      <c r="K677" s="120"/>
    </row>
    <row r="678" spans="1:11" x14ac:dyDescent="0.25">
      <c r="A678" s="128"/>
      <c r="B678" s="132">
        <v>45525</v>
      </c>
      <c r="C678" s="303" t="s">
        <v>836</v>
      </c>
      <c r="D678" s="298" t="s">
        <v>126</v>
      </c>
      <c r="E678" s="251" t="s">
        <v>127</v>
      </c>
      <c r="F678" s="243">
        <v>48</v>
      </c>
      <c r="G678" s="111">
        <v>1</v>
      </c>
      <c r="H678" s="131"/>
      <c r="I678" s="112">
        <f t="shared" si="29"/>
        <v>0</v>
      </c>
      <c r="J678" s="114"/>
      <c r="K678" s="120"/>
    </row>
    <row r="679" spans="1:11" x14ac:dyDescent="0.25">
      <c r="A679" s="128"/>
      <c r="B679" s="252">
        <v>45526</v>
      </c>
      <c r="C679" s="128" t="s">
        <v>896</v>
      </c>
      <c r="D679" s="21" t="s">
        <v>30</v>
      </c>
      <c r="E679" s="23" t="s">
        <v>31</v>
      </c>
      <c r="F679" s="243">
        <v>24</v>
      </c>
      <c r="G679" s="111">
        <v>1</v>
      </c>
      <c r="H679" s="131">
        <v>410077.07999999996</v>
      </c>
      <c r="I679" s="112">
        <f t="shared" si="29"/>
        <v>410077.07999999996</v>
      </c>
      <c r="J679" s="364">
        <f>SUM(I679:I683)</f>
        <v>3887964.7799999993</v>
      </c>
      <c r="K679" s="367"/>
    </row>
    <row r="680" spans="1:11" x14ac:dyDescent="0.25">
      <c r="A680" s="128"/>
      <c r="B680" s="252">
        <v>45526</v>
      </c>
      <c r="C680" s="128" t="s">
        <v>896</v>
      </c>
      <c r="D680" s="10" t="s">
        <v>124</v>
      </c>
      <c r="E680" s="9" t="s">
        <v>125</v>
      </c>
      <c r="F680" s="243">
        <v>96</v>
      </c>
      <c r="G680" s="111">
        <v>2</v>
      </c>
      <c r="H680" s="131">
        <v>275785.71999999997</v>
      </c>
      <c r="I680" s="112">
        <f t="shared" si="29"/>
        <v>551571.43999999994</v>
      </c>
      <c r="J680" s="373"/>
      <c r="K680" s="365"/>
    </row>
    <row r="681" spans="1:11" x14ac:dyDescent="0.25">
      <c r="A681" s="128"/>
      <c r="B681" s="252">
        <v>45526</v>
      </c>
      <c r="C681" s="128" t="s">
        <v>896</v>
      </c>
      <c r="D681" s="21" t="s">
        <v>126</v>
      </c>
      <c r="E681" s="22" t="s">
        <v>127</v>
      </c>
      <c r="F681" s="243">
        <v>96</v>
      </c>
      <c r="G681" s="111">
        <v>2</v>
      </c>
      <c r="H681" s="131">
        <v>275785.71999999997</v>
      </c>
      <c r="I681" s="112">
        <f t="shared" si="29"/>
        <v>551571.43999999994</v>
      </c>
      <c r="J681" s="373"/>
      <c r="K681" s="365"/>
    </row>
    <row r="682" spans="1:11" x14ac:dyDescent="0.25">
      <c r="A682" s="128"/>
      <c r="B682" s="252">
        <v>45526</v>
      </c>
      <c r="C682" s="128" t="s">
        <v>896</v>
      </c>
      <c r="D682" s="10" t="s">
        <v>132</v>
      </c>
      <c r="E682" s="9" t="s">
        <v>133</v>
      </c>
      <c r="F682" s="243">
        <v>144</v>
      </c>
      <c r="G682" s="111">
        <v>3</v>
      </c>
      <c r="H682" s="131">
        <v>331938.74</v>
      </c>
      <c r="I682" s="112">
        <f t="shared" si="29"/>
        <v>995816.22</v>
      </c>
      <c r="J682" s="373"/>
      <c r="K682" s="365"/>
    </row>
    <row r="683" spans="1:11" x14ac:dyDescent="0.25">
      <c r="A683" s="128"/>
      <c r="B683" s="252">
        <v>45526</v>
      </c>
      <c r="C683" s="128" t="s">
        <v>896</v>
      </c>
      <c r="D683" s="21" t="s">
        <v>142</v>
      </c>
      <c r="E683" s="22" t="s">
        <v>143</v>
      </c>
      <c r="F683" s="243">
        <v>240</v>
      </c>
      <c r="G683" s="111">
        <v>5</v>
      </c>
      <c r="H683" s="131">
        <v>275785.71999999997</v>
      </c>
      <c r="I683" s="112">
        <f t="shared" si="29"/>
        <v>1378928.5999999999</v>
      </c>
      <c r="J683" s="370"/>
      <c r="K683" s="366"/>
    </row>
    <row r="684" spans="1:11" x14ac:dyDescent="0.25">
      <c r="A684" s="128"/>
      <c r="B684" s="252">
        <v>45526</v>
      </c>
      <c r="C684" s="242" t="s">
        <v>950</v>
      </c>
      <c r="D684" s="21" t="s">
        <v>142</v>
      </c>
      <c r="E684" s="22" t="s">
        <v>143</v>
      </c>
      <c r="F684" s="243">
        <v>96</v>
      </c>
      <c r="G684" s="111">
        <v>2</v>
      </c>
      <c r="H684" s="131">
        <v>270000</v>
      </c>
      <c r="I684" s="112">
        <f t="shared" si="29"/>
        <v>540000</v>
      </c>
      <c r="J684" s="364">
        <f>I684+I685</f>
        <v>1190000</v>
      </c>
      <c r="K684" s="367" t="s">
        <v>945</v>
      </c>
    </row>
    <row r="685" spans="1:11" x14ac:dyDescent="0.25">
      <c r="A685" s="128"/>
      <c r="B685" s="252">
        <v>45526</v>
      </c>
      <c r="C685" s="242" t="s">
        <v>950</v>
      </c>
      <c r="D685" s="10" t="s">
        <v>132</v>
      </c>
      <c r="E685" s="9" t="s">
        <v>133</v>
      </c>
      <c r="F685" s="243">
        <v>96</v>
      </c>
      <c r="G685" s="111">
        <v>2</v>
      </c>
      <c r="H685" s="131">
        <v>325000</v>
      </c>
      <c r="I685" s="112">
        <f t="shared" si="29"/>
        <v>650000</v>
      </c>
      <c r="J685" s="370"/>
      <c r="K685" s="366"/>
    </row>
    <row r="686" spans="1:11" x14ac:dyDescent="0.25">
      <c r="A686" s="128"/>
      <c r="B686" s="252">
        <v>45526</v>
      </c>
      <c r="C686" s="128" t="s">
        <v>839</v>
      </c>
      <c r="D686" s="21" t="s">
        <v>142</v>
      </c>
      <c r="E686" s="22" t="s">
        <v>143</v>
      </c>
      <c r="F686" s="243">
        <f>7*48</f>
        <v>336</v>
      </c>
      <c r="G686" s="111">
        <v>7</v>
      </c>
      <c r="H686" s="131">
        <v>250000</v>
      </c>
      <c r="I686" s="112">
        <f t="shared" si="29"/>
        <v>1750000</v>
      </c>
      <c r="J686" s="364">
        <f>I686+I687</f>
        <v>2000000</v>
      </c>
      <c r="K686" s="367" t="s">
        <v>825</v>
      </c>
    </row>
    <row r="687" spans="1:11" x14ac:dyDescent="0.25">
      <c r="A687" s="128"/>
      <c r="B687" s="252">
        <v>45526</v>
      </c>
      <c r="C687" s="128" t="s">
        <v>839</v>
      </c>
      <c r="D687" s="10" t="s">
        <v>124</v>
      </c>
      <c r="E687" s="9" t="s">
        <v>125</v>
      </c>
      <c r="F687" s="243">
        <v>48</v>
      </c>
      <c r="G687" s="111">
        <v>1</v>
      </c>
      <c r="H687" s="131">
        <v>250000</v>
      </c>
      <c r="I687" s="112">
        <f t="shared" si="29"/>
        <v>250000</v>
      </c>
      <c r="J687" s="370"/>
      <c r="K687" s="366"/>
    </row>
    <row r="688" spans="1:11" x14ac:dyDescent="0.25">
      <c r="A688" s="128"/>
      <c r="B688" s="252">
        <v>45526</v>
      </c>
      <c r="C688" s="128" t="s">
        <v>846</v>
      </c>
      <c r="D688" s="21" t="s">
        <v>20</v>
      </c>
      <c r="E688" s="23" t="s">
        <v>21</v>
      </c>
      <c r="F688" s="243">
        <v>12</v>
      </c>
      <c r="G688" s="111">
        <v>0.5</v>
      </c>
      <c r="H688" s="131">
        <v>452400</v>
      </c>
      <c r="I688" s="112">
        <f t="shared" si="29"/>
        <v>226200</v>
      </c>
      <c r="J688" s="364">
        <f>SUM(I688:I691)</f>
        <v>703390</v>
      </c>
      <c r="K688" s="367"/>
    </row>
    <row r="689" spans="1:11" x14ac:dyDescent="0.25">
      <c r="A689" s="128"/>
      <c r="B689" s="252">
        <v>45526</v>
      </c>
      <c r="C689" s="128" t="s">
        <v>846</v>
      </c>
      <c r="D689" s="21" t="s">
        <v>30</v>
      </c>
      <c r="E689" s="23" t="s">
        <v>31</v>
      </c>
      <c r="F689" s="243">
        <v>10</v>
      </c>
      <c r="G689" s="111"/>
      <c r="H689" s="131">
        <v>17340</v>
      </c>
      <c r="I689" s="112">
        <f>F689*H689</f>
        <v>173400</v>
      </c>
      <c r="J689" s="373"/>
      <c r="K689" s="365"/>
    </row>
    <row r="690" spans="1:11" x14ac:dyDescent="0.25">
      <c r="A690" s="128"/>
      <c r="B690" s="252">
        <v>45526</v>
      </c>
      <c r="C690" s="128" t="s">
        <v>846</v>
      </c>
      <c r="D690" s="21" t="s">
        <v>34</v>
      </c>
      <c r="E690" s="23" t="s">
        <v>35</v>
      </c>
      <c r="F690" s="243">
        <v>30</v>
      </c>
      <c r="G690" s="111"/>
      <c r="H690" s="131">
        <v>26438</v>
      </c>
      <c r="I690" s="112">
        <f>H690/6*F690</f>
        <v>132190</v>
      </c>
      <c r="J690" s="373"/>
      <c r="K690" s="365"/>
    </row>
    <row r="691" spans="1:11" x14ac:dyDescent="0.25">
      <c r="A691" s="128"/>
      <c r="B691" s="252">
        <v>45526</v>
      </c>
      <c r="C691" s="128" t="s">
        <v>846</v>
      </c>
      <c r="D691" s="21" t="s">
        <v>765</v>
      </c>
      <c r="E691" s="22" t="s">
        <v>75</v>
      </c>
      <c r="F691" s="243">
        <v>24</v>
      </c>
      <c r="G691" s="111">
        <v>0.5</v>
      </c>
      <c r="H691" s="131">
        <v>343200</v>
      </c>
      <c r="I691" s="112">
        <f t="shared" si="29"/>
        <v>171600</v>
      </c>
      <c r="J691" s="370"/>
      <c r="K691" s="366"/>
    </row>
    <row r="692" spans="1:11" x14ac:dyDescent="0.25">
      <c r="A692" s="128"/>
      <c r="B692" s="252">
        <v>45526</v>
      </c>
      <c r="C692" s="128" t="s">
        <v>942</v>
      </c>
      <c r="D692" s="10" t="s">
        <v>124</v>
      </c>
      <c r="E692" s="9" t="s">
        <v>125</v>
      </c>
      <c r="F692" s="243">
        <v>48</v>
      </c>
      <c r="G692" s="111">
        <v>1</v>
      </c>
      <c r="H692" s="131">
        <v>270000</v>
      </c>
      <c r="I692" s="112">
        <f t="shared" si="29"/>
        <v>270000</v>
      </c>
      <c r="J692" s="113">
        <f>I692</f>
        <v>270000</v>
      </c>
      <c r="K692" s="120"/>
    </row>
    <row r="693" spans="1:11" x14ac:dyDescent="0.25">
      <c r="A693" s="128"/>
      <c r="B693" s="252">
        <v>45526</v>
      </c>
      <c r="C693" s="242" t="s">
        <v>950</v>
      </c>
      <c r="D693" s="21" t="s">
        <v>126</v>
      </c>
      <c r="E693" s="22" t="s">
        <v>127</v>
      </c>
      <c r="F693" s="243">
        <v>192</v>
      </c>
      <c r="G693" s="111">
        <v>4</v>
      </c>
      <c r="H693" s="131">
        <v>270000</v>
      </c>
      <c r="I693" s="112">
        <f t="shared" si="29"/>
        <v>1080000</v>
      </c>
      <c r="J693" s="113">
        <f>I693</f>
        <v>1080000</v>
      </c>
      <c r="K693" s="120" t="s">
        <v>858</v>
      </c>
    </row>
    <row r="694" spans="1:11" x14ac:dyDescent="0.25">
      <c r="A694" s="128"/>
      <c r="B694" s="252">
        <v>45526</v>
      </c>
      <c r="C694" s="109" t="s">
        <v>946</v>
      </c>
      <c r="D694" s="10" t="s">
        <v>568</v>
      </c>
      <c r="E694" s="22" t="s">
        <v>569</v>
      </c>
      <c r="F694" s="243">
        <v>72</v>
      </c>
      <c r="G694" s="111"/>
      <c r="H694" s="131">
        <f>8800*1.08</f>
        <v>9504</v>
      </c>
      <c r="I694" s="112">
        <f>H694*F694</f>
        <v>684288</v>
      </c>
      <c r="J694" s="113">
        <f>I694</f>
        <v>684288</v>
      </c>
      <c r="K694" s="120" t="s">
        <v>949</v>
      </c>
    </row>
    <row r="695" spans="1:11" x14ac:dyDescent="0.25">
      <c r="A695" s="242"/>
      <c r="B695" s="252">
        <v>45526</v>
      </c>
      <c r="C695" s="243" t="s">
        <v>918</v>
      </c>
      <c r="D695" s="10" t="s">
        <v>132</v>
      </c>
      <c r="E695" s="9" t="s">
        <v>133</v>
      </c>
      <c r="F695" s="243">
        <v>144</v>
      </c>
      <c r="G695" s="245">
        <v>3</v>
      </c>
      <c r="H695" s="246"/>
      <c r="I695" s="247"/>
      <c r="J695" s="248"/>
      <c r="K695" s="326"/>
    </row>
    <row r="696" spans="1:11" x14ac:dyDescent="0.25">
      <c r="A696" s="242"/>
      <c r="B696" s="252">
        <v>45526</v>
      </c>
      <c r="C696" s="243" t="s">
        <v>901</v>
      </c>
      <c r="D696" s="297" t="s">
        <v>762</v>
      </c>
      <c r="E696" s="275" t="s">
        <v>85</v>
      </c>
      <c r="F696" s="243">
        <f>40*12</f>
        <v>480</v>
      </c>
      <c r="G696" s="245">
        <v>40</v>
      </c>
      <c r="H696" s="246">
        <v>350000</v>
      </c>
      <c r="I696" s="247">
        <f>G696*H696</f>
        <v>14000000</v>
      </c>
      <c r="J696" s="248">
        <f>I696</f>
        <v>14000000</v>
      </c>
      <c r="K696" s="328"/>
    </row>
    <row r="697" spans="1:11" x14ac:dyDescent="0.25">
      <c r="A697" s="242"/>
      <c r="B697" s="252">
        <v>45526</v>
      </c>
      <c r="C697" s="243" t="s">
        <v>860</v>
      </c>
      <c r="D697" s="297" t="s">
        <v>762</v>
      </c>
      <c r="E697" s="275" t="s">
        <v>85</v>
      </c>
      <c r="F697" s="243">
        <v>12</v>
      </c>
      <c r="G697" s="245">
        <v>1</v>
      </c>
      <c r="H697" s="246">
        <v>375000</v>
      </c>
      <c r="I697" s="247">
        <f t="shared" ref="I697:I700" si="31">G697*H697</f>
        <v>375000</v>
      </c>
      <c r="J697" s="364">
        <f>I697+I698</f>
        <v>735000</v>
      </c>
      <c r="K697" s="367" t="s">
        <v>825</v>
      </c>
    </row>
    <row r="698" spans="1:11" x14ac:dyDescent="0.25">
      <c r="A698" s="242"/>
      <c r="B698" s="252">
        <v>45526</v>
      </c>
      <c r="C698" s="243" t="s">
        <v>860</v>
      </c>
      <c r="D698" s="259" t="s">
        <v>22</v>
      </c>
      <c r="E698" s="271" t="s">
        <v>23</v>
      </c>
      <c r="F698" s="243">
        <v>6</v>
      </c>
      <c r="G698" s="245">
        <v>0.5</v>
      </c>
      <c r="H698" s="246">
        <v>720000</v>
      </c>
      <c r="I698" s="247">
        <f t="shared" si="31"/>
        <v>360000</v>
      </c>
      <c r="J698" s="370"/>
      <c r="K698" s="366"/>
    </row>
    <row r="699" spans="1:11" x14ac:dyDescent="0.25">
      <c r="A699" s="128"/>
      <c r="B699" s="252">
        <v>45526</v>
      </c>
      <c r="C699" s="301" t="s">
        <v>777</v>
      </c>
      <c r="D699" s="297" t="s">
        <v>762</v>
      </c>
      <c r="E699" s="275" t="s">
        <v>85</v>
      </c>
      <c r="F699" s="243">
        <v>12</v>
      </c>
      <c r="G699" s="111"/>
      <c r="H699" s="131"/>
      <c r="I699" s="247">
        <f t="shared" si="31"/>
        <v>0</v>
      </c>
      <c r="J699" s="114"/>
      <c r="K699" s="120"/>
    </row>
    <row r="700" spans="1:11" x14ac:dyDescent="0.25">
      <c r="A700" s="128"/>
      <c r="B700" s="252">
        <v>45526</v>
      </c>
      <c r="C700" s="301" t="s">
        <v>777</v>
      </c>
      <c r="D700" s="298" t="s">
        <v>126</v>
      </c>
      <c r="E700" s="251" t="s">
        <v>127</v>
      </c>
      <c r="F700" s="243">
        <v>6</v>
      </c>
      <c r="G700" s="111"/>
      <c r="H700" s="131"/>
      <c r="I700" s="247">
        <f t="shared" si="31"/>
        <v>0</v>
      </c>
      <c r="J700" s="114"/>
      <c r="K700" s="120"/>
    </row>
    <row r="701" spans="1:11" ht="15.75" x14ac:dyDescent="0.25">
      <c r="A701" s="128"/>
      <c r="B701" s="252">
        <v>45526</v>
      </c>
      <c r="C701" s="301" t="s">
        <v>780</v>
      </c>
      <c r="D701" s="15" t="s">
        <v>217</v>
      </c>
      <c r="E701" s="17" t="s">
        <v>218</v>
      </c>
      <c r="F701" s="243">
        <v>48</v>
      </c>
      <c r="G701" s="111">
        <v>1</v>
      </c>
      <c r="H701" s="131"/>
      <c r="I701" s="112">
        <f t="shared" si="29"/>
        <v>0</v>
      </c>
      <c r="J701" s="114"/>
      <c r="K701" s="120"/>
    </row>
    <row r="702" spans="1:11" x14ac:dyDescent="0.25">
      <c r="A702" s="128"/>
      <c r="B702" s="252">
        <v>45526</v>
      </c>
      <c r="C702" s="301" t="s">
        <v>848</v>
      </c>
      <c r="D702" s="297" t="s">
        <v>762</v>
      </c>
      <c r="E702" s="275" t="s">
        <v>85</v>
      </c>
      <c r="F702" s="243">
        <v>72</v>
      </c>
      <c r="G702" s="111">
        <v>6</v>
      </c>
      <c r="H702" s="131"/>
      <c r="I702" s="112">
        <f t="shared" si="29"/>
        <v>0</v>
      </c>
      <c r="J702" s="114"/>
      <c r="K702" s="120"/>
    </row>
    <row r="703" spans="1:11" x14ac:dyDescent="0.25">
      <c r="A703" s="128"/>
      <c r="B703" s="252">
        <v>45526</v>
      </c>
      <c r="C703" s="301" t="s">
        <v>779</v>
      </c>
      <c r="D703" s="21" t="s">
        <v>126</v>
      </c>
      <c r="E703" s="22" t="s">
        <v>127</v>
      </c>
      <c r="F703" s="243">
        <v>24</v>
      </c>
      <c r="G703" s="111"/>
      <c r="H703" s="131"/>
      <c r="I703" s="112">
        <f t="shared" si="29"/>
        <v>0</v>
      </c>
      <c r="J703" s="114"/>
      <c r="K703" s="120"/>
    </row>
    <row r="704" spans="1:11" x14ac:dyDescent="0.25">
      <c r="A704" s="128"/>
      <c r="B704" s="252">
        <v>45526</v>
      </c>
      <c r="C704" s="301" t="s">
        <v>835</v>
      </c>
      <c r="D704" s="297" t="s">
        <v>762</v>
      </c>
      <c r="E704" s="275" t="s">
        <v>85</v>
      </c>
      <c r="F704" s="243">
        <v>84</v>
      </c>
      <c r="G704" s="111">
        <v>7</v>
      </c>
      <c r="H704" s="131"/>
      <c r="I704" s="112">
        <f t="shared" si="29"/>
        <v>0</v>
      </c>
      <c r="J704" s="114"/>
      <c r="K704" s="120"/>
    </row>
    <row r="705" spans="1:11" x14ac:dyDescent="0.25">
      <c r="A705" s="128"/>
      <c r="B705" s="252">
        <v>45526</v>
      </c>
      <c r="C705" s="302" t="s">
        <v>775</v>
      </c>
      <c r="D705" s="297" t="s">
        <v>762</v>
      </c>
      <c r="E705" s="275" t="s">
        <v>85</v>
      </c>
      <c r="F705" s="243">
        <v>24</v>
      </c>
      <c r="G705" s="111">
        <v>2</v>
      </c>
      <c r="H705" s="131"/>
      <c r="I705" s="112">
        <f t="shared" si="29"/>
        <v>0</v>
      </c>
      <c r="J705" s="114"/>
      <c r="K705" s="120"/>
    </row>
    <row r="706" spans="1:11" x14ac:dyDescent="0.25">
      <c r="A706" s="128"/>
      <c r="B706" s="252">
        <v>45526</v>
      </c>
      <c r="C706" s="302" t="s">
        <v>856</v>
      </c>
      <c r="D706" s="297" t="s">
        <v>762</v>
      </c>
      <c r="E706" s="275" t="s">
        <v>85</v>
      </c>
      <c r="F706" s="243">
        <v>60</v>
      </c>
      <c r="G706" s="111">
        <v>5</v>
      </c>
      <c r="H706" s="131"/>
      <c r="I706" s="112">
        <f t="shared" si="29"/>
        <v>0</v>
      </c>
      <c r="J706" s="114"/>
      <c r="K706" s="120"/>
    </row>
    <row r="707" spans="1:11" x14ac:dyDescent="0.25">
      <c r="A707" s="128"/>
      <c r="B707" s="252">
        <v>45526</v>
      </c>
      <c r="C707" s="303" t="s">
        <v>836</v>
      </c>
      <c r="D707" s="21" t="s">
        <v>42</v>
      </c>
      <c r="E707" s="23" t="s">
        <v>43</v>
      </c>
      <c r="F707" s="243">
        <v>48</v>
      </c>
      <c r="G707" s="111">
        <v>1</v>
      </c>
      <c r="H707" s="131"/>
      <c r="I707" s="112">
        <f t="shared" si="29"/>
        <v>0</v>
      </c>
      <c r="J707" s="114"/>
      <c r="K707" s="120"/>
    </row>
    <row r="708" spans="1:11" x14ac:dyDescent="0.25">
      <c r="A708" s="128"/>
      <c r="B708" s="252">
        <v>45526</v>
      </c>
      <c r="C708" s="303" t="s">
        <v>836</v>
      </c>
      <c r="D708" s="10" t="s">
        <v>86</v>
      </c>
      <c r="E708" s="9" t="s">
        <v>87</v>
      </c>
      <c r="F708" s="243">
        <v>24</v>
      </c>
      <c r="G708" s="111">
        <v>2</v>
      </c>
      <c r="H708" s="131"/>
      <c r="I708" s="112">
        <f t="shared" si="29"/>
        <v>0</v>
      </c>
      <c r="J708" s="114"/>
      <c r="K708" s="120"/>
    </row>
    <row r="709" spans="1:11" x14ac:dyDescent="0.25">
      <c r="A709" s="128"/>
      <c r="B709" s="252">
        <v>45526</v>
      </c>
      <c r="C709" s="303" t="s">
        <v>836</v>
      </c>
      <c r="D709" s="21" t="s">
        <v>142</v>
      </c>
      <c r="E709" s="22" t="s">
        <v>143</v>
      </c>
      <c r="F709" s="243">
        <v>48</v>
      </c>
      <c r="G709" s="111">
        <v>1</v>
      </c>
      <c r="H709" s="131"/>
      <c r="I709" s="112">
        <f t="shared" si="29"/>
        <v>0</v>
      </c>
      <c r="J709" s="114"/>
      <c r="K709" s="120"/>
    </row>
    <row r="710" spans="1:11" x14ac:dyDescent="0.25">
      <c r="A710" s="128"/>
      <c r="B710" s="252">
        <v>45526</v>
      </c>
      <c r="C710" s="303" t="s">
        <v>836</v>
      </c>
      <c r="D710" s="10" t="s">
        <v>172</v>
      </c>
      <c r="E710" s="9" t="s">
        <v>173</v>
      </c>
      <c r="F710" s="243">
        <v>2</v>
      </c>
      <c r="G710" s="111"/>
      <c r="H710" s="131"/>
      <c r="I710" s="112">
        <f t="shared" si="29"/>
        <v>0</v>
      </c>
      <c r="J710" s="114"/>
      <c r="K710" s="120"/>
    </row>
    <row r="711" spans="1:11" x14ac:dyDescent="0.25">
      <c r="A711" s="128"/>
      <c r="B711" s="252">
        <v>45526</v>
      </c>
      <c r="C711" s="303" t="s">
        <v>836</v>
      </c>
      <c r="D711" s="10" t="s">
        <v>16</v>
      </c>
      <c r="E711" s="7" t="s">
        <v>17</v>
      </c>
      <c r="F711" s="243">
        <v>60</v>
      </c>
      <c r="G711" s="111">
        <v>5</v>
      </c>
      <c r="H711" s="131"/>
      <c r="I711" s="112">
        <f t="shared" si="29"/>
        <v>0</v>
      </c>
      <c r="J711" s="114"/>
      <c r="K711" s="120"/>
    </row>
    <row r="712" spans="1:11" x14ac:dyDescent="0.25">
      <c r="A712" s="128"/>
      <c r="B712" s="127">
        <v>45527</v>
      </c>
      <c r="C712" s="109" t="s">
        <v>831</v>
      </c>
      <c r="D712" s="21" t="s">
        <v>797</v>
      </c>
      <c r="E712" s="23" t="s">
        <v>795</v>
      </c>
      <c r="F712" s="243">
        <v>24</v>
      </c>
      <c r="G712" s="111">
        <v>1</v>
      </c>
      <c r="H712" s="131">
        <v>165000</v>
      </c>
      <c r="I712" s="112">
        <f>G712*H712</f>
        <v>165000</v>
      </c>
      <c r="J712" s="364">
        <f>SUM(I712:I717)</f>
        <v>728700</v>
      </c>
      <c r="K712" s="367" t="s">
        <v>825</v>
      </c>
    </row>
    <row r="713" spans="1:11" x14ac:dyDescent="0.25">
      <c r="A713" s="128"/>
      <c r="B713" s="127">
        <v>45527</v>
      </c>
      <c r="C713" s="109" t="s">
        <v>831</v>
      </c>
      <c r="D713" s="10" t="s">
        <v>124</v>
      </c>
      <c r="E713" s="9" t="s">
        <v>125</v>
      </c>
      <c r="F713" s="243">
        <v>24</v>
      </c>
      <c r="G713" s="111">
        <v>0.5</v>
      </c>
      <c r="H713" s="131">
        <v>265000</v>
      </c>
      <c r="I713" s="112">
        <f>G713*H713</f>
        <v>132500</v>
      </c>
      <c r="J713" s="365"/>
      <c r="K713" s="365"/>
    </row>
    <row r="714" spans="1:11" x14ac:dyDescent="0.25">
      <c r="A714" s="128"/>
      <c r="B714" s="127">
        <v>45527</v>
      </c>
      <c r="C714" s="109" t="s">
        <v>831</v>
      </c>
      <c r="D714" s="10" t="s">
        <v>144</v>
      </c>
      <c r="E714" s="9" t="s">
        <v>145</v>
      </c>
      <c r="F714" s="243">
        <v>25</v>
      </c>
      <c r="G714" s="111">
        <v>0.5</v>
      </c>
      <c r="H714" s="131">
        <f>215600/50</f>
        <v>4312</v>
      </c>
      <c r="I714" s="112">
        <f t="shared" ref="I714:I717" si="32">F714*H714</f>
        <v>107800</v>
      </c>
      <c r="J714" s="365"/>
      <c r="K714" s="365"/>
    </row>
    <row r="715" spans="1:11" x14ac:dyDescent="0.25">
      <c r="A715" s="128"/>
      <c r="B715" s="127">
        <v>45527</v>
      </c>
      <c r="C715" s="109" t="s">
        <v>831</v>
      </c>
      <c r="D715" s="10" t="s">
        <v>146</v>
      </c>
      <c r="E715" s="9" t="s">
        <v>147</v>
      </c>
      <c r="F715" s="243">
        <v>25</v>
      </c>
      <c r="G715" s="111">
        <v>0.5</v>
      </c>
      <c r="H715" s="131">
        <f t="shared" ref="H715:H717" si="33">215600/50</f>
        <v>4312</v>
      </c>
      <c r="I715" s="112">
        <f t="shared" si="32"/>
        <v>107800</v>
      </c>
      <c r="J715" s="365"/>
      <c r="K715" s="365"/>
    </row>
    <row r="716" spans="1:11" x14ac:dyDescent="0.25">
      <c r="A716" s="128"/>
      <c r="B716" s="127">
        <v>45527</v>
      </c>
      <c r="C716" s="109" t="s">
        <v>831</v>
      </c>
      <c r="D716" s="10" t="s">
        <v>148</v>
      </c>
      <c r="E716" s="9" t="s">
        <v>149</v>
      </c>
      <c r="F716" s="243">
        <v>25</v>
      </c>
      <c r="G716" s="111">
        <v>0.5</v>
      </c>
      <c r="H716" s="131">
        <f t="shared" si="33"/>
        <v>4312</v>
      </c>
      <c r="I716" s="112">
        <f t="shared" si="32"/>
        <v>107800</v>
      </c>
      <c r="J716" s="365"/>
      <c r="K716" s="365"/>
    </row>
    <row r="717" spans="1:11" x14ac:dyDescent="0.25">
      <c r="A717" s="128"/>
      <c r="B717" s="127">
        <v>45527</v>
      </c>
      <c r="C717" s="109" t="s">
        <v>831</v>
      </c>
      <c r="D717" s="10" t="s">
        <v>154</v>
      </c>
      <c r="E717" s="9" t="s">
        <v>155</v>
      </c>
      <c r="F717" s="243">
        <v>25</v>
      </c>
      <c r="G717" s="111">
        <v>0.5</v>
      </c>
      <c r="H717" s="131">
        <f t="shared" si="33"/>
        <v>4312</v>
      </c>
      <c r="I717" s="112">
        <f t="shared" si="32"/>
        <v>107800</v>
      </c>
      <c r="J717" s="366"/>
      <c r="K717" s="366"/>
    </row>
    <row r="718" spans="1:11" x14ac:dyDescent="0.25">
      <c r="A718" s="242"/>
      <c r="B718" s="127">
        <v>45527</v>
      </c>
      <c r="C718" s="243" t="s">
        <v>826</v>
      </c>
      <c r="D718" s="21" t="s">
        <v>764</v>
      </c>
      <c r="E718" s="23" t="s">
        <v>69</v>
      </c>
      <c r="F718" s="243">
        <v>96</v>
      </c>
      <c r="G718" s="245">
        <v>2</v>
      </c>
      <c r="H718" s="246">
        <v>345000</v>
      </c>
      <c r="I718" s="247">
        <f>G718*H718</f>
        <v>690000</v>
      </c>
      <c r="J718" s="364">
        <f>SUM(I718:I722)</f>
        <v>3634000</v>
      </c>
      <c r="K718" s="367"/>
    </row>
    <row r="719" spans="1:11" x14ac:dyDescent="0.25">
      <c r="A719" s="242"/>
      <c r="B719" s="127">
        <v>45527</v>
      </c>
      <c r="C719" s="243" t="s">
        <v>826</v>
      </c>
      <c r="D719" s="21" t="s">
        <v>765</v>
      </c>
      <c r="E719" s="22" t="s">
        <v>75</v>
      </c>
      <c r="F719" s="243">
        <v>96</v>
      </c>
      <c r="G719" s="245">
        <v>2</v>
      </c>
      <c r="H719" s="246">
        <v>345000</v>
      </c>
      <c r="I719" s="247">
        <f t="shared" ref="I719:I726" si="34">G719*H719</f>
        <v>690000</v>
      </c>
      <c r="J719" s="365"/>
      <c r="K719" s="365"/>
    </row>
    <row r="720" spans="1:11" x14ac:dyDescent="0.25">
      <c r="A720" s="242"/>
      <c r="B720" s="127">
        <v>45527</v>
      </c>
      <c r="C720" s="243" t="s">
        <v>826</v>
      </c>
      <c r="D720" s="21" t="s">
        <v>763</v>
      </c>
      <c r="E720" s="22" t="s">
        <v>83</v>
      </c>
      <c r="F720" s="243">
        <v>96</v>
      </c>
      <c r="G720" s="245">
        <v>2</v>
      </c>
      <c r="H720" s="246">
        <v>345000</v>
      </c>
      <c r="I720" s="247">
        <f t="shared" si="34"/>
        <v>690000</v>
      </c>
      <c r="J720" s="365"/>
      <c r="K720" s="365"/>
    </row>
    <row r="721" spans="1:11" x14ac:dyDescent="0.25">
      <c r="A721" s="242"/>
      <c r="B721" s="127">
        <v>45527</v>
      </c>
      <c r="C721" s="243" t="s">
        <v>826</v>
      </c>
      <c r="D721" s="10" t="s">
        <v>124</v>
      </c>
      <c r="E721" s="9" t="s">
        <v>125</v>
      </c>
      <c r="F721" s="243">
        <v>144</v>
      </c>
      <c r="G721" s="245">
        <v>3</v>
      </c>
      <c r="H721" s="246">
        <v>275000</v>
      </c>
      <c r="I721" s="247">
        <f t="shared" si="34"/>
        <v>825000</v>
      </c>
      <c r="J721" s="365"/>
      <c r="K721" s="365"/>
    </row>
    <row r="722" spans="1:11" x14ac:dyDescent="0.25">
      <c r="A722" s="242"/>
      <c r="B722" s="127">
        <v>45527</v>
      </c>
      <c r="C722" s="243" t="s">
        <v>826</v>
      </c>
      <c r="D722" s="10" t="s">
        <v>22</v>
      </c>
      <c r="E722" s="7" t="s">
        <v>23</v>
      </c>
      <c r="F722" s="243">
        <v>12</v>
      </c>
      <c r="G722" s="245">
        <v>1</v>
      </c>
      <c r="H722" s="246">
        <v>739000</v>
      </c>
      <c r="I722" s="247">
        <f t="shared" si="34"/>
        <v>739000</v>
      </c>
      <c r="J722" s="366"/>
      <c r="K722" s="366"/>
    </row>
    <row r="723" spans="1:11" x14ac:dyDescent="0.25">
      <c r="A723" s="242"/>
      <c r="B723" s="127">
        <v>45527</v>
      </c>
      <c r="C723" s="243" t="s">
        <v>839</v>
      </c>
      <c r="D723" s="298" t="s">
        <v>126</v>
      </c>
      <c r="E723" s="251" t="s">
        <v>127</v>
      </c>
      <c r="F723" s="243">
        <v>240</v>
      </c>
      <c r="G723" s="245">
        <v>5</v>
      </c>
      <c r="H723" s="246">
        <v>250000</v>
      </c>
      <c r="I723" s="247">
        <f t="shared" si="34"/>
        <v>1250000</v>
      </c>
      <c r="J723" s="364">
        <f>I723+I724</f>
        <v>1500000</v>
      </c>
      <c r="K723" s="367" t="s">
        <v>825</v>
      </c>
    </row>
    <row r="724" spans="1:11" x14ac:dyDescent="0.25">
      <c r="A724" s="242"/>
      <c r="B724" s="127">
        <v>45527</v>
      </c>
      <c r="C724" s="243" t="s">
        <v>839</v>
      </c>
      <c r="D724" s="10" t="s">
        <v>124</v>
      </c>
      <c r="E724" s="9" t="s">
        <v>125</v>
      </c>
      <c r="F724" s="243">
        <v>48</v>
      </c>
      <c r="G724" s="245">
        <v>1</v>
      </c>
      <c r="H724" s="246">
        <v>250000</v>
      </c>
      <c r="I724" s="247">
        <f t="shared" si="34"/>
        <v>250000</v>
      </c>
      <c r="J724" s="366"/>
      <c r="K724" s="366"/>
    </row>
    <row r="725" spans="1:11" x14ac:dyDescent="0.25">
      <c r="A725" s="128"/>
      <c r="B725" s="127">
        <v>45527</v>
      </c>
      <c r="C725" s="301" t="s">
        <v>777</v>
      </c>
      <c r="D725" s="297" t="s">
        <v>762</v>
      </c>
      <c r="E725" s="275" t="s">
        <v>85</v>
      </c>
      <c r="F725" s="243">
        <v>11</v>
      </c>
      <c r="G725" s="111"/>
      <c r="H725" s="131"/>
      <c r="I725" s="247">
        <f t="shared" si="34"/>
        <v>0</v>
      </c>
      <c r="J725" s="114"/>
      <c r="K725" s="120"/>
    </row>
    <row r="726" spans="1:11" x14ac:dyDescent="0.25">
      <c r="A726" s="128"/>
      <c r="B726" s="127">
        <v>45527</v>
      </c>
      <c r="C726" s="301" t="s">
        <v>777</v>
      </c>
      <c r="D726" s="298" t="s">
        <v>126</v>
      </c>
      <c r="E726" s="251" t="s">
        <v>127</v>
      </c>
      <c r="F726" s="243">
        <v>10</v>
      </c>
      <c r="G726" s="111"/>
      <c r="H726" s="131"/>
      <c r="I726" s="247">
        <f t="shared" si="34"/>
        <v>0</v>
      </c>
      <c r="J726" s="114"/>
      <c r="K726" s="120"/>
    </row>
    <row r="727" spans="1:11" x14ac:dyDescent="0.25">
      <c r="A727" s="128"/>
      <c r="B727" s="127">
        <v>45527</v>
      </c>
      <c r="C727" s="301" t="s">
        <v>834</v>
      </c>
      <c r="D727" s="10" t="s">
        <v>172</v>
      </c>
      <c r="E727" s="9" t="s">
        <v>173</v>
      </c>
      <c r="F727" s="243">
        <v>120</v>
      </c>
      <c r="G727" s="111">
        <v>10</v>
      </c>
      <c r="H727" s="131"/>
      <c r="I727" s="112">
        <f t="shared" ref="I727:I785" si="35">G727*H727</f>
        <v>0</v>
      </c>
      <c r="J727" s="114"/>
      <c r="K727" s="120"/>
    </row>
    <row r="728" spans="1:11" x14ac:dyDescent="0.25">
      <c r="A728" s="128"/>
      <c r="B728" s="127">
        <v>45527</v>
      </c>
      <c r="C728" s="301" t="s">
        <v>834</v>
      </c>
      <c r="D728" s="10" t="s">
        <v>24</v>
      </c>
      <c r="E728" s="7" t="s">
        <v>25</v>
      </c>
      <c r="F728" s="243">
        <v>240</v>
      </c>
      <c r="G728" s="111">
        <v>5</v>
      </c>
      <c r="H728" s="131"/>
      <c r="I728" s="112">
        <f t="shared" si="35"/>
        <v>0</v>
      </c>
      <c r="J728" s="114"/>
      <c r="K728" s="120"/>
    </row>
    <row r="729" spans="1:11" x14ac:dyDescent="0.25">
      <c r="A729" s="128"/>
      <c r="B729" s="127">
        <v>45527</v>
      </c>
      <c r="C729" s="301" t="s">
        <v>848</v>
      </c>
      <c r="D729" s="297" t="s">
        <v>762</v>
      </c>
      <c r="E729" s="275" t="s">
        <v>85</v>
      </c>
      <c r="F729" s="243">
        <v>3</v>
      </c>
      <c r="G729" s="111"/>
      <c r="H729" s="131"/>
      <c r="I729" s="112">
        <f t="shared" si="35"/>
        <v>0</v>
      </c>
      <c r="J729" s="114"/>
      <c r="K729" s="120"/>
    </row>
    <row r="730" spans="1:11" x14ac:dyDescent="0.25">
      <c r="A730" s="128"/>
      <c r="B730" s="127">
        <v>45527</v>
      </c>
      <c r="C730" s="301" t="s">
        <v>848</v>
      </c>
      <c r="D730" s="21" t="s">
        <v>142</v>
      </c>
      <c r="E730" s="22" t="s">
        <v>143</v>
      </c>
      <c r="F730" s="243">
        <v>5</v>
      </c>
      <c r="G730" s="111"/>
      <c r="H730" s="131"/>
      <c r="I730" s="112">
        <f t="shared" si="35"/>
        <v>0</v>
      </c>
      <c r="J730" s="113"/>
      <c r="K730" s="120"/>
    </row>
    <row r="731" spans="1:11" x14ac:dyDescent="0.25">
      <c r="A731" s="128"/>
      <c r="B731" s="127">
        <v>45527</v>
      </c>
      <c r="C731" s="301" t="s">
        <v>835</v>
      </c>
      <c r="D731" s="10" t="s">
        <v>16</v>
      </c>
      <c r="E731" s="7" t="s">
        <v>17</v>
      </c>
      <c r="F731" s="243">
        <v>24</v>
      </c>
      <c r="G731" s="111">
        <v>2</v>
      </c>
      <c r="H731" s="131"/>
      <c r="I731" s="112">
        <f t="shared" si="35"/>
        <v>0</v>
      </c>
      <c r="J731" s="113"/>
      <c r="K731" s="120"/>
    </row>
    <row r="732" spans="1:11" x14ac:dyDescent="0.25">
      <c r="A732" s="128"/>
      <c r="B732" s="127">
        <v>45527</v>
      </c>
      <c r="C732" s="301" t="s">
        <v>835</v>
      </c>
      <c r="D732" s="297" t="s">
        <v>762</v>
      </c>
      <c r="E732" s="275" t="s">
        <v>85</v>
      </c>
      <c r="F732" s="243">
        <v>2</v>
      </c>
      <c r="G732" s="111"/>
      <c r="H732" s="131"/>
      <c r="I732" s="112">
        <f t="shared" si="35"/>
        <v>0</v>
      </c>
      <c r="J732" s="113"/>
      <c r="K732" s="120"/>
    </row>
    <row r="733" spans="1:11" x14ac:dyDescent="0.25">
      <c r="A733" s="128"/>
      <c r="B733" s="127">
        <v>45527</v>
      </c>
      <c r="C733" s="303" t="s">
        <v>836</v>
      </c>
      <c r="D733" s="10" t="s">
        <v>86</v>
      </c>
      <c r="E733" s="9" t="s">
        <v>87</v>
      </c>
      <c r="F733" s="243">
        <f>12*12</f>
        <v>144</v>
      </c>
      <c r="G733" s="111">
        <v>12</v>
      </c>
      <c r="H733" s="131"/>
      <c r="I733" s="112">
        <f t="shared" si="35"/>
        <v>0</v>
      </c>
      <c r="J733" s="114"/>
      <c r="K733" s="120"/>
    </row>
    <row r="734" spans="1:11" x14ac:dyDescent="0.25">
      <c r="A734" s="128"/>
      <c r="B734" s="127">
        <v>45527</v>
      </c>
      <c r="C734" s="303" t="s">
        <v>836</v>
      </c>
      <c r="D734" s="298" t="s">
        <v>126</v>
      </c>
      <c r="E734" s="251" t="s">
        <v>127</v>
      </c>
      <c r="F734" s="243">
        <v>192</v>
      </c>
      <c r="G734" s="111">
        <v>4</v>
      </c>
      <c r="H734" s="131"/>
      <c r="I734" s="112">
        <f t="shared" si="35"/>
        <v>0</v>
      </c>
      <c r="J734" s="114"/>
      <c r="K734" s="120"/>
    </row>
    <row r="735" spans="1:11" x14ac:dyDescent="0.25">
      <c r="A735" s="128"/>
      <c r="B735" s="127">
        <v>45527</v>
      </c>
      <c r="C735" s="303" t="s">
        <v>836</v>
      </c>
      <c r="D735" s="21" t="s">
        <v>764</v>
      </c>
      <c r="E735" s="23" t="s">
        <v>69</v>
      </c>
      <c r="F735" s="243">
        <v>96</v>
      </c>
      <c r="G735" s="111">
        <v>2</v>
      </c>
      <c r="H735" s="131"/>
      <c r="I735" s="112">
        <f t="shared" si="35"/>
        <v>0</v>
      </c>
      <c r="J735" s="114"/>
      <c r="K735" s="120"/>
    </row>
    <row r="736" spans="1:11" x14ac:dyDescent="0.25">
      <c r="A736" s="128"/>
      <c r="B736" s="127">
        <v>45527</v>
      </c>
      <c r="C736" s="303" t="s">
        <v>836</v>
      </c>
      <c r="D736" s="10" t="s">
        <v>164</v>
      </c>
      <c r="E736" s="9" t="s">
        <v>165</v>
      </c>
      <c r="F736" s="243">
        <v>3</v>
      </c>
      <c r="G736" s="111"/>
      <c r="H736" s="131"/>
      <c r="I736" s="112">
        <f t="shared" si="35"/>
        <v>0</v>
      </c>
      <c r="J736" s="114"/>
      <c r="K736" s="120"/>
    </row>
    <row r="737" spans="1:11" x14ac:dyDescent="0.25">
      <c r="A737" s="128"/>
      <c r="B737" s="127">
        <v>45527</v>
      </c>
      <c r="C737" s="303" t="s">
        <v>836</v>
      </c>
      <c r="D737" s="297" t="s">
        <v>762</v>
      </c>
      <c r="E737" s="275" t="s">
        <v>85</v>
      </c>
      <c r="F737" s="243">
        <f>100*12</f>
        <v>1200</v>
      </c>
      <c r="G737" s="111">
        <v>100</v>
      </c>
      <c r="H737" s="131">
        <v>357000</v>
      </c>
      <c r="I737" s="112">
        <f t="shared" si="35"/>
        <v>35700000</v>
      </c>
      <c r="J737" s="114"/>
      <c r="K737" s="120"/>
    </row>
    <row r="738" spans="1:11" x14ac:dyDescent="0.25">
      <c r="A738" s="128"/>
      <c r="B738" s="127">
        <v>45527</v>
      </c>
      <c r="C738" s="303" t="s">
        <v>836</v>
      </c>
      <c r="D738" s="10" t="s">
        <v>772</v>
      </c>
      <c r="E738" s="22" t="s">
        <v>773</v>
      </c>
      <c r="F738" s="243">
        <v>12</v>
      </c>
      <c r="G738" s="111">
        <v>1</v>
      </c>
      <c r="H738" s="131"/>
      <c r="I738" s="112">
        <f t="shared" si="35"/>
        <v>0</v>
      </c>
      <c r="J738" s="114"/>
      <c r="K738" s="120"/>
    </row>
    <row r="739" spans="1:11" x14ac:dyDescent="0.25">
      <c r="A739" s="128"/>
      <c r="B739" s="127">
        <v>45527</v>
      </c>
      <c r="C739" s="301" t="s">
        <v>780</v>
      </c>
      <c r="D739" s="298" t="s">
        <v>126</v>
      </c>
      <c r="E739" s="251" t="s">
        <v>127</v>
      </c>
      <c r="F739" s="243">
        <v>48</v>
      </c>
      <c r="G739" s="111">
        <v>1</v>
      </c>
      <c r="H739" s="131"/>
      <c r="I739" s="112">
        <f t="shared" si="35"/>
        <v>0</v>
      </c>
      <c r="J739" s="114"/>
      <c r="K739" s="120"/>
    </row>
    <row r="740" spans="1:11" x14ac:dyDescent="0.25">
      <c r="A740" s="128"/>
      <c r="B740" s="127">
        <v>45527</v>
      </c>
      <c r="C740" s="301" t="s">
        <v>780</v>
      </c>
      <c r="D740" s="10" t="s">
        <v>172</v>
      </c>
      <c r="E740" s="9" t="s">
        <v>173</v>
      </c>
      <c r="F740" s="243">
        <v>36</v>
      </c>
      <c r="G740" s="111">
        <v>3</v>
      </c>
      <c r="H740" s="131"/>
      <c r="I740" s="112">
        <f t="shared" si="35"/>
        <v>0</v>
      </c>
      <c r="J740" s="113"/>
      <c r="K740" s="120"/>
    </row>
    <row r="741" spans="1:11" x14ac:dyDescent="0.25">
      <c r="A741" s="128"/>
      <c r="B741" s="127">
        <v>45527</v>
      </c>
      <c r="C741" s="301" t="s">
        <v>780</v>
      </c>
      <c r="D741" s="297" t="s">
        <v>762</v>
      </c>
      <c r="E741" s="275" t="s">
        <v>85</v>
      </c>
      <c r="F741" s="243">
        <v>60</v>
      </c>
      <c r="G741" s="111">
        <v>5</v>
      </c>
      <c r="H741" s="131"/>
      <c r="I741" s="112">
        <f t="shared" si="35"/>
        <v>0</v>
      </c>
      <c r="J741" s="113"/>
      <c r="K741" s="120"/>
    </row>
    <row r="742" spans="1:11" x14ac:dyDescent="0.25">
      <c r="A742" s="128"/>
      <c r="B742" s="127">
        <v>45527</v>
      </c>
      <c r="C742" s="301" t="s">
        <v>778</v>
      </c>
      <c r="D742" s="297" t="s">
        <v>762</v>
      </c>
      <c r="E742" s="275" t="s">
        <v>85</v>
      </c>
      <c r="F742" s="243">
        <v>36</v>
      </c>
      <c r="G742" s="111">
        <v>3</v>
      </c>
      <c r="H742" s="131"/>
      <c r="I742" s="112">
        <f t="shared" si="35"/>
        <v>0</v>
      </c>
      <c r="J742" s="114"/>
      <c r="K742" s="120"/>
    </row>
    <row r="743" spans="1:11" x14ac:dyDescent="0.25">
      <c r="A743" s="128"/>
      <c r="B743" s="127">
        <v>45527</v>
      </c>
      <c r="C743" s="301" t="s">
        <v>778</v>
      </c>
      <c r="D743" s="21" t="s">
        <v>142</v>
      </c>
      <c r="E743" s="22" t="s">
        <v>143</v>
      </c>
      <c r="F743" s="243">
        <v>48</v>
      </c>
      <c r="G743" s="111">
        <v>1</v>
      </c>
      <c r="H743" s="131"/>
      <c r="I743" s="112">
        <f t="shared" si="35"/>
        <v>0</v>
      </c>
      <c r="J743" s="113"/>
      <c r="K743" s="120"/>
    </row>
    <row r="744" spans="1:11" x14ac:dyDescent="0.25">
      <c r="A744" s="128"/>
      <c r="B744" s="327">
        <v>45528</v>
      </c>
      <c r="C744" s="128" t="s">
        <v>877</v>
      </c>
      <c r="D744" s="21" t="s">
        <v>20</v>
      </c>
      <c r="E744" s="23" t="s">
        <v>21</v>
      </c>
      <c r="F744" s="243">
        <f>49*24</f>
        <v>1176</v>
      </c>
      <c r="G744" s="111">
        <v>49</v>
      </c>
      <c r="H744" s="131">
        <v>432000</v>
      </c>
      <c r="I744" s="112">
        <f t="shared" si="35"/>
        <v>21168000</v>
      </c>
      <c r="J744" s="364">
        <f>SUM(I744:I746)</f>
        <v>93448000</v>
      </c>
      <c r="K744" s="367" t="s">
        <v>923</v>
      </c>
    </row>
    <row r="745" spans="1:11" x14ac:dyDescent="0.25">
      <c r="A745" s="128"/>
      <c r="B745" s="327">
        <v>45528</v>
      </c>
      <c r="C745" s="128" t="s">
        <v>877</v>
      </c>
      <c r="D745" s="21" t="s">
        <v>40</v>
      </c>
      <c r="E745" s="23" t="s">
        <v>41</v>
      </c>
      <c r="F745" s="243">
        <f>156*48</f>
        <v>7488</v>
      </c>
      <c r="G745" s="111">
        <v>156</v>
      </c>
      <c r="H745" s="131">
        <v>320000</v>
      </c>
      <c r="I745" s="112">
        <f t="shared" si="35"/>
        <v>49920000</v>
      </c>
      <c r="J745" s="365"/>
      <c r="K745" s="365"/>
    </row>
    <row r="746" spans="1:11" x14ac:dyDescent="0.25">
      <c r="A746" s="128"/>
      <c r="B746" s="327">
        <v>45528</v>
      </c>
      <c r="C746" s="128" t="s">
        <v>877</v>
      </c>
      <c r="D746" s="21" t="s">
        <v>142</v>
      </c>
      <c r="E746" s="22" t="s">
        <v>143</v>
      </c>
      <c r="F746" s="243">
        <f>86*48</f>
        <v>4128</v>
      </c>
      <c r="G746" s="111">
        <v>86</v>
      </c>
      <c r="H746" s="131">
        <v>260000</v>
      </c>
      <c r="I746" s="112">
        <f t="shared" si="35"/>
        <v>22360000</v>
      </c>
      <c r="J746" s="366"/>
      <c r="K746" s="366"/>
    </row>
    <row r="747" spans="1:11" x14ac:dyDescent="0.25">
      <c r="A747" s="128"/>
      <c r="B747" s="327">
        <v>45528</v>
      </c>
      <c r="C747" s="128" t="s">
        <v>827</v>
      </c>
      <c r="D747" s="21" t="s">
        <v>142</v>
      </c>
      <c r="E747" s="22" t="s">
        <v>143</v>
      </c>
      <c r="F747" s="243">
        <f>30*48</f>
        <v>1440</v>
      </c>
      <c r="G747" s="111">
        <v>30</v>
      </c>
      <c r="H747" s="131">
        <v>260000</v>
      </c>
      <c r="I747" s="112">
        <f t="shared" si="35"/>
        <v>7800000</v>
      </c>
      <c r="J747" s="368">
        <f>I747+I748</f>
        <v>11520000</v>
      </c>
      <c r="K747" s="369"/>
    </row>
    <row r="748" spans="1:11" x14ac:dyDescent="0.25">
      <c r="A748" s="128"/>
      <c r="B748" s="327">
        <v>45528</v>
      </c>
      <c r="C748" s="128" t="s">
        <v>827</v>
      </c>
      <c r="D748" s="10" t="s">
        <v>132</v>
      </c>
      <c r="E748" s="9" t="s">
        <v>133</v>
      </c>
      <c r="F748" s="243">
        <f>12*48</f>
        <v>576</v>
      </c>
      <c r="G748" s="111">
        <v>12</v>
      </c>
      <c r="H748" s="131">
        <v>310000</v>
      </c>
      <c r="I748" s="112">
        <f t="shared" si="35"/>
        <v>3720000</v>
      </c>
      <c r="J748" s="366"/>
      <c r="K748" s="366"/>
    </row>
    <row r="749" spans="1:11" x14ac:dyDescent="0.25">
      <c r="A749" s="128"/>
      <c r="B749" s="327">
        <v>45528</v>
      </c>
      <c r="C749" s="128" t="s">
        <v>942</v>
      </c>
      <c r="D749" s="10" t="s">
        <v>124</v>
      </c>
      <c r="E749" s="9" t="s">
        <v>125</v>
      </c>
      <c r="F749" s="243">
        <v>48</v>
      </c>
      <c r="G749" s="111">
        <v>1</v>
      </c>
      <c r="H749" s="131">
        <v>270000</v>
      </c>
      <c r="I749" s="112">
        <f t="shared" si="35"/>
        <v>270000</v>
      </c>
      <c r="J749" s="113">
        <f>I749</f>
        <v>270000</v>
      </c>
      <c r="K749" s="120"/>
    </row>
    <row r="750" spans="1:11" x14ac:dyDescent="0.25">
      <c r="A750" s="128"/>
      <c r="B750" s="327">
        <v>45528</v>
      </c>
      <c r="C750" s="128" t="s">
        <v>950</v>
      </c>
      <c r="D750" s="21" t="s">
        <v>142</v>
      </c>
      <c r="E750" s="22" t="s">
        <v>143</v>
      </c>
      <c r="F750" s="243">
        <v>48</v>
      </c>
      <c r="G750" s="111">
        <v>1</v>
      </c>
      <c r="H750" s="131">
        <v>270000</v>
      </c>
      <c r="I750" s="112">
        <f t="shared" si="35"/>
        <v>270000</v>
      </c>
      <c r="J750" s="364">
        <f>I750+I751</f>
        <v>540000</v>
      </c>
      <c r="K750" s="367" t="s">
        <v>858</v>
      </c>
    </row>
    <row r="751" spans="1:11" x14ac:dyDescent="0.25">
      <c r="A751" s="128"/>
      <c r="B751" s="327">
        <v>45528</v>
      </c>
      <c r="C751" s="128" t="s">
        <v>950</v>
      </c>
      <c r="D751" s="298" t="s">
        <v>126</v>
      </c>
      <c r="E751" s="251" t="s">
        <v>127</v>
      </c>
      <c r="F751" s="243">
        <v>48</v>
      </c>
      <c r="G751" s="111">
        <v>1</v>
      </c>
      <c r="H751" s="131">
        <v>270000</v>
      </c>
      <c r="I751" s="112">
        <f t="shared" si="35"/>
        <v>270000</v>
      </c>
      <c r="J751" s="366"/>
      <c r="K751" s="366"/>
    </row>
    <row r="752" spans="1:11" x14ac:dyDescent="0.25">
      <c r="A752" s="128"/>
      <c r="B752" s="327">
        <v>45528</v>
      </c>
      <c r="C752" s="128" t="s">
        <v>847</v>
      </c>
      <c r="D752" s="298" t="s">
        <v>126</v>
      </c>
      <c r="E752" s="251" t="s">
        <v>127</v>
      </c>
      <c r="F752" s="243">
        <v>240</v>
      </c>
      <c r="G752" s="111">
        <v>5</v>
      </c>
      <c r="H752" s="131">
        <v>260000</v>
      </c>
      <c r="I752" s="112">
        <f t="shared" si="35"/>
        <v>1300000</v>
      </c>
      <c r="J752" s="364">
        <f>SUM(I752:I754)</f>
        <v>6725000</v>
      </c>
      <c r="K752" s="367"/>
    </row>
    <row r="753" spans="1:11" x14ac:dyDescent="0.25">
      <c r="A753" s="128"/>
      <c r="B753" s="327">
        <v>45528</v>
      </c>
      <c r="C753" s="128" t="s">
        <v>847</v>
      </c>
      <c r="D753" s="10" t="s">
        <v>22</v>
      </c>
      <c r="E753" s="7" t="s">
        <v>23</v>
      </c>
      <c r="F753" s="243">
        <v>60</v>
      </c>
      <c r="G753" s="111">
        <v>5</v>
      </c>
      <c r="H753" s="131">
        <v>715000</v>
      </c>
      <c r="I753" s="112">
        <f t="shared" si="35"/>
        <v>3575000</v>
      </c>
      <c r="J753" s="365"/>
      <c r="K753" s="365"/>
    </row>
    <row r="754" spans="1:11" x14ac:dyDescent="0.25">
      <c r="A754" s="128"/>
      <c r="B754" s="327">
        <v>45528</v>
      </c>
      <c r="C754" s="128" t="s">
        <v>847</v>
      </c>
      <c r="D754" s="297" t="s">
        <v>762</v>
      </c>
      <c r="E754" s="275" t="s">
        <v>85</v>
      </c>
      <c r="F754" s="243">
        <v>60</v>
      </c>
      <c r="G754" s="111">
        <v>5</v>
      </c>
      <c r="H754" s="131">
        <v>370000</v>
      </c>
      <c r="I754" s="112">
        <f t="shared" si="35"/>
        <v>1850000</v>
      </c>
      <c r="J754" s="366"/>
      <c r="K754" s="366"/>
    </row>
    <row r="755" spans="1:11" x14ac:dyDescent="0.25">
      <c r="A755" s="128"/>
      <c r="B755" s="327">
        <v>45528</v>
      </c>
      <c r="C755" s="301" t="s">
        <v>777</v>
      </c>
      <c r="D755" s="297" t="s">
        <v>762</v>
      </c>
      <c r="E755" s="275" t="s">
        <v>85</v>
      </c>
      <c r="F755" s="243">
        <v>38</v>
      </c>
      <c r="G755" s="111"/>
      <c r="H755" s="131"/>
      <c r="I755" s="112">
        <f t="shared" si="35"/>
        <v>0</v>
      </c>
      <c r="J755" s="113"/>
      <c r="K755" s="120"/>
    </row>
    <row r="756" spans="1:11" x14ac:dyDescent="0.25">
      <c r="A756" s="128"/>
      <c r="B756" s="327">
        <v>45528</v>
      </c>
      <c r="C756" s="301" t="s">
        <v>777</v>
      </c>
      <c r="D756" s="298" t="s">
        <v>126</v>
      </c>
      <c r="E756" s="251" t="s">
        <v>127</v>
      </c>
      <c r="F756" s="243">
        <v>18</v>
      </c>
      <c r="G756" s="111"/>
      <c r="H756" s="131"/>
      <c r="I756" s="112">
        <f t="shared" si="35"/>
        <v>0</v>
      </c>
      <c r="J756" s="114"/>
      <c r="K756" s="120"/>
    </row>
    <row r="757" spans="1:11" x14ac:dyDescent="0.25">
      <c r="A757" s="128"/>
      <c r="B757" s="327">
        <v>45528</v>
      </c>
      <c r="C757" s="302" t="s">
        <v>775</v>
      </c>
      <c r="D757" s="297" t="s">
        <v>762</v>
      </c>
      <c r="E757" s="275" t="s">
        <v>85</v>
      </c>
      <c r="F757" s="243">
        <v>36</v>
      </c>
      <c r="G757" s="111">
        <v>3</v>
      </c>
      <c r="H757" s="131"/>
      <c r="I757" s="112">
        <f t="shared" si="35"/>
        <v>0</v>
      </c>
      <c r="J757" s="114"/>
      <c r="K757" s="120"/>
    </row>
    <row r="758" spans="1:11" x14ac:dyDescent="0.25">
      <c r="A758" s="128"/>
      <c r="B758" s="327">
        <v>45528</v>
      </c>
      <c r="C758" s="302" t="s">
        <v>775</v>
      </c>
      <c r="D758" s="10" t="s">
        <v>56</v>
      </c>
      <c r="E758" s="7" t="s">
        <v>57</v>
      </c>
      <c r="F758" s="243">
        <v>12</v>
      </c>
      <c r="G758" s="111">
        <v>1</v>
      </c>
      <c r="H758" s="131"/>
      <c r="I758" s="112">
        <f t="shared" si="35"/>
        <v>0</v>
      </c>
      <c r="J758" s="114"/>
      <c r="K758" s="120"/>
    </row>
    <row r="759" spans="1:11" x14ac:dyDescent="0.25">
      <c r="A759" s="128"/>
      <c r="B759" s="327">
        <v>45528</v>
      </c>
      <c r="C759" s="301" t="s">
        <v>849</v>
      </c>
      <c r="D759" s="21" t="s">
        <v>142</v>
      </c>
      <c r="E759" s="22" t="s">
        <v>143</v>
      </c>
      <c r="F759" s="243">
        <v>144</v>
      </c>
      <c r="G759" s="111">
        <v>3</v>
      </c>
      <c r="H759" s="131"/>
      <c r="I759" s="112">
        <f t="shared" si="35"/>
        <v>0</v>
      </c>
      <c r="J759" s="114"/>
      <c r="K759" s="120"/>
    </row>
    <row r="760" spans="1:11" x14ac:dyDescent="0.25">
      <c r="A760" s="128"/>
      <c r="B760" s="327">
        <v>45528</v>
      </c>
      <c r="C760" s="301" t="s">
        <v>849</v>
      </c>
      <c r="D760" s="10" t="s">
        <v>22</v>
      </c>
      <c r="E760" s="7" t="s">
        <v>23</v>
      </c>
      <c r="F760" s="243">
        <v>12</v>
      </c>
      <c r="G760" s="111">
        <v>1</v>
      </c>
      <c r="H760" s="131"/>
      <c r="I760" s="112">
        <f t="shared" si="35"/>
        <v>0</v>
      </c>
      <c r="J760" s="114"/>
      <c r="K760" s="120"/>
    </row>
    <row r="761" spans="1:11" x14ac:dyDescent="0.25">
      <c r="A761" s="128"/>
      <c r="B761" s="327">
        <v>45528</v>
      </c>
      <c r="C761" s="301" t="s">
        <v>849</v>
      </c>
      <c r="D761" s="297" t="s">
        <v>762</v>
      </c>
      <c r="E761" s="275" t="s">
        <v>85</v>
      </c>
      <c r="F761" s="243">
        <v>12</v>
      </c>
      <c r="G761" s="111">
        <v>1</v>
      </c>
      <c r="H761" s="131"/>
      <c r="I761" s="112">
        <f t="shared" si="35"/>
        <v>0</v>
      </c>
      <c r="J761" s="114"/>
      <c r="K761" s="120"/>
    </row>
    <row r="762" spans="1:11" x14ac:dyDescent="0.25">
      <c r="A762" s="128"/>
      <c r="B762" s="327">
        <v>45528</v>
      </c>
      <c r="C762" s="301" t="s">
        <v>779</v>
      </c>
      <c r="D762" s="10" t="s">
        <v>16</v>
      </c>
      <c r="E762" s="7" t="s">
        <v>17</v>
      </c>
      <c r="F762" s="243">
        <v>3</v>
      </c>
      <c r="G762" s="111"/>
      <c r="H762" s="131"/>
      <c r="I762" s="112">
        <f t="shared" si="35"/>
        <v>0</v>
      </c>
      <c r="J762" s="114"/>
      <c r="K762" s="120"/>
    </row>
    <row r="763" spans="1:11" x14ac:dyDescent="0.25">
      <c r="A763" s="128"/>
      <c r="B763" s="327">
        <v>45528</v>
      </c>
      <c r="C763" s="301" t="s">
        <v>779</v>
      </c>
      <c r="D763" s="298" t="s">
        <v>126</v>
      </c>
      <c r="E763" s="251" t="s">
        <v>127</v>
      </c>
      <c r="F763" s="243">
        <v>96</v>
      </c>
      <c r="G763" s="111">
        <v>2</v>
      </c>
      <c r="H763" s="131"/>
      <c r="I763" s="112">
        <f t="shared" si="35"/>
        <v>0</v>
      </c>
      <c r="J763" s="114"/>
      <c r="K763" s="120"/>
    </row>
    <row r="764" spans="1:11" x14ac:dyDescent="0.25">
      <c r="A764" s="242"/>
      <c r="B764" s="327">
        <v>45528</v>
      </c>
      <c r="C764" s="301" t="s">
        <v>779</v>
      </c>
      <c r="D764" s="297" t="s">
        <v>762</v>
      </c>
      <c r="E764" s="275" t="s">
        <v>85</v>
      </c>
      <c r="F764" s="243">
        <v>48</v>
      </c>
      <c r="G764" s="245">
        <v>4</v>
      </c>
      <c r="H764" s="246"/>
      <c r="I764" s="247">
        <f t="shared" si="35"/>
        <v>0</v>
      </c>
      <c r="J764" s="276"/>
      <c r="K764" s="337"/>
    </row>
    <row r="765" spans="1:11" x14ac:dyDescent="0.25">
      <c r="A765" s="128"/>
      <c r="B765" s="327">
        <v>45528</v>
      </c>
      <c r="C765" s="302" t="s">
        <v>856</v>
      </c>
      <c r="D765" s="297" t="s">
        <v>762</v>
      </c>
      <c r="E765" s="275" t="s">
        <v>85</v>
      </c>
      <c r="F765" s="243">
        <v>36</v>
      </c>
      <c r="G765" s="111">
        <v>3</v>
      </c>
      <c r="H765" s="131"/>
      <c r="I765" s="112">
        <f t="shared" si="35"/>
        <v>0</v>
      </c>
      <c r="J765" s="114"/>
      <c r="K765" s="120"/>
    </row>
    <row r="766" spans="1:11" x14ac:dyDescent="0.25">
      <c r="A766" s="128"/>
      <c r="B766" s="327">
        <v>45528</v>
      </c>
      <c r="C766" s="303" t="s">
        <v>836</v>
      </c>
      <c r="D766" s="21" t="s">
        <v>44</v>
      </c>
      <c r="E766" s="23" t="s">
        <v>45</v>
      </c>
      <c r="F766" s="243">
        <v>10</v>
      </c>
      <c r="G766" s="111"/>
      <c r="H766" s="131"/>
      <c r="I766" s="112">
        <f t="shared" si="35"/>
        <v>0</v>
      </c>
      <c r="J766" s="114"/>
      <c r="K766" s="120"/>
    </row>
    <row r="767" spans="1:11" x14ac:dyDescent="0.25">
      <c r="A767" s="128"/>
      <c r="B767" s="327">
        <v>45528</v>
      </c>
      <c r="C767" s="303" t="s">
        <v>836</v>
      </c>
      <c r="D767" s="21" t="s">
        <v>763</v>
      </c>
      <c r="E767" s="22" t="s">
        <v>83</v>
      </c>
      <c r="F767" s="243">
        <v>96</v>
      </c>
      <c r="G767" s="111">
        <v>2</v>
      </c>
      <c r="H767" s="131"/>
      <c r="I767" s="112">
        <f t="shared" si="35"/>
        <v>0</v>
      </c>
      <c r="J767" s="114"/>
      <c r="K767" s="120"/>
    </row>
    <row r="768" spans="1:11" x14ac:dyDescent="0.25">
      <c r="A768" s="128"/>
      <c r="B768" s="327">
        <v>45528</v>
      </c>
      <c r="C768" s="303" t="s">
        <v>836</v>
      </c>
      <c r="D768" s="10" t="s">
        <v>86</v>
      </c>
      <c r="E768" s="9" t="s">
        <v>87</v>
      </c>
      <c r="F768" s="243">
        <v>36</v>
      </c>
      <c r="G768" s="111">
        <v>3</v>
      </c>
      <c r="H768" s="131"/>
      <c r="I768" s="112">
        <f t="shared" si="35"/>
        <v>0</v>
      </c>
      <c r="J768" s="114"/>
      <c r="K768" s="120"/>
    </row>
    <row r="769" spans="1:11" x14ac:dyDescent="0.25">
      <c r="A769" s="128"/>
      <c r="B769" s="327">
        <v>45528</v>
      </c>
      <c r="C769" s="301" t="s">
        <v>780</v>
      </c>
      <c r="D769" s="297" t="s">
        <v>762</v>
      </c>
      <c r="E769" s="275" t="s">
        <v>85</v>
      </c>
      <c r="F769" s="243">
        <v>60</v>
      </c>
      <c r="G769" s="111">
        <v>5</v>
      </c>
      <c r="H769" s="131"/>
      <c r="I769" s="112">
        <f t="shared" si="35"/>
        <v>0</v>
      </c>
      <c r="J769" s="114"/>
      <c r="K769" s="120"/>
    </row>
    <row r="770" spans="1:11" x14ac:dyDescent="0.25">
      <c r="A770" s="128"/>
      <c r="B770" s="132">
        <v>45529</v>
      </c>
      <c r="C770" s="109" t="s">
        <v>851</v>
      </c>
      <c r="D770" s="297" t="s">
        <v>762</v>
      </c>
      <c r="E770" s="275" t="s">
        <v>85</v>
      </c>
      <c r="F770" s="243">
        <v>12</v>
      </c>
      <c r="G770" s="111">
        <v>1</v>
      </c>
      <c r="H770" s="131">
        <v>380000</v>
      </c>
      <c r="I770" s="112">
        <f t="shared" si="35"/>
        <v>380000</v>
      </c>
      <c r="J770" s="113">
        <f>I770</f>
        <v>380000</v>
      </c>
      <c r="K770" s="120" t="s">
        <v>825</v>
      </c>
    </row>
    <row r="771" spans="1:11" x14ac:dyDescent="0.25">
      <c r="A771" s="128"/>
      <c r="B771" s="132">
        <v>45529</v>
      </c>
      <c r="C771" s="128" t="s">
        <v>874</v>
      </c>
      <c r="D771" s="10" t="s">
        <v>124</v>
      </c>
      <c r="E771" s="9" t="s">
        <v>125</v>
      </c>
      <c r="F771" s="243">
        <v>48</v>
      </c>
      <c r="G771" s="111">
        <v>1</v>
      </c>
      <c r="H771" s="131">
        <v>280000</v>
      </c>
      <c r="I771" s="112">
        <f t="shared" si="35"/>
        <v>280000</v>
      </c>
      <c r="J771" s="364">
        <f>SUM(I771:I776)</f>
        <v>495000</v>
      </c>
      <c r="K771" s="367" t="s">
        <v>825</v>
      </c>
    </row>
    <row r="772" spans="1:11" x14ac:dyDescent="0.25">
      <c r="A772" s="128"/>
      <c r="B772" s="132">
        <v>45529</v>
      </c>
      <c r="C772" s="128" t="s">
        <v>874</v>
      </c>
      <c r="D772" s="10" t="s">
        <v>144</v>
      </c>
      <c r="E772" s="9" t="s">
        <v>145</v>
      </c>
      <c r="F772" s="243">
        <v>10</v>
      </c>
      <c r="G772" s="111">
        <f>F772/50</f>
        <v>0.2</v>
      </c>
      <c r="H772" s="131">
        <v>215000</v>
      </c>
      <c r="I772" s="112">
        <f t="shared" si="35"/>
        <v>43000</v>
      </c>
      <c r="J772" s="373"/>
      <c r="K772" s="365"/>
    </row>
    <row r="773" spans="1:11" x14ac:dyDescent="0.25">
      <c r="A773" s="128"/>
      <c r="B773" s="132">
        <v>45529</v>
      </c>
      <c r="C773" s="128" t="s">
        <v>874</v>
      </c>
      <c r="D773" s="10" t="s">
        <v>146</v>
      </c>
      <c r="E773" s="9" t="s">
        <v>147</v>
      </c>
      <c r="F773" s="243">
        <v>10</v>
      </c>
      <c r="G773" s="111">
        <f t="shared" ref="G773:G776" si="36">F773/50</f>
        <v>0.2</v>
      </c>
      <c r="H773" s="131">
        <v>215000</v>
      </c>
      <c r="I773" s="112">
        <f t="shared" si="35"/>
        <v>43000</v>
      </c>
      <c r="J773" s="373"/>
      <c r="K773" s="365"/>
    </row>
    <row r="774" spans="1:11" x14ac:dyDescent="0.25">
      <c r="A774" s="128"/>
      <c r="B774" s="132">
        <v>45529</v>
      </c>
      <c r="C774" s="128" t="s">
        <v>874</v>
      </c>
      <c r="D774" s="10" t="s">
        <v>148</v>
      </c>
      <c r="E774" s="9" t="s">
        <v>149</v>
      </c>
      <c r="F774" s="243">
        <v>10</v>
      </c>
      <c r="G774" s="111">
        <f t="shared" si="36"/>
        <v>0.2</v>
      </c>
      <c r="H774" s="131">
        <v>215000</v>
      </c>
      <c r="I774" s="112">
        <f t="shared" si="35"/>
        <v>43000</v>
      </c>
      <c r="J774" s="373"/>
      <c r="K774" s="365"/>
    </row>
    <row r="775" spans="1:11" x14ac:dyDescent="0.25">
      <c r="A775" s="128"/>
      <c r="B775" s="132">
        <v>45529</v>
      </c>
      <c r="C775" s="128" t="s">
        <v>874</v>
      </c>
      <c r="D775" s="10" t="s">
        <v>154</v>
      </c>
      <c r="E775" s="9" t="s">
        <v>155</v>
      </c>
      <c r="F775" s="243">
        <v>10</v>
      </c>
      <c r="G775" s="111">
        <f t="shared" si="36"/>
        <v>0.2</v>
      </c>
      <c r="H775" s="131">
        <v>215000</v>
      </c>
      <c r="I775" s="112">
        <f t="shared" si="35"/>
        <v>43000</v>
      </c>
      <c r="J775" s="373"/>
      <c r="K775" s="365"/>
    </row>
    <row r="776" spans="1:11" x14ac:dyDescent="0.25">
      <c r="A776" s="128"/>
      <c r="B776" s="132">
        <v>45529</v>
      </c>
      <c r="C776" s="128" t="s">
        <v>874</v>
      </c>
      <c r="D776" s="10" t="s">
        <v>158</v>
      </c>
      <c r="E776" s="9" t="s">
        <v>159</v>
      </c>
      <c r="F776" s="243">
        <v>10</v>
      </c>
      <c r="G776" s="111">
        <f t="shared" si="36"/>
        <v>0.2</v>
      </c>
      <c r="H776" s="131">
        <v>215000</v>
      </c>
      <c r="I776" s="112">
        <f t="shared" si="35"/>
        <v>43000</v>
      </c>
      <c r="J776" s="370"/>
      <c r="K776" s="366"/>
    </row>
    <row r="777" spans="1:11" x14ac:dyDescent="0.25">
      <c r="A777" s="242"/>
      <c r="B777" s="132">
        <v>45529</v>
      </c>
      <c r="C777" s="242" t="s">
        <v>946</v>
      </c>
      <c r="D777" s="10" t="s">
        <v>568</v>
      </c>
      <c r="E777" s="22" t="s">
        <v>569</v>
      </c>
      <c r="F777" s="243">
        <f>68+28</f>
        <v>96</v>
      </c>
      <c r="G777" s="111">
        <v>8</v>
      </c>
      <c r="H777" s="246">
        <v>9504</v>
      </c>
      <c r="I777" s="247">
        <f>H777*F777</f>
        <v>912384</v>
      </c>
      <c r="J777" s="345">
        <f>I777</f>
        <v>912384</v>
      </c>
      <c r="K777" s="344"/>
    </row>
    <row r="778" spans="1:11" x14ac:dyDescent="0.25">
      <c r="A778" s="128"/>
      <c r="B778" s="132">
        <v>45529</v>
      </c>
      <c r="C778" s="301" t="s">
        <v>835</v>
      </c>
      <c r="D778" s="297" t="s">
        <v>762</v>
      </c>
      <c r="E778" s="275" t="s">
        <v>85</v>
      </c>
      <c r="F778" s="243">
        <v>84</v>
      </c>
      <c r="G778" s="111">
        <v>7</v>
      </c>
      <c r="H778" s="131"/>
      <c r="I778" s="112">
        <f t="shared" si="35"/>
        <v>0</v>
      </c>
      <c r="J778" s="113"/>
      <c r="K778" s="120"/>
    </row>
    <row r="779" spans="1:11" x14ac:dyDescent="0.25">
      <c r="A779" s="128"/>
      <c r="B779" s="132">
        <v>45529</v>
      </c>
      <c r="C779" s="301" t="s">
        <v>835</v>
      </c>
      <c r="D779" s="298" t="s">
        <v>126</v>
      </c>
      <c r="E779" s="251" t="s">
        <v>127</v>
      </c>
      <c r="F779" s="243">
        <v>24</v>
      </c>
      <c r="G779" s="111">
        <v>0.5</v>
      </c>
      <c r="H779" s="131"/>
      <c r="I779" s="112">
        <f t="shared" si="35"/>
        <v>0</v>
      </c>
      <c r="J779" s="113"/>
      <c r="K779" s="120"/>
    </row>
    <row r="780" spans="1:11" x14ac:dyDescent="0.25">
      <c r="A780" s="128"/>
      <c r="B780" s="132">
        <v>45529</v>
      </c>
      <c r="C780" s="301" t="s">
        <v>779</v>
      </c>
      <c r="D780" s="21" t="s">
        <v>142</v>
      </c>
      <c r="E780" s="22" t="s">
        <v>143</v>
      </c>
      <c r="F780" s="243">
        <v>24</v>
      </c>
      <c r="G780" s="111">
        <v>0.5</v>
      </c>
      <c r="H780" s="131"/>
      <c r="I780" s="112">
        <f t="shared" si="35"/>
        <v>0</v>
      </c>
      <c r="J780" s="113"/>
      <c r="K780" s="120"/>
    </row>
    <row r="781" spans="1:11" x14ac:dyDescent="0.25">
      <c r="A781" s="128"/>
      <c r="B781" s="132">
        <v>45529</v>
      </c>
      <c r="C781" s="302" t="s">
        <v>856</v>
      </c>
      <c r="D781" s="297" t="s">
        <v>762</v>
      </c>
      <c r="E781" s="275" t="s">
        <v>85</v>
      </c>
      <c r="F781" s="243">
        <v>36</v>
      </c>
      <c r="G781" s="111">
        <v>3</v>
      </c>
      <c r="H781" s="131"/>
      <c r="I781" s="112">
        <f t="shared" si="35"/>
        <v>0</v>
      </c>
      <c r="J781" s="113"/>
      <c r="K781" s="120"/>
    </row>
    <row r="782" spans="1:11" x14ac:dyDescent="0.25">
      <c r="A782" s="128"/>
      <c r="B782" s="132">
        <v>45529</v>
      </c>
      <c r="C782" s="301" t="s">
        <v>782</v>
      </c>
      <c r="D782" s="297" t="s">
        <v>762</v>
      </c>
      <c r="E782" s="275" t="s">
        <v>85</v>
      </c>
      <c r="F782" s="243">
        <v>24</v>
      </c>
      <c r="G782" s="111">
        <v>2</v>
      </c>
      <c r="H782" s="131"/>
      <c r="I782" s="112">
        <f t="shared" si="35"/>
        <v>0</v>
      </c>
      <c r="J782" s="113"/>
      <c r="K782" s="120"/>
    </row>
    <row r="783" spans="1:11" x14ac:dyDescent="0.25">
      <c r="A783" s="128"/>
      <c r="B783" s="132">
        <v>45529</v>
      </c>
      <c r="C783" s="303" t="s">
        <v>836</v>
      </c>
      <c r="D783" s="21" t="s">
        <v>142</v>
      </c>
      <c r="E783" s="22" t="s">
        <v>143</v>
      </c>
      <c r="F783" s="243">
        <v>48</v>
      </c>
      <c r="G783" s="111">
        <v>1</v>
      </c>
      <c r="H783" s="131"/>
      <c r="I783" s="112">
        <f t="shared" si="35"/>
        <v>0</v>
      </c>
      <c r="J783" s="113"/>
      <c r="K783" s="120"/>
    </row>
    <row r="784" spans="1:11" x14ac:dyDescent="0.25">
      <c r="A784" s="128"/>
      <c r="B784" s="132">
        <v>45529</v>
      </c>
      <c r="C784" s="303" t="s">
        <v>836</v>
      </c>
      <c r="D784" s="21" t="s">
        <v>764</v>
      </c>
      <c r="E784" s="23" t="s">
        <v>69</v>
      </c>
      <c r="F784" s="243">
        <v>8</v>
      </c>
      <c r="G784" s="111"/>
      <c r="H784" s="131"/>
      <c r="I784" s="112">
        <f t="shared" si="35"/>
        <v>0</v>
      </c>
      <c r="J784" s="113"/>
      <c r="K784" s="120"/>
    </row>
    <row r="785" spans="1:11" x14ac:dyDescent="0.25">
      <c r="A785" s="128"/>
      <c r="B785" s="132">
        <v>45529</v>
      </c>
      <c r="C785" s="303" t="s">
        <v>836</v>
      </c>
      <c r="D785" s="21" t="s">
        <v>763</v>
      </c>
      <c r="E785" s="22" t="s">
        <v>83</v>
      </c>
      <c r="F785" s="243">
        <v>20</v>
      </c>
      <c r="G785" s="111"/>
      <c r="H785" s="131"/>
      <c r="I785" s="112">
        <f t="shared" si="35"/>
        <v>0</v>
      </c>
      <c r="J785" s="113"/>
      <c r="K785" s="120"/>
    </row>
    <row r="786" spans="1:11" x14ac:dyDescent="0.25">
      <c r="A786" s="128"/>
      <c r="B786" s="132">
        <v>45529</v>
      </c>
      <c r="C786" s="303" t="s">
        <v>836</v>
      </c>
      <c r="D786" s="298" t="s">
        <v>126</v>
      </c>
      <c r="E786" s="251" t="s">
        <v>127</v>
      </c>
      <c r="F786" s="243">
        <v>96</v>
      </c>
      <c r="G786" s="111">
        <v>2</v>
      </c>
      <c r="H786" s="131"/>
      <c r="I786" s="112">
        <f t="shared" ref="I786:I837" si="37">G786*H786</f>
        <v>0</v>
      </c>
      <c r="J786" s="113"/>
      <c r="K786" s="120"/>
    </row>
    <row r="787" spans="1:11" x14ac:dyDescent="0.25">
      <c r="A787" s="128"/>
      <c r="B787" s="252">
        <v>45530</v>
      </c>
      <c r="C787" s="128" t="s">
        <v>952</v>
      </c>
      <c r="D787" s="10" t="s">
        <v>468</v>
      </c>
      <c r="E787" s="7" t="s">
        <v>469</v>
      </c>
      <c r="F787" s="243">
        <v>480</v>
      </c>
      <c r="G787" s="111">
        <v>10</v>
      </c>
      <c r="H787" s="131">
        <v>200000</v>
      </c>
      <c r="I787" s="112">
        <f t="shared" si="37"/>
        <v>2000000</v>
      </c>
      <c r="J787" s="113">
        <f>I787</f>
        <v>2000000</v>
      </c>
      <c r="K787" s="120"/>
    </row>
    <row r="788" spans="1:11" x14ac:dyDescent="0.25">
      <c r="A788" s="128"/>
      <c r="B788" s="252">
        <v>45530</v>
      </c>
      <c r="C788" s="128" t="s">
        <v>846</v>
      </c>
      <c r="D788" s="10" t="s">
        <v>98</v>
      </c>
      <c r="E788" s="9" t="s">
        <v>99</v>
      </c>
      <c r="F788" s="243">
        <v>24</v>
      </c>
      <c r="G788" s="111">
        <v>1</v>
      </c>
      <c r="H788" s="131">
        <v>95000</v>
      </c>
      <c r="I788" s="112">
        <f t="shared" si="37"/>
        <v>95000</v>
      </c>
      <c r="J788" s="364">
        <f>SUM(I788:I792)</f>
        <v>751400</v>
      </c>
      <c r="K788" s="367"/>
    </row>
    <row r="789" spans="1:11" x14ac:dyDescent="0.25">
      <c r="A789" s="128"/>
      <c r="B789" s="252">
        <v>45530</v>
      </c>
      <c r="C789" s="128" t="s">
        <v>846</v>
      </c>
      <c r="D789" s="10" t="s">
        <v>102</v>
      </c>
      <c r="E789" s="9" t="s">
        <v>103</v>
      </c>
      <c r="F789" s="243">
        <v>48</v>
      </c>
      <c r="G789" s="111">
        <v>1</v>
      </c>
      <c r="H789" s="131">
        <v>173400</v>
      </c>
      <c r="I789" s="112">
        <f t="shared" si="37"/>
        <v>173400</v>
      </c>
      <c r="J789" s="373"/>
      <c r="K789" s="365"/>
    </row>
    <row r="790" spans="1:11" x14ac:dyDescent="0.25">
      <c r="A790" s="128"/>
      <c r="B790" s="252">
        <v>45530</v>
      </c>
      <c r="C790" s="128" t="s">
        <v>846</v>
      </c>
      <c r="D790" s="10" t="s">
        <v>124</v>
      </c>
      <c r="E790" s="9" t="s">
        <v>125</v>
      </c>
      <c r="F790" s="243">
        <v>24</v>
      </c>
      <c r="G790" s="111">
        <v>0.5</v>
      </c>
      <c r="H790" s="131">
        <v>268000</v>
      </c>
      <c r="I790" s="112">
        <f t="shared" si="37"/>
        <v>134000</v>
      </c>
      <c r="J790" s="373"/>
      <c r="K790" s="365"/>
    </row>
    <row r="791" spans="1:11" x14ac:dyDescent="0.25">
      <c r="A791" s="128"/>
      <c r="B791" s="252">
        <v>45530</v>
      </c>
      <c r="C791" s="128" t="s">
        <v>846</v>
      </c>
      <c r="D791" s="21" t="s">
        <v>142</v>
      </c>
      <c r="E791" s="22" t="s">
        <v>143</v>
      </c>
      <c r="F791" s="243">
        <v>24</v>
      </c>
      <c r="G791" s="111">
        <v>0.5</v>
      </c>
      <c r="H791" s="131">
        <v>268000</v>
      </c>
      <c r="I791" s="112">
        <f t="shared" si="37"/>
        <v>134000</v>
      </c>
      <c r="J791" s="373"/>
      <c r="K791" s="365"/>
    </row>
    <row r="792" spans="1:11" x14ac:dyDescent="0.25">
      <c r="A792" s="128"/>
      <c r="B792" s="252">
        <v>45530</v>
      </c>
      <c r="C792" s="128" t="s">
        <v>846</v>
      </c>
      <c r="D792" s="10" t="s">
        <v>158</v>
      </c>
      <c r="E792" s="9" t="s">
        <v>159</v>
      </c>
      <c r="F792" s="243">
        <v>50</v>
      </c>
      <c r="G792" s="111">
        <v>1</v>
      </c>
      <c r="H792" s="131">
        <v>215000</v>
      </c>
      <c r="I792" s="112">
        <f t="shared" si="37"/>
        <v>215000</v>
      </c>
      <c r="J792" s="370"/>
      <c r="K792" s="366"/>
    </row>
    <row r="793" spans="1:11" x14ac:dyDescent="0.25">
      <c r="A793" s="128"/>
      <c r="B793" s="252">
        <v>45530</v>
      </c>
      <c r="C793" s="313" t="s">
        <v>942</v>
      </c>
      <c r="D793" s="55" t="s">
        <v>765</v>
      </c>
      <c r="E793" s="348" t="s">
        <v>75</v>
      </c>
      <c r="F793" s="289">
        <v>96</v>
      </c>
      <c r="G793" s="264">
        <v>2</v>
      </c>
      <c r="H793" s="131">
        <v>350000</v>
      </c>
      <c r="I793" s="112">
        <f t="shared" si="37"/>
        <v>700000</v>
      </c>
      <c r="J793" s="113">
        <f>I793</f>
        <v>700000</v>
      </c>
      <c r="K793" s="120"/>
    </row>
    <row r="794" spans="1:11" x14ac:dyDescent="0.25">
      <c r="A794" s="128"/>
      <c r="B794" s="252">
        <v>45530</v>
      </c>
      <c r="C794" s="242" t="s">
        <v>839</v>
      </c>
      <c r="D794" s="298" t="s">
        <v>126</v>
      </c>
      <c r="E794" s="251" t="s">
        <v>127</v>
      </c>
      <c r="F794" s="243">
        <v>480</v>
      </c>
      <c r="G794" s="245">
        <v>10</v>
      </c>
      <c r="H794" s="131">
        <v>250000</v>
      </c>
      <c r="I794" s="112">
        <f t="shared" si="37"/>
        <v>2500000</v>
      </c>
      <c r="J794" s="364">
        <f>I794+I795</f>
        <v>5000000</v>
      </c>
      <c r="K794" s="367" t="s">
        <v>825</v>
      </c>
    </row>
    <row r="795" spans="1:11" x14ac:dyDescent="0.25">
      <c r="A795" s="128"/>
      <c r="B795" s="252">
        <v>45530</v>
      </c>
      <c r="C795" s="242" t="s">
        <v>839</v>
      </c>
      <c r="D795" s="298" t="s">
        <v>142</v>
      </c>
      <c r="E795" s="251" t="s">
        <v>143</v>
      </c>
      <c r="F795" s="243">
        <v>480</v>
      </c>
      <c r="G795" s="245">
        <v>10</v>
      </c>
      <c r="H795" s="131">
        <v>250000</v>
      </c>
      <c r="I795" s="112">
        <f t="shared" si="37"/>
        <v>2500000</v>
      </c>
      <c r="J795" s="370"/>
      <c r="K795" s="366"/>
    </row>
    <row r="796" spans="1:11" ht="15.75" x14ac:dyDescent="0.25">
      <c r="A796" s="242"/>
      <c r="B796" s="252">
        <v>45530</v>
      </c>
      <c r="C796" s="242" t="s">
        <v>953</v>
      </c>
      <c r="D796" s="78" t="s">
        <v>814</v>
      </c>
      <c r="E796" s="79" t="s">
        <v>815</v>
      </c>
      <c r="F796" s="243">
        <f>6*24</f>
        <v>144</v>
      </c>
      <c r="G796" s="245">
        <v>6</v>
      </c>
      <c r="H796" s="246"/>
      <c r="I796" s="247"/>
      <c r="J796" s="346"/>
      <c r="K796" s="347"/>
    </row>
    <row r="797" spans="1:11" x14ac:dyDescent="0.25">
      <c r="A797" s="242"/>
      <c r="B797" s="252">
        <v>45530</v>
      </c>
      <c r="C797" s="242" t="s">
        <v>875</v>
      </c>
      <c r="D797" s="297" t="s">
        <v>762</v>
      </c>
      <c r="E797" s="275" t="s">
        <v>85</v>
      </c>
      <c r="F797" s="243">
        <v>4</v>
      </c>
      <c r="G797" s="245"/>
      <c r="H797" s="246">
        <v>31000</v>
      </c>
      <c r="I797" s="247">
        <f>H797*F797</f>
        <v>124000</v>
      </c>
      <c r="J797" s="364">
        <f>I797+I798</f>
        <v>864000</v>
      </c>
      <c r="K797" s="367"/>
    </row>
    <row r="798" spans="1:11" x14ac:dyDescent="0.25">
      <c r="A798" s="242"/>
      <c r="B798" s="252">
        <v>45530</v>
      </c>
      <c r="C798" s="242" t="s">
        <v>875</v>
      </c>
      <c r="D798" s="10" t="s">
        <v>22</v>
      </c>
      <c r="E798" s="7" t="s">
        <v>23</v>
      </c>
      <c r="F798" s="243">
        <v>12</v>
      </c>
      <c r="G798" s="245">
        <v>1</v>
      </c>
      <c r="H798" s="246">
        <v>740000</v>
      </c>
      <c r="I798" s="247">
        <f>H798</f>
        <v>740000</v>
      </c>
      <c r="J798" s="370"/>
      <c r="K798" s="366"/>
    </row>
    <row r="799" spans="1:11" x14ac:dyDescent="0.25">
      <c r="A799" s="242"/>
      <c r="B799" s="252">
        <v>45530</v>
      </c>
      <c r="C799" s="242" t="s">
        <v>877</v>
      </c>
      <c r="D799" s="72" t="s">
        <v>879</v>
      </c>
      <c r="E799" s="23" t="s">
        <v>878</v>
      </c>
      <c r="F799" s="109">
        <v>12</v>
      </c>
      <c r="G799" s="111">
        <v>1</v>
      </c>
      <c r="H799" s="131">
        <v>530000</v>
      </c>
      <c r="I799" s="112">
        <f t="shared" ref="I799:I800" si="38">G799*H799</f>
        <v>530000</v>
      </c>
      <c r="J799" s="371">
        <f>I799+I800</f>
        <v>895000</v>
      </c>
      <c r="K799" s="372"/>
    </row>
    <row r="800" spans="1:11" x14ac:dyDescent="0.25">
      <c r="A800" s="242"/>
      <c r="B800" s="252">
        <v>45530</v>
      </c>
      <c r="C800" s="242" t="s">
        <v>877</v>
      </c>
      <c r="D800" s="21" t="s">
        <v>768</v>
      </c>
      <c r="E800" s="23" t="s">
        <v>67</v>
      </c>
      <c r="F800" s="109">
        <v>12</v>
      </c>
      <c r="G800" s="111">
        <v>1</v>
      </c>
      <c r="H800" s="131">
        <v>365000</v>
      </c>
      <c r="I800" s="112">
        <f t="shared" si="38"/>
        <v>365000</v>
      </c>
      <c r="J800" s="366"/>
      <c r="K800" s="366"/>
    </row>
    <row r="801" spans="1:11" x14ac:dyDescent="0.25">
      <c r="A801" s="242"/>
      <c r="B801" s="252">
        <v>45530</v>
      </c>
      <c r="C801" s="242" t="s">
        <v>842</v>
      </c>
      <c r="D801" s="257" t="s">
        <v>905</v>
      </c>
      <c r="E801" s="22" t="s">
        <v>904</v>
      </c>
      <c r="F801" s="109">
        <v>12</v>
      </c>
      <c r="G801" s="111">
        <v>1</v>
      </c>
      <c r="H801" s="246"/>
      <c r="I801" s="247"/>
      <c r="J801" s="349"/>
      <c r="K801" s="349"/>
    </row>
    <row r="802" spans="1:11" x14ac:dyDescent="0.25">
      <c r="A802" s="128"/>
      <c r="B802" s="252">
        <v>45530</v>
      </c>
      <c r="C802" s="301" t="s">
        <v>835</v>
      </c>
      <c r="D802" s="297" t="s">
        <v>762</v>
      </c>
      <c r="E802" s="275" t="s">
        <v>85</v>
      </c>
      <c r="F802" s="243">
        <v>48</v>
      </c>
      <c r="G802" s="245">
        <v>4</v>
      </c>
      <c r="H802" s="131"/>
      <c r="I802" s="112">
        <f t="shared" si="37"/>
        <v>0</v>
      </c>
      <c r="J802" s="113"/>
      <c r="K802" s="120"/>
    </row>
    <row r="803" spans="1:11" x14ac:dyDescent="0.25">
      <c r="A803" s="128"/>
      <c r="B803" s="252">
        <v>45530</v>
      </c>
      <c r="C803" s="302" t="s">
        <v>856</v>
      </c>
      <c r="D803" s="297" t="s">
        <v>762</v>
      </c>
      <c r="E803" s="275" t="s">
        <v>85</v>
      </c>
      <c r="F803" s="243">
        <v>24</v>
      </c>
      <c r="G803" s="245">
        <v>2</v>
      </c>
      <c r="H803" s="131"/>
      <c r="I803" s="112">
        <f t="shared" si="37"/>
        <v>0</v>
      </c>
      <c r="J803" s="121"/>
      <c r="K803" s="120"/>
    </row>
    <row r="804" spans="1:11" x14ac:dyDescent="0.25">
      <c r="A804" s="128"/>
      <c r="B804" s="252">
        <v>45530</v>
      </c>
      <c r="C804" s="302" t="s">
        <v>775</v>
      </c>
      <c r="D804" s="299" t="s">
        <v>86</v>
      </c>
      <c r="E804" s="271" t="s">
        <v>87</v>
      </c>
      <c r="F804" s="243">
        <v>12</v>
      </c>
      <c r="G804" s="245">
        <v>1</v>
      </c>
      <c r="H804" s="131"/>
      <c r="I804" s="112">
        <f t="shared" si="37"/>
        <v>0</v>
      </c>
      <c r="J804" s="121"/>
      <c r="K804" s="120"/>
    </row>
    <row r="805" spans="1:11" x14ac:dyDescent="0.25">
      <c r="A805" s="128"/>
      <c r="B805" s="252">
        <v>45530</v>
      </c>
      <c r="C805" s="301" t="s">
        <v>782</v>
      </c>
      <c r="D805" s="297" t="s">
        <v>762</v>
      </c>
      <c r="E805" s="275" t="s">
        <v>85</v>
      </c>
      <c r="F805" s="243">
        <v>24</v>
      </c>
      <c r="G805" s="245">
        <v>2</v>
      </c>
      <c r="H805" s="131"/>
      <c r="I805" s="112">
        <f t="shared" si="37"/>
        <v>0</v>
      </c>
      <c r="J805" s="114"/>
      <c r="K805" s="120"/>
    </row>
    <row r="806" spans="1:11" x14ac:dyDescent="0.25">
      <c r="A806" s="128"/>
      <c r="B806" s="252">
        <v>45530</v>
      </c>
      <c r="C806" s="301" t="s">
        <v>785</v>
      </c>
      <c r="D806" s="297" t="s">
        <v>762</v>
      </c>
      <c r="E806" s="275" t="s">
        <v>85</v>
      </c>
      <c r="F806" s="243">
        <v>48</v>
      </c>
      <c r="G806" s="245">
        <v>4</v>
      </c>
      <c r="H806" s="131"/>
      <c r="I806" s="112">
        <f t="shared" si="37"/>
        <v>0</v>
      </c>
      <c r="J806" s="114"/>
      <c r="K806" s="120"/>
    </row>
    <row r="807" spans="1:11" x14ac:dyDescent="0.25">
      <c r="A807" s="128"/>
      <c r="B807" s="252">
        <v>45530</v>
      </c>
      <c r="C807" s="301" t="s">
        <v>785</v>
      </c>
      <c r="D807" s="299" t="s">
        <v>86</v>
      </c>
      <c r="E807" s="271" t="s">
        <v>87</v>
      </c>
      <c r="F807" s="243">
        <v>24</v>
      </c>
      <c r="G807" s="245">
        <v>2</v>
      </c>
      <c r="H807" s="131"/>
      <c r="I807" s="112">
        <f t="shared" si="37"/>
        <v>0</v>
      </c>
      <c r="J807" s="114"/>
      <c r="K807" s="120"/>
    </row>
    <row r="808" spans="1:11" x14ac:dyDescent="0.25">
      <c r="A808" s="128"/>
      <c r="B808" s="252">
        <v>45530</v>
      </c>
      <c r="C808" s="303" t="s">
        <v>836</v>
      </c>
      <c r="D808" s="299" t="s">
        <v>172</v>
      </c>
      <c r="E808" s="271" t="s">
        <v>173</v>
      </c>
      <c r="F808" s="243">
        <v>5</v>
      </c>
      <c r="G808" s="245"/>
      <c r="H808" s="131"/>
      <c r="I808" s="112">
        <f t="shared" si="37"/>
        <v>0</v>
      </c>
      <c r="J808" s="114"/>
      <c r="K808" s="120"/>
    </row>
    <row r="809" spans="1:11" x14ac:dyDescent="0.25">
      <c r="A809" s="128"/>
      <c r="B809" s="252">
        <v>45530</v>
      </c>
      <c r="C809" s="303" t="s">
        <v>836</v>
      </c>
      <c r="D809" s="298" t="s">
        <v>126</v>
      </c>
      <c r="E809" s="251" t="s">
        <v>127</v>
      </c>
      <c r="F809" s="243">
        <v>240</v>
      </c>
      <c r="G809" s="111">
        <v>5</v>
      </c>
      <c r="H809" s="131"/>
      <c r="I809" s="112">
        <f t="shared" si="37"/>
        <v>0</v>
      </c>
      <c r="J809" s="114"/>
      <c r="K809" s="120"/>
    </row>
    <row r="810" spans="1:11" x14ac:dyDescent="0.25">
      <c r="A810" s="128"/>
      <c r="B810" s="132"/>
      <c r="C810" s="109"/>
      <c r="D810" s="117"/>
      <c r="E810" s="118"/>
      <c r="F810" s="243"/>
      <c r="G810" s="111"/>
      <c r="H810" s="131"/>
      <c r="I810" s="112">
        <f t="shared" si="37"/>
        <v>0</v>
      </c>
      <c r="J810" s="114"/>
      <c r="K810" s="120"/>
    </row>
    <row r="811" spans="1:11" x14ac:dyDescent="0.25">
      <c r="A811" s="128"/>
      <c r="B811" s="132"/>
      <c r="C811" s="109"/>
      <c r="D811" s="115"/>
      <c r="E811" s="116"/>
      <c r="F811" s="243"/>
      <c r="G811" s="111"/>
      <c r="H811" s="131"/>
      <c r="I811" s="112">
        <f t="shared" si="37"/>
        <v>0</v>
      </c>
      <c r="J811" s="114"/>
      <c r="K811" s="120"/>
    </row>
    <row r="812" spans="1:11" x14ac:dyDescent="0.25">
      <c r="A812" s="128"/>
      <c r="B812" s="132"/>
      <c r="C812" s="109"/>
      <c r="D812" s="117"/>
      <c r="E812" s="118"/>
      <c r="F812" s="243"/>
      <c r="G812" s="111"/>
      <c r="H812" s="131"/>
      <c r="I812" s="112">
        <f t="shared" si="37"/>
        <v>0</v>
      </c>
      <c r="J812" s="114"/>
      <c r="K812" s="120"/>
    </row>
    <row r="813" spans="1:11" x14ac:dyDescent="0.25">
      <c r="A813" s="128"/>
      <c r="B813" s="132"/>
      <c r="C813" s="109"/>
      <c r="D813" s="115"/>
      <c r="E813" s="116"/>
      <c r="F813" s="243"/>
      <c r="G813" s="111"/>
      <c r="H813" s="131"/>
      <c r="I813" s="112">
        <f t="shared" si="37"/>
        <v>0</v>
      </c>
      <c r="J813" s="114"/>
      <c r="K813" s="120"/>
    </row>
    <row r="814" spans="1:11" x14ac:dyDescent="0.25">
      <c r="A814" s="128"/>
      <c r="B814" s="132"/>
      <c r="C814" s="109"/>
      <c r="D814" s="115"/>
      <c r="E814" s="116"/>
      <c r="F814" s="243"/>
      <c r="G814" s="111"/>
      <c r="H814" s="131"/>
      <c r="I814" s="112">
        <f t="shared" si="37"/>
        <v>0</v>
      </c>
      <c r="J814" s="114"/>
      <c r="K814" s="120"/>
    </row>
    <row r="815" spans="1:11" x14ac:dyDescent="0.25">
      <c r="A815" s="128"/>
      <c r="B815" s="132"/>
      <c r="C815" s="109"/>
      <c r="D815" s="117"/>
      <c r="E815" s="118"/>
      <c r="F815" s="243"/>
      <c r="G815" s="111"/>
      <c r="H815" s="131"/>
      <c r="I815" s="112">
        <f t="shared" si="37"/>
        <v>0</v>
      </c>
      <c r="J815" s="114"/>
      <c r="K815" s="120"/>
    </row>
    <row r="816" spans="1:11" x14ac:dyDescent="0.25">
      <c r="A816" s="128"/>
      <c r="B816" s="132"/>
      <c r="C816" s="109"/>
      <c r="D816" s="115"/>
      <c r="E816" s="116"/>
      <c r="F816" s="243"/>
      <c r="G816" s="111"/>
      <c r="H816" s="131"/>
      <c r="I816" s="112">
        <f t="shared" si="37"/>
        <v>0</v>
      </c>
      <c r="J816" s="114"/>
      <c r="K816" s="120"/>
    </row>
    <row r="817" spans="1:11" x14ac:dyDescent="0.25">
      <c r="A817" s="128"/>
      <c r="B817" s="132"/>
      <c r="C817" s="109"/>
      <c r="D817" s="115"/>
      <c r="E817" s="116"/>
      <c r="F817" s="243"/>
      <c r="G817" s="111"/>
      <c r="H817" s="131"/>
      <c r="I817" s="112">
        <f t="shared" si="37"/>
        <v>0</v>
      </c>
      <c r="J817" s="114"/>
      <c r="K817" s="120"/>
    </row>
    <row r="818" spans="1:11" ht="15.75" x14ac:dyDescent="0.25">
      <c r="A818" s="128"/>
      <c r="B818" s="132"/>
      <c r="C818" s="109"/>
      <c r="D818" s="125"/>
      <c r="E818" s="126"/>
      <c r="F818" s="243"/>
      <c r="G818" s="111"/>
      <c r="H818" s="131"/>
      <c r="I818" s="112">
        <f t="shared" si="37"/>
        <v>0</v>
      </c>
      <c r="J818" s="114"/>
      <c r="K818" s="120"/>
    </row>
    <row r="819" spans="1:11" x14ac:dyDescent="0.25">
      <c r="A819" s="128"/>
      <c r="B819" s="132"/>
      <c r="C819" s="109"/>
      <c r="D819" s="115"/>
      <c r="E819" s="116"/>
      <c r="F819" s="243"/>
      <c r="G819" s="111"/>
      <c r="H819" s="131"/>
      <c r="I819" s="112">
        <f t="shared" si="37"/>
        <v>0</v>
      </c>
      <c r="J819" s="114"/>
      <c r="K819" s="120"/>
    </row>
    <row r="820" spans="1:11" x14ac:dyDescent="0.25">
      <c r="A820" s="128"/>
      <c r="B820" s="132"/>
      <c r="C820" s="109"/>
      <c r="D820" s="115"/>
      <c r="E820" s="116"/>
      <c r="F820" s="243"/>
      <c r="G820" s="111"/>
      <c r="H820" s="131"/>
      <c r="I820" s="112">
        <f t="shared" si="37"/>
        <v>0</v>
      </c>
      <c r="J820" s="114"/>
      <c r="K820" s="120"/>
    </row>
    <row r="821" spans="1:11" x14ac:dyDescent="0.25">
      <c r="A821" s="128"/>
      <c r="B821" s="132"/>
      <c r="C821" s="128"/>
      <c r="D821" s="117"/>
      <c r="E821" s="118"/>
      <c r="F821" s="243"/>
      <c r="G821" s="111"/>
      <c r="H821" s="131"/>
      <c r="I821" s="112">
        <f t="shared" si="37"/>
        <v>0</v>
      </c>
      <c r="J821" s="113"/>
      <c r="K821" s="120"/>
    </row>
    <row r="822" spans="1:11" x14ac:dyDescent="0.25">
      <c r="A822" s="128"/>
      <c r="B822" s="132"/>
      <c r="C822" s="128"/>
      <c r="D822" s="115"/>
      <c r="E822" s="116"/>
      <c r="F822" s="243"/>
      <c r="G822" s="111"/>
      <c r="H822" s="131"/>
      <c r="I822" s="112">
        <f t="shared" si="37"/>
        <v>0</v>
      </c>
      <c r="J822" s="113"/>
      <c r="K822" s="120"/>
    </row>
    <row r="823" spans="1:11" x14ac:dyDescent="0.25">
      <c r="A823" s="128"/>
      <c r="B823" s="132"/>
      <c r="C823" s="128"/>
      <c r="D823" s="117"/>
      <c r="E823" s="118"/>
      <c r="F823" s="243"/>
      <c r="G823" s="111"/>
      <c r="H823" s="131"/>
      <c r="I823" s="112">
        <f t="shared" si="37"/>
        <v>0</v>
      </c>
      <c r="J823" s="113"/>
      <c r="K823" s="120"/>
    </row>
    <row r="824" spans="1:11" x14ac:dyDescent="0.25">
      <c r="A824" s="128"/>
      <c r="B824" s="132"/>
      <c r="C824" s="128"/>
      <c r="D824" s="115"/>
      <c r="E824" s="116"/>
      <c r="F824" s="243"/>
      <c r="G824" s="111"/>
      <c r="H824" s="131"/>
      <c r="I824" s="112">
        <f t="shared" si="37"/>
        <v>0</v>
      </c>
      <c r="J824" s="114"/>
      <c r="K824" s="120"/>
    </row>
    <row r="825" spans="1:11" x14ac:dyDescent="0.25">
      <c r="A825" s="128"/>
      <c r="B825" s="132"/>
      <c r="C825" s="128"/>
      <c r="D825" s="115"/>
      <c r="E825" s="116"/>
      <c r="F825" s="243"/>
      <c r="G825" s="111"/>
      <c r="H825" s="131"/>
      <c r="I825" s="112">
        <f t="shared" si="37"/>
        <v>0</v>
      </c>
      <c r="J825" s="113"/>
      <c r="K825" s="120"/>
    </row>
    <row r="826" spans="1:11" x14ac:dyDescent="0.25">
      <c r="A826" s="128"/>
      <c r="B826" s="132"/>
      <c r="C826" s="128"/>
      <c r="D826" s="115"/>
      <c r="E826" s="116"/>
      <c r="F826" s="243"/>
      <c r="G826" s="111"/>
      <c r="H826" s="131"/>
      <c r="I826" s="112">
        <f t="shared" si="37"/>
        <v>0</v>
      </c>
      <c r="J826" s="114"/>
      <c r="K826" s="120"/>
    </row>
    <row r="827" spans="1:11" x14ac:dyDescent="0.25">
      <c r="A827" s="128"/>
      <c r="B827" s="132"/>
      <c r="C827" s="128"/>
      <c r="D827" s="115"/>
      <c r="E827" s="116"/>
      <c r="F827" s="243"/>
      <c r="G827" s="111"/>
      <c r="H827" s="131"/>
      <c r="I827" s="112">
        <f t="shared" si="37"/>
        <v>0</v>
      </c>
      <c r="J827" s="114"/>
      <c r="K827" s="120"/>
    </row>
    <row r="828" spans="1:11" x14ac:dyDescent="0.25">
      <c r="A828" s="128"/>
      <c r="B828" s="132"/>
      <c r="C828" s="128"/>
      <c r="D828" s="115"/>
      <c r="E828" s="116"/>
      <c r="F828" s="243"/>
      <c r="G828" s="111"/>
      <c r="H828" s="131"/>
      <c r="I828" s="112">
        <f t="shared" si="37"/>
        <v>0</v>
      </c>
      <c r="J828" s="113"/>
      <c r="K828" s="120"/>
    </row>
    <row r="829" spans="1:11" x14ac:dyDescent="0.25">
      <c r="A829" s="128"/>
      <c r="B829" s="132"/>
      <c r="C829" s="128"/>
      <c r="D829" s="115"/>
      <c r="E829" s="116"/>
      <c r="F829" s="243"/>
      <c r="G829" s="111"/>
      <c r="H829" s="131"/>
      <c r="I829" s="112">
        <f t="shared" si="37"/>
        <v>0</v>
      </c>
      <c r="J829" s="114"/>
      <c r="K829" s="120"/>
    </row>
    <row r="830" spans="1:11" x14ac:dyDescent="0.25">
      <c r="A830" s="128"/>
      <c r="B830" s="132"/>
      <c r="C830" s="128"/>
      <c r="D830" s="117"/>
      <c r="E830" s="118"/>
      <c r="F830" s="243"/>
      <c r="G830" s="111"/>
      <c r="H830" s="131"/>
      <c r="I830" s="112">
        <f t="shared" si="37"/>
        <v>0</v>
      </c>
      <c r="J830" s="114"/>
      <c r="K830" s="120"/>
    </row>
    <row r="831" spans="1:11" x14ac:dyDescent="0.25">
      <c r="A831" s="128"/>
      <c r="B831" s="132"/>
      <c r="C831" s="128"/>
      <c r="D831" s="115"/>
      <c r="E831" s="116"/>
      <c r="F831" s="243"/>
      <c r="G831" s="111"/>
      <c r="H831" s="131"/>
      <c r="I831" s="112">
        <f t="shared" si="37"/>
        <v>0</v>
      </c>
      <c r="J831" s="113"/>
      <c r="K831" s="120"/>
    </row>
    <row r="832" spans="1:11" x14ac:dyDescent="0.25">
      <c r="A832" s="128"/>
      <c r="B832" s="132"/>
      <c r="C832" s="128"/>
      <c r="D832" s="129"/>
      <c r="E832" s="130"/>
      <c r="F832" s="243"/>
      <c r="G832" s="111"/>
      <c r="H832" s="131"/>
      <c r="I832" s="112">
        <f t="shared" si="37"/>
        <v>0</v>
      </c>
      <c r="J832" s="114"/>
      <c r="K832" s="120"/>
    </row>
    <row r="833" spans="1:11" x14ac:dyDescent="0.25">
      <c r="A833" s="128"/>
      <c r="B833" s="132"/>
      <c r="C833" s="128"/>
      <c r="D833" s="115"/>
      <c r="E833" s="116"/>
      <c r="F833" s="243"/>
      <c r="G833" s="111"/>
      <c r="H833" s="131"/>
      <c r="I833" s="112">
        <f t="shared" si="37"/>
        <v>0</v>
      </c>
      <c r="J833" s="113"/>
      <c r="K833" s="120"/>
    </row>
    <row r="834" spans="1:11" x14ac:dyDescent="0.25">
      <c r="A834" s="128"/>
      <c r="B834" s="132"/>
      <c r="C834" s="128"/>
      <c r="D834" s="115"/>
      <c r="E834" s="116"/>
      <c r="F834" s="243"/>
      <c r="G834" s="111"/>
      <c r="H834" s="131"/>
      <c r="I834" s="112">
        <f t="shared" si="37"/>
        <v>0</v>
      </c>
      <c r="J834" s="114"/>
      <c r="K834" s="120"/>
    </row>
    <row r="835" spans="1:11" x14ac:dyDescent="0.25">
      <c r="A835" s="128"/>
      <c r="B835" s="132"/>
      <c r="C835" s="128"/>
      <c r="D835" s="115"/>
      <c r="E835" s="116"/>
      <c r="F835" s="243"/>
      <c r="G835" s="111"/>
      <c r="H835" s="131"/>
      <c r="I835" s="112">
        <f t="shared" si="37"/>
        <v>0</v>
      </c>
      <c r="J835" s="114"/>
      <c r="K835" s="120"/>
    </row>
    <row r="836" spans="1:11" x14ac:dyDescent="0.25">
      <c r="A836" s="128"/>
      <c r="B836" s="132"/>
      <c r="C836" s="128"/>
      <c r="D836" s="115"/>
      <c r="E836" s="116"/>
      <c r="F836" s="243"/>
      <c r="G836" s="111"/>
      <c r="H836" s="131"/>
      <c r="I836" s="112">
        <f t="shared" si="37"/>
        <v>0</v>
      </c>
      <c r="J836" s="114"/>
      <c r="K836" s="120"/>
    </row>
    <row r="837" spans="1:11" x14ac:dyDescent="0.25">
      <c r="A837" s="128"/>
      <c r="B837" s="132"/>
      <c r="C837" s="128"/>
      <c r="D837" s="115"/>
      <c r="E837" s="116"/>
      <c r="F837" s="243"/>
      <c r="G837" s="111"/>
      <c r="H837" s="131"/>
      <c r="I837" s="112">
        <f t="shared" si="37"/>
        <v>0</v>
      </c>
      <c r="J837" s="113"/>
      <c r="K837" s="120"/>
    </row>
    <row r="838" spans="1:11" x14ac:dyDescent="0.25">
      <c r="A838" s="128"/>
      <c r="B838" s="132"/>
      <c r="C838" s="109"/>
      <c r="D838" s="115"/>
      <c r="E838" s="116"/>
      <c r="F838" s="243"/>
      <c r="G838" s="111"/>
      <c r="H838" s="131"/>
      <c r="I838" s="112">
        <f t="shared" ref="I838:I901" si="39">G838*H838</f>
        <v>0</v>
      </c>
      <c r="J838" s="114"/>
      <c r="K838" s="120"/>
    </row>
    <row r="839" spans="1:11" x14ac:dyDescent="0.25">
      <c r="A839" s="128"/>
      <c r="B839" s="132"/>
      <c r="C839" s="109"/>
      <c r="D839" s="115"/>
      <c r="E839" s="116"/>
      <c r="F839" s="243"/>
      <c r="G839" s="111"/>
      <c r="H839" s="131"/>
      <c r="I839" s="112">
        <f t="shared" si="39"/>
        <v>0</v>
      </c>
      <c r="J839" s="114"/>
      <c r="K839" s="120"/>
    </row>
    <row r="840" spans="1:11" x14ac:dyDescent="0.25">
      <c r="A840" s="128"/>
      <c r="B840" s="132"/>
      <c r="C840" s="109"/>
      <c r="D840" s="115"/>
      <c r="E840" s="116"/>
      <c r="F840" s="243"/>
      <c r="G840" s="111"/>
      <c r="H840" s="131"/>
      <c r="I840" s="112">
        <f t="shared" si="39"/>
        <v>0</v>
      </c>
      <c r="J840" s="114"/>
      <c r="K840" s="120"/>
    </row>
    <row r="841" spans="1:11" x14ac:dyDescent="0.25">
      <c r="A841" s="128"/>
      <c r="B841" s="132"/>
      <c r="C841" s="109"/>
      <c r="D841" s="117"/>
      <c r="E841" s="118"/>
      <c r="F841" s="243"/>
      <c r="G841" s="111"/>
      <c r="H841" s="131"/>
      <c r="I841" s="112">
        <f t="shared" si="39"/>
        <v>0</v>
      </c>
      <c r="J841" s="114"/>
      <c r="K841" s="120"/>
    </row>
    <row r="842" spans="1:11" x14ac:dyDescent="0.25">
      <c r="A842" s="128"/>
      <c r="B842" s="132"/>
      <c r="C842" s="109"/>
      <c r="D842" s="115"/>
      <c r="E842" s="116"/>
      <c r="F842" s="243"/>
      <c r="G842" s="111"/>
      <c r="H842" s="131"/>
      <c r="I842" s="112">
        <f t="shared" si="39"/>
        <v>0</v>
      </c>
      <c r="J842" s="114"/>
      <c r="K842" s="120"/>
    </row>
    <row r="843" spans="1:11" x14ac:dyDescent="0.25">
      <c r="A843" s="128"/>
      <c r="B843" s="127"/>
      <c r="C843" s="109"/>
      <c r="D843" s="117"/>
      <c r="E843" s="118"/>
      <c r="F843" s="243"/>
      <c r="G843" s="111"/>
      <c r="H843" s="131"/>
      <c r="I843" s="112">
        <f t="shared" si="39"/>
        <v>0</v>
      </c>
      <c r="J843" s="114"/>
      <c r="K843" s="120"/>
    </row>
    <row r="844" spans="1:11" x14ac:dyDescent="0.25">
      <c r="A844" s="128"/>
      <c r="B844" s="127"/>
      <c r="C844" s="109"/>
      <c r="D844" s="115"/>
      <c r="E844" s="116"/>
      <c r="F844" s="243"/>
      <c r="G844" s="111"/>
      <c r="H844" s="131"/>
      <c r="I844" s="112">
        <f t="shared" si="39"/>
        <v>0</v>
      </c>
      <c r="J844" s="114"/>
      <c r="K844" s="120"/>
    </row>
    <row r="845" spans="1:11" x14ac:dyDescent="0.25">
      <c r="A845" s="128"/>
      <c r="B845" s="127"/>
      <c r="C845" s="109"/>
      <c r="D845" s="115"/>
      <c r="E845" s="116"/>
      <c r="F845" s="243"/>
      <c r="G845" s="111"/>
      <c r="H845" s="131"/>
      <c r="I845" s="112">
        <f t="shared" si="39"/>
        <v>0</v>
      </c>
      <c r="J845" s="114"/>
      <c r="K845" s="120"/>
    </row>
    <row r="846" spans="1:11" x14ac:dyDescent="0.25">
      <c r="A846" s="128"/>
      <c r="B846" s="127"/>
      <c r="C846" s="109"/>
      <c r="D846" s="115"/>
      <c r="E846" s="116"/>
      <c r="F846" s="243"/>
      <c r="G846" s="111"/>
      <c r="H846" s="131"/>
      <c r="I846" s="112">
        <f t="shared" si="39"/>
        <v>0</v>
      </c>
      <c r="J846" s="114"/>
      <c r="K846" s="120"/>
    </row>
    <row r="847" spans="1:11" x14ac:dyDescent="0.25">
      <c r="A847" s="128"/>
      <c r="B847" s="127"/>
      <c r="C847" s="109"/>
      <c r="D847" s="115"/>
      <c r="E847" s="116"/>
      <c r="F847" s="243"/>
      <c r="G847" s="111"/>
      <c r="H847" s="131"/>
      <c r="I847" s="112">
        <f t="shared" si="39"/>
        <v>0</v>
      </c>
      <c r="J847" s="114"/>
      <c r="K847" s="120"/>
    </row>
    <row r="848" spans="1:11" x14ac:dyDescent="0.25">
      <c r="A848" s="128"/>
      <c r="B848" s="127"/>
      <c r="C848" s="109"/>
      <c r="D848" s="117"/>
      <c r="E848" s="118"/>
      <c r="F848" s="243"/>
      <c r="G848" s="111"/>
      <c r="H848" s="131"/>
      <c r="I848" s="112">
        <f t="shared" si="39"/>
        <v>0</v>
      </c>
      <c r="J848" s="114"/>
      <c r="K848" s="120"/>
    </row>
    <row r="849" spans="1:11" x14ac:dyDescent="0.25">
      <c r="A849" s="128"/>
      <c r="B849" s="127"/>
      <c r="C849" s="109"/>
      <c r="D849" s="115"/>
      <c r="E849" s="116"/>
      <c r="F849" s="107"/>
      <c r="G849" s="111"/>
      <c r="H849" s="131"/>
      <c r="I849" s="112">
        <f t="shared" si="39"/>
        <v>0</v>
      </c>
      <c r="J849" s="114"/>
      <c r="K849" s="120"/>
    </row>
    <row r="850" spans="1:11" x14ac:dyDescent="0.25">
      <c r="A850" s="128"/>
      <c r="B850" s="127"/>
      <c r="C850" s="109"/>
      <c r="D850" s="115"/>
      <c r="E850" s="116"/>
      <c r="F850" s="107"/>
      <c r="G850" s="111"/>
      <c r="H850" s="131"/>
      <c r="I850" s="112">
        <f t="shared" si="39"/>
        <v>0</v>
      </c>
      <c r="J850" s="114"/>
      <c r="K850" s="120"/>
    </row>
    <row r="851" spans="1:11" x14ac:dyDescent="0.25">
      <c r="A851" s="128"/>
      <c r="B851" s="132"/>
      <c r="C851" s="128"/>
      <c r="D851" s="115"/>
      <c r="E851" s="116"/>
      <c r="F851" s="107"/>
      <c r="G851" s="111"/>
      <c r="H851" s="131"/>
      <c r="I851" s="112">
        <f t="shared" si="39"/>
        <v>0</v>
      </c>
      <c r="J851" s="113"/>
      <c r="K851" s="120"/>
    </row>
    <row r="852" spans="1:11" x14ac:dyDescent="0.25">
      <c r="A852" s="128"/>
      <c r="B852" s="132"/>
      <c r="C852" s="128"/>
      <c r="D852" s="115"/>
      <c r="E852" s="116"/>
      <c r="F852" s="107"/>
      <c r="G852" s="111"/>
      <c r="H852" s="131"/>
      <c r="I852" s="112">
        <f t="shared" si="39"/>
        <v>0</v>
      </c>
      <c r="J852" s="114"/>
      <c r="K852" s="120"/>
    </row>
    <row r="853" spans="1:11" x14ac:dyDescent="0.25">
      <c r="A853" s="128"/>
      <c r="B853" s="132"/>
      <c r="C853" s="128"/>
      <c r="D853" s="115"/>
      <c r="E853" s="116"/>
      <c r="F853" s="107"/>
      <c r="G853" s="111"/>
      <c r="H853" s="131"/>
      <c r="I853" s="112">
        <f t="shared" si="39"/>
        <v>0</v>
      </c>
      <c r="J853" s="114"/>
      <c r="K853" s="120"/>
    </row>
    <row r="854" spans="1:11" x14ac:dyDescent="0.25">
      <c r="A854" s="128"/>
      <c r="B854" s="132"/>
      <c r="C854" s="128"/>
      <c r="D854" s="115"/>
      <c r="E854" s="116"/>
      <c r="F854" s="107"/>
      <c r="G854" s="111"/>
      <c r="H854" s="131"/>
      <c r="I854" s="112">
        <f t="shared" si="39"/>
        <v>0</v>
      </c>
      <c r="J854" s="114"/>
      <c r="K854" s="120"/>
    </row>
    <row r="855" spans="1:11" x14ac:dyDescent="0.25">
      <c r="A855" s="128"/>
      <c r="B855" s="132"/>
      <c r="C855" s="128"/>
      <c r="D855" s="115"/>
      <c r="E855" s="116"/>
      <c r="F855" s="107"/>
      <c r="G855" s="111"/>
      <c r="H855" s="131"/>
      <c r="I855" s="112">
        <f t="shared" si="39"/>
        <v>0</v>
      </c>
      <c r="J855" s="113"/>
      <c r="K855" s="120"/>
    </row>
    <row r="856" spans="1:11" x14ac:dyDescent="0.25">
      <c r="A856" s="128"/>
      <c r="B856" s="132"/>
      <c r="C856" s="128"/>
      <c r="D856" s="115"/>
      <c r="E856" s="116"/>
      <c r="F856" s="341"/>
      <c r="G856" s="111"/>
      <c r="H856" s="131"/>
      <c r="I856" s="112">
        <f t="shared" si="39"/>
        <v>0</v>
      </c>
      <c r="J856" s="113"/>
      <c r="K856" s="120"/>
    </row>
    <row r="857" spans="1:11" x14ac:dyDescent="0.25">
      <c r="A857" s="128"/>
      <c r="B857" s="132"/>
      <c r="C857" s="128"/>
      <c r="D857" s="115"/>
      <c r="E857" s="116"/>
      <c r="F857" s="341"/>
      <c r="G857" s="111"/>
      <c r="H857" s="131"/>
      <c r="I857" s="112">
        <f t="shared" si="39"/>
        <v>0</v>
      </c>
      <c r="J857" s="113"/>
      <c r="K857" s="120"/>
    </row>
    <row r="858" spans="1:11" x14ac:dyDescent="0.25">
      <c r="A858" s="128"/>
      <c r="B858" s="132"/>
      <c r="C858" s="128"/>
      <c r="D858" s="115"/>
      <c r="E858" s="116"/>
      <c r="F858" s="341"/>
      <c r="G858" s="111"/>
      <c r="H858" s="131"/>
      <c r="I858" s="112">
        <f t="shared" si="39"/>
        <v>0</v>
      </c>
      <c r="J858" s="113"/>
      <c r="K858" s="120"/>
    </row>
    <row r="859" spans="1:11" x14ac:dyDescent="0.25">
      <c r="A859" s="128"/>
      <c r="B859" s="132"/>
      <c r="C859" s="128"/>
      <c r="D859" s="115"/>
      <c r="E859" s="116"/>
      <c r="F859" s="341"/>
      <c r="G859" s="111"/>
      <c r="H859" s="131"/>
      <c r="I859" s="112">
        <f t="shared" si="39"/>
        <v>0</v>
      </c>
      <c r="J859" s="113"/>
      <c r="K859" s="120"/>
    </row>
    <row r="860" spans="1:11" x14ac:dyDescent="0.25">
      <c r="A860" s="128"/>
      <c r="B860" s="132"/>
      <c r="C860" s="128"/>
      <c r="D860" s="117"/>
      <c r="E860" s="116"/>
      <c r="F860" s="341"/>
      <c r="G860" s="111"/>
      <c r="H860" s="131"/>
      <c r="I860" s="112">
        <f t="shared" si="39"/>
        <v>0</v>
      </c>
      <c r="J860" s="113"/>
      <c r="K860" s="120"/>
    </row>
    <row r="861" spans="1:11" x14ac:dyDescent="0.25">
      <c r="A861" s="128"/>
      <c r="B861" s="132"/>
      <c r="C861" s="128"/>
      <c r="D861" s="115"/>
      <c r="E861" s="116"/>
      <c r="F861" s="341"/>
      <c r="G861" s="111"/>
      <c r="H861" s="131"/>
      <c r="I861" s="112">
        <f t="shared" si="39"/>
        <v>0</v>
      </c>
      <c r="J861" s="113"/>
      <c r="K861" s="120"/>
    </row>
    <row r="862" spans="1:11" x14ac:dyDescent="0.25">
      <c r="A862" s="128"/>
      <c r="B862" s="132"/>
      <c r="C862" s="128"/>
      <c r="D862" s="115"/>
      <c r="E862" s="116"/>
      <c r="F862" s="341"/>
      <c r="G862" s="111"/>
      <c r="H862" s="131"/>
      <c r="I862" s="112">
        <f t="shared" si="39"/>
        <v>0</v>
      </c>
      <c r="J862" s="113"/>
      <c r="K862" s="120"/>
    </row>
    <row r="863" spans="1:11" x14ac:dyDescent="0.25">
      <c r="A863" s="128"/>
      <c r="B863" s="132"/>
      <c r="C863" s="128"/>
      <c r="D863" s="115"/>
      <c r="E863" s="116"/>
      <c r="F863" s="341"/>
      <c r="G863" s="111"/>
      <c r="H863" s="131"/>
      <c r="I863" s="112">
        <f t="shared" si="39"/>
        <v>0</v>
      </c>
      <c r="J863" s="113"/>
      <c r="K863" s="120"/>
    </row>
    <row r="864" spans="1:11" x14ac:dyDescent="0.25">
      <c r="A864" s="128"/>
      <c r="B864" s="132"/>
      <c r="C864" s="128"/>
      <c r="D864" s="115"/>
      <c r="E864" s="116"/>
      <c r="F864" s="341"/>
      <c r="G864" s="111"/>
      <c r="H864" s="131"/>
      <c r="I864" s="112">
        <f t="shared" si="39"/>
        <v>0</v>
      </c>
      <c r="J864" s="113"/>
      <c r="K864" s="120"/>
    </row>
    <row r="865" spans="1:11" x14ac:dyDescent="0.25">
      <c r="A865" s="128"/>
      <c r="B865" s="132"/>
      <c r="C865" s="128"/>
      <c r="D865" s="115"/>
      <c r="E865" s="116"/>
      <c r="F865" s="341"/>
      <c r="G865" s="111"/>
      <c r="H865" s="131"/>
      <c r="I865" s="112">
        <f t="shared" si="39"/>
        <v>0</v>
      </c>
      <c r="J865" s="121"/>
      <c r="K865" s="120"/>
    </row>
    <row r="866" spans="1:11" x14ac:dyDescent="0.25">
      <c r="A866" s="128"/>
      <c r="B866" s="132"/>
      <c r="C866" s="128"/>
      <c r="D866" s="117"/>
      <c r="E866" s="118"/>
      <c r="F866" s="341"/>
      <c r="G866" s="111"/>
      <c r="H866" s="131"/>
      <c r="I866" s="112">
        <f t="shared" si="39"/>
        <v>0</v>
      </c>
      <c r="J866" s="113"/>
      <c r="K866" s="120"/>
    </row>
    <row r="867" spans="1:11" x14ac:dyDescent="0.25">
      <c r="A867" s="128"/>
      <c r="B867" s="132"/>
      <c r="C867" s="128"/>
      <c r="D867" s="115"/>
      <c r="E867" s="116"/>
      <c r="F867" s="341"/>
      <c r="G867" s="111"/>
      <c r="H867" s="131"/>
      <c r="I867" s="112">
        <f t="shared" si="39"/>
        <v>0</v>
      </c>
      <c r="J867" s="113"/>
      <c r="K867" s="120"/>
    </row>
    <row r="868" spans="1:11" x14ac:dyDescent="0.25">
      <c r="A868" s="128"/>
      <c r="B868" s="132"/>
      <c r="C868" s="128"/>
      <c r="D868" s="115"/>
      <c r="E868" s="116"/>
      <c r="F868" s="341"/>
      <c r="G868" s="111"/>
      <c r="H868" s="131"/>
      <c r="I868" s="112">
        <f t="shared" si="39"/>
        <v>0</v>
      </c>
      <c r="J868" s="121"/>
      <c r="K868" s="120"/>
    </row>
    <row r="869" spans="1:11" x14ac:dyDescent="0.25">
      <c r="A869" s="128"/>
      <c r="B869" s="132"/>
      <c r="C869" s="128"/>
      <c r="D869" s="115"/>
      <c r="E869" s="116"/>
      <c r="F869" s="341"/>
      <c r="G869" s="111"/>
      <c r="H869" s="131"/>
      <c r="I869" s="112">
        <f t="shared" si="39"/>
        <v>0</v>
      </c>
      <c r="J869" s="121"/>
      <c r="K869" s="120"/>
    </row>
    <row r="870" spans="1:11" x14ac:dyDescent="0.25">
      <c r="A870" s="128"/>
      <c r="B870" s="132"/>
      <c r="C870" s="109"/>
      <c r="D870" s="115"/>
      <c r="E870" s="116"/>
      <c r="F870" s="107"/>
      <c r="G870" s="111"/>
      <c r="H870" s="131"/>
      <c r="I870" s="112">
        <f t="shared" si="39"/>
        <v>0</v>
      </c>
      <c r="J870" s="114"/>
      <c r="K870" s="120"/>
    </row>
    <row r="871" spans="1:11" x14ac:dyDescent="0.25">
      <c r="A871" s="128"/>
      <c r="B871" s="132"/>
      <c r="C871" s="109"/>
      <c r="D871" s="115"/>
      <c r="E871" s="116"/>
      <c r="F871" s="107"/>
      <c r="G871" s="111"/>
      <c r="H871" s="131"/>
      <c r="I871" s="112">
        <f t="shared" si="39"/>
        <v>0</v>
      </c>
      <c r="J871" s="114"/>
      <c r="K871" s="120"/>
    </row>
    <row r="872" spans="1:11" x14ac:dyDescent="0.25">
      <c r="A872" s="128"/>
      <c r="B872" s="132"/>
      <c r="C872" s="109"/>
      <c r="D872" s="117"/>
      <c r="E872" s="118"/>
      <c r="F872" s="107"/>
      <c r="G872" s="111"/>
      <c r="H872" s="131"/>
      <c r="I872" s="112">
        <f t="shared" si="39"/>
        <v>0</v>
      </c>
      <c r="J872" s="114"/>
      <c r="K872" s="120"/>
    </row>
    <row r="873" spans="1:11" x14ac:dyDescent="0.25">
      <c r="A873" s="128"/>
      <c r="B873" s="132"/>
      <c r="C873" s="109"/>
      <c r="D873" s="115"/>
      <c r="E873" s="116"/>
      <c r="F873" s="107"/>
      <c r="G873" s="111"/>
      <c r="H873" s="131"/>
      <c r="I873" s="112">
        <f t="shared" si="39"/>
        <v>0</v>
      </c>
      <c r="J873" s="114"/>
      <c r="K873" s="120"/>
    </row>
    <row r="874" spans="1:11" x14ac:dyDescent="0.25">
      <c r="A874" s="128"/>
      <c r="B874" s="132"/>
      <c r="C874" s="109"/>
      <c r="D874" s="117"/>
      <c r="E874" s="118"/>
      <c r="F874" s="107"/>
      <c r="G874" s="111"/>
      <c r="H874" s="131"/>
      <c r="I874" s="112">
        <f t="shared" si="39"/>
        <v>0</v>
      </c>
      <c r="J874" s="114"/>
      <c r="K874" s="120"/>
    </row>
    <row r="875" spans="1:11" x14ac:dyDescent="0.25">
      <c r="A875" s="128"/>
      <c r="B875" s="132"/>
      <c r="C875" s="109"/>
      <c r="D875" s="115"/>
      <c r="E875" s="116"/>
      <c r="F875" s="107"/>
      <c r="G875" s="111"/>
      <c r="H875" s="131"/>
      <c r="I875" s="112">
        <f t="shared" si="39"/>
        <v>0</v>
      </c>
      <c r="J875" s="114"/>
      <c r="K875" s="120"/>
    </row>
    <row r="876" spans="1:11" x14ac:dyDescent="0.25">
      <c r="A876" s="128"/>
      <c r="B876" s="132"/>
      <c r="C876" s="109"/>
      <c r="D876" s="115"/>
      <c r="E876" s="116"/>
      <c r="F876" s="107"/>
      <c r="G876" s="111"/>
      <c r="H876" s="131"/>
      <c r="I876" s="112">
        <f t="shared" si="39"/>
        <v>0</v>
      </c>
      <c r="J876" s="114"/>
      <c r="K876" s="120"/>
    </row>
    <row r="877" spans="1:11" x14ac:dyDescent="0.25">
      <c r="A877" s="128"/>
      <c r="B877" s="132"/>
      <c r="C877" s="109"/>
      <c r="D877" s="117"/>
      <c r="E877" s="118"/>
      <c r="F877" s="107"/>
      <c r="G877" s="111"/>
      <c r="H877" s="131"/>
      <c r="I877" s="112">
        <f t="shared" si="39"/>
        <v>0</v>
      </c>
      <c r="J877" s="114"/>
      <c r="K877" s="120"/>
    </row>
    <row r="878" spans="1:11" x14ac:dyDescent="0.25">
      <c r="A878" s="128"/>
      <c r="B878" s="132"/>
      <c r="C878" s="109"/>
      <c r="D878" s="115"/>
      <c r="E878" s="116"/>
      <c r="F878" s="107"/>
      <c r="G878" s="111"/>
      <c r="H878" s="131"/>
      <c r="I878" s="112">
        <f t="shared" si="39"/>
        <v>0</v>
      </c>
      <c r="J878" s="114"/>
      <c r="K878" s="120"/>
    </row>
    <row r="879" spans="1:11" x14ac:dyDescent="0.25">
      <c r="A879" s="128"/>
      <c r="B879" s="132"/>
      <c r="C879" s="109"/>
      <c r="D879" s="117"/>
      <c r="E879" s="118"/>
      <c r="F879" s="107"/>
      <c r="G879" s="111"/>
      <c r="H879" s="131"/>
      <c r="I879" s="112">
        <f t="shared" si="39"/>
        <v>0</v>
      </c>
      <c r="J879" s="114"/>
      <c r="K879" s="120"/>
    </row>
    <row r="880" spans="1:11" x14ac:dyDescent="0.25">
      <c r="A880" s="128"/>
      <c r="B880" s="132"/>
      <c r="C880" s="109"/>
      <c r="D880" s="115"/>
      <c r="E880" s="116"/>
      <c r="F880" s="107"/>
      <c r="G880" s="111"/>
      <c r="H880" s="131"/>
      <c r="I880" s="112">
        <f t="shared" si="39"/>
        <v>0</v>
      </c>
      <c r="J880" s="114"/>
      <c r="K880" s="120"/>
    </row>
    <row r="881" spans="1:11" x14ac:dyDescent="0.25">
      <c r="A881" s="128"/>
      <c r="B881" s="132"/>
      <c r="C881" s="109"/>
      <c r="D881" s="115"/>
      <c r="E881" s="116"/>
      <c r="F881" s="107"/>
      <c r="G881" s="111"/>
      <c r="H881" s="131"/>
      <c r="I881" s="112">
        <f t="shared" si="39"/>
        <v>0</v>
      </c>
      <c r="J881" s="114"/>
      <c r="K881" s="120"/>
    </row>
    <row r="882" spans="1:11" x14ac:dyDescent="0.25">
      <c r="A882" s="128"/>
      <c r="B882" s="132"/>
      <c r="C882" s="109"/>
      <c r="D882" s="115"/>
      <c r="E882" s="116"/>
      <c r="F882" s="107"/>
      <c r="G882" s="111"/>
      <c r="H882" s="131"/>
      <c r="I882" s="112">
        <f t="shared" si="39"/>
        <v>0</v>
      </c>
      <c r="J882" s="114"/>
      <c r="K882" s="120"/>
    </row>
    <row r="883" spans="1:11" x14ac:dyDescent="0.25">
      <c r="A883" s="128"/>
      <c r="B883" s="132"/>
      <c r="C883" s="109"/>
      <c r="D883" s="115"/>
      <c r="E883" s="116"/>
      <c r="F883" s="107"/>
      <c r="G883" s="111"/>
      <c r="H883" s="131"/>
      <c r="I883" s="112">
        <f t="shared" si="39"/>
        <v>0</v>
      </c>
      <c r="J883" s="114"/>
      <c r="K883" s="120"/>
    </row>
    <row r="884" spans="1:11" x14ac:dyDescent="0.25">
      <c r="A884" s="128"/>
      <c r="B884" s="132"/>
      <c r="C884" s="128"/>
      <c r="D884" s="115"/>
      <c r="E884" s="116"/>
      <c r="F884" s="107"/>
      <c r="G884" s="111"/>
      <c r="H884" s="131"/>
      <c r="I884" s="112">
        <f t="shared" si="39"/>
        <v>0</v>
      </c>
      <c r="J884" s="113"/>
      <c r="K884" s="120"/>
    </row>
    <row r="885" spans="1:11" x14ac:dyDescent="0.25">
      <c r="A885" s="128"/>
      <c r="B885" s="132"/>
      <c r="C885" s="128"/>
      <c r="D885" s="115"/>
      <c r="E885" s="116"/>
      <c r="F885" s="107"/>
      <c r="G885" s="111"/>
      <c r="H885" s="131"/>
      <c r="I885" s="112">
        <f t="shared" si="39"/>
        <v>0</v>
      </c>
      <c r="J885" s="114"/>
      <c r="K885" s="120"/>
    </row>
    <row r="886" spans="1:11" x14ac:dyDescent="0.25">
      <c r="A886" s="128"/>
      <c r="B886" s="132"/>
      <c r="C886" s="128"/>
      <c r="D886" s="117"/>
      <c r="E886" s="118"/>
      <c r="F886" s="107"/>
      <c r="G886" s="111"/>
      <c r="H886" s="131"/>
      <c r="I886" s="112">
        <f t="shared" si="39"/>
        <v>0</v>
      </c>
      <c r="J886" s="113"/>
      <c r="K886" s="120"/>
    </row>
    <row r="887" spans="1:11" x14ac:dyDescent="0.25">
      <c r="A887" s="128"/>
      <c r="B887" s="132"/>
      <c r="C887" s="128"/>
      <c r="D887" s="115"/>
      <c r="E887" s="116"/>
      <c r="F887" s="107"/>
      <c r="G887" s="111"/>
      <c r="H887" s="131"/>
      <c r="I887" s="112">
        <f t="shared" si="39"/>
        <v>0</v>
      </c>
      <c r="J887" s="113"/>
      <c r="K887" s="120"/>
    </row>
    <row r="888" spans="1:11" x14ac:dyDescent="0.25">
      <c r="A888" s="128"/>
      <c r="B888" s="132"/>
      <c r="C888" s="128"/>
      <c r="D888" s="115"/>
      <c r="E888" s="116"/>
      <c r="F888" s="107"/>
      <c r="G888" s="111"/>
      <c r="H888" s="131"/>
      <c r="I888" s="112">
        <f t="shared" si="39"/>
        <v>0</v>
      </c>
      <c r="J888" s="114"/>
      <c r="K888" s="120"/>
    </row>
    <row r="889" spans="1:11" x14ac:dyDescent="0.25">
      <c r="A889" s="128"/>
      <c r="B889" s="132"/>
      <c r="C889" s="128"/>
      <c r="D889" s="115"/>
      <c r="E889" s="116"/>
      <c r="F889" s="107"/>
      <c r="G889" s="111"/>
      <c r="H889" s="131"/>
      <c r="I889" s="112">
        <f t="shared" si="39"/>
        <v>0</v>
      </c>
      <c r="J889" s="114"/>
      <c r="K889" s="120"/>
    </row>
    <row r="890" spans="1:11" ht="15.75" x14ac:dyDescent="0.25">
      <c r="A890" s="128"/>
      <c r="B890" s="132"/>
      <c r="C890" s="128"/>
      <c r="D890" s="125"/>
      <c r="E890" s="119"/>
      <c r="F890" s="107"/>
      <c r="G890" s="111"/>
      <c r="H890" s="131"/>
      <c r="I890" s="112">
        <f t="shared" si="39"/>
        <v>0</v>
      </c>
      <c r="J890" s="114"/>
      <c r="K890" s="120"/>
    </row>
    <row r="891" spans="1:11" x14ac:dyDescent="0.25">
      <c r="A891" s="128"/>
      <c r="B891" s="132"/>
      <c r="C891" s="128"/>
      <c r="D891" s="115"/>
      <c r="E891" s="116"/>
      <c r="F891" s="107"/>
      <c r="G891" s="111"/>
      <c r="H891" s="131"/>
      <c r="I891" s="112">
        <f t="shared" si="39"/>
        <v>0</v>
      </c>
      <c r="J891" s="113"/>
      <c r="K891" s="120"/>
    </row>
    <row r="892" spans="1:11" x14ac:dyDescent="0.25">
      <c r="A892" s="128"/>
      <c r="B892" s="132"/>
      <c r="C892" s="109"/>
      <c r="D892" s="117"/>
      <c r="E892" s="118"/>
      <c r="F892" s="107"/>
      <c r="G892" s="111"/>
      <c r="H892" s="131"/>
      <c r="I892" s="112">
        <f t="shared" si="39"/>
        <v>0</v>
      </c>
      <c r="J892" s="114"/>
      <c r="K892" s="120"/>
    </row>
    <row r="893" spans="1:11" x14ac:dyDescent="0.25">
      <c r="A893" s="128"/>
      <c r="B893" s="132"/>
      <c r="C893" s="109"/>
      <c r="D893" s="115"/>
      <c r="E893" s="116"/>
      <c r="F893" s="107"/>
      <c r="G893" s="111"/>
      <c r="H893" s="131"/>
      <c r="I893" s="112">
        <f t="shared" si="39"/>
        <v>0</v>
      </c>
      <c r="J893" s="114"/>
      <c r="K893" s="120"/>
    </row>
    <row r="894" spans="1:11" x14ac:dyDescent="0.25">
      <c r="A894" s="128"/>
      <c r="B894" s="132"/>
      <c r="C894" s="109"/>
      <c r="D894" s="115"/>
      <c r="E894" s="116"/>
      <c r="F894" s="107"/>
      <c r="G894" s="111"/>
      <c r="H894" s="131"/>
      <c r="I894" s="112">
        <f t="shared" si="39"/>
        <v>0</v>
      </c>
      <c r="J894" s="114"/>
      <c r="K894" s="120"/>
    </row>
    <row r="895" spans="1:11" x14ac:dyDescent="0.25">
      <c r="A895" s="128"/>
      <c r="B895" s="132"/>
      <c r="C895" s="109"/>
      <c r="D895" s="115"/>
      <c r="E895" s="116"/>
      <c r="F895" s="107"/>
      <c r="G895" s="111"/>
      <c r="H895" s="131"/>
      <c r="I895" s="112">
        <f t="shared" si="39"/>
        <v>0</v>
      </c>
      <c r="J895" s="114"/>
      <c r="K895" s="120"/>
    </row>
    <row r="896" spans="1:11" x14ac:dyDescent="0.25">
      <c r="A896" s="128"/>
      <c r="B896" s="132"/>
      <c r="C896" s="109"/>
      <c r="D896" s="117"/>
      <c r="E896" s="118"/>
      <c r="F896" s="107"/>
      <c r="G896" s="111"/>
      <c r="H896" s="131"/>
      <c r="I896" s="112">
        <f t="shared" si="39"/>
        <v>0</v>
      </c>
      <c r="J896" s="114"/>
      <c r="K896" s="120"/>
    </row>
    <row r="897" spans="1:11" x14ac:dyDescent="0.25">
      <c r="A897" s="128"/>
      <c r="B897" s="132"/>
      <c r="C897" s="109"/>
      <c r="D897" s="115"/>
      <c r="E897" s="116"/>
      <c r="F897" s="107"/>
      <c r="G897" s="111"/>
      <c r="H897" s="131"/>
      <c r="I897" s="112">
        <f t="shared" si="39"/>
        <v>0</v>
      </c>
      <c r="J897" s="114"/>
      <c r="K897" s="120"/>
    </row>
    <row r="898" spans="1:11" x14ac:dyDescent="0.25">
      <c r="A898" s="128"/>
      <c r="B898" s="132"/>
      <c r="C898" s="109"/>
      <c r="D898" s="117"/>
      <c r="E898" s="118"/>
      <c r="F898" s="107"/>
      <c r="G898" s="111"/>
      <c r="H898" s="131"/>
      <c r="I898" s="112">
        <f t="shared" si="39"/>
        <v>0</v>
      </c>
      <c r="J898" s="114"/>
      <c r="K898" s="120"/>
    </row>
    <row r="899" spans="1:11" x14ac:dyDescent="0.25">
      <c r="A899" s="128"/>
      <c r="B899" s="132"/>
      <c r="C899" s="109"/>
      <c r="D899" s="115"/>
      <c r="E899" s="116"/>
      <c r="F899" s="107"/>
      <c r="G899" s="111"/>
      <c r="H899" s="131"/>
      <c r="I899" s="112">
        <f t="shared" si="39"/>
        <v>0</v>
      </c>
      <c r="J899" s="114"/>
      <c r="K899" s="120"/>
    </row>
    <row r="900" spans="1:11" x14ac:dyDescent="0.25">
      <c r="A900" s="128"/>
      <c r="B900" s="132"/>
      <c r="C900" s="109"/>
      <c r="D900" s="115"/>
      <c r="E900" s="116"/>
      <c r="F900" s="107"/>
      <c r="G900" s="111"/>
      <c r="H900" s="131"/>
      <c r="I900" s="112">
        <f t="shared" si="39"/>
        <v>0</v>
      </c>
      <c r="J900" s="114"/>
      <c r="K900" s="120"/>
    </row>
    <row r="901" spans="1:11" ht="15.75" x14ac:dyDescent="0.25">
      <c r="A901" s="128"/>
      <c r="B901" s="132"/>
      <c r="C901" s="109"/>
      <c r="D901" s="125"/>
      <c r="E901" s="126"/>
      <c r="F901" s="107"/>
      <c r="G901" s="111"/>
      <c r="H901" s="131"/>
      <c r="I901" s="112">
        <f t="shared" si="39"/>
        <v>0</v>
      </c>
      <c r="J901" s="114"/>
      <c r="K901" s="120"/>
    </row>
    <row r="902" spans="1:11" x14ac:dyDescent="0.25">
      <c r="A902" s="128"/>
      <c r="B902" s="132"/>
      <c r="C902" s="109"/>
      <c r="D902" s="115"/>
      <c r="E902" s="116"/>
      <c r="F902" s="107"/>
      <c r="G902" s="111"/>
      <c r="H902" s="131"/>
      <c r="I902" s="112">
        <f t="shared" ref="I902:I965" si="40">G902*H902</f>
        <v>0</v>
      </c>
      <c r="J902" s="114"/>
      <c r="K902" s="120"/>
    </row>
    <row r="903" spans="1:11" x14ac:dyDescent="0.25">
      <c r="A903" s="128"/>
      <c r="B903" s="132"/>
      <c r="C903" s="109"/>
      <c r="D903" s="115"/>
      <c r="E903" s="116"/>
      <c r="F903" s="107"/>
      <c r="G903" s="111"/>
      <c r="H903" s="131"/>
      <c r="I903" s="112">
        <f t="shared" si="40"/>
        <v>0</v>
      </c>
      <c r="J903" s="114"/>
      <c r="K903" s="120"/>
    </row>
    <row r="904" spans="1:11" x14ac:dyDescent="0.25">
      <c r="A904" s="128"/>
      <c r="B904" s="132"/>
      <c r="C904" s="109"/>
      <c r="D904" s="115"/>
      <c r="E904" s="116"/>
      <c r="F904" s="107"/>
      <c r="G904" s="111"/>
      <c r="H904" s="131"/>
      <c r="I904" s="112">
        <f t="shared" si="40"/>
        <v>0</v>
      </c>
      <c r="J904" s="114"/>
      <c r="K904" s="120"/>
    </row>
    <row r="905" spans="1:11" x14ac:dyDescent="0.25">
      <c r="A905" s="128"/>
      <c r="B905" s="132"/>
      <c r="C905" s="109"/>
      <c r="D905" s="115"/>
      <c r="E905" s="116"/>
      <c r="F905" s="107"/>
      <c r="G905" s="111"/>
      <c r="H905" s="131"/>
      <c r="I905" s="112">
        <f t="shared" si="40"/>
        <v>0</v>
      </c>
      <c r="J905" s="114"/>
      <c r="K905" s="120"/>
    </row>
    <row r="906" spans="1:11" x14ac:dyDescent="0.25">
      <c r="A906" s="128"/>
      <c r="B906" s="132"/>
      <c r="C906" s="109"/>
      <c r="D906" s="115"/>
      <c r="E906" s="116"/>
      <c r="F906" s="107"/>
      <c r="G906" s="111"/>
      <c r="H906" s="131"/>
      <c r="I906" s="112">
        <f t="shared" si="40"/>
        <v>0</v>
      </c>
      <c r="J906" s="114"/>
      <c r="K906" s="120"/>
    </row>
    <row r="907" spans="1:11" x14ac:dyDescent="0.25">
      <c r="A907" s="128"/>
      <c r="B907" s="132"/>
      <c r="C907" s="109"/>
      <c r="D907" s="117"/>
      <c r="E907" s="118"/>
      <c r="F907" s="107"/>
      <c r="G907" s="111"/>
      <c r="H907" s="131"/>
      <c r="I907" s="112">
        <f t="shared" si="40"/>
        <v>0</v>
      </c>
      <c r="J907" s="114"/>
      <c r="K907" s="120"/>
    </row>
    <row r="908" spans="1:11" x14ac:dyDescent="0.25">
      <c r="A908" s="128"/>
      <c r="B908" s="132"/>
      <c r="C908" s="109"/>
      <c r="D908" s="117"/>
      <c r="E908" s="118"/>
      <c r="F908" s="107"/>
      <c r="G908" s="111"/>
      <c r="H908" s="131"/>
      <c r="I908" s="112">
        <f t="shared" si="40"/>
        <v>0</v>
      </c>
      <c r="J908" s="114"/>
      <c r="K908" s="120"/>
    </row>
    <row r="909" spans="1:11" x14ac:dyDescent="0.25">
      <c r="A909" s="128"/>
      <c r="B909" s="132"/>
      <c r="C909" s="109"/>
      <c r="D909" s="115"/>
      <c r="E909" s="116"/>
      <c r="F909" s="135"/>
      <c r="G909" s="111"/>
      <c r="H909" s="131"/>
      <c r="I909" s="112">
        <f t="shared" si="40"/>
        <v>0</v>
      </c>
      <c r="J909" s="114"/>
      <c r="K909" s="120"/>
    </row>
    <row r="910" spans="1:11" x14ac:dyDescent="0.25">
      <c r="A910" s="128"/>
      <c r="B910" s="132"/>
      <c r="C910" s="109"/>
      <c r="D910" s="115"/>
      <c r="E910" s="116"/>
      <c r="F910" s="107"/>
      <c r="G910" s="111"/>
      <c r="H910" s="131"/>
      <c r="I910" s="112">
        <f t="shared" si="40"/>
        <v>0</v>
      </c>
      <c r="J910" s="114"/>
      <c r="K910" s="120"/>
    </row>
    <row r="911" spans="1:11" x14ac:dyDescent="0.25">
      <c r="A911" s="128"/>
      <c r="B911" s="127"/>
      <c r="C911" s="128"/>
      <c r="D911" s="115"/>
      <c r="E911" s="116"/>
      <c r="F911" s="107"/>
      <c r="G911" s="111"/>
      <c r="H911" s="131"/>
      <c r="I911" s="112">
        <f t="shared" si="40"/>
        <v>0</v>
      </c>
      <c r="J911" s="113"/>
      <c r="K911" s="120"/>
    </row>
    <row r="912" spans="1:11" x14ac:dyDescent="0.25">
      <c r="A912" s="128"/>
      <c r="B912" s="127"/>
      <c r="C912" s="128"/>
      <c r="D912" s="115"/>
      <c r="E912" s="116"/>
      <c r="F912" s="107"/>
      <c r="G912" s="111"/>
      <c r="H912" s="131"/>
      <c r="I912" s="112">
        <f t="shared" si="40"/>
        <v>0</v>
      </c>
      <c r="J912" s="113"/>
      <c r="K912" s="120"/>
    </row>
    <row r="913" spans="1:11" x14ac:dyDescent="0.25">
      <c r="A913" s="128"/>
      <c r="B913" s="127"/>
      <c r="C913" s="128"/>
      <c r="D913" s="115"/>
      <c r="E913" s="116"/>
      <c r="F913" s="107"/>
      <c r="G913" s="111"/>
      <c r="H913" s="131"/>
      <c r="I913" s="112">
        <f t="shared" si="40"/>
        <v>0</v>
      </c>
      <c r="J913" s="113"/>
      <c r="K913" s="120"/>
    </row>
    <row r="914" spans="1:11" x14ac:dyDescent="0.25">
      <c r="A914" s="128"/>
      <c r="B914" s="127"/>
      <c r="C914" s="128"/>
      <c r="D914" s="117"/>
      <c r="E914" s="118"/>
      <c r="F914" s="107"/>
      <c r="G914" s="111"/>
      <c r="H914" s="131"/>
      <c r="I914" s="112">
        <f t="shared" si="40"/>
        <v>0</v>
      </c>
      <c r="J914" s="113"/>
      <c r="K914" s="120"/>
    </row>
    <row r="915" spans="1:11" x14ac:dyDescent="0.25">
      <c r="A915" s="128"/>
      <c r="B915" s="127"/>
      <c r="C915" s="128"/>
      <c r="D915" s="115"/>
      <c r="E915" s="116"/>
      <c r="F915" s="107"/>
      <c r="G915" s="111"/>
      <c r="H915" s="131"/>
      <c r="I915" s="112">
        <f t="shared" si="40"/>
        <v>0</v>
      </c>
      <c r="J915" s="114"/>
      <c r="K915" s="120"/>
    </row>
    <row r="916" spans="1:11" x14ac:dyDescent="0.25">
      <c r="A916" s="128"/>
      <c r="B916" s="127"/>
      <c r="C916" s="128"/>
      <c r="D916" s="115"/>
      <c r="E916" s="116"/>
      <c r="F916" s="107"/>
      <c r="G916" s="111"/>
      <c r="H916" s="131"/>
      <c r="I916" s="112">
        <f t="shared" si="40"/>
        <v>0</v>
      </c>
      <c r="J916" s="113"/>
      <c r="K916" s="120"/>
    </row>
    <row r="917" spans="1:11" x14ac:dyDescent="0.25">
      <c r="A917" s="128"/>
      <c r="B917" s="127"/>
      <c r="C917" s="128"/>
      <c r="D917" s="115"/>
      <c r="E917" s="116"/>
      <c r="F917" s="107"/>
      <c r="G917" s="111"/>
      <c r="H917" s="131"/>
      <c r="I917" s="112">
        <f t="shared" si="40"/>
        <v>0</v>
      </c>
      <c r="J917" s="113"/>
      <c r="K917" s="120"/>
    </row>
    <row r="918" spans="1:11" x14ac:dyDescent="0.25">
      <c r="A918" s="128"/>
      <c r="B918" s="127"/>
      <c r="C918" s="128"/>
      <c r="D918" s="115"/>
      <c r="E918" s="116"/>
      <c r="F918" s="107"/>
      <c r="G918" s="111"/>
      <c r="H918" s="131"/>
      <c r="I918" s="112">
        <f t="shared" si="40"/>
        <v>0</v>
      </c>
      <c r="J918" s="113"/>
      <c r="K918" s="120"/>
    </row>
    <row r="919" spans="1:11" x14ac:dyDescent="0.25">
      <c r="A919" s="128"/>
      <c r="B919" s="127"/>
      <c r="C919" s="128"/>
      <c r="D919" s="115"/>
      <c r="E919" s="116"/>
      <c r="F919" s="107"/>
      <c r="G919" s="111"/>
      <c r="H919" s="131"/>
      <c r="I919" s="112">
        <f t="shared" si="40"/>
        <v>0</v>
      </c>
      <c r="J919" s="113"/>
      <c r="K919" s="120"/>
    </row>
    <row r="920" spans="1:11" x14ac:dyDescent="0.25">
      <c r="A920" s="128"/>
      <c r="B920" s="127"/>
      <c r="C920" s="109"/>
      <c r="D920" s="115"/>
      <c r="E920" s="116"/>
      <c r="F920" s="107"/>
      <c r="G920" s="111"/>
      <c r="H920" s="131"/>
      <c r="I920" s="112">
        <f t="shared" si="40"/>
        <v>0</v>
      </c>
      <c r="J920" s="114"/>
      <c r="K920" s="120"/>
    </row>
    <row r="921" spans="1:11" x14ac:dyDescent="0.25">
      <c r="A921" s="128"/>
      <c r="B921" s="127"/>
      <c r="C921" s="109"/>
      <c r="D921" s="115"/>
      <c r="E921" s="116"/>
      <c r="F921" s="107"/>
      <c r="G921" s="111"/>
      <c r="H921" s="131"/>
      <c r="I921" s="112">
        <f t="shared" si="40"/>
        <v>0</v>
      </c>
      <c r="J921" s="114"/>
      <c r="K921" s="120"/>
    </row>
    <row r="922" spans="1:11" x14ac:dyDescent="0.25">
      <c r="A922" s="128"/>
      <c r="B922" s="127"/>
      <c r="C922" s="109"/>
      <c r="D922" s="117"/>
      <c r="E922" s="118"/>
      <c r="F922" s="107"/>
      <c r="G922" s="111"/>
      <c r="H922" s="131"/>
      <c r="I922" s="112">
        <f t="shared" si="40"/>
        <v>0</v>
      </c>
      <c r="J922" s="114"/>
      <c r="K922" s="120"/>
    </row>
    <row r="923" spans="1:11" x14ac:dyDescent="0.25">
      <c r="A923" s="128"/>
      <c r="B923" s="127"/>
      <c r="C923" s="109"/>
      <c r="D923" s="117"/>
      <c r="E923" s="118"/>
      <c r="F923" s="107"/>
      <c r="G923" s="111"/>
      <c r="H923" s="131"/>
      <c r="I923" s="112">
        <f t="shared" si="40"/>
        <v>0</v>
      </c>
      <c r="J923" s="114"/>
      <c r="K923" s="120"/>
    </row>
    <row r="924" spans="1:11" x14ac:dyDescent="0.25">
      <c r="A924" s="128"/>
      <c r="B924" s="127"/>
      <c r="C924" s="109"/>
      <c r="D924" s="115"/>
      <c r="E924" s="116"/>
      <c r="F924" s="107"/>
      <c r="G924" s="111"/>
      <c r="H924" s="131"/>
      <c r="I924" s="112">
        <f t="shared" si="40"/>
        <v>0</v>
      </c>
      <c r="J924" s="114"/>
      <c r="K924" s="120"/>
    </row>
    <row r="925" spans="1:11" x14ac:dyDescent="0.25">
      <c r="A925" s="128"/>
      <c r="B925" s="127"/>
      <c r="C925" s="109"/>
      <c r="D925" s="115"/>
      <c r="E925" s="116"/>
      <c r="F925" s="107"/>
      <c r="G925" s="111"/>
      <c r="H925" s="131"/>
      <c r="I925" s="112">
        <f t="shared" si="40"/>
        <v>0</v>
      </c>
      <c r="J925" s="114"/>
      <c r="K925" s="120"/>
    </row>
    <row r="926" spans="1:11" x14ac:dyDescent="0.25">
      <c r="A926" s="128"/>
      <c r="B926" s="127"/>
      <c r="C926" s="109"/>
      <c r="D926" s="117"/>
      <c r="E926" s="118"/>
      <c r="F926" s="107"/>
      <c r="G926" s="111"/>
      <c r="H926" s="131"/>
      <c r="I926" s="112">
        <f t="shared" si="40"/>
        <v>0</v>
      </c>
      <c r="J926" s="114"/>
      <c r="K926" s="120"/>
    </row>
    <row r="927" spans="1:11" x14ac:dyDescent="0.25">
      <c r="A927" s="128"/>
      <c r="B927" s="127"/>
      <c r="C927" s="109"/>
      <c r="D927" s="115"/>
      <c r="E927" s="116"/>
      <c r="F927" s="107"/>
      <c r="G927" s="111"/>
      <c r="H927" s="131"/>
      <c r="I927" s="112">
        <f t="shared" si="40"/>
        <v>0</v>
      </c>
      <c r="J927" s="114"/>
      <c r="K927" s="120"/>
    </row>
    <row r="928" spans="1:11" x14ac:dyDescent="0.25">
      <c r="A928" s="128"/>
      <c r="B928" s="127"/>
      <c r="C928" s="109"/>
      <c r="D928" s="115"/>
      <c r="E928" s="116"/>
      <c r="F928" s="107"/>
      <c r="G928" s="111"/>
      <c r="H928" s="131"/>
      <c r="I928" s="112">
        <f t="shared" si="40"/>
        <v>0</v>
      </c>
      <c r="J928" s="114"/>
      <c r="K928" s="120"/>
    </row>
    <row r="929" spans="1:11" x14ac:dyDescent="0.25">
      <c r="A929" s="128"/>
      <c r="B929" s="127"/>
      <c r="C929" s="109"/>
      <c r="D929" s="115"/>
      <c r="E929" s="116"/>
      <c r="F929" s="107"/>
      <c r="G929" s="111"/>
      <c r="H929" s="131"/>
      <c r="I929" s="112">
        <f t="shared" si="40"/>
        <v>0</v>
      </c>
      <c r="J929" s="114"/>
      <c r="K929" s="120"/>
    </row>
    <row r="930" spans="1:11" x14ac:dyDescent="0.25">
      <c r="A930" s="128"/>
      <c r="B930" s="127"/>
      <c r="C930" s="109"/>
      <c r="D930" s="115"/>
      <c r="E930" s="116"/>
      <c r="F930" s="107"/>
      <c r="G930" s="111"/>
      <c r="H930" s="131"/>
      <c r="I930" s="112">
        <f t="shared" si="40"/>
        <v>0</v>
      </c>
      <c r="J930" s="114"/>
      <c r="K930" s="120"/>
    </row>
    <row r="931" spans="1:11" x14ac:dyDescent="0.25">
      <c r="A931" s="128"/>
      <c r="B931" s="127"/>
      <c r="C931" s="109"/>
      <c r="D931" s="115"/>
      <c r="E931" s="116"/>
      <c r="F931" s="107"/>
      <c r="G931" s="111"/>
      <c r="H931" s="131"/>
      <c r="I931" s="112">
        <f t="shared" si="40"/>
        <v>0</v>
      </c>
      <c r="J931" s="114"/>
      <c r="K931" s="120"/>
    </row>
    <row r="932" spans="1:11" x14ac:dyDescent="0.25">
      <c r="A932" s="128"/>
      <c r="B932" s="127"/>
      <c r="C932" s="109"/>
      <c r="D932" s="117"/>
      <c r="E932" s="118"/>
      <c r="F932" s="107"/>
      <c r="G932" s="111"/>
      <c r="H932" s="131"/>
      <c r="I932" s="112">
        <f t="shared" si="40"/>
        <v>0</v>
      </c>
      <c r="J932" s="114"/>
      <c r="K932" s="120"/>
    </row>
    <row r="933" spans="1:11" x14ac:dyDescent="0.25">
      <c r="A933" s="128"/>
      <c r="B933" s="127"/>
      <c r="C933" s="109"/>
      <c r="D933" s="117"/>
      <c r="E933" s="118"/>
      <c r="F933" s="107"/>
      <c r="G933" s="111"/>
      <c r="H933" s="131"/>
      <c r="I933" s="112">
        <f t="shared" si="40"/>
        <v>0</v>
      </c>
      <c r="J933" s="114"/>
      <c r="K933" s="120"/>
    </row>
    <row r="934" spans="1:11" x14ac:dyDescent="0.25">
      <c r="A934" s="128"/>
      <c r="B934" s="127"/>
      <c r="C934" s="109"/>
      <c r="D934" s="115"/>
      <c r="E934" s="116"/>
      <c r="F934" s="107"/>
      <c r="G934" s="111"/>
      <c r="H934" s="131"/>
      <c r="I934" s="112">
        <f t="shared" si="40"/>
        <v>0</v>
      </c>
      <c r="J934" s="114"/>
      <c r="K934" s="120"/>
    </row>
    <row r="935" spans="1:11" x14ac:dyDescent="0.25">
      <c r="A935" s="128"/>
      <c r="B935" s="127"/>
      <c r="C935" s="109"/>
      <c r="D935" s="115"/>
      <c r="E935" s="116"/>
      <c r="F935" s="107"/>
      <c r="G935" s="111"/>
      <c r="H935" s="131"/>
      <c r="I935" s="112">
        <f t="shared" si="40"/>
        <v>0</v>
      </c>
      <c r="J935" s="114"/>
      <c r="K935" s="120"/>
    </row>
    <row r="936" spans="1:11" x14ac:dyDescent="0.25">
      <c r="A936" s="128"/>
      <c r="B936" s="127"/>
      <c r="C936" s="109"/>
      <c r="D936" s="115"/>
      <c r="E936" s="116"/>
      <c r="F936" s="107"/>
      <c r="G936" s="111"/>
      <c r="H936" s="131"/>
      <c r="I936" s="112">
        <f t="shared" si="40"/>
        <v>0</v>
      </c>
      <c r="J936" s="114"/>
      <c r="K936" s="120"/>
    </row>
    <row r="937" spans="1:11" x14ac:dyDescent="0.25">
      <c r="A937" s="128"/>
      <c r="B937" s="127"/>
      <c r="C937" s="109"/>
      <c r="D937" s="115"/>
      <c r="E937" s="116"/>
      <c r="F937" s="107"/>
      <c r="G937" s="111"/>
      <c r="H937" s="131"/>
      <c r="I937" s="112">
        <f t="shared" si="40"/>
        <v>0</v>
      </c>
      <c r="J937" s="114"/>
      <c r="K937" s="120"/>
    </row>
    <row r="938" spans="1:11" x14ac:dyDescent="0.25">
      <c r="A938" s="128"/>
      <c r="B938" s="127"/>
      <c r="C938" s="109"/>
      <c r="D938" s="115"/>
      <c r="E938" s="116"/>
      <c r="F938" s="107"/>
      <c r="G938" s="111"/>
      <c r="H938" s="131"/>
      <c r="I938" s="112">
        <f t="shared" si="40"/>
        <v>0</v>
      </c>
      <c r="J938" s="114"/>
      <c r="K938" s="120"/>
    </row>
    <row r="939" spans="1:11" x14ac:dyDescent="0.25">
      <c r="A939" s="128"/>
      <c r="B939" s="127"/>
      <c r="C939" s="109"/>
      <c r="D939" s="117"/>
      <c r="E939" s="118"/>
      <c r="F939" s="107"/>
      <c r="G939" s="111"/>
      <c r="H939" s="131"/>
      <c r="I939" s="112">
        <f t="shared" si="40"/>
        <v>0</v>
      </c>
      <c r="J939" s="114"/>
      <c r="K939" s="120"/>
    </row>
    <row r="940" spans="1:11" x14ac:dyDescent="0.25">
      <c r="A940" s="128"/>
      <c r="B940" s="127"/>
      <c r="C940" s="109"/>
      <c r="D940" s="115"/>
      <c r="E940" s="116"/>
      <c r="F940" s="107"/>
      <c r="G940" s="111"/>
      <c r="H940" s="131"/>
      <c r="I940" s="112">
        <f t="shared" si="40"/>
        <v>0</v>
      </c>
      <c r="J940" s="114"/>
      <c r="K940" s="120"/>
    </row>
    <row r="941" spans="1:11" x14ac:dyDescent="0.25">
      <c r="A941" s="128"/>
      <c r="B941" s="127"/>
      <c r="C941" s="109"/>
      <c r="D941" s="115"/>
      <c r="E941" s="116"/>
      <c r="F941" s="107"/>
      <c r="G941" s="111"/>
      <c r="H941" s="131"/>
      <c r="I941" s="112">
        <f t="shared" si="40"/>
        <v>0</v>
      </c>
      <c r="J941" s="114"/>
      <c r="K941" s="120"/>
    </row>
    <row r="942" spans="1:11" x14ac:dyDescent="0.25">
      <c r="A942" s="128"/>
      <c r="B942" s="127"/>
      <c r="C942" s="109"/>
      <c r="D942" s="115"/>
      <c r="E942" s="116"/>
      <c r="F942" s="107"/>
      <c r="G942" s="111"/>
      <c r="H942" s="131"/>
      <c r="I942" s="112">
        <f t="shared" si="40"/>
        <v>0</v>
      </c>
      <c r="J942" s="114"/>
      <c r="K942" s="120"/>
    </row>
    <row r="943" spans="1:11" x14ac:dyDescent="0.25">
      <c r="A943" s="128"/>
      <c r="B943" s="127"/>
      <c r="C943" s="128"/>
      <c r="D943" s="117"/>
      <c r="E943" s="118"/>
      <c r="F943" s="107"/>
      <c r="G943" s="111"/>
      <c r="H943" s="131"/>
      <c r="I943" s="112">
        <f t="shared" si="40"/>
        <v>0</v>
      </c>
      <c r="J943" s="131"/>
      <c r="K943" s="120"/>
    </row>
    <row r="944" spans="1:11" x14ac:dyDescent="0.25">
      <c r="A944" s="128"/>
      <c r="B944" s="127"/>
      <c r="C944" s="128"/>
      <c r="D944" s="117"/>
      <c r="E944" s="118"/>
      <c r="F944" s="107"/>
      <c r="G944" s="111"/>
      <c r="H944" s="131"/>
      <c r="I944" s="112">
        <f t="shared" si="40"/>
        <v>0</v>
      </c>
      <c r="J944" s="131"/>
      <c r="K944" s="120"/>
    </row>
    <row r="945" spans="1:11" x14ac:dyDescent="0.25">
      <c r="A945" s="128"/>
      <c r="B945" s="127"/>
      <c r="C945" s="128"/>
      <c r="D945" s="115"/>
      <c r="E945" s="116"/>
      <c r="F945" s="107"/>
      <c r="G945" s="111"/>
      <c r="H945" s="131"/>
      <c r="I945" s="112">
        <f t="shared" si="40"/>
        <v>0</v>
      </c>
      <c r="J945" s="131"/>
      <c r="K945" s="120"/>
    </row>
    <row r="946" spans="1:11" x14ac:dyDescent="0.25">
      <c r="A946" s="128"/>
      <c r="B946" s="127"/>
      <c r="C946" s="109"/>
      <c r="D946" s="115"/>
      <c r="E946" s="116"/>
      <c r="F946" s="107"/>
      <c r="G946" s="111"/>
      <c r="H946" s="131"/>
      <c r="I946" s="112">
        <f t="shared" si="40"/>
        <v>0</v>
      </c>
      <c r="J946" s="131"/>
      <c r="K946" s="120"/>
    </row>
    <row r="947" spans="1:11" x14ac:dyDescent="0.25">
      <c r="A947" s="128"/>
      <c r="B947" s="127"/>
      <c r="C947" s="109"/>
      <c r="D947" s="117"/>
      <c r="E947" s="118"/>
      <c r="F947" s="107"/>
      <c r="G947" s="111"/>
      <c r="H947" s="131"/>
      <c r="I947" s="112">
        <f t="shared" si="40"/>
        <v>0</v>
      </c>
      <c r="J947" s="131"/>
      <c r="K947" s="120"/>
    </row>
    <row r="948" spans="1:11" x14ac:dyDescent="0.25">
      <c r="A948" s="128"/>
      <c r="B948" s="127"/>
      <c r="C948" s="109"/>
      <c r="D948" s="117"/>
      <c r="E948" s="118"/>
      <c r="F948" s="107"/>
      <c r="G948" s="111"/>
      <c r="H948" s="131"/>
      <c r="I948" s="112">
        <f t="shared" si="40"/>
        <v>0</v>
      </c>
      <c r="J948" s="131"/>
      <c r="K948" s="120"/>
    </row>
    <row r="949" spans="1:11" x14ac:dyDescent="0.25">
      <c r="A949" s="128"/>
      <c r="B949" s="127"/>
      <c r="C949" s="109"/>
      <c r="D949" s="115"/>
      <c r="E949" s="116"/>
      <c r="F949" s="107"/>
      <c r="G949" s="111"/>
      <c r="H949" s="131"/>
      <c r="I949" s="112">
        <f t="shared" si="40"/>
        <v>0</v>
      </c>
      <c r="J949" s="131"/>
      <c r="K949" s="120"/>
    </row>
    <row r="950" spans="1:11" x14ac:dyDescent="0.25">
      <c r="A950" s="128"/>
      <c r="B950" s="127"/>
      <c r="C950" s="128"/>
      <c r="D950" s="115"/>
      <c r="E950" s="116"/>
      <c r="F950" s="107"/>
      <c r="G950" s="111"/>
      <c r="H950" s="131"/>
      <c r="I950" s="112">
        <f t="shared" si="40"/>
        <v>0</v>
      </c>
      <c r="J950" s="131"/>
      <c r="K950" s="120"/>
    </row>
    <row r="951" spans="1:11" x14ac:dyDescent="0.25">
      <c r="A951" s="128"/>
      <c r="B951" s="127"/>
      <c r="C951" s="128"/>
      <c r="D951" s="117"/>
      <c r="E951" s="118"/>
      <c r="F951" s="107"/>
      <c r="G951" s="111"/>
      <c r="H951" s="131"/>
      <c r="I951" s="112">
        <f t="shared" si="40"/>
        <v>0</v>
      </c>
      <c r="J951" s="131"/>
      <c r="K951" s="120"/>
    </row>
    <row r="952" spans="1:11" x14ac:dyDescent="0.25">
      <c r="A952" s="128"/>
      <c r="B952" s="127"/>
      <c r="C952" s="128"/>
      <c r="D952" s="115"/>
      <c r="E952" s="116"/>
      <c r="F952" s="107"/>
      <c r="G952" s="111"/>
      <c r="H952" s="131"/>
      <c r="I952" s="112">
        <f t="shared" si="40"/>
        <v>0</v>
      </c>
      <c r="J952" s="133"/>
      <c r="K952" s="120"/>
    </row>
    <row r="953" spans="1:11" x14ac:dyDescent="0.25">
      <c r="A953" s="128"/>
      <c r="B953" s="127"/>
      <c r="C953" s="128"/>
      <c r="D953" s="115"/>
      <c r="E953" s="116"/>
      <c r="F953" s="107"/>
      <c r="G953" s="111"/>
      <c r="H953" s="131"/>
      <c r="I953" s="112">
        <f t="shared" si="40"/>
        <v>0</v>
      </c>
      <c r="J953" s="133"/>
      <c r="K953" s="120"/>
    </row>
    <row r="954" spans="1:11" x14ac:dyDescent="0.25">
      <c r="A954" s="128"/>
      <c r="B954" s="127"/>
      <c r="C954" s="128"/>
      <c r="D954" s="115"/>
      <c r="E954" s="116"/>
      <c r="F954" s="107"/>
      <c r="G954" s="111"/>
      <c r="H954" s="131"/>
      <c r="I954" s="112">
        <f t="shared" si="40"/>
        <v>0</v>
      </c>
      <c r="J954" s="133"/>
      <c r="K954" s="120"/>
    </row>
    <row r="955" spans="1:11" x14ac:dyDescent="0.25">
      <c r="A955" s="128"/>
      <c r="B955" s="127"/>
      <c r="C955" s="128"/>
      <c r="D955" s="115"/>
      <c r="E955" s="116"/>
      <c r="F955" s="107"/>
      <c r="G955" s="111"/>
      <c r="H955" s="131"/>
      <c r="I955" s="112">
        <f t="shared" si="40"/>
        <v>0</v>
      </c>
      <c r="J955" s="133"/>
      <c r="K955" s="120"/>
    </row>
    <row r="956" spans="1:11" x14ac:dyDescent="0.25">
      <c r="A956" s="128"/>
      <c r="B956" s="127"/>
      <c r="C956" s="128"/>
      <c r="D956" s="115"/>
      <c r="E956" s="116"/>
      <c r="F956" s="107"/>
      <c r="G956" s="111"/>
      <c r="H956" s="131"/>
      <c r="I956" s="112">
        <f t="shared" si="40"/>
        <v>0</v>
      </c>
      <c r="J956" s="133"/>
      <c r="K956" s="120"/>
    </row>
    <row r="957" spans="1:11" x14ac:dyDescent="0.25">
      <c r="A957" s="128"/>
      <c r="B957" s="127"/>
      <c r="C957" s="128"/>
      <c r="D957" s="115"/>
      <c r="E957" s="116"/>
      <c r="F957" s="107"/>
      <c r="G957" s="111"/>
      <c r="H957" s="131"/>
      <c r="I957" s="112">
        <f t="shared" si="40"/>
        <v>0</v>
      </c>
      <c r="J957" s="133"/>
      <c r="K957" s="120"/>
    </row>
    <row r="958" spans="1:11" x14ac:dyDescent="0.25">
      <c r="A958" s="128"/>
      <c r="B958" s="127"/>
      <c r="C958" s="128"/>
      <c r="D958" s="117"/>
      <c r="E958" s="118"/>
      <c r="F958" s="107"/>
      <c r="G958" s="111"/>
      <c r="H958" s="131"/>
      <c r="I958" s="112">
        <f t="shared" si="40"/>
        <v>0</v>
      </c>
      <c r="J958" s="131"/>
      <c r="K958" s="120"/>
    </row>
    <row r="959" spans="1:11" x14ac:dyDescent="0.25">
      <c r="A959" s="128"/>
      <c r="B959" s="127"/>
      <c r="C959" s="128"/>
      <c r="D959" s="115"/>
      <c r="E959" s="116"/>
      <c r="F959" s="107"/>
      <c r="G959" s="111"/>
      <c r="H959" s="131"/>
      <c r="I959" s="112">
        <f t="shared" si="40"/>
        <v>0</v>
      </c>
      <c r="J959" s="131"/>
      <c r="K959" s="120"/>
    </row>
    <row r="960" spans="1:11" x14ac:dyDescent="0.25">
      <c r="A960" s="128"/>
      <c r="B960" s="127"/>
      <c r="C960" s="128"/>
      <c r="D960" s="115"/>
      <c r="E960" s="116"/>
      <c r="F960" s="107"/>
      <c r="G960" s="111"/>
      <c r="H960" s="131"/>
      <c r="I960" s="112">
        <f t="shared" si="40"/>
        <v>0</v>
      </c>
      <c r="J960" s="131"/>
      <c r="K960" s="120"/>
    </row>
    <row r="961" spans="1:11" x14ac:dyDescent="0.25">
      <c r="A961" s="128"/>
      <c r="B961" s="127"/>
      <c r="C961" s="128"/>
      <c r="D961" s="115"/>
      <c r="E961" s="116"/>
      <c r="F961" s="107"/>
      <c r="G961" s="111"/>
      <c r="H961" s="131"/>
      <c r="I961" s="112">
        <f t="shared" si="40"/>
        <v>0</v>
      </c>
      <c r="J961" s="131"/>
      <c r="K961" s="120"/>
    </row>
    <row r="962" spans="1:11" ht="15.75" x14ac:dyDescent="0.25">
      <c r="A962" s="128"/>
      <c r="B962" s="127"/>
      <c r="C962" s="128"/>
      <c r="D962" s="125"/>
      <c r="E962" s="126"/>
      <c r="F962" s="107"/>
      <c r="G962" s="111"/>
      <c r="H962" s="131"/>
      <c r="I962" s="112">
        <f t="shared" si="40"/>
        <v>0</v>
      </c>
      <c r="J962" s="131"/>
      <c r="K962" s="120"/>
    </row>
    <row r="963" spans="1:11" x14ac:dyDescent="0.25">
      <c r="A963" s="128"/>
      <c r="B963" s="127"/>
      <c r="C963" s="109"/>
      <c r="D963" s="115"/>
      <c r="E963" s="116"/>
      <c r="F963" s="107"/>
      <c r="G963" s="111"/>
      <c r="H963" s="131"/>
      <c r="I963" s="112">
        <f t="shared" si="40"/>
        <v>0</v>
      </c>
      <c r="J963" s="131"/>
      <c r="K963" s="120"/>
    </row>
    <row r="964" spans="1:11" x14ac:dyDescent="0.25">
      <c r="A964" s="128"/>
      <c r="B964" s="127"/>
      <c r="C964" s="109"/>
      <c r="D964" s="115"/>
      <c r="E964" s="116"/>
      <c r="F964" s="107"/>
      <c r="G964" s="111"/>
      <c r="H964" s="131"/>
      <c r="I964" s="112">
        <f t="shared" si="40"/>
        <v>0</v>
      </c>
      <c r="J964" s="131"/>
      <c r="K964" s="120"/>
    </row>
    <row r="965" spans="1:11" x14ac:dyDescent="0.25">
      <c r="A965" s="128"/>
      <c r="B965" s="127"/>
      <c r="C965" s="109"/>
      <c r="D965" s="115"/>
      <c r="E965" s="116"/>
      <c r="F965" s="107"/>
      <c r="G965" s="111"/>
      <c r="H965" s="131"/>
      <c r="I965" s="112">
        <f t="shared" si="40"/>
        <v>0</v>
      </c>
      <c r="J965" s="131"/>
      <c r="K965" s="120"/>
    </row>
    <row r="966" spans="1:11" x14ac:dyDescent="0.25">
      <c r="A966" s="128"/>
      <c r="B966" s="127"/>
      <c r="C966" s="109"/>
      <c r="D966" s="115"/>
      <c r="E966" s="116"/>
      <c r="F966" s="107"/>
      <c r="G966" s="111"/>
      <c r="H966" s="131"/>
      <c r="I966" s="112">
        <f t="shared" ref="I966:I1029" si="41">G966*H966</f>
        <v>0</v>
      </c>
      <c r="J966" s="131"/>
      <c r="K966" s="120"/>
    </row>
    <row r="967" spans="1:11" x14ac:dyDescent="0.25">
      <c r="A967" s="128"/>
      <c r="B967" s="127"/>
      <c r="C967" s="109"/>
      <c r="D967" s="115"/>
      <c r="E967" s="116"/>
      <c r="F967" s="107"/>
      <c r="G967" s="111"/>
      <c r="H967" s="131"/>
      <c r="I967" s="112">
        <f t="shared" si="41"/>
        <v>0</v>
      </c>
      <c r="J967" s="131"/>
      <c r="K967" s="120"/>
    </row>
    <row r="968" spans="1:11" x14ac:dyDescent="0.25">
      <c r="A968" s="128"/>
      <c r="B968" s="127"/>
      <c r="C968" s="109"/>
      <c r="D968" s="115"/>
      <c r="E968" s="116"/>
      <c r="F968" s="107"/>
      <c r="G968" s="111"/>
      <c r="H968" s="131"/>
      <c r="I968" s="112">
        <f t="shared" si="41"/>
        <v>0</v>
      </c>
      <c r="J968" s="131"/>
      <c r="K968" s="120"/>
    </row>
    <row r="969" spans="1:11" x14ac:dyDescent="0.25">
      <c r="A969" s="128"/>
      <c r="B969" s="127"/>
      <c r="C969" s="109"/>
      <c r="D969" s="115"/>
      <c r="E969" s="116"/>
      <c r="F969" s="107"/>
      <c r="G969" s="111"/>
      <c r="H969" s="131"/>
      <c r="I969" s="112">
        <f t="shared" si="41"/>
        <v>0</v>
      </c>
      <c r="J969" s="131"/>
      <c r="K969" s="120"/>
    </row>
    <row r="970" spans="1:11" x14ac:dyDescent="0.25">
      <c r="A970" s="128"/>
      <c r="B970" s="127"/>
      <c r="C970" s="109"/>
      <c r="D970" s="115"/>
      <c r="E970" s="116"/>
      <c r="F970" s="107"/>
      <c r="G970" s="111"/>
      <c r="H970" s="131"/>
      <c r="I970" s="112">
        <f t="shared" si="41"/>
        <v>0</v>
      </c>
      <c r="J970" s="131"/>
      <c r="K970" s="120"/>
    </row>
    <row r="971" spans="1:11" x14ac:dyDescent="0.25">
      <c r="A971" s="128"/>
      <c r="B971" s="127"/>
      <c r="C971" s="109"/>
      <c r="D971" s="117"/>
      <c r="E971" s="118"/>
      <c r="F971" s="107"/>
      <c r="G971" s="111"/>
      <c r="H971" s="131"/>
      <c r="I971" s="112">
        <f t="shared" si="41"/>
        <v>0</v>
      </c>
      <c r="J971" s="114"/>
      <c r="K971" s="120"/>
    </row>
    <row r="972" spans="1:11" x14ac:dyDescent="0.25">
      <c r="A972" s="128"/>
      <c r="B972" s="127"/>
      <c r="C972" s="109"/>
      <c r="D972" s="115"/>
      <c r="E972" s="116"/>
      <c r="F972" s="107"/>
      <c r="G972" s="111"/>
      <c r="H972" s="131"/>
      <c r="I972" s="112">
        <f t="shared" si="41"/>
        <v>0</v>
      </c>
      <c r="J972" s="114"/>
      <c r="K972" s="120"/>
    </row>
    <row r="973" spans="1:11" x14ac:dyDescent="0.25">
      <c r="A973" s="128"/>
      <c r="B973" s="132"/>
      <c r="C973" s="128"/>
      <c r="D973" s="115"/>
      <c r="E973" s="116"/>
      <c r="F973" s="107"/>
      <c r="G973" s="111"/>
      <c r="H973" s="131"/>
      <c r="I973" s="112">
        <f t="shared" si="41"/>
        <v>0</v>
      </c>
      <c r="J973" s="113"/>
      <c r="K973" s="120"/>
    </row>
    <row r="974" spans="1:11" x14ac:dyDescent="0.25">
      <c r="A974" s="128"/>
      <c r="B974" s="132"/>
      <c r="C974" s="128"/>
      <c r="D974" s="115"/>
      <c r="E974" s="116"/>
      <c r="F974" s="107"/>
      <c r="G974" s="111"/>
      <c r="H974" s="131"/>
      <c r="I974" s="112">
        <f t="shared" si="41"/>
        <v>0</v>
      </c>
      <c r="J974" s="113"/>
      <c r="K974" s="120"/>
    </row>
    <row r="975" spans="1:11" x14ac:dyDescent="0.25">
      <c r="A975" s="128"/>
      <c r="B975" s="132"/>
      <c r="C975" s="128"/>
      <c r="D975" s="117"/>
      <c r="E975" s="118"/>
      <c r="F975" s="107"/>
      <c r="G975" s="111"/>
      <c r="H975" s="131"/>
      <c r="I975" s="112">
        <f t="shared" si="41"/>
        <v>0</v>
      </c>
      <c r="J975" s="114"/>
      <c r="K975" s="120"/>
    </row>
    <row r="976" spans="1:11" x14ac:dyDescent="0.25">
      <c r="A976" s="128"/>
      <c r="B976" s="132"/>
      <c r="C976" s="128"/>
      <c r="D976" s="115"/>
      <c r="E976" s="116"/>
      <c r="F976" s="107"/>
      <c r="G976" s="111"/>
      <c r="H976" s="131"/>
      <c r="I976" s="112">
        <f t="shared" si="41"/>
        <v>0</v>
      </c>
      <c r="J976" s="114"/>
      <c r="K976" s="120"/>
    </row>
    <row r="977" spans="1:11" x14ac:dyDescent="0.25">
      <c r="A977" s="128"/>
      <c r="B977" s="132"/>
      <c r="C977" s="128"/>
      <c r="D977" s="115"/>
      <c r="E977" s="116"/>
      <c r="F977" s="341"/>
      <c r="G977" s="116"/>
      <c r="H977" s="116"/>
      <c r="I977" s="112">
        <f t="shared" si="41"/>
        <v>0</v>
      </c>
      <c r="J977" s="113"/>
      <c r="K977" s="120"/>
    </row>
    <row r="978" spans="1:11" x14ac:dyDescent="0.25">
      <c r="A978" s="128"/>
      <c r="B978" s="132"/>
      <c r="C978" s="128"/>
      <c r="D978" s="115"/>
      <c r="E978" s="116"/>
      <c r="F978" s="107"/>
      <c r="G978" s="111"/>
      <c r="H978" s="116"/>
      <c r="I978" s="112">
        <f t="shared" si="41"/>
        <v>0</v>
      </c>
      <c r="J978" s="114"/>
      <c r="K978" s="120"/>
    </row>
    <row r="979" spans="1:11" x14ac:dyDescent="0.25">
      <c r="A979" s="128"/>
      <c r="B979" s="132"/>
      <c r="C979" s="128"/>
      <c r="D979" s="115"/>
      <c r="E979" s="116"/>
      <c r="F979" s="107"/>
      <c r="G979" s="111"/>
      <c r="H979" s="116"/>
      <c r="I979" s="112">
        <f t="shared" si="41"/>
        <v>0</v>
      </c>
      <c r="J979" s="114"/>
      <c r="K979" s="120"/>
    </row>
    <row r="980" spans="1:11" x14ac:dyDescent="0.25">
      <c r="A980" s="128"/>
      <c r="B980" s="132"/>
      <c r="C980" s="128"/>
      <c r="D980" s="117"/>
      <c r="E980" s="118"/>
      <c r="F980" s="107"/>
      <c r="G980" s="111"/>
      <c r="H980" s="116"/>
      <c r="I980" s="112">
        <f t="shared" si="41"/>
        <v>0</v>
      </c>
      <c r="J980" s="114"/>
      <c r="K980" s="120"/>
    </row>
    <row r="981" spans="1:11" x14ac:dyDescent="0.25">
      <c r="A981" s="128"/>
      <c r="B981" s="132"/>
      <c r="C981" s="128"/>
      <c r="D981" s="115"/>
      <c r="E981" s="116"/>
      <c r="F981" s="107"/>
      <c r="G981" s="111"/>
      <c r="H981" s="116"/>
      <c r="I981" s="112">
        <f t="shared" si="41"/>
        <v>0</v>
      </c>
      <c r="J981" s="114"/>
      <c r="K981" s="120"/>
    </row>
    <row r="982" spans="1:11" x14ac:dyDescent="0.25">
      <c r="A982" s="128"/>
      <c r="B982" s="132"/>
      <c r="C982" s="128"/>
      <c r="D982" s="115"/>
      <c r="E982" s="116"/>
      <c r="F982" s="107"/>
      <c r="G982" s="111"/>
      <c r="H982" s="116"/>
      <c r="I982" s="112">
        <f t="shared" si="41"/>
        <v>0</v>
      </c>
      <c r="J982" s="114"/>
      <c r="K982" s="120"/>
    </row>
    <row r="983" spans="1:11" x14ac:dyDescent="0.25">
      <c r="A983" s="128"/>
      <c r="B983" s="132"/>
      <c r="C983" s="128"/>
      <c r="D983" s="115"/>
      <c r="E983" s="116"/>
      <c r="F983" s="107"/>
      <c r="G983" s="111"/>
      <c r="H983" s="116"/>
      <c r="I983" s="112">
        <f t="shared" si="41"/>
        <v>0</v>
      </c>
      <c r="J983" s="113"/>
      <c r="K983" s="120"/>
    </row>
    <row r="984" spans="1:11" x14ac:dyDescent="0.25">
      <c r="A984" s="128"/>
      <c r="B984" s="132"/>
      <c r="C984" s="128"/>
      <c r="D984" s="117"/>
      <c r="E984" s="116"/>
      <c r="F984" s="107"/>
      <c r="G984" s="111"/>
      <c r="H984" s="116"/>
      <c r="I984" s="112">
        <f t="shared" si="41"/>
        <v>0</v>
      </c>
      <c r="J984" s="114"/>
      <c r="K984" s="120"/>
    </row>
    <row r="985" spans="1:11" x14ac:dyDescent="0.25">
      <c r="A985" s="128"/>
      <c r="B985" s="132"/>
      <c r="C985" s="128"/>
      <c r="D985" s="115"/>
      <c r="E985" s="116"/>
      <c r="F985" s="107"/>
      <c r="G985" s="111"/>
      <c r="H985" s="116"/>
      <c r="I985" s="112">
        <f t="shared" si="41"/>
        <v>0</v>
      </c>
      <c r="J985" s="114"/>
      <c r="K985" s="120"/>
    </row>
    <row r="986" spans="1:11" x14ac:dyDescent="0.25">
      <c r="A986" s="128"/>
      <c r="B986" s="132"/>
      <c r="C986" s="128"/>
      <c r="D986" s="115"/>
      <c r="E986" s="116"/>
      <c r="F986" s="107"/>
      <c r="G986" s="111"/>
      <c r="H986" s="116"/>
      <c r="I986" s="112">
        <f t="shared" si="41"/>
        <v>0</v>
      </c>
      <c r="J986" s="114"/>
      <c r="K986" s="120"/>
    </row>
    <row r="987" spans="1:11" x14ac:dyDescent="0.25">
      <c r="A987" s="128"/>
      <c r="B987" s="132"/>
      <c r="C987" s="128"/>
      <c r="D987" s="115"/>
      <c r="E987" s="116"/>
      <c r="F987" s="107"/>
      <c r="G987" s="111"/>
      <c r="H987" s="116"/>
      <c r="I987" s="112">
        <f t="shared" si="41"/>
        <v>0</v>
      </c>
      <c r="J987" s="114"/>
      <c r="K987" s="120"/>
    </row>
    <row r="988" spans="1:11" x14ac:dyDescent="0.25">
      <c r="A988" s="128"/>
      <c r="B988" s="132"/>
      <c r="C988" s="128"/>
      <c r="D988" s="115"/>
      <c r="E988" s="116"/>
      <c r="F988" s="107"/>
      <c r="G988" s="111"/>
      <c r="H988" s="116"/>
      <c r="I988" s="112">
        <f t="shared" si="41"/>
        <v>0</v>
      </c>
      <c r="J988" s="114"/>
      <c r="K988" s="120"/>
    </row>
    <row r="989" spans="1:11" x14ac:dyDescent="0.25">
      <c r="A989" s="128"/>
      <c r="B989" s="132"/>
      <c r="C989" s="128"/>
      <c r="D989" s="115"/>
      <c r="E989" s="116"/>
      <c r="F989" s="107"/>
      <c r="G989" s="111"/>
      <c r="H989" s="116"/>
      <c r="I989" s="112">
        <f t="shared" si="41"/>
        <v>0</v>
      </c>
      <c r="J989" s="114"/>
      <c r="K989" s="120"/>
    </row>
    <row r="990" spans="1:11" x14ac:dyDescent="0.25">
      <c r="A990" s="128"/>
      <c r="B990" s="132"/>
      <c r="C990" s="128"/>
      <c r="D990" s="115"/>
      <c r="E990" s="116"/>
      <c r="F990" s="107"/>
      <c r="G990" s="111"/>
      <c r="H990" s="116"/>
      <c r="I990" s="112">
        <f t="shared" si="41"/>
        <v>0</v>
      </c>
      <c r="J990" s="114"/>
      <c r="K990" s="120"/>
    </row>
    <row r="991" spans="1:11" x14ac:dyDescent="0.25">
      <c r="A991" s="128"/>
      <c r="B991" s="132"/>
      <c r="C991" s="128"/>
      <c r="D991" s="115"/>
      <c r="E991" s="116"/>
      <c r="F991" s="107"/>
      <c r="G991" s="111"/>
      <c r="H991" s="116"/>
      <c r="I991" s="112">
        <f t="shared" si="41"/>
        <v>0</v>
      </c>
      <c r="J991" s="114"/>
      <c r="K991" s="120"/>
    </row>
    <row r="992" spans="1:11" x14ac:dyDescent="0.25">
      <c r="A992" s="128"/>
      <c r="B992" s="132"/>
      <c r="C992" s="128"/>
      <c r="D992" s="129"/>
      <c r="E992" s="130"/>
      <c r="F992" s="107"/>
      <c r="G992" s="111"/>
      <c r="H992" s="116"/>
      <c r="I992" s="112">
        <f t="shared" si="41"/>
        <v>0</v>
      </c>
      <c r="J992" s="114"/>
      <c r="K992" s="120"/>
    </row>
    <row r="993" spans="1:11" ht="15.75" x14ac:dyDescent="0.25">
      <c r="A993" s="128"/>
      <c r="B993" s="132"/>
      <c r="C993" s="128"/>
      <c r="D993" s="125"/>
      <c r="E993" s="126"/>
      <c r="F993" s="107"/>
      <c r="G993" s="111"/>
      <c r="H993" s="116"/>
      <c r="I993" s="112">
        <f t="shared" si="41"/>
        <v>0</v>
      </c>
      <c r="J993" s="114"/>
      <c r="K993" s="120"/>
    </row>
    <row r="994" spans="1:11" x14ac:dyDescent="0.25">
      <c r="A994" s="128"/>
      <c r="B994" s="132"/>
      <c r="C994" s="128"/>
      <c r="D994" s="115"/>
      <c r="E994" s="116"/>
      <c r="F994" s="107"/>
      <c r="G994" s="111"/>
      <c r="H994" s="116"/>
      <c r="I994" s="112">
        <f t="shared" si="41"/>
        <v>0</v>
      </c>
      <c r="J994" s="114"/>
      <c r="K994" s="120"/>
    </row>
    <row r="995" spans="1:11" x14ac:dyDescent="0.25">
      <c r="A995" s="128"/>
      <c r="B995" s="132"/>
      <c r="C995" s="128"/>
      <c r="D995" s="115"/>
      <c r="E995" s="116"/>
      <c r="F995" s="107"/>
      <c r="G995" s="111"/>
      <c r="H995" s="116"/>
      <c r="I995" s="112">
        <f t="shared" si="41"/>
        <v>0</v>
      </c>
      <c r="J995" s="114"/>
      <c r="K995" s="120"/>
    </row>
    <row r="996" spans="1:11" x14ac:dyDescent="0.25">
      <c r="A996" s="128"/>
      <c r="B996" s="132"/>
      <c r="C996" s="128"/>
      <c r="D996" s="115"/>
      <c r="E996" s="116"/>
      <c r="F996" s="107"/>
      <c r="G996" s="111"/>
      <c r="H996" s="116"/>
      <c r="I996" s="112">
        <f t="shared" si="41"/>
        <v>0</v>
      </c>
      <c r="J996" s="114"/>
      <c r="K996" s="120"/>
    </row>
    <row r="997" spans="1:11" x14ac:dyDescent="0.25">
      <c r="A997" s="128"/>
      <c r="B997" s="132"/>
      <c r="C997" s="128"/>
      <c r="D997" s="115"/>
      <c r="E997" s="116"/>
      <c r="F997" s="107"/>
      <c r="G997" s="111"/>
      <c r="H997" s="116"/>
      <c r="I997" s="112">
        <f t="shared" si="41"/>
        <v>0</v>
      </c>
      <c r="J997" s="114"/>
      <c r="K997" s="120"/>
    </row>
    <row r="998" spans="1:11" x14ac:dyDescent="0.25">
      <c r="A998" s="128"/>
      <c r="B998" s="132"/>
      <c r="C998" s="128"/>
      <c r="D998" s="115"/>
      <c r="E998" s="116"/>
      <c r="F998" s="107"/>
      <c r="G998" s="111"/>
      <c r="H998" s="116"/>
      <c r="I998" s="112">
        <f t="shared" si="41"/>
        <v>0</v>
      </c>
      <c r="J998" s="113"/>
      <c r="K998" s="120"/>
    </row>
    <row r="999" spans="1:11" x14ac:dyDescent="0.25">
      <c r="A999" s="128"/>
      <c r="B999" s="132"/>
      <c r="C999" s="128"/>
      <c r="D999" s="115"/>
      <c r="E999" s="116"/>
      <c r="F999" s="107"/>
      <c r="G999" s="111"/>
      <c r="H999" s="116"/>
      <c r="I999" s="112">
        <f t="shared" si="41"/>
        <v>0</v>
      </c>
      <c r="J999" s="114"/>
      <c r="K999" s="120"/>
    </row>
    <row r="1000" spans="1:11" x14ac:dyDescent="0.25">
      <c r="A1000" s="128"/>
      <c r="B1000" s="132"/>
      <c r="C1000" s="128"/>
      <c r="D1000" s="115"/>
      <c r="E1000" s="116"/>
      <c r="F1000" s="107"/>
      <c r="G1000" s="111"/>
      <c r="H1000" s="116"/>
      <c r="I1000" s="112">
        <f t="shared" si="41"/>
        <v>0</v>
      </c>
      <c r="J1000" s="114"/>
      <c r="K1000" s="120"/>
    </row>
    <row r="1001" spans="1:11" x14ac:dyDescent="0.25">
      <c r="A1001" s="128"/>
      <c r="B1001" s="132"/>
      <c r="C1001" s="128"/>
      <c r="D1001" s="115"/>
      <c r="E1001" s="116"/>
      <c r="F1001" s="107"/>
      <c r="G1001" s="111"/>
      <c r="H1001" s="116"/>
      <c r="I1001" s="112">
        <f t="shared" si="41"/>
        <v>0</v>
      </c>
      <c r="J1001" s="114"/>
      <c r="K1001" s="120"/>
    </row>
    <row r="1002" spans="1:11" x14ac:dyDescent="0.25">
      <c r="A1002" s="128"/>
      <c r="B1002" s="132"/>
      <c r="C1002" s="128"/>
      <c r="D1002" s="115"/>
      <c r="E1002" s="116"/>
      <c r="F1002" s="107"/>
      <c r="G1002" s="111"/>
      <c r="H1002" s="116"/>
      <c r="I1002" s="112">
        <f t="shared" si="41"/>
        <v>0</v>
      </c>
      <c r="J1002" s="114"/>
      <c r="K1002" s="120"/>
    </row>
    <row r="1003" spans="1:11" x14ac:dyDescent="0.25">
      <c r="A1003" s="128"/>
      <c r="B1003" s="132"/>
      <c r="C1003" s="128"/>
      <c r="D1003" s="115"/>
      <c r="E1003" s="116"/>
      <c r="F1003" s="135"/>
      <c r="G1003" s="111"/>
      <c r="H1003" s="131"/>
      <c r="I1003" s="112">
        <f t="shared" si="41"/>
        <v>0</v>
      </c>
      <c r="J1003" s="113"/>
      <c r="K1003" s="120"/>
    </row>
    <row r="1004" spans="1:11" x14ac:dyDescent="0.25">
      <c r="A1004" s="128"/>
      <c r="B1004" s="132"/>
      <c r="C1004" s="128"/>
      <c r="D1004" s="115"/>
      <c r="E1004" s="116"/>
      <c r="F1004" s="107"/>
      <c r="G1004" s="111"/>
      <c r="H1004" s="131"/>
      <c r="I1004" s="112">
        <f t="shared" si="41"/>
        <v>0</v>
      </c>
      <c r="J1004" s="113"/>
      <c r="K1004" s="120"/>
    </row>
    <row r="1005" spans="1:11" x14ac:dyDescent="0.25">
      <c r="A1005" s="128"/>
      <c r="B1005" s="132"/>
      <c r="C1005" s="128"/>
      <c r="D1005" s="115"/>
      <c r="E1005" s="116"/>
      <c r="F1005" s="107"/>
      <c r="G1005" s="111"/>
      <c r="H1005" s="131"/>
      <c r="I1005" s="112">
        <f t="shared" si="41"/>
        <v>0</v>
      </c>
      <c r="J1005" s="114"/>
      <c r="K1005" s="120"/>
    </row>
    <row r="1006" spans="1:11" x14ac:dyDescent="0.25">
      <c r="A1006" s="128"/>
      <c r="B1006" s="132"/>
      <c r="C1006" s="109"/>
      <c r="D1006" s="117"/>
      <c r="E1006" s="118"/>
      <c r="F1006" s="107"/>
      <c r="G1006" s="111"/>
      <c r="H1006" s="131"/>
      <c r="I1006" s="112">
        <f t="shared" si="41"/>
        <v>0</v>
      </c>
      <c r="J1006" s="114"/>
      <c r="K1006" s="120"/>
    </row>
    <row r="1007" spans="1:11" x14ac:dyDescent="0.25">
      <c r="A1007" s="128"/>
      <c r="B1007" s="132"/>
      <c r="C1007" s="109"/>
      <c r="D1007" s="117"/>
      <c r="E1007" s="118"/>
      <c r="F1007" s="107"/>
      <c r="G1007" s="111"/>
      <c r="H1007" s="131"/>
      <c r="I1007" s="112">
        <f t="shared" si="41"/>
        <v>0</v>
      </c>
      <c r="J1007" s="114"/>
      <c r="K1007" s="120"/>
    </row>
    <row r="1008" spans="1:11" x14ac:dyDescent="0.25">
      <c r="A1008" s="128"/>
      <c r="B1008" s="132"/>
      <c r="C1008" s="109"/>
      <c r="D1008" s="115"/>
      <c r="E1008" s="116"/>
      <c r="F1008" s="107"/>
      <c r="G1008" s="111"/>
      <c r="H1008" s="131"/>
      <c r="I1008" s="112">
        <f t="shared" si="41"/>
        <v>0</v>
      </c>
      <c r="J1008" s="114"/>
      <c r="K1008" s="120"/>
    </row>
    <row r="1009" spans="1:11" x14ac:dyDescent="0.25">
      <c r="A1009" s="128"/>
      <c r="B1009" s="132"/>
      <c r="C1009" s="109"/>
      <c r="D1009" s="117"/>
      <c r="E1009" s="118"/>
      <c r="F1009" s="107"/>
      <c r="G1009" s="111"/>
      <c r="H1009" s="131"/>
      <c r="I1009" s="112">
        <f t="shared" si="41"/>
        <v>0</v>
      </c>
      <c r="J1009" s="114"/>
      <c r="K1009" s="120"/>
    </row>
    <row r="1010" spans="1:11" x14ac:dyDescent="0.25">
      <c r="A1010" s="128"/>
      <c r="B1010" s="132"/>
      <c r="C1010" s="109"/>
      <c r="D1010" s="115"/>
      <c r="E1010" s="116"/>
      <c r="F1010" s="107"/>
      <c r="G1010" s="111"/>
      <c r="H1010" s="131"/>
      <c r="I1010" s="112">
        <f t="shared" si="41"/>
        <v>0</v>
      </c>
      <c r="J1010" s="114"/>
      <c r="K1010" s="120"/>
    </row>
    <row r="1011" spans="1:11" x14ac:dyDescent="0.25">
      <c r="A1011" s="128"/>
      <c r="B1011" s="132"/>
      <c r="C1011" s="109"/>
      <c r="D1011" s="115"/>
      <c r="E1011" s="116"/>
      <c r="F1011" s="107"/>
      <c r="G1011" s="111"/>
      <c r="H1011" s="131"/>
      <c r="I1011" s="112">
        <f t="shared" si="41"/>
        <v>0</v>
      </c>
      <c r="J1011" s="114"/>
      <c r="K1011" s="120"/>
    </row>
    <row r="1012" spans="1:11" x14ac:dyDescent="0.25">
      <c r="A1012" s="128"/>
      <c r="B1012" s="132"/>
      <c r="C1012" s="109"/>
      <c r="D1012" s="115"/>
      <c r="E1012" s="116"/>
      <c r="F1012" s="107"/>
      <c r="G1012" s="111"/>
      <c r="H1012" s="131"/>
      <c r="I1012" s="112">
        <f t="shared" si="41"/>
        <v>0</v>
      </c>
      <c r="J1012" s="114"/>
      <c r="K1012" s="120"/>
    </row>
    <row r="1013" spans="1:11" x14ac:dyDescent="0.25">
      <c r="A1013" s="128"/>
      <c r="B1013" s="132"/>
      <c r="C1013" s="109"/>
      <c r="D1013" s="117"/>
      <c r="E1013" s="118"/>
      <c r="F1013" s="107"/>
      <c r="G1013" s="111"/>
      <c r="H1013" s="131"/>
      <c r="I1013" s="112">
        <f t="shared" si="41"/>
        <v>0</v>
      </c>
      <c r="J1013" s="114"/>
      <c r="K1013" s="120"/>
    </row>
    <row r="1014" spans="1:11" x14ac:dyDescent="0.25">
      <c r="A1014" s="128"/>
      <c r="B1014" s="132"/>
      <c r="C1014" s="109"/>
      <c r="D1014" s="115"/>
      <c r="E1014" s="116"/>
      <c r="F1014" s="107"/>
      <c r="G1014" s="111"/>
      <c r="H1014" s="131"/>
      <c r="I1014" s="112">
        <f t="shared" si="41"/>
        <v>0</v>
      </c>
      <c r="J1014" s="114"/>
      <c r="K1014" s="120"/>
    </row>
    <row r="1015" spans="1:11" x14ac:dyDescent="0.25">
      <c r="A1015" s="128"/>
      <c r="B1015" s="132"/>
      <c r="C1015" s="109"/>
      <c r="D1015" s="115"/>
      <c r="E1015" s="116"/>
      <c r="F1015" s="107"/>
      <c r="G1015" s="111"/>
      <c r="H1015" s="131"/>
      <c r="I1015" s="112">
        <f t="shared" si="41"/>
        <v>0</v>
      </c>
      <c r="J1015" s="114"/>
      <c r="K1015" s="120"/>
    </row>
    <row r="1016" spans="1:11" x14ac:dyDescent="0.25">
      <c r="A1016" s="128"/>
      <c r="B1016" s="132"/>
      <c r="C1016" s="109"/>
      <c r="D1016" s="115"/>
      <c r="E1016" s="116"/>
      <c r="F1016" s="107"/>
      <c r="G1016" s="111"/>
      <c r="H1016" s="131"/>
      <c r="I1016" s="112">
        <f t="shared" si="41"/>
        <v>0</v>
      </c>
      <c r="J1016" s="114"/>
      <c r="K1016" s="120"/>
    </row>
    <row r="1017" spans="1:11" ht="15.75" x14ac:dyDescent="0.25">
      <c r="A1017" s="128"/>
      <c r="B1017" s="132"/>
      <c r="C1017" s="109"/>
      <c r="D1017" s="125"/>
      <c r="E1017" s="126"/>
      <c r="F1017" s="107"/>
      <c r="G1017" s="111"/>
      <c r="H1017" s="131"/>
      <c r="I1017" s="112">
        <f t="shared" si="41"/>
        <v>0</v>
      </c>
      <c r="J1017" s="114"/>
      <c r="K1017" s="120"/>
    </row>
    <row r="1018" spans="1:11" x14ac:dyDescent="0.25">
      <c r="A1018" s="128"/>
      <c r="B1018" s="132"/>
      <c r="C1018" s="109"/>
      <c r="D1018" s="115"/>
      <c r="E1018" s="116"/>
      <c r="F1018" s="107"/>
      <c r="G1018" s="111"/>
      <c r="H1018" s="131"/>
      <c r="I1018" s="112">
        <f t="shared" si="41"/>
        <v>0</v>
      </c>
      <c r="J1018" s="114"/>
      <c r="K1018" s="120"/>
    </row>
    <row r="1019" spans="1:11" x14ac:dyDescent="0.25">
      <c r="A1019" s="128"/>
      <c r="B1019" s="132"/>
      <c r="C1019" s="109"/>
      <c r="D1019" s="115"/>
      <c r="E1019" s="116"/>
      <c r="F1019" s="107"/>
      <c r="G1019" s="111"/>
      <c r="H1019" s="131"/>
      <c r="I1019" s="112">
        <f t="shared" si="41"/>
        <v>0</v>
      </c>
      <c r="J1019" s="114"/>
      <c r="K1019" s="120"/>
    </row>
    <row r="1020" spans="1:11" x14ac:dyDescent="0.25">
      <c r="A1020" s="128"/>
      <c r="B1020" s="132"/>
      <c r="C1020" s="109"/>
      <c r="D1020" s="117"/>
      <c r="E1020" s="118"/>
      <c r="F1020" s="107"/>
      <c r="G1020" s="111"/>
      <c r="H1020" s="131"/>
      <c r="I1020" s="112">
        <f t="shared" si="41"/>
        <v>0</v>
      </c>
      <c r="J1020" s="135"/>
      <c r="K1020" s="120"/>
    </row>
    <row r="1021" spans="1:11" x14ac:dyDescent="0.25">
      <c r="A1021" s="128"/>
      <c r="B1021" s="132"/>
      <c r="C1021" s="109"/>
      <c r="D1021" s="117"/>
      <c r="E1021" s="118"/>
      <c r="F1021" s="107"/>
      <c r="G1021" s="111"/>
      <c r="H1021" s="131"/>
      <c r="I1021" s="112">
        <f t="shared" si="41"/>
        <v>0</v>
      </c>
      <c r="J1021" s="114"/>
      <c r="K1021" s="120"/>
    </row>
    <row r="1022" spans="1:11" x14ac:dyDescent="0.25">
      <c r="A1022" s="128"/>
      <c r="B1022" s="132"/>
      <c r="C1022" s="109"/>
      <c r="D1022" s="115"/>
      <c r="E1022" s="116"/>
      <c r="F1022" s="107"/>
      <c r="G1022" s="111"/>
      <c r="H1022" s="131"/>
      <c r="I1022" s="112">
        <f t="shared" si="41"/>
        <v>0</v>
      </c>
      <c r="J1022" s="114"/>
      <c r="K1022" s="120"/>
    </row>
    <row r="1023" spans="1:11" x14ac:dyDescent="0.25">
      <c r="A1023" s="128"/>
      <c r="B1023" s="132"/>
      <c r="C1023" s="109"/>
      <c r="D1023" s="115"/>
      <c r="E1023" s="116"/>
      <c r="F1023" s="107"/>
      <c r="G1023" s="111"/>
      <c r="H1023" s="131"/>
      <c r="I1023" s="112">
        <f t="shared" si="41"/>
        <v>0</v>
      </c>
      <c r="J1023" s="114"/>
      <c r="K1023" s="120"/>
    </row>
    <row r="1024" spans="1:11" x14ac:dyDescent="0.25">
      <c r="A1024" s="128"/>
      <c r="B1024" s="132"/>
      <c r="C1024" s="109"/>
      <c r="D1024" s="115"/>
      <c r="E1024" s="116"/>
      <c r="F1024" s="107"/>
      <c r="G1024" s="111"/>
      <c r="H1024" s="131"/>
      <c r="I1024" s="112">
        <f t="shared" si="41"/>
        <v>0</v>
      </c>
      <c r="J1024" s="114"/>
      <c r="K1024" s="120"/>
    </row>
    <row r="1025" spans="1:11" x14ac:dyDescent="0.25">
      <c r="A1025" s="128"/>
      <c r="B1025" s="132"/>
      <c r="C1025" s="109"/>
      <c r="D1025" s="117"/>
      <c r="E1025" s="118"/>
      <c r="F1025" s="107"/>
      <c r="G1025" s="111"/>
      <c r="H1025" s="131"/>
      <c r="I1025" s="112">
        <f t="shared" si="41"/>
        <v>0</v>
      </c>
      <c r="J1025" s="114"/>
      <c r="K1025" s="120"/>
    </row>
    <row r="1026" spans="1:11" x14ac:dyDescent="0.25">
      <c r="A1026" s="128"/>
      <c r="B1026" s="132"/>
      <c r="C1026" s="109"/>
      <c r="D1026" s="115"/>
      <c r="E1026" s="116"/>
      <c r="F1026" s="107"/>
      <c r="G1026" s="111"/>
      <c r="H1026" s="131"/>
      <c r="I1026" s="112">
        <f t="shared" si="41"/>
        <v>0</v>
      </c>
      <c r="J1026" s="114"/>
      <c r="K1026" s="120"/>
    </row>
    <row r="1027" spans="1:11" x14ac:dyDescent="0.25">
      <c r="A1027" s="128"/>
      <c r="B1027" s="132"/>
      <c r="C1027" s="109"/>
      <c r="D1027" s="115"/>
      <c r="E1027" s="116"/>
      <c r="F1027" s="107"/>
      <c r="G1027" s="111"/>
      <c r="H1027" s="131"/>
      <c r="I1027" s="112">
        <f t="shared" si="41"/>
        <v>0</v>
      </c>
      <c r="J1027" s="114"/>
      <c r="K1027" s="120"/>
    </row>
    <row r="1028" spans="1:11" x14ac:dyDescent="0.25">
      <c r="A1028" s="128"/>
      <c r="B1028" s="132"/>
      <c r="C1028" s="109"/>
      <c r="D1028" s="115"/>
      <c r="E1028" s="116"/>
      <c r="F1028" s="107"/>
      <c r="G1028" s="111"/>
      <c r="H1028" s="131"/>
      <c r="I1028" s="112">
        <f t="shared" si="41"/>
        <v>0</v>
      </c>
      <c r="J1028" s="114"/>
      <c r="K1028" s="120"/>
    </row>
    <row r="1029" spans="1:11" x14ac:dyDescent="0.25">
      <c r="A1029" s="128"/>
      <c r="B1029" s="132"/>
      <c r="C1029" s="109"/>
      <c r="D1029" s="115"/>
      <c r="E1029" s="116"/>
      <c r="F1029" s="107"/>
      <c r="G1029" s="111"/>
      <c r="H1029" s="131"/>
      <c r="I1029" s="112">
        <f t="shared" si="41"/>
        <v>0</v>
      </c>
      <c r="J1029" s="114"/>
      <c r="K1029" s="120"/>
    </row>
    <row r="1030" spans="1:11" x14ac:dyDescent="0.25">
      <c r="A1030" s="128"/>
      <c r="B1030" s="132"/>
      <c r="C1030" s="109"/>
      <c r="D1030" s="115"/>
      <c r="E1030" s="116"/>
      <c r="F1030" s="107"/>
      <c r="G1030" s="111"/>
      <c r="H1030" s="131"/>
      <c r="I1030" s="112">
        <f t="shared" ref="I1030:I1038" si="42">G1030*H1030</f>
        <v>0</v>
      </c>
      <c r="J1030" s="114"/>
      <c r="K1030" s="120"/>
    </row>
    <row r="1031" spans="1:11" x14ac:dyDescent="0.25">
      <c r="A1031" s="128"/>
      <c r="B1031" s="132"/>
      <c r="C1031" s="109"/>
      <c r="D1031" s="115"/>
      <c r="E1031" s="116"/>
      <c r="F1031" s="107"/>
      <c r="G1031" s="111"/>
      <c r="H1031" s="131"/>
      <c r="I1031" s="112">
        <f t="shared" si="42"/>
        <v>0</v>
      </c>
      <c r="J1031" s="114"/>
      <c r="K1031" s="120"/>
    </row>
    <row r="1032" spans="1:11" x14ac:dyDescent="0.25">
      <c r="A1032" s="128"/>
      <c r="B1032" s="132"/>
      <c r="C1032" s="109"/>
      <c r="D1032" s="115"/>
      <c r="E1032" s="116"/>
      <c r="F1032" s="107"/>
      <c r="G1032" s="111"/>
      <c r="H1032" s="131"/>
      <c r="I1032" s="112">
        <f t="shared" si="42"/>
        <v>0</v>
      </c>
      <c r="J1032" s="114"/>
      <c r="K1032" s="120"/>
    </row>
    <row r="1033" spans="1:11" x14ac:dyDescent="0.25">
      <c r="A1033" s="128"/>
      <c r="B1033" s="132"/>
      <c r="C1033" s="109"/>
      <c r="D1033" s="115"/>
      <c r="E1033" s="116"/>
      <c r="F1033" s="107"/>
      <c r="G1033" s="111"/>
      <c r="H1033" s="131"/>
      <c r="I1033" s="112">
        <f t="shared" si="42"/>
        <v>0</v>
      </c>
      <c r="J1033" s="114"/>
      <c r="K1033" s="120"/>
    </row>
    <row r="1034" spans="1:11" x14ac:dyDescent="0.25">
      <c r="A1034" s="128"/>
      <c r="B1034" s="132"/>
      <c r="C1034" s="109"/>
      <c r="D1034" s="115"/>
      <c r="E1034" s="116"/>
      <c r="F1034" s="107"/>
      <c r="G1034" s="111"/>
      <c r="H1034" s="131"/>
      <c r="I1034" s="112">
        <f t="shared" si="42"/>
        <v>0</v>
      </c>
      <c r="J1034" s="114"/>
      <c r="K1034" s="120"/>
    </row>
    <row r="1035" spans="1:11" x14ac:dyDescent="0.25">
      <c r="A1035" s="128"/>
      <c r="B1035" s="132"/>
      <c r="C1035" s="109"/>
      <c r="D1035" s="115"/>
      <c r="E1035" s="116"/>
      <c r="F1035" s="107"/>
      <c r="G1035" s="111"/>
      <c r="H1035" s="131"/>
      <c r="I1035" s="112">
        <f t="shared" si="42"/>
        <v>0</v>
      </c>
      <c r="J1035" s="114"/>
      <c r="K1035" s="120"/>
    </row>
    <row r="1036" spans="1:11" x14ac:dyDescent="0.25">
      <c r="A1036" s="128"/>
      <c r="B1036" s="132"/>
      <c r="C1036" s="109"/>
      <c r="D1036" s="115"/>
      <c r="E1036" s="116"/>
      <c r="F1036" s="107"/>
      <c r="G1036" s="111"/>
      <c r="H1036" s="131"/>
      <c r="I1036" s="112">
        <f t="shared" si="42"/>
        <v>0</v>
      </c>
      <c r="J1036" s="114"/>
      <c r="K1036" s="120"/>
    </row>
    <row r="1037" spans="1:11" x14ac:dyDescent="0.25">
      <c r="A1037" s="128"/>
      <c r="B1037" s="132"/>
      <c r="C1037" s="109"/>
      <c r="D1037" s="115"/>
      <c r="E1037" s="116"/>
      <c r="F1037" s="107"/>
      <c r="G1037" s="111"/>
      <c r="H1037" s="131"/>
      <c r="I1037" s="112">
        <f t="shared" si="42"/>
        <v>0</v>
      </c>
      <c r="J1037" s="114"/>
      <c r="K1037" s="120"/>
    </row>
    <row r="1038" spans="1:11" x14ac:dyDescent="0.25">
      <c r="A1038" s="128"/>
      <c r="B1038" s="132"/>
      <c r="C1038" s="109"/>
      <c r="D1038" s="115"/>
      <c r="E1038" s="116"/>
      <c r="F1038" s="107"/>
      <c r="G1038" s="111"/>
      <c r="H1038" s="131"/>
      <c r="I1038" s="112">
        <f t="shared" si="42"/>
        <v>0</v>
      </c>
      <c r="J1038" s="114"/>
      <c r="K1038" s="120"/>
    </row>
    <row r="1039" spans="1:11" x14ac:dyDescent="0.25">
      <c r="A1039" s="128"/>
      <c r="B1039" s="132"/>
      <c r="C1039" s="128"/>
      <c r="D1039" s="128"/>
      <c r="E1039" s="128"/>
      <c r="F1039" s="107"/>
      <c r="G1039" s="111"/>
      <c r="H1039" s="131"/>
      <c r="I1039" s="134"/>
      <c r="J1039" s="114"/>
      <c r="K1039" s="120"/>
    </row>
    <row r="1040" spans="1:11" x14ac:dyDescent="0.25">
      <c r="B1040" s="104"/>
      <c r="C1040" s="105"/>
      <c r="D1040" s="105"/>
      <c r="E1040" s="105"/>
      <c r="F1040" s="342"/>
      <c r="G1040" s="93"/>
      <c r="H1040" s="73"/>
      <c r="I1040" s="106"/>
      <c r="J1040" s="103"/>
      <c r="K1040" s="102"/>
    </row>
    <row r="1041" spans="2:9" x14ac:dyDescent="0.25">
      <c r="B1041" s="100"/>
      <c r="C1041" s="101"/>
      <c r="D1041" s="101"/>
      <c r="E1041" s="101"/>
      <c r="F1041" s="343"/>
      <c r="G1041" s="97"/>
      <c r="H1041" s="98"/>
      <c r="I1041" s="99"/>
    </row>
    <row r="1042" spans="2:9" x14ac:dyDescent="0.25">
      <c r="B1042" s="100"/>
      <c r="C1042" s="101"/>
      <c r="D1042" s="101"/>
      <c r="E1042" s="101"/>
      <c r="F1042" s="343"/>
      <c r="G1042" s="97"/>
      <c r="H1042" s="98"/>
      <c r="I1042" s="99"/>
    </row>
    <row r="1043" spans="2:9" x14ac:dyDescent="0.25">
      <c r="B1043" s="100"/>
      <c r="C1043" s="101"/>
      <c r="D1043" s="101"/>
      <c r="E1043" s="101"/>
      <c r="F1043" s="343"/>
      <c r="G1043" s="97"/>
      <c r="H1043" s="98"/>
      <c r="I1043" s="99"/>
    </row>
    <row r="1044" spans="2:9" x14ac:dyDescent="0.25">
      <c r="B1044" s="100"/>
      <c r="C1044" s="101"/>
      <c r="D1044" s="101"/>
      <c r="E1044" s="101"/>
      <c r="F1044" s="343"/>
      <c r="G1044" s="97"/>
      <c r="H1044" s="98"/>
      <c r="I1044" s="99"/>
    </row>
    <row r="1045" spans="2:9" x14ac:dyDescent="0.25">
      <c r="B1045" s="100"/>
      <c r="C1045" s="101"/>
      <c r="D1045" s="101"/>
      <c r="E1045" s="101"/>
      <c r="F1045" s="343"/>
      <c r="G1045" s="97"/>
      <c r="H1045" s="98"/>
      <c r="I1045" s="99"/>
    </row>
    <row r="1046" spans="2:9" x14ac:dyDescent="0.25">
      <c r="B1046" s="100"/>
      <c r="C1046" s="101"/>
      <c r="D1046" s="101"/>
      <c r="E1046" s="101"/>
      <c r="F1046" s="343"/>
      <c r="G1046" s="97"/>
      <c r="H1046" s="98"/>
      <c r="I1046" s="99"/>
    </row>
    <row r="1047" spans="2:9" x14ac:dyDescent="0.25">
      <c r="B1047" s="100"/>
      <c r="C1047" s="101"/>
      <c r="D1047" s="101"/>
      <c r="E1047" s="101"/>
      <c r="F1047" s="343"/>
      <c r="G1047" s="97"/>
      <c r="H1047" s="98"/>
      <c r="I1047" s="99"/>
    </row>
    <row r="1048" spans="2:9" x14ac:dyDescent="0.25">
      <c r="B1048" s="100"/>
      <c r="C1048" s="101"/>
      <c r="D1048" s="101"/>
      <c r="E1048" s="101"/>
      <c r="F1048" s="343"/>
      <c r="G1048" s="97"/>
      <c r="H1048" s="98"/>
      <c r="I1048" s="99"/>
    </row>
    <row r="1049" spans="2:9" x14ac:dyDescent="0.25">
      <c r="B1049" s="100"/>
      <c r="C1049" s="101"/>
      <c r="D1049" s="101"/>
      <c r="E1049" s="101"/>
      <c r="F1049" s="343"/>
      <c r="G1049" s="97"/>
      <c r="H1049" s="98"/>
      <c r="I1049" s="99"/>
    </row>
    <row r="1050" spans="2:9" x14ac:dyDescent="0.25">
      <c r="B1050" s="100"/>
      <c r="C1050" s="101"/>
      <c r="D1050" s="101"/>
      <c r="E1050" s="101"/>
      <c r="F1050" s="343"/>
      <c r="G1050" s="97"/>
      <c r="H1050" s="98"/>
      <c r="I1050" s="99"/>
    </row>
    <row r="1051" spans="2:9" x14ac:dyDescent="0.25">
      <c r="B1051" s="100"/>
      <c r="C1051" s="101"/>
      <c r="D1051" s="101"/>
      <c r="E1051" s="101"/>
      <c r="F1051" s="343"/>
      <c r="G1051" s="97"/>
      <c r="H1051" s="98"/>
      <c r="I1051" s="99"/>
    </row>
    <row r="1052" spans="2:9" x14ac:dyDescent="0.25">
      <c r="B1052" s="100"/>
      <c r="C1052" s="101"/>
      <c r="D1052" s="101"/>
      <c r="E1052" s="101"/>
      <c r="F1052" s="343"/>
      <c r="G1052" s="97"/>
      <c r="H1052" s="98"/>
      <c r="I1052" s="99"/>
    </row>
    <row r="1053" spans="2:9" x14ac:dyDescent="0.25">
      <c r="B1053" s="100"/>
      <c r="C1053" s="101"/>
      <c r="D1053" s="101"/>
      <c r="E1053" s="101"/>
      <c r="F1053" s="343"/>
      <c r="G1053" s="97"/>
      <c r="H1053" s="98"/>
      <c r="I1053" s="99"/>
    </row>
    <row r="1054" spans="2:9" x14ac:dyDescent="0.25">
      <c r="B1054" s="100"/>
      <c r="C1054" s="101"/>
      <c r="D1054" s="101"/>
      <c r="E1054" s="101"/>
      <c r="F1054" s="343"/>
      <c r="G1054" s="97"/>
      <c r="H1054" s="98"/>
      <c r="I1054" s="99"/>
    </row>
    <row r="1055" spans="2:9" x14ac:dyDescent="0.25">
      <c r="B1055" s="100"/>
      <c r="C1055" s="101"/>
      <c r="D1055" s="101"/>
      <c r="E1055" s="101"/>
      <c r="F1055" s="343"/>
      <c r="G1055" s="97"/>
      <c r="H1055" s="98"/>
      <c r="I1055" s="99"/>
    </row>
    <row r="1056" spans="2:9" x14ac:dyDescent="0.25">
      <c r="B1056" s="100"/>
      <c r="C1056" s="101"/>
      <c r="D1056" s="101"/>
      <c r="E1056" s="101"/>
      <c r="F1056" s="343"/>
      <c r="G1056" s="97"/>
      <c r="H1056" s="98"/>
      <c r="I1056" s="99"/>
    </row>
    <row r="1057" spans="2:9" x14ac:dyDescent="0.25">
      <c r="B1057" s="100"/>
      <c r="C1057" s="101"/>
      <c r="D1057" s="101"/>
      <c r="E1057" s="101"/>
      <c r="F1057" s="343"/>
      <c r="G1057" s="97"/>
      <c r="H1057" s="98"/>
      <c r="I1057" s="99"/>
    </row>
    <row r="1058" spans="2:9" x14ac:dyDescent="0.25">
      <c r="B1058" s="100"/>
      <c r="C1058" s="101"/>
      <c r="D1058" s="101"/>
      <c r="E1058" s="101"/>
      <c r="F1058" s="343"/>
      <c r="G1058" s="97"/>
      <c r="H1058" s="98"/>
      <c r="I1058" s="99"/>
    </row>
    <row r="1059" spans="2:9" x14ac:dyDescent="0.25">
      <c r="B1059" s="100"/>
      <c r="C1059" s="101"/>
      <c r="D1059" s="101"/>
      <c r="E1059" s="101"/>
      <c r="F1059" s="343"/>
      <c r="G1059" s="97"/>
      <c r="H1059" s="98"/>
      <c r="I1059" s="99"/>
    </row>
    <row r="1060" spans="2:9" x14ac:dyDescent="0.25">
      <c r="B1060" s="100"/>
      <c r="C1060" s="101"/>
      <c r="D1060" s="101"/>
      <c r="E1060" s="101"/>
      <c r="F1060" s="343"/>
      <c r="G1060" s="97"/>
      <c r="H1060" s="98"/>
      <c r="I1060" s="99"/>
    </row>
    <row r="1061" spans="2:9" x14ac:dyDescent="0.25">
      <c r="B1061" s="100"/>
      <c r="C1061" s="101"/>
      <c r="D1061" s="101"/>
      <c r="E1061" s="101"/>
      <c r="F1061" s="343"/>
      <c r="G1061" s="97"/>
      <c r="H1061" s="98"/>
      <c r="I1061" s="99"/>
    </row>
    <row r="1062" spans="2:9" x14ac:dyDescent="0.25">
      <c r="B1062" s="100"/>
      <c r="C1062" s="101"/>
      <c r="D1062" s="101"/>
      <c r="E1062" s="101"/>
      <c r="F1062" s="343"/>
      <c r="G1062" s="97"/>
      <c r="H1062" s="98"/>
      <c r="I1062" s="99"/>
    </row>
    <row r="1063" spans="2:9" x14ac:dyDescent="0.25">
      <c r="B1063" s="100"/>
      <c r="C1063" s="101"/>
      <c r="D1063" s="101"/>
      <c r="E1063" s="101"/>
      <c r="F1063" s="343"/>
      <c r="G1063" s="97"/>
      <c r="H1063" s="98"/>
      <c r="I1063" s="99"/>
    </row>
    <row r="1064" spans="2:9" x14ac:dyDescent="0.25">
      <c r="B1064" s="100"/>
      <c r="C1064" s="101"/>
      <c r="D1064" s="101"/>
      <c r="E1064" s="101"/>
      <c r="F1064" s="343"/>
      <c r="G1064" s="97"/>
      <c r="H1064" s="98"/>
      <c r="I1064" s="99"/>
    </row>
    <row r="1065" spans="2:9" x14ac:dyDescent="0.25">
      <c r="B1065" s="100"/>
      <c r="C1065" s="101"/>
      <c r="D1065" s="101"/>
      <c r="E1065" s="101"/>
      <c r="F1065" s="343"/>
      <c r="G1065" s="97"/>
      <c r="H1065" s="98"/>
      <c r="I1065" s="99"/>
    </row>
    <row r="1066" spans="2:9" x14ac:dyDescent="0.25">
      <c r="B1066" s="100"/>
      <c r="C1066" s="101"/>
      <c r="D1066" s="101"/>
      <c r="E1066" s="101"/>
      <c r="F1066" s="343"/>
      <c r="G1066" s="97"/>
      <c r="H1066" s="98"/>
      <c r="I1066" s="99"/>
    </row>
    <row r="1067" spans="2:9" x14ac:dyDescent="0.25">
      <c r="B1067" s="100"/>
      <c r="C1067" s="101"/>
      <c r="D1067" s="101"/>
      <c r="E1067" s="101"/>
      <c r="F1067" s="343"/>
      <c r="G1067" s="97"/>
      <c r="H1067" s="98"/>
      <c r="I1067" s="99"/>
    </row>
    <row r="1068" spans="2:9" x14ac:dyDescent="0.25">
      <c r="B1068" s="100"/>
      <c r="C1068" s="101"/>
      <c r="D1068" s="101"/>
      <c r="E1068" s="101"/>
      <c r="F1068" s="343"/>
      <c r="G1068" s="97"/>
      <c r="H1068" s="98"/>
      <c r="I1068" s="99"/>
    </row>
    <row r="1069" spans="2:9" x14ac:dyDescent="0.25">
      <c r="B1069" s="100"/>
      <c r="C1069" s="101"/>
      <c r="D1069" s="101"/>
      <c r="E1069" s="101"/>
      <c r="F1069" s="343"/>
      <c r="G1069" s="97"/>
      <c r="H1069" s="98"/>
      <c r="I1069" s="99"/>
    </row>
    <row r="1070" spans="2:9" x14ac:dyDescent="0.25">
      <c r="B1070" s="100"/>
      <c r="C1070" s="101"/>
      <c r="D1070" s="101"/>
      <c r="E1070" s="101"/>
      <c r="F1070" s="343"/>
      <c r="G1070" s="97"/>
      <c r="H1070" s="98"/>
      <c r="I1070" s="99"/>
    </row>
    <row r="1071" spans="2:9" x14ac:dyDescent="0.25">
      <c r="B1071" s="100"/>
      <c r="C1071" s="101"/>
      <c r="D1071" s="101"/>
      <c r="E1071" s="101"/>
      <c r="F1071" s="343"/>
      <c r="G1071" s="97"/>
      <c r="H1071" s="98"/>
      <c r="I1071" s="99"/>
    </row>
    <row r="1072" spans="2:9" x14ac:dyDescent="0.25">
      <c r="B1072" s="100"/>
      <c r="C1072" s="101"/>
      <c r="D1072" s="101"/>
      <c r="E1072" s="101"/>
      <c r="F1072" s="343"/>
      <c r="G1072" s="97"/>
      <c r="H1072" s="98"/>
      <c r="I1072" s="99"/>
    </row>
    <row r="1073" spans="2:9" x14ac:dyDescent="0.25">
      <c r="B1073" s="100"/>
      <c r="C1073" s="101"/>
      <c r="D1073" s="101"/>
      <c r="E1073" s="101"/>
      <c r="F1073" s="343"/>
      <c r="G1073" s="97"/>
      <c r="H1073" s="98"/>
      <c r="I1073" s="99"/>
    </row>
    <row r="1074" spans="2:9" x14ac:dyDescent="0.25">
      <c r="B1074" s="100"/>
      <c r="C1074" s="101"/>
      <c r="D1074" s="101"/>
      <c r="E1074" s="101"/>
      <c r="F1074" s="343"/>
      <c r="G1074" s="97"/>
      <c r="H1074" s="98"/>
      <c r="I1074" s="99"/>
    </row>
    <row r="1075" spans="2:9" x14ac:dyDescent="0.25">
      <c r="B1075" s="100"/>
      <c r="C1075" s="101"/>
      <c r="D1075" s="101"/>
      <c r="E1075" s="101"/>
      <c r="F1075" s="343"/>
      <c r="G1075" s="97"/>
      <c r="H1075" s="98"/>
      <c r="I1075" s="99"/>
    </row>
    <row r="1076" spans="2:9" x14ac:dyDescent="0.25">
      <c r="B1076" s="100"/>
      <c r="C1076" s="101"/>
      <c r="D1076" s="101"/>
      <c r="E1076" s="101"/>
      <c r="F1076" s="343"/>
      <c r="G1076" s="97"/>
      <c r="H1076" s="98"/>
      <c r="I1076" s="99"/>
    </row>
    <row r="1077" spans="2:9" x14ac:dyDescent="0.25">
      <c r="B1077" s="100"/>
      <c r="C1077" s="101"/>
      <c r="D1077" s="101"/>
      <c r="E1077" s="101"/>
      <c r="F1077" s="343"/>
      <c r="G1077" s="97"/>
      <c r="H1077" s="98"/>
      <c r="I1077" s="99"/>
    </row>
    <row r="1078" spans="2:9" x14ac:dyDescent="0.25">
      <c r="B1078" s="100"/>
      <c r="C1078" s="101"/>
      <c r="D1078" s="101"/>
      <c r="E1078" s="101"/>
      <c r="F1078" s="343"/>
      <c r="G1078" s="97"/>
      <c r="H1078" s="98"/>
      <c r="I1078" s="99"/>
    </row>
    <row r="1079" spans="2:9" x14ac:dyDescent="0.25">
      <c r="B1079" s="100"/>
      <c r="C1079" s="101"/>
      <c r="D1079" s="101"/>
      <c r="E1079" s="101"/>
      <c r="F1079" s="343"/>
      <c r="G1079" s="97"/>
      <c r="H1079" s="98"/>
      <c r="I1079" s="99"/>
    </row>
    <row r="1080" spans="2:9" x14ac:dyDescent="0.25">
      <c r="B1080" s="100"/>
      <c r="C1080" s="101"/>
      <c r="D1080" s="101"/>
      <c r="E1080" s="101"/>
      <c r="F1080" s="343"/>
      <c r="G1080" s="97"/>
      <c r="H1080" s="98"/>
      <c r="I1080" s="99"/>
    </row>
    <row r="1081" spans="2:9" x14ac:dyDescent="0.25">
      <c r="B1081" s="100"/>
      <c r="C1081" s="101"/>
      <c r="D1081" s="101"/>
      <c r="E1081" s="101"/>
      <c r="F1081" s="343"/>
      <c r="G1081" s="97"/>
      <c r="H1081" s="98"/>
      <c r="I1081" s="99"/>
    </row>
    <row r="1082" spans="2:9" x14ac:dyDescent="0.25">
      <c r="B1082" s="100"/>
      <c r="C1082" s="101"/>
      <c r="D1082" s="101"/>
      <c r="E1082" s="101"/>
      <c r="F1082" s="343"/>
      <c r="G1082" s="97"/>
      <c r="H1082" s="98"/>
      <c r="I1082" s="99"/>
    </row>
    <row r="1083" spans="2:9" x14ac:dyDescent="0.25">
      <c r="B1083" s="100"/>
      <c r="C1083" s="101"/>
      <c r="D1083" s="101"/>
      <c r="E1083" s="101"/>
      <c r="F1083" s="343"/>
      <c r="G1083" s="97"/>
      <c r="H1083" s="98"/>
      <c r="I1083" s="99"/>
    </row>
    <row r="1084" spans="2:9" x14ac:dyDescent="0.25">
      <c r="B1084" s="100"/>
      <c r="C1084" s="101"/>
      <c r="D1084" s="101"/>
      <c r="E1084" s="101"/>
      <c r="F1084" s="343"/>
      <c r="G1084" s="97"/>
      <c r="H1084" s="98"/>
      <c r="I1084" s="99"/>
    </row>
    <row r="1085" spans="2:9" x14ac:dyDescent="0.25">
      <c r="B1085" s="100"/>
      <c r="C1085" s="101"/>
      <c r="D1085" s="101"/>
      <c r="E1085" s="101"/>
      <c r="F1085" s="343"/>
      <c r="G1085" s="97"/>
      <c r="H1085" s="98"/>
      <c r="I1085" s="99"/>
    </row>
    <row r="1086" spans="2:9" x14ac:dyDescent="0.25">
      <c r="B1086" s="100"/>
      <c r="C1086" s="101"/>
      <c r="D1086" s="101"/>
      <c r="E1086" s="101"/>
      <c r="F1086" s="343"/>
      <c r="G1086" s="97"/>
      <c r="H1086" s="98"/>
      <c r="I1086" s="99"/>
    </row>
    <row r="1087" spans="2:9" x14ac:dyDescent="0.25">
      <c r="B1087" s="100"/>
      <c r="C1087" s="101"/>
      <c r="D1087" s="101"/>
      <c r="E1087" s="101"/>
      <c r="F1087" s="343"/>
      <c r="G1087" s="97"/>
      <c r="H1087" s="98"/>
      <c r="I1087" s="99"/>
    </row>
    <row r="1088" spans="2:9" x14ac:dyDescent="0.25">
      <c r="B1088" s="100"/>
      <c r="C1088" s="101"/>
      <c r="D1088" s="101"/>
      <c r="E1088" s="101"/>
      <c r="F1088" s="343"/>
      <c r="G1088" s="97"/>
      <c r="H1088" s="98"/>
      <c r="I1088" s="99"/>
    </row>
    <row r="1089" spans="2:9" x14ac:dyDescent="0.25">
      <c r="B1089" s="100"/>
      <c r="C1089" s="101"/>
      <c r="D1089" s="101"/>
      <c r="E1089" s="101"/>
      <c r="F1089" s="343"/>
      <c r="G1089" s="97"/>
      <c r="H1089" s="98"/>
      <c r="I1089" s="99"/>
    </row>
  </sheetData>
  <autoFilter ref="A7:K1038"/>
  <mergeCells count="181">
    <mergeCell ref="J684:J685"/>
    <mergeCell ref="K684:K685"/>
    <mergeCell ref="K658:K661"/>
    <mergeCell ref="J718:J722"/>
    <mergeCell ref="K718:K722"/>
    <mergeCell ref="J712:J717"/>
    <mergeCell ref="K712:K717"/>
    <mergeCell ref="J686:J687"/>
    <mergeCell ref="K686:K687"/>
    <mergeCell ref="J662:J663"/>
    <mergeCell ref="K662:K663"/>
    <mergeCell ref="J697:J698"/>
    <mergeCell ref="K697:K698"/>
    <mergeCell ref="J688:J691"/>
    <mergeCell ref="K688:K691"/>
    <mergeCell ref="J242:J254"/>
    <mergeCell ref="J265:J266"/>
    <mergeCell ref="K265:K266"/>
    <mergeCell ref="J309:J310"/>
    <mergeCell ref="K309:K310"/>
    <mergeCell ref="J342:J345"/>
    <mergeCell ref="K342:K345"/>
    <mergeCell ref="J322:J330"/>
    <mergeCell ref="K322:K330"/>
    <mergeCell ref="J331:J332"/>
    <mergeCell ref="J482:J484"/>
    <mergeCell ref="J456:J457"/>
    <mergeCell ref="K456:K457"/>
    <mergeCell ref="J442:J445"/>
    <mergeCell ref="J525:J526"/>
    <mergeCell ref="K525:K526"/>
    <mergeCell ref="J177:J178"/>
    <mergeCell ref="K442:K445"/>
    <mergeCell ref="J446:J450"/>
    <mergeCell ref="K446:K450"/>
    <mergeCell ref="K451:K452"/>
    <mergeCell ref="J405:J406"/>
    <mergeCell ref="K405:K406"/>
    <mergeCell ref="J429:J431"/>
    <mergeCell ref="K429:K431"/>
    <mergeCell ref="J433:J435"/>
    <mergeCell ref="K433:K435"/>
    <mergeCell ref="J440:J441"/>
    <mergeCell ref="K215:K216"/>
    <mergeCell ref="J287:J289"/>
    <mergeCell ref="K287:K289"/>
    <mergeCell ref="J290:J292"/>
    <mergeCell ref="K290:K292"/>
    <mergeCell ref="K440:K441"/>
    <mergeCell ref="J480:J481"/>
    <mergeCell ref="J29:J30"/>
    <mergeCell ref="K29:K30"/>
    <mergeCell ref="J32:J33"/>
    <mergeCell ref="K32:K33"/>
    <mergeCell ref="K60:K62"/>
    <mergeCell ref="J54:J59"/>
    <mergeCell ref="J60:J62"/>
    <mergeCell ref="K130:K146"/>
    <mergeCell ref="J148:J149"/>
    <mergeCell ref="K148:K149"/>
    <mergeCell ref="J127:J129"/>
    <mergeCell ref="J130:J146"/>
    <mergeCell ref="K181:K182"/>
    <mergeCell ref="J235:J236"/>
    <mergeCell ref="K235:K236"/>
    <mergeCell ref="J207:J214"/>
    <mergeCell ref="J215:J216"/>
    <mergeCell ref="K480:K481"/>
    <mergeCell ref="K238:K241"/>
    <mergeCell ref="J346:J347"/>
    <mergeCell ref="K346:K347"/>
    <mergeCell ref="J319:J321"/>
    <mergeCell ref="K319:K321"/>
    <mergeCell ref="J15:J26"/>
    <mergeCell ref="K15:K26"/>
    <mergeCell ref="J27:J28"/>
    <mergeCell ref="K27:K28"/>
    <mergeCell ref="B2:D2"/>
    <mergeCell ref="J9:J10"/>
    <mergeCell ref="K9:K10"/>
    <mergeCell ref="J11:J12"/>
    <mergeCell ref="K11:K12"/>
    <mergeCell ref="B6:L6"/>
    <mergeCell ref="L63:L64"/>
    <mergeCell ref="K125:K126"/>
    <mergeCell ref="J114:J115"/>
    <mergeCell ref="K114:K115"/>
    <mergeCell ref="J116:J117"/>
    <mergeCell ref="K116:K117"/>
    <mergeCell ref="J119:J120"/>
    <mergeCell ref="K119:K120"/>
    <mergeCell ref="J83:J88"/>
    <mergeCell ref="J63:J64"/>
    <mergeCell ref="K63:K64"/>
    <mergeCell ref="J125:J126"/>
    <mergeCell ref="J150:J151"/>
    <mergeCell ref="K150:K151"/>
    <mergeCell ref="J168:J173"/>
    <mergeCell ref="J152:J153"/>
    <mergeCell ref="J174:J175"/>
    <mergeCell ref="K174:K175"/>
    <mergeCell ref="J238:J241"/>
    <mergeCell ref="K177:K178"/>
    <mergeCell ref="J400:J404"/>
    <mergeCell ref="K400:K404"/>
    <mergeCell ref="J363:J365"/>
    <mergeCell ref="K363:K365"/>
    <mergeCell ref="J370:J382"/>
    <mergeCell ref="K370:K382"/>
    <mergeCell ref="J383:J399"/>
    <mergeCell ref="K383:K399"/>
    <mergeCell ref="K183:K187"/>
    <mergeCell ref="J183:J187"/>
    <mergeCell ref="J181:J182"/>
    <mergeCell ref="K331:K332"/>
    <mergeCell ref="J333:J335"/>
    <mergeCell ref="K333:K335"/>
    <mergeCell ref="J336:J339"/>
    <mergeCell ref="K336:K339"/>
    <mergeCell ref="J486:J487"/>
    <mergeCell ref="K486:K487"/>
    <mergeCell ref="J488:J490"/>
    <mergeCell ref="K488:K490"/>
    <mergeCell ref="J491:J492"/>
    <mergeCell ref="K491:K492"/>
    <mergeCell ref="J507:J508"/>
    <mergeCell ref="J537:J541"/>
    <mergeCell ref="K537:K541"/>
    <mergeCell ref="K561:K562"/>
    <mergeCell ref="J655:J656"/>
    <mergeCell ref="J658:J661"/>
    <mergeCell ref="K507:K508"/>
    <mergeCell ref="J509:J523"/>
    <mergeCell ref="K509:K523"/>
    <mergeCell ref="J542:J545"/>
    <mergeCell ref="K542:K545"/>
    <mergeCell ref="J553:J555"/>
    <mergeCell ref="J546:J547"/>
    <mergeCell ref="K546:K547"/>
    <mergeCell ref="J548:J551"/>
    <mergeCell ref="J723:J724"/>
    <mergeCell ref="K723:K724"/>
    <mergeCell ref="J788:J792"/>
    <mergeCell ref="K482:K484"/>
    <mergeCell ref="J453:J454"/>
    <mergeCell ref="K453:K454"/>
    <mergeCell ref="K617:K620"/>
    <mergeCell ref="J621:J623"/>
    <mergeCell ref="K621:K623"/>
    <mergeCell ref="J679:J683"/>
    <mergeCell ref="K679:K683"/>
    <mergeCell ref="K553:K555"/>
    <mergeCell ref="J556:J557"/>
    <mergeCell ref="K556:K557"/>
    <mergeCell ref="J595:J596"/>
    <mergeCell ref="J598:J599"/>
    <mergeCell ref="K598:K599"/>
    <mergeCell ref="K595:K596"/>
    <mergeCell ref="J601:J602"/>
    <mergeCell ref="K601:K602"/>
    <mergeCell ref="J613:J615"/>
    <mergeCell ref="K613:K615"/>
    <mergeCell ref="J617:J620"/>
    <mergeCell ref="J561:J562"/>
    <mergeCell ref="J744:J746"/>
    <mergeCell ref="K744:K746"/>
    <mergeCell ref="J747:J748"/>
    <mergeCell ref="K747:K748"/>
    <mergeCell ref="J750:J751"/>
    <mergeCell ref="K750:K751"/>
    <mergeCell ref="J797:J798"/>
    <mergeCell ref="K797:K798"/>
    <mergeCell ref="J799:J800"/>
    <mergeCell ref="K799:K800"/>
    <mergeCell ref="J794:J795"/>
    <mergeCell ref="K794:K795"/>
    <mergeCell ref="K788:K792"/>
    <mergeCell ref="J771:J776"/>
    <mergeCell ref="K771:K776"/>
    <mergeCell ref="J752:J754"/>
    <mergeCell ref="K752:K754"/>
  </mergeCells>
  <pageMargins left="0.7" right="0.7" top="0.75" bottom="0.75" header="0.3" footer="0.3"/>
  <pageSetup paperSize="9" scale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5:D17"/>
  <sheetViews>
    <sheetView workbookViewId="0">
      <selection activeCell="G13" sqref="G13"/>
    </sheetView>
  </sheetViews>
  <sheetFormatPr defaultRowHeight="15" x14ac:dyDescent="0.25"/>
  <cols>
    <col min="3" max="3" width="31.7109375" customWidth="1"/>
    <col min="4" max="4" width="14.28515625" customWidth="1"/>
  </cols>
  <sheetData>
    <row r="5" spans="3:4" x14ac:dyDescent="0.25">
      <c r="C5" s="39" t="s">
        <v>85</v>
      </c>
      <c r="D5" s="38" t="s">
        <v>787</v>
      </c>
    </row>
    <row r="6" spans="3:4" x14ac:dyDescent="0.25">
      <c r="C6" s="36" t="s">
        <v>777</v>
      </c>
      <c r="D6" s="20">
        <v>249</v>
      </c>
    </row>
    <row r="7" spans="3:4" x14ac:dyDescent="0.25">
      <c r="C7" s="36" t="s">
        <v>781</v>
      </c>
      <c r="D7" s="20">
        <v>10</v>
      </c>
    </row>
    <row r="8" spans="3:4" x14ac:dyDescent="0.25">
      <c r="C8" s="36" t="s">
        <v>783</v>
      </c>
      <c r="D8" s="20">
        <v>54</v>
      </c>
    </row>
    <row r="9" spans="3:4" x14ac:dyDescent="0.25">
      <c r="C9" s="36" t="s">
        <v>779</v>
      </c>
      <c r="D9" s="20">
        <v>192</v>
      </c>
    </row>
    <row r="10" spans="3:4" x14ac:dyDescent="0.25">
      <c r="C10" s="36" t="s">
        <v>776</v>
      </c>
      <c r="D10" s="20">
        <v>156</v>
      </c>
    </row>
    <row r="11" spans="3:4" x14ac:dyDescent="0.25">
      <c r="C11" s="36" t="s">
        <v>775</v>
      </c>
      <c r="D11" s="20">
        <f>132+24</f>
        <v>156</v>
      </c>
    </row>
    <row r="12" spans="3:4" x14ac:dyDescent="0.25">
      <c r="C12" s="36" t="s">
        <v>780</v>
      </c>
      <c r="D12" s="20">
        <v>276</v>
      </c>
    </row>
    <row r="13" spans="3:4" x14ac:dyDescent="0.25">
      <c r="C13" s="36" t="s">
        <v>784</v>
      </c>
      <c r="D13" s="20">
        <v>24</v>
      </c>
    </row>
    <row r="14" spans="3:4" x14ac:dyDescent="0.25">
      <c r="C14" s="36" t="s">
        <v>782</v>
      </c>
      <c r="D14" s="20">
        <v>60</v>
      </c>
    </row>
    <row r="15" spans="3:4" x14ac:dyDescent="0.25">
      <c r="C15" s="36" t="s">
        <v>778</v>
      </c>
      <c r="D15" s="20">
        <v>24</v>
      </c>
    </row>
    <row r="16" spans="3:4" x14ac:dyDescent="0.25">
      <c r="C16" s="36" t="s">
        <v>785</v>
      </c>
      <c r="D16" s="20">
        <v>12</v>
      </c>
    </row>
    <row r="17" spans="3:4" x14ac:dyDescent="0.25">
      <c r="C17" s="37" t="s">
        <v>786</v>
      </c>
      <c r="D17" s="37">
        <f>SUM(D6:D16)</f>
        <v>1213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DMHH</vt:lpstr>
      <vt:lpstr>Nhap CP</vt:lpstr>
      <vt:lpstr>Xuat CP</vt:lpstr>
      <vt:lpstr>KĐ 1L- KS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Hi</cp:lastModifiedBy>
  <cp:lastPrinted>2024-05-08T04:29:38Z</cp:lastPrinted>
  <dcterms:created xsi:type="dcterms:W3CDTF">2022-07-12T01:47:19Z</dcterms:created>
  <dcterms:modified xsi:type="dcterms:W3CDTF">2024-08-27T10:08:52Z</dcterms:modified>
</cp:coreProperties>
</file>