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061658_cognizant_com/Documents/Desktop/"/>
    </mc:Choice>
  </mc:AlternateContent>
  <xr:revisionPtr revIDLastSave="358" documentId="8_{01EA9C8D-018A-4C2D-8470-287C8276F0F9}" xr6:coauthVersionLast="47" xr6:coauthVersionMax="47" xr10:uidLastSave="{3473BA75-D059-45C6-9C3C-B46403927057}"/>
  <bookViews>
    <workbookView xWindow="-110" yWindow="-110" windowWidth="19420" windowHeight="10300" activeTab="2" xr2:uid="{F5DF300D-D499-4522-9D71-14117A854E3B}"/>
  </bookViews>
  <sheets>
    <sheet name="Sheet1" sheetId="1" r:id="rId1"/>
    <sheet name="Sheet2" sheetId="2" r:id="rId2"/>
    <sheet name="Deliver details" sheetId="3" r:id="rId3"/>
  </sheets>
  <definedNames>
    <definedName name="_xlnm._FilterDatabase" localSheetId="0" hidden="1">Sheet1!$G$17:$J$18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O10" i="3"/>
  <c r="O8" i="3"/>
  <c r="O9" i="3" s="1"/>
  <c r="N4" i="3"/>
  <c r="N3" i="3"/>
  <c r="O3" i="3"/>
  <c r="O4" i="3"/>
  <c r="R6" i="3"/>
  <c r="R5" i="3"/>
  <c r="R4" i="3"/>
  <c r="J4" i="3"/>
  <c r="R3" i="3"/>
  <c r="I3" i="3"/>
  <c r="J3" i="3" s="1"/>
  <c r="L24" i="1"/>
  <c r="L25" i="1"/>
  <c r="L26" i="1"/>
  <c r="L27" i="1"/>
  <c r="I25" i="1"/>
  <c r="I26" i="1"/>
  <c r="I27" i="1"/>
  <c r="I24" i="1"/>
  <c r="H25" i="1"/>
  <c r="H26" i="1"/>
  <c r="H27" i="1"/>
  <c r="H24" i="1"/>
  <c r="Q7" i="1"/>
  <c r="R7" i="1" s="1"/>
  <c r="J27" i="1" s="1"/>
  <c r="P7" i="1"/>
  <c r="J7" i="1"/>
  <c r="G27" i="1" s="1"/>
  <c r="B25" i="1"/>
  <c r="B26" i="1"/>
  <c r="B27" i="1"/>
  <c r="B24" i="1"/>
  <c r="G15" i="2"/>
  <c r="G25" i="2" s="1"/>
  <c r="G16" i="1"/>
  <c r="Q6" i="1"/>
  <c r="R6" i="1" s="1"/>
  <c r="J26" i="1" s="1"/>
  <c r="O6" i="1"/>
  <c r="O5" i="1"/>
  <c r="P5" i="1"/>
  <c r="P6" i="1"/>
  <c r="P4" i="1"/>
  <c r="O4" i="1"/>
  <c r="Q5" i="1"/>
  <c r="R5" i="1" s="1"/>
  <c r="J25" i="1" s="1"/>
  <c r="J6" i="1"/>
  <c r="I16" i="1" s="1"/>
  <c r="J5" i="1"/>
  <c r="I15" i="1" s="1"/>
  <c r="G14" i="1"/>
  <c r="G15" i="1"/>
  <c r="I4" i="1"/>
  <c r="J4" i="1" s="1"/>
  <c r="I14" i="1" s="1"/>
  <c r="R8" i="3" l="1"/>
  <c r="R9" i="3" s="1"/>
  <c r="R10" i="3" s="1"/>
  <c r="J8" i="3"/>
  <c r="J10" i="3" s="1"/>
  <c r="E24" i="1"/>
  <c r="F24" i="1" s="1"/>
  <c r="E27" i="1"/>
  <c r="F27" i="1" s="1"/>
  <c r="E26" i="1"/>
  <c r="F26" i="1" s="1"/>
  <c r="E25" i="1"/>
  <c r="F25" i="1" s="1"/>
  <c r="K26" i="1"/>
  <c r="K27" i="1"/>
  <c r="G24" i="1"/>
  <c r="K25" i="1"/>
  <c r="G26" i="1"/>
  <c r="G25" i="1"/>
  <c r="H15" i="1"/>
  <c r="H16" i="1"/>
  <c r="G26" i="2"/>
  <c r="G27" i="2" s="1"/>
  <c r="I17" i="1"/>
  <c r="J16" i="1"/>
  <c r="Q4" i="1"/>
  <c r="R4" i="1" s="1"/>
  <c r="J9" i="1"/>
  <c r="J15" i="1"/>
  <c r="H14" i="1" l="1"/>
  <c r="H17" i="1" s="1"/>
  <c r="J17" i="1" s="1"/>
  <c r="J24" i="1"/>
  <c r="J10" i="1"/>
  <c r="J11" i="1" s="1"/>
  <c r="M18" i="1"/>
  <c r="R9" i="1"/>
  <c r="M14" i="1" s="1"/>
  <c r="R10" i="1"/>
  <c r="J14" i="1" l="1"/>
  <c r="I18" i="1"/>
  <c r="J18" i="1" s="1"/>
  <c r="K24" i="1"/>
  <c r="F13" i="1"/>
  <c r="R13" i="1" s="1"/>
  <c r="N14" i="1"/>
  <c r="O14" i="1" s="1"/>
  <c r="N18" i="1"/>
  <c r="R11" i="1"/>
  <c r="M15" i="1" s="1"/>
  <c r="O15" i="1" l="1"/>
</calcChain>
</file>

<file path=xl/sharedStrings.xml><?xml version="1.0" encoding="utf-8"?>
<sst xmlns="http://schemas.openxmlformats.org/spreadsheetml/2006/main" count="125" uniqueCount="75">
  <si>
    <t>Profit &amp; Loss Calculator</t>
  </si>
  <si>
    <t>Sl.No</t>
  </si>
  <si>
    <t>Product</t>
  </si>
  <si>
    <t>Manufacture By</t>
  </si>
  <si>
    <t>Rate</t>
  </si>
  <si>
    <t>Qty</t>
  </si>
  <si>
    <t>Total</t>
  </si>
  <si>
    <t>Product Details</t>
  </si>
  <si>
    <t>Delear Price</t>
  </si>
  <si>
    <t>Netcam Price</t>
  </si>
  <si>
    <t>Cat -6 UTP</t>
  </si>
  <si>
    <t>D-Link</t>
  </si>
  <si>
    <t>Box</t>
  </si>
  <si>
    <t>unit</t>
  </si>
  <si>
    <t>mtr</t>
  </si>
  <si>
    <t>1.5 sq mm 2 core armour</t>
  </si>
  <si>
    <t>-</t>
  </si>
  <si>
    <t>WithOut GST</t>
  </si>
  <si>
    <t>With GST @ 18%</t>
  </si>
  <si>
    <t>Advanced @ 75%</t>
  </si>
  <si>
    <t>Unit</t>
  </si>
  <si>
    <t>Profit</t>
  </si>
  <si>
    <t xml:space="preserve">Due </t>
  </si>
  <si>
    <t>75% Advance</t>
  </si>
  <si>
    <t>Delear Bill</t>
  </si>
  <si>
    <t>Indicator</t>
  </si>
  <si>
    <t>if delear accept 75% advance</t>
  </si>
  <si>
    <t>gst</t>
  </si>
  <si>
    <t>total</t>
  </si>
  <si>
    <t>diff</t>
  </si>
  <si>
    <t>RJ6</t>
  </si>
  <si>
    <t>Total amount of @ 75% advanced</t>
  </si>
  <si>
    <t>Netcam Total Billing amount must be greater than this amount</t>
  </si>
  <si>
    <t>Amount</t>
  </si>
  <si>
    <t>Project Portfoli</t>
  </si>
  <si>
    <t>Min Rate</t>
  </si>
  <si>
    <t>Max Rate</t>
  </si>
  <si>
    <t>Project Indicator</t>
  </si>
  <si>
    <t>NETCAM SOLUTIONS</t>
  </si>
  <si>
    <t>GSTN-</t>
  </si>
  <si>
    <t>INVOICE</t>
  </si>
  <si>
    <t>To</t>
  </si>
  <si>
    <t>…........................................</t>
  </si>
  <si>
    <t>….........................................</t>
  </si>
  <si>
    <t>…....................................</t>
  </si>
  <si>
    <t>INVOICE NO:-</t>
  </si>
  <si>
    <t>INVOICE Date:-</t>
  </si>
  <si>
    <t>Sl.No.</t>
  </si>
  <si>
    <t>Description</t>
  </si>
  <si>
    <t>HSN Code</t>
  </si>
  <si>
    <t>QTY</t>
  </si>
  <si>
    <t>Total Amount</t>
  </si>
  <si>
    <t>Grand Total</t>
  </si>
  <si>
    <t>Amount In Words:- _______________________________________</t>
  </si>
  <si>
    <t>For Netcam Solutions</t>
  </si>
  <si>
    <t>GST</t>
  </si>
  <si>
    <t>BUY</t>
  </si>
  <si>
    <t>SELL</t>
  </si>
  <si>
    <t>2 core cable (speaker)</t>
  </si>
  <si>
    <t>Polycab - 1.5 sq mm 2 core armour</t>
  </si>
  <si>
    <t>NS-PLY2/1.5</t>
  </si>
  <si>
    <t>Mtr</t>
  </si>
  <si>
    <t>Fatepur,Parshyampur
Hooghly, 712401,
West Bengal 
GSTN-______________________________</t>
  </si>
  <si>
    <t>Authorised sign</t>
  </si>
  <si>
    <t>Per Item Wise Profit</t>
  </si>
  <si>
    <t>Item</t>
  </si>
  <si>
    <t>Delear Total</t>
  </si>
  <si>
    <t>NETCAM Total</t>
  </si>
  <si>
    <t>RPP 75% Advanced</t>
  </si>
  <si>
    <t>WithOut GST TOTAL</t>
  </si>
  <si>
    <t>NetCam Without GST</t>
  </si>
  <si>
    <t>Profit-Loss W/O GST</t>
  </si>
  <si>
    <t>Box Delivery</t>
  </si>
  <si>
    <t>No Of Box Due</t>
  </si>
  <si>
    <t>GST @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</si>
</sst>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2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0" fillId="0" borderId="19" xfId="0" applyBorder="1"/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6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0" fontId="3" fillId="8" borderId="5" xfId="0" applyFont="1" applyFill="1" applyBorder="1" applyAlignment="1">
      <alignment vertical="top"/>
    </xf>
    <xf numFmtId="0" fontId="3" fillId="8" borderId="16" xfId="0" applyFont="1" applyFill="1" applyBorder="1" applyAlignment="1">
      <alignment vertical="top"/>
    </xf>
    <xf numFmtId="0" fontId="3" fillId="4" borderId="5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top"/>
    </xf>
    <xf numFmtId="44" fontId="3" fillId="0" borderId="14" xfId="0" applyNumberFormat="1" applyFont="1" applyBorder="1" applyAlignment="1">
      <alignment horizontal="center" vertical="top"/>
    </xf>
    <xf numFmtId="44" fontId="3" fillId="0" borderId="14" xfId="0" applyNumberFormat="1" applyFont="1" applyBorder="1" applyAlignment="1">
      <alignment horizontal="center" vertical="center"/>
    </xf>
    <xf numFmtId="44" fontId="3" fillId="0" borderId="17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top"/>
    </xf>
    <xf numFmtId="44" fontId="3" fillId="0" borderId="5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44" fontId="3" fillId="0" borderId="28" xfId="0" applyNumberFormat="1" applyFont="1" applyBorder="1" applyAlignment="1">
      <alignment horizontal="center" vertical="center"/>
    </xf>
    <xf numFmtId="44" fontId="3" fillId="0" borderId="31" xfId="0" applyNumberFormat="1" applyFont="1" applyBorder="1" applyAlignment="1">
      <alignment horizontal="center" vertical="center"/>
    </xf>
    <xf numFmtId="44" fontId="3" fillId="6" borderId="11" xfId="0" applyNumberFormat="1" applyFont="1" applyFill="1" applyBorder="1" applyAlignment="1">
      <alignment horizontal="center" vertical="center"/>
    </xf>
    <xf numFmtId="44" fontId="4" fillId="6" borderId="16" xfId="0" applyNumberFormat="1" applyFont="1" applyFill="1" applyBorder="1" applyAlignment="1">
      <alignment horizontal="center"/>
    </xf>
    <xf numFmtId="44" fontId="3" fillId="6" borderId="16" xfId="0" applyNumberFormat="1" applyFont="1" applyFill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3" fillId="0" borderId="8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44" fontId="3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" xfId="0" applyBorder="1"/>
    <xf numFmtId="0" fontId="0" fillId="0" borderId="21" xfId="0" applyBorder="1"/>
    <xf numFmtId="44" fontId="0" fillId="0" borderId="22" xfId="0" applyNumberFormat="1" applyBorder="1"/>
    <xf numFmtId="44" fontId="0" fillId="0" borderId="23" xfId="0" applyNumberFormat="1" applyBorder="1"/>
    <xf numFmtId="0" fontId="0" fillId="0" borderId="0" xfId="0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3" xfId="0" applyBorder="1"/>
    <xf numFmtId="0" fontId="6" fillId="8" borderId="0" xfId="0" applyFont="1" applyFill="1"/>
    <xf numFmtId="0" fontId="4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18" xfId="0" applyBorder="1"/>
    <xf numFmtId="9" fontId="0" fillId="0" borderId="5" xfId="0" applyNumberFormat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44" fontId="0" fillId="0" borderId="7" xfId="0" applyNumberFormat="1" applyBorder="1"/>
    <xf numFmtId="44" fontId="0" fillId="0" borderId="5" xfId="0" applyNumberFormat="1" applyBorder="1"/>
    <xf numFmtId="44" fontId="0" fillId="0" borderId="1" xfId="0" applyNumberFormat="1" applyBorder="1"/>
    <xf numFmtId="44" fontId="0" fillId="0" borderId="20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/>
    <xf numFmtId="0" fontId="1" fillId="5" borderId="13" xfId="0" applyFont="1" applyFill="1" applyBorder="1" applyAlignment="1">
      <alignment horizontal="center"/>
    </xf>
    <xf numFmtId="0" fontId="0" fillId="5" borderId="5" xfId="0" applyFill="1" applyBorder="1"/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/>
    <xf numFmtId="0" fontId="1" fillId="5" borderId="14" xfId="0" applyFont="1" applyFill="1" applyBorder="1" applyAlignment="1">
      <alignment horizontal="center"/>
    </xf>
    <xf numFmtId="44" fontId="1" fillId="12" borderId="5" xfId="0" applyNumberFormat="1" applyFont="1" applyFill="1" applyBorder="1"/>
    <xf numFmtId="44" fontId="1" fillId="12" borderId="5" xfId="0" applyNumberFormat="1" applyFont="1" applyFill="1" applyBorder="1" applyAlignment="1">
      <alignment horizontal="center"/>
    </xf>
    <xf numFmtId="44" fontId="1" fillId="12" borderId="16" xfId="0" applyNumberFormat="1" applyFont="1" applyFill="1" applyBorder="1"/>
    <xf numFmtId="44" fontId="1" fillId="9" borderId="5" xfId="0" applyNumberFormat="1" applyFont="1" applyFill="1" applyBorder="1" applyAlignment="1">
      <alignment horizontal="center"/>
    </xf>
    <xf numFmtId="44" fontId="1" fillId="9" borderId="5" xfId="0" applyNumberFormat="1" applyFont="1" applyFill="1" applyBorder="1"/>
    <xf numFmtId="44" fontId="1" fillId="9" borderId="16" xfId="0" applyNumberFormat="1" applyFont="1" applyFill="1" applyBorder="1" applyAlignment="1">
      <alignment horizontal="center"/>
    </xf>
    <xf numFmtId="44" fontId="1" fillId="9" borderId="16" xfId="0" applyNumberFormat="1" applyFont="1" applyFill="1" applyBorder="1"/>
    <xf numFmtId="44" fontId="1" fillId="13" borderId="5" xfId="0" applyNumberFormat="1" applyFont="1" applyFill="1" applyBorder="1" applyAlignment="1">
      <alignment horizontal="center"/>
    </xf>
    <xf numFmtId="44" fontId="1" fillId="13" borderId="5" xfId="0" applyNumberFormat="1" applyFont="1" applyFill="1" applyBorder="1"/>
    <xf numFmtId="44" fontId="1" fillId="13" borderId="16" xfId="0" applyNumberFormat="1" applyFont="1" applyFill="1" applyBorder="1"/>
    <xf numFmtId="44" fontId="1" fillId="14" borderId="14" xfId="0" applyNumberFormat="1" applyFont="1" applyFill="1" applyBorder="1" applyAlignment="1">
      <alignment horizontal="center"/>
    </xf>
    <xf numFmtId="44" fontId="1" fillId="14" borderId="17" xfId="0" applyNumberFormat="1" applyFont="1" applyFill="1" applyBorder="1" applyAlignment="1">
      <alignment horizontal="center"/>
    </xf>
    <xf numFmtId="0" fontId="4" fillId="15" borderId="13" xfId="0" applyFont="1" applyFill="1" applyBorder="1"/>
    <xf numFmtId="0" fontId="4" fillId="15" borderId="15" xfId="0" applyFont="1" applyFill="1" applyBorder="1"/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0" fontId="3" fillId="0" borderId="5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top"/>
    </xf>
    <xf numFmtId="0" fontId="3" fillId="7" borderId="16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18" xfId="0" applyFont="1" applyFill="1" applyBorder="1" applyAlignment="1">
      <alignment horizontal="center" vertical="top"/>
    </xf>
    <xf numFmtId="0" fontId="3" fillId="3" borderId="40" xfId="0" applyFont="1" applyFill="1" applyBorder="1" applyAlignment="1">
      <alignment horizontal="center" vertical="top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6" fillId="9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4" fillId="10" borderId="0" xfId="0" applyFont="1" applyFill="1" applyAlignment="1">
      <alignment horizont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10" fontId="3" fillId="0" borderId="5" xfId="0" applyNumberFormat="1" applyFont="1" applyBorder="1" applyAlignment="1">
      <alignment vertical="center"/>
    </xf>
    <xf numFmtId="44" fontId="3" fillId="0" borderId="5" xfId="0" applyNumberFormat="1" applyFont="1" applyBorder="1" applyAlignment="1">
      <alignment vertical="center"/>
    </xf>
  </cellXfs>
  <cellStyles count="1">
    <cellStyle name="Normal" xfId="0" builtinId="0"/>
  </cellStyles>
  <dxfs count="22">
    <dxf>
      <numFmt numFmtId="34" formatCode="_ &quot;₹&quot;\ * #,##0.00_ ;_ &quot;₹&quot;\ * \-#,##0.00_ ;_ &quot;₹&quot;\ * &quot;-&quot;??_ ;_ @_ "/>
      <border diagonalUp="0" diagonalDown="0">
        <left style="medium">
          <color auto="1"/>
        </left>
        <right style="thick">
          <color auto="1"/>
        </right>
        <top/>
        <bottom/>
        <vertical style="medium">
          <color auto="1"/>
        </vertical>
        <horizontal/>
      </border>
    </dxf>
    <dxf>
      <numFmt numFmtId="34" formatCode="_ &quot;₹&quot;\ * #,##0.00_ ;_ &quot;₹&quot;\ * \-#,##0.00_ ;_ &quot;₹&quot;\ * &quot;-&quot;??_ ;_ @_ 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border diagonalUp="0" diagonalDown="0">
        <left style="thick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ill>
        <patternFill patternType="solid">
          <fgColor indexed="64"/>
          <bgColor theme="9" tint="-0.249977111117893"/>
        </patternFill>
      </fill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 &quot;₹&quot;\ * #,##0.00_ ;_ &quot;₹&quot;\ * \-#,##0.00_ ;_ &quot;₹&quot;\ * &quot;-&quot;??_ ;_ @_ "/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87A207-4810-441B-9ECD-80694F10D59F}" name="Table1" displayName="Table1" ref="G13:J16" totalsRowShown="0" headerRowDxfId="21" dataDxfId="19" headerRowBorderDxfId="20" tableBorderDxfId="18" totalsRowBorderDxfId="17">
  <tableColumns count="4">
    <tableColumn id="1" xr3:uid="{16E4DF74-2FFC-4D7A-B5AD-71E05DD303B9}" name="Product" dataDxfId="16">
      <calculatedColumnFormula>B4</calculatedColumnFormula>
    </tableColumn>
    <tableColumn id="2" xr3:uid="{7A22AE4D-55D9-486E-95B4-18C73DD095A7}" name="75% Advance" dataDxfId="15">
      <calculatedColumnFormula>(R4*1.18)*0.75</calculatedColumnFormula>
    </tableColumn>
    <tableColumn id="3" xr3:uid="{9CC19B66-8A2B-423B-8498-ABB1410961F5}" name="Delear Bill" dataDxfId="14">
      <calculatedColumnFormula>(J4*1.18)</calculatedColumnFormula>
    </tableColumn>
    <tableColumn id="4" xr3:uid="{D55B3CC3-7A7C-4EE3-92D0-538AA69702C5}" name="Indicator" dataDxfId="13">
      <calculatedColumnFormula>IF(Table1[[#This Row],[75% Advance]]&gt;=Table1[[#This Row],[Delear Bill]],"Good To Go", "Red Flag")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67AC2-2FD0-4880-88D2-71F3601AF652}" name="Table2" displayName="Table2" ref="L13:O15" totalsRowShown="0" headerRowDxfId="12" dataDxfId="10" headerRowBorderDxfId="11" tableBorderDxfId="9" totalsRowBorderDxfId="8">
  <tableColumns count="4">
    <tableColumn id="1" xr3:uid="{E4E80C12-8BBB-47A2-9306-B492316D257A}" name="Project Portfoli" dataDxfId="7"/>
    <tableColumn id="2" xr3:uid="{612FEF45-864E-4F26-A86E-DF0EC3AD6567}" name="Amount" dataDxfId="6">
      <calculatedColumnFormula>(R9-J9)</calculatedColumnFormula>
    </tableColumn>
    <tableColumn id="3" xr3:uid="{84580F2E-919C-4712-8653-BB6409F2CC69}" name="gst" dataDxfId="5"/>
    <tableColumn id="4" xr3:uid="{77E84EB2-B3FF-4585-A0BB-798208829038}" name="total" dataDxfId="4">
      <calculatedColumnFormula>SUM(M14:N14)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FA643E-7F69-490B-95CF-5FAA05A1DE4A}" name="Table4" displayName="Table4" ref="L17:N18" totalsRowShown="0" headerRowDxfId="3">
  <tableColumns count="3">
    <tableColumn id="1" xr3:uid="{E2828031-A54E-4E62-BE41-9EBDF0242435}" name="GST" dataDxfId="2"/>
    <tableColumn id="2" xr3:uid="{968B4D11-976C-48EC-A268-26227E3F3D68}" name="BUY" dataDxfId="1">
      <calculatedColumnFormula>(J9*0.18)</calculatedColumnFormula>
    </tableColumn>
    <tableColumn id="3" xr3:uid="{64B442E3-8FD5-4B17-9E59-F4FE7BBF027B}" name="SELL" dataDxfId="0">
      <calculatedColumnFormula>R9*0.18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CA96-F716-4E91-BC97-5E3C8707932F}">
  <dimension ref="A1:S28"/>
  <sheetViews>
    <sheetView topLeftCell="E1" zoomScale="80" zoomScaleNormal="80" workbookViewId="0">
      <selection activeCell="A2" sqref="A2:R11"/>
    </sheetView>
  </sheetViews>
  <sheetFormatPr defaultRowHeight="14.5" x14ac:dyDescent="0.35"/>
  <cols>
    <col min="1" max="1" width="3.81640625" customWidth="1"/>
    <col min="2" max="2" width="24" customWidth="1"/>
    <col min="3" max="3" width="0.90625" hidden="1" customWidth="1"/>
    <col min="4" max="4" width="2.26953125" hidden="1" customWidth="1"/>
    <col min="5" max="5" width="20.6328125" customWidth="1"/>
    <col min="6" max="6" width="17.26953125" customWidth="1"/>
    <col min="7" max="7" width="14.90625" customWidth="1"/>
    <col min="8" max="8" width="18.81640625" customWidth="1"/>
    <col min="9" max="9" width="18.6328125" customWidth="1"/>
    <col min="10" max="10" width="15.1796875" customWidth="1"/>
    <col min="11" max="11" width="16.90625" customWidth="1"/>
    <col min="12" max="12" width="21.26953125" customWidth="1"/>
    <col min="13" max="13" width="12.7265625" customWidth="1"/>
    <col min="14" max="14" width="13.453125" customWidth="1"/>
    <col min="15" max="15" width="12.1796875" customWidth="1"/>
    <col min="16" max="16" width="5.1796875" customWidth="1"/>
    <col min="17" max="17" width="15.36328125" customWidth="1"/>
    <col min="18" max="18" width="16.1796875" customWidth="1"/>
  </cols>
  <sheetData>
    <row r="1" spans="1:19" ht="15.5" thickTop="1" thickBot="1" x14ac:dyDescent="0.4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/>
    </row>
    <row r="2" spans="1:19" ht="15" thickBot="1" x14ac:dyDescent="0.4">
      <c r="A2" s="124" t="s">
        <v>7</v>
      </c>
      <c r="B2" s="125"/>
      <c r="C2" s="125"/>
      <c r="D2" s="125"/>
      <c r="E2" s="125"/>
      <c r="F2" s="125" t="s">
        <v>8</v>
      </c>
      <c r="G2" s="125"/>
      <c r="H2" s="125"/>
      <c r="I2" s="125"/>
      <c r="J2" s="125"/>
      <c r="K2" s="5"/>
      <c r="L2" s="133" t="s">
        <v>9</v>
      </c>
      <c r="M2" s="134"/>
      <c r="N2" s="134"/>
      <c r="O2" s="134"/>
      <c r="P2" s="134"/>
      <c r="Q2" s="134"/>
      <c r="R2" s="135"/>
    </row>
    <row r="3" spans="1:19" ht="15" thickBot="1" x14ac:dyDescent="0.4">
      <c r="A3" s="13" t="s">
        <v>1</v>
      </c>
      <c r="B3" s="127" t="s">
        <v>2</v>
      </c>
      <c r="C3" s="127"/>
      <c r="D3" s="127"/>
      <c r="E3" s="6" t="s">
        <v>3</v>
      </c>
      <c r="F3" s="6" t="s">
        <v>4</v>
      </c>
      <c r="G3" s="6" t="s">
        <v>12</v>
      </c>
      <c r="H3" s="6" t="s">
        <v>13</v>
      </c>
      <c r="I3" s="6" t="s">
        <v>5</v>
      </c>
      <c r="J3" s="6" t="s">
        <v>6</v>
      </c>
      <c r="K3" s="131"/>
      <c r="L3" s="47" t="s">
        <v>35</v>
      </c>
      <c r="M3" s="6" t="s">
        <v>4</v>
      </c>
      <c r="N3" s="6" t="s">
        <v>36</v>
      </c>
      <c r="O3" s="6" t="s">
        <v>12</v>
      </c>
      <c r="P3" s="6" t="s">
        <v>20</v>
      </c>
      <c r="Q3" s="6" t="s">
        <v>5</v>
      </c>
      <c r="R3" s="14" t="s">
        <v>6</v>
      </c>
    </row>
    <row r="4" spans="1:19" ht="15" thickBot="1" x14ac:dyDescent="0.4">
      <c r="A4" s="15">
        <v>1</v>
      </c>
      <c r="B4" s="128" t="s">
        <v>10</v>
      </c>
      <c r="C4" s="128"/>
      <c r="D4" s="128"/>
      <c r="E4" s="7" t="s">
        <v>11</v>
      </c>
      <c r="F4" s="8">
        <v>21.12</v>
      </c>
      <c r="G4" s="7">
        <v>50</v>
      </c>
      <c r="H4" s="7" t="s">
        <v>14</v>
      </c>
      <c r="I4" s="7">
        <f>305*G4</f>
        <v>15250</v>
      </c>
      <c r="J4" s="56">
        <f>F4*I4</f>
        <v>322080</v>
      </c>
      <c r="K4" s="131"/>
      <c r="L4" s="52">
        <v>28.5</v>
      </c>
      <c r="M4" s="7">
        <v>29.5</v>
      </c>
      <c r="N4" s="7">
        <v>30</v>
      </c>
      <c r="O4" s="7">
        <f>G4</f>
        <v>50</v>
      </c>
      <c r="P4" s="7" t="str">
        <f>H4</f>
        <v>mtr</v>
      </c>
      <c r="Q4" s="7">
        <f>I4</f>
        <v>15250</v>
      </c>
      <c r="R4" s="53">
        <f>M4*Q4</f>
        <v>449875</v>
      </c>
    </row>
    <row r="5" spans="1:19" ht="15" thickBot="1" x14ac:dyDescent="0.4">
      <c r="A5" s="15">
        <v>2</v>
      </c>
      <c r="B5" s="128" t="s">
        <v>15</v>
      </c>
      <c r="C5" s="128"/>
      <c r="D5" s="128"/>
      <c r="E5" s="7"/>
      <c r="F5" s="7">
        <v>53.39</v>
      </c>
      <c r="G5" s="7" t="s">
        <v>16</v>
      </c>
      <c r="H5" s="7" t="s">
        <v>14</v>
      </c>
      <c r="I5" s="7">
        <v>1000</v>
      </c>
      <c r="J5" s="56">
        <f>F5*I5</f>
        <v>53390</v>
      </c>
      <c r="K5" s="131"/>
      <c r="L5" s="52">
        <v>71.3</v>
      </c>
      <c r="M5" s="7">
        <v>75.5</v>
      </c>
      <c r="N5" s="7">
        <v>76</v>
      </c>
      <c r="O5" s="7" t="str">
        <f>G5</f>
        <v>-</v>
      </c>
      <c r="P5" s="7" t="str">
        <f t="shared" ref="P5:P7" si="0">H5</f>
        <v>mtr</v>
      </c>
      <c r="Q5" s="7">
        <f>I5</f>
        <v>1000</v>
      </c>
      <c r="R5" s="53">
        <f>M5*Q5</f>
        <v>75500</v>
      </c>
    </row>
    <row r="6" spans="1:19" ht="15" thickBot="1" x14ac:dyDescent="0.4">
      <c r="A6" s="15">
        <v>3</v>
      </c>
      <c r="B6" s="121" t="s">
        <v>30</v>
      </c>
      <c r="C6" s="121"/>
      <c r="D6" s="121"/>
      <c r="E6" s="10"/>
      <c r="F6" s="9">
        <v>14</v>
      </c>
      <c r="G6" s="7" t="s">
        <v>16</v>
      </c>
      <c r="H6" s="7" t="s">
        <v>14</v>
      </c>
      <c r="I6" s="9">
        <v>3000</v>
      </c>
      <c r="J6" s="56">
        <f>F6*I6</f>
        <v>42000</v>
      </c>
      <c r="K6" s="131"/>
      <c r="L6" s="9">
        <v>19</v>
      </c>
      <c r="M6" s="4">
        <v>20</v>
      </c>
      <c r="N6" s="9">
        <v>22</v>
      </c>
      <c r="O6" s="7" t="str">
        <f>G6</f>
        <v>-</v>
      </c>
      <c r="P6" s="7" t="str">
        <f t="shared" si="0"/>
        <v>mtr</v>
      </c>
      <c r="Q6" s="7">
        <f>I6</f>
        <v>3000</v>
      </c>
      <c r="R6" s="53">
        <f t="shared" ref="R6:R7" si="1">M6*Q6</f>
        <v>60000</v>
      </c>
    </row>
    <row r="7" spans="1:19" ht="15" thickBot="1" x14ac:dyDescent="0.4">
      <c r="A7" s="92">
        <v>4</v>
      </c>
      <c r="B7" s="121" t="s">
        <v>58</v>
      </c>
      <c r="C7" s="121"/>
      <c r="D7" s="121"/>
      <c r="E7" s="10"/>
      <c r="F7" s="9">
        <v>51</v>
      </c>
      <c r="G7" s="7"/>
      <c r="H7" s="7" t="s">
        <v>14</v>
      </c>
      <c r="I7" s="9">
        <v>1000</v>
      </c>
      <c r="J7" s="56">
        <f>F7*I7</f>
        <v>51000</v>
      </c>
      <c r="K7" s="131"/>
      <c r="L7" s="52">
        <v>68</v>
      </c>
      <c r="M7" s="9">
        <v>71</v>
      </c>
      <c r="N7" s="9">
        <v>75</v>
      </c>
      <c r="O7" s="7" t="s">
        <v>16</v>
      </c>
      <c r="P7" s="7" t="str">
        <f t="shared" si="0"/>
        <v>mtr</v>
      </c>
      <c r="Q7" s="7">
        <f>I7</f>
        <v>1000</v>
      </c>
      <c r="R7" s="53">
        <f t="shared" si="1"/>
        <v>71000</v>
      </c>
    </row>
    <row r="8" spans="1:19" ht="15" thickBot="1" x14ac:dyDescent="0.4">
      <c r="A8" s="16"/>
      <c r="B8" s="122"/>
      <c r="C8" s="122"/>
      <c r="D8" s="122"/>
      <c r="E8" s="8"/>
      <c r="F8" s="8"/>
      <c r="G8" s="8"/>
      <c r="H8" s="8"/>
      <c r="I8" s="11"/>
      <c r="J8" s="57"/>
      <c r="K8" s="131"/>
      <c r="L8" s="45"/>
      <c r="M8" s="8"/>
      <c r="N8" s="8"/>
      <c r="O8" s="8"/>
      <c r="P8" s="8"/>
      <c r="Q8" s="8"/>
      <c r="R8" s="54"/>
      <c r="S8" s="2"/>
    </row>
    <row r="9" spans="1:19" ht="15" thickBot="1" x14ac:dyDescent="0.4">
      <c r="A9" s="16"/>
      <c r="B9" s="122"/>
      <c r="C9" s="122"/>
      <c r="D9" s="122"/>
      <c r="E9" s="8"/>
      <c r="F9" s="8"/>
      <c r="G9" s="8"/>
      <c r="H9" s="122" t="s">
        <v>17</v>
      </c>
      <c r="I9" s="122"/>
      <c r="J9" s="57">
        <f>SUM(J4:J8)</f>
        <v>468470</v>
      </c>
      <c r="K9" s="131"/>
      <c r="L9" s="45"/>
      <c r="M9" s="8"/>
      <c r="N9" s="8"/>
      <c r="O9" s="8"/>
      <c r="P9" s="122" t="s">
        <v>17</v>
      </c>
      <c r="Q9" s="122"/>
      <c r="R9" s="54">
        <f>SUM(R4:R8)</f>
        <v>656375</v>
      </c>
      <c r="S9" s="2"/>
    </row>
    <row r="10" spans="1:19" ht="15" thickBot="1" x14ac:dyDescent="0.4">
      <c r="A10" s="16"/>
      <c r="B10" s="122"/>
      <c r="C10" s="122"/>
      <c r="D10" s="122"/>
      <c r="E10" s="7"/>
      <c r="F10" s="8"/>
      <c r="G10" s="8"/>
      <c r="H10" s="126" t="s">
        <v>18</v>
      </c>
      <c r="I10" s="126"/>
      <c r="J10" s="57">
        <f>(1+(MID(H10,FIND("@",H10)+2,2)%))*J9</f>
        <v>552794.6</v>
      </c>
      <c r="K10" s="131"/>
      <c r="L10" s="45"/>
      <c r="M10" s="8"/>
      <c r="N10" s="8"/>
      <c r="O10" s="8"/>
      <c r="P10" s="126" t="s">
        <v>18</v>
      </c>
      <c r="Q10" s="126"/>
      <c r="R10" s="54">
        <f>(1+(MID(P10,FIND("@",P10)+2,2)%))*R9</f>
        <v>774522.5</v>
      </c>
      <c r="S10" s="2"/>
    </row>
    <row r="11" spans="1:19" ht="27" customHeight="1" thickBot="1" x14ac:dyDescent="0.4">
      <c r="A11" s="17"/>
      <c r="B11" s="123"/>
      <c r="C11" s="123"/>
      <c r="D11" s="123"/>
      <c r="E11" s="18"/>
      <c r="F11" s="18"/>
      <c r="G11" s="19" t="s">
        <v>26</v>
      </c>
      <c r="H11" s="123" t="s">
        <v>19</v>
      </c>
      <c r="I11" s="123"/>
      <c r="J11" s="58">
        <f>((MID(H11,FIND("@",H11)+2,2)%))*J10</f>
        <v>414595.94999999995</v>
      </c>
      <c r="K11" s="132"/>
      <c r="L11" s="46"/>
      <c r="M11" s="18"/>
      <c r="N11" s="18"/>
      <c r="O11" s="18"/>
      <c r="P11" s="123" t="s">
        <v>19</v>
      </c>
      <c r="Q11" s="123"/>
      <c r="R11" s="55">
        <f>((MID(P11,FIND("@",P11)+2,2)%))*R10</f>
        <v>580891.875</v>
      </c>
      <c r="S11" s="2"/>
    </row>
    <row r="12" spans="1:19" ht="15.5" customHeight="1" thickTop="1" thickBot="1" x14ac:dyDescent="0.4">
      <c r="A12" s="1"/>
      <c r="B12" s="20"/>
      <c r="C12" s="20"/>
      <c r="D12" s="20"/>
      <c r="E12" s="1"/>
      <c r="I12" s="1"/>
      <c r="J12" s="1"/>
      <c r="Q12" s="1"/>
      <c r="R12" s="1"/>
      <c r="S12" s="2"/>
    </row>
    <row r="13" spans="1:19" ht="37.5" customHeight="1" thickTop="1" thickBot="1" x14ac:dyDescent="0.4">
      <c r="A13" s="1"/>
      <c r="B13" s="129" t="s">
        <v>32</v>
      </c>
      <c r="C13" s="130"/>
      <c r="D13" s="130"/>
      <c r="E13" s="21" t="s">
        <v>31</v>
      </c>
      <c r="F13" s="68">
        <f>(J10/((MID(E13,FIND("@",E13)+2,2))/100))</f>
        <v>737059.46666666667</v>
      </c>
      <c r="G13" s="22" t="s">
        <v>2</v>
      </c>
      <c r="H13" s="23" t="s">
        <v>23</v>
      </c>
      <c r="I13" s="23" t="s">
        <v>24</v>
      </c>
      <c r="J13" s="24" t="s">
        <v>25</v>
      </c>
      <c r="L13" s="49" t="s">
        <v>34</v>
      </c>
      <c r="M13" s="41" t="s">
        <v>33</v>
      </c>
      <c r="N13" s="42" t="s">
        <v>27</v>
      </c>
      <c r="O13" s="42" t="s">
        <v>28</v>
      </c>
      <c r="Q13" s="50" t="s">
        <v>37</v>
      </c>
      <c r="R13" s="51" t="str">
        <f>IF(R10&gt;=(F13+2000),"Good To Go","Red Flag")</f>
        <v>Good To Go</v>
      </c>
      <c r="S13" s="2"/>
    </row>
    <row r="14" spans="1:19" ht="16" customHeight="1" thickTop="1" thickBot="1" x14ac:dyDescent="0.4">
      <c r="A14" s="1"/>
      <c r="B14" s="1"/>
      <c r="D14" s="1"/>
      <c r="E14" s="1"/>
      <c r="G14" s="25" t="str">
        <f>B4</f>
        <v>Cat -6 UTP</v>
      </c>
      <c r="H14" s="59">
        <f>(R4*1.18)*0.75</f>
        <v>398139.375</v>
      </c>
      <c r="I14" s="59">
        <f>(J4*1.18)</f>
        <v>380054.39999999997</v>
      </c>
      <c r="J14" s="26" t="str">
        <f>IF(Table1[[#This Row],[75% Advance]]&gt;=Table1[[#This Row],[Delear Bill]],"Good To Go", "Red Flag")</f>
        <v>Good To Go</v>
      </c>
      <c r="L14" s="48" t="s">
        <v>21</v>
      </c>
      <c r="M14" s="64">
        <f>(R9-J9)</f>
        <v>187905</v>
      </c>
      <c r="N14" s="64">
        <f>M14*0.18</f>
        <v>33822.9</v>
      </c>
      <c r="O14" s="65">
        <f>SUM(M14:N14)</f>
        <v>221727.9</v>
      </c>
      <c r="Q14" s="1"/>
    </row>
    <row r="15" spans="1:19" ht="26" x14ac:dyDescent="0.35">
      <c r="A15" s="1"/>
      <c r="B15" s="1"/>
      <c r="C15" s="1"/>
      <c r="D15" s="1"/>
      <c r="E15" s="1"/>
      <c r="G15" s="27" t="str">
        <f>B5</f>
        <v>1.5 sq mm 2 core armour</v>
      </c>
      <c r="H15" s="59">
        <f>(R5*1.18)*0.75</f>
        <v>66817.5</v>
      </c>
      <c r="I15" s="59">
        <f>(J5*1.18)</f>
        <v>63000.2</v>
      </c>
      <c r="J15" s="26" t="str">
        <f>IF(Table1[[#This Row],[75% Advance]]&gt;=Table1[[#This Row],[Delear Bill]],"Good To Go", "Red Flag")</f>
        <v>Good To Go</v>
      </c>
      <c r="L15" s="12" t="s">
        <v>22</v>
      </c>
      <c r="M15" s="66">
        <f>(R10-R11)</f>
        <v>193630.625</v>
      </c>
      <c r="N15" s="66" t="s">
        <v>16</v>
      </c>
      <c r="O15" s="67">
        <f>SUM(M15:N15)</f>
        <v>193630.625</v>
      </c>
      <c r="Q15" s="1"/>
    </row>
    <row r="16" spans="1:19" ht="15" thickBot="1" x14ac:dyDescent="0.4">
      <c r="A16" s="1"/>
      <c r="B16" s="1"/>
      <c r="C16" s="1"/>
      <c r="D16" s="1"/>
      <c r="E16" s="1"/>
      <c r="G16" s="28" t="str">
        <f>B6</f>
        <v>RJ6</v>
      </c>
      <c r="H16" s="60">
        <f>(R6*1.18)*0.75</f>
        <v>53100</v>
      </c>
      <c r="I16" s="60">
        <f>(J6*1.18)</f>
        <v>49560</v>
      </c>
      <c r="J16" s="29" t="str">
        <f>IF(Table1[[#This Row],[75% Advance]]&gt;=Table1[[#This Row],[Delear Bill]],"Good To Go", "Red Flag")</f>
        <v>Good To Go</v>
      </c>
      <c r="Q16" s="1"/>
    </row>
    <row r="17" spans="1:19" ht="15.5" thickTop="1" thickBot="1" x14ac:dyDescent="0.4">
      <c r="A17" s="1"/>
      <c r="B17" s="1"/>
      <c r="C17" s="1"/>
      <c r="D17" s="1"/>
      <c r="E17" s="1"/>
      <c r="G17" s="37" t="s">
        <v>6</v>
      </c>
      <c r="H17" s="61">
        <f>SUM(H14:H16)</f>
        <v>518056.875</v>
      </c>
      <c r="I17" s="61">
        <f>SUM(I14:I16)</f>
        <v>492614.6</v>
      </c>
      <c r="J17" s="38" t="str">
        <f>IF(H17&gt;=I17,"Incress","Decress")</f>
        <v>Incress</v>
      </c>
      <c r="K17" s="1"/>
      <c r="L17" s="1" t="s">
        <v>55</v>
      </c>
      <c r="M17" s="1" t="s">
        <v>56</v>
      </c>
      <c r="N17" s="1" t="s">
        <v>57</v>
      </c>
      <c r="O17" s="1"/>
      <c r="P17" s="1"/>
      <c r="Q17" s="1"/>
      <c r="R17" s="1"/>
      <c r="S17" s="2"/>
    </row>
    <row r="18" spans="1:19" ht="16.5" thickTop="1" thickBot="1" x14ac:dyDescent="0.4">
      <c r="E18" s="1"/>
      <c r="G18" s="39" t="s">
        <v>29</v>
      </c>
      <c r="H18" s="62"/>
      <c r="I18" s="63">
        <f>H17-I17</f>
        <v>25442.275000000023</v>
      </c>
      <c r="J18" s="40" t="str">
        <f>IF(I18&gt;1000,"Greate Deal","Red Flag")</f>
        <v>Greate Deal</v>
      </c>
      <c r="L18" s="71">
        <v>1</v>
      </c>
      <c r="M18" s="72">
        <f>(J9*0.18)</f>
        <v>84324.599999999991</v>
      </c>
      <c r="N18" s="73">
        <f>R9*0.18</f>
        <v>118147.5</v>
      </c>
    </row>
    <row r="19" spans="1:19" ht="15" thickTop="1" x14ac:dyDescent="0.35">
      <c r="E19" s="1"/>
    </row>
    <row r="20" spans="1:19" x14ac:dyDescent="0.35">
      <c r="E20" s="1"/>
    </row>
    <row r="21" spans="1:19" ht="15" thickBot="1" x14ac:dyDescent="0.4">
      <c r="E21" s="1"/>
    </row>
    <row r="22" spans="1:19" ht="19.5" thickTop="1" thickBot="1" x14ac:dyDescent="0.5">
      <c r="B22" s="115" t="s">
        <v>64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7"/>
    </row>
    <row r="23" spans="1:19" ht="15" thickBot="1" x14ac:dyDescent="0.4">
      <c r="B23" s="95" t="s">
        <v>65</v>
      </c>
      <c r="C23" s="96"/>
      <c r="D23" s="96"/>
      <c r="E23" s="97" t="s">
        <v>69</v>
      </c>
      <c r="F23" s="98" t="s">
        <v>55</v>
      </c>
      <c r="G23" s="99" t="s">
        <v>66</v>
      </c>
      <c r="H23" s="98" t="s">
        <v>70</v>
      </c>
      <c r="I23" s="98" t="s">
        <v>55</v>
      </c>
      <c r="J23" s="98" t="s">
        <v>67</v>
      </c>
      <c r="K23" s="98" t="s">
        <v>68</v>
      </c>
      <c r="L23" s="100" t="s">
        <v>71</v>
      </c>
    </row>
    <row r="24" spans="1:19" s="74" customFormat="1" ht="16" thickBot="1" x14ac:dyDescent="0.4">
      <c r="B24" s="113" t="str">
        <f>B4</f>
        <v>Cat -6 UTP</v>
      </c>
      <c r="C24" s="93"/>
      <c r="D24" s="93"/>
      <c r="E24" s="101">
        <f>(J4)</f>
        <v>322080</v>
      </c>
      <c r="F24" s="101">
        <f>(E24*0.18)</f>
        <v>57974.400000000001</v>
      </c>
      <c r="G24" s="102">
        <f>(J4*1.18)</f>
        <v>380054.39999999997</v>
      </c>
      <c r="H24" s="104">
        <f>R4</f>
        <v>449875</v>
      </c>
      <c r="I24" s="104">
        <f>(H24*0.18)</f>
        <v>80977.5</v>
      </c>
      <c r="J24" s="104">
        <f>(R4*1.18)</f>
        <v>530852.5</v>
      </c>
      <c r="K24" s="108">
        <f>J24*0.75</f>
        <v>398139.375</v>
      </c>
      <c r="L24" s="111">
        <f>(H24-E24)</f>
        <v>127795</v>
      </c>
    </row>
    <row r="25" spans="1:19" ht="16" thickBot="1" x14ac:dyDescent="0.4">
      <c r="B25" s="113" t="str">
        <f>B5</f>
        <v>1.5 sq mm 2 core armour</v>
      </c>
      <c r="C25" s="43"/>
      <c r="D25" s="43"/>
      <c r="E25" s="101">
        <f>(J5)</f>
        <v>53390</v>
      </c>
      <c r="F25" s="101">
        <f t="shared" ref="F25:F27" si="2">(E25*0.18)</f>
        <v>9610.1999999999989</v>
      </c>
      <c r="G25" s="101">
        <f>(J5*1.18)</f>
        <v>63000.2</v>
      </c>
      <c r="H25" s="104">
        <f t="shared" ref="H25:H27" si="3">R5</f>
        <v>75500</v>
      </c>
      <c r="I25" s="104">
        <f t="shared" ref="I25:I27" si="4">(H25*0.18)</f>
        <v>13590</v>
      </c>
      <c r="J25" s="105">
        <f>(R5*1.18)</f>
        <v>89090</v>
      </c>
      <c r="K25" s="109">
        <f>J25*0.75</f>
        <v>66817.5</v>
      </c>
      <c r="L25" s="111">
        <f t="shared" ref="L25:L27" si="5">(H25-E25)</f>
        <v>22110</v>
      </c>
    </row>
    <row r="26" spans="1:19" ht="16" thickBot="1" x14ac:dyDescent="0.4">
      <c r="B26" s="113" t="str">
        <f>B6</f>
        <v>RJ6</v>
      </c>
      <c r="C26" s="43"/>
      <c r="D26" s="43"/>
      <c r="E26" s="101">
        <f>(J6)</f>
        <v>42000</v>
      </c>
      <c r="F26" s="101">
        <f t="shared" si="2"/>
        <v>7560</v>
      </c>
      <c r="G26" s="101">
        <f>(J6*1.18)</f>
        <v>49560</v>
      </c>
      <c r="H26" s="104">
        <f t="shared" si="3"/>
        <v>60000</v>
      </c>
      <c r="I26" s="104">
        <f t="shared" si="4"/>
        <v>10800</v>
      </c>
      <c r="J26" s="105">
        <f>(R6*1.18)</f>
        <v>70800</v>
      </c>
      <c r="K26" s="109">
        <f>J26*0.75</f>
        <v>53100</v>
      </c>
      <c r="L26" s="111">
        <f t="shared" si="5"/>
        <v>18000</v>
      </c>
    </row>
    <row r="27" spans="1:19" ht="16" thickBot="1" x14ac:dyDescent="0.4">
      <c r="B27" s="114" t="str">
        <f>B7</f>
        <v>2 core cable (speaker)</v>
      </c>
      <c r="C27" s="94"/>
      <c r="D27" s="94"/>
      <c r="E27" s="103">
        <f>(J7)</f>
        <v>51000</v>
      </c>
      <c r="F27" s="103">
        <f t="shared" si="2"/>
        <v>9180</v>
      </c>
      <c r="G27" s="103">
        <f>(J7*1.18)</f>
        <v>60180</v>
      </c>
      <c r="H27" s="106">
        <f t="shared" si="3"/>
        <v>71000</v>
      </c>
      <c r="I27" s="106">
        <f t="shared" si="4"/>
        <v>12780</v>
      </c>
      <c r="J27" s="107">
        <f>(R7*1.18)</f>
        <v>83780</v>
      </c>
      <c r="K27" s="110">
        <f>J27*0.75</f>
        <v>62835</v>
      </c>
      <c r="L27" s="112">
        <f t="shared" si="5"/>
        <v>20000</v>
      </c>
    </row>
    <row r="28" spans="1:19" ht="15" thickTop="1" x14ac:dyDescent="0.35"/>
  </sheetData>
  <mergeCells count="22">
    <mergeCell ref="B8:D8"/>
    <mergeCell ref="B13:D13"/>
    <mergeCell ref="K3:K11"/>
    <mergeCell ref="L2:R2"/>
    <mergeCell ref="P10:Q10"/>
    <mergeCell ref="P11:Q11"/>
    <mergeCell ref="B22:L22"/>
    <mergeCell ref="A1:R1"/>
    <mergeCell ref="B7:D7"/>
    <mergeCell ref="B9:D9"/>
    <mergeCell ref="B10:D10"/>
    <mergeCell ref="B11:D11"/>
    <mergeCell ref="A2:E2"/>
    <mergeCell ref="F2:J2"/>
    <mergeCell ref="H9:I9"/>
    <mergeCell ref="H10:I10"/>
    <mergeCell ref="H11:I11"/>
    <mergeCell ref="P9:Q9"/>
    <mergeCell ref="B3:D3"/>
    <mergeCell ref="B4:D4"/>
    <mergeCell ref="B5:D5"/>
    <mergeCell ref="B6:D6"/>
  </mergeCells>
  <phoneticPr fontId="2" type="noConversion"/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2F4-322F-4C0A-8AAA-39B833EF6B7C}">
  <dimension ref="A1:J34"/>
  <sheetViews>
    <sheetView topLeftCell="A12" workbookViewId="0">
      <selection activeCell="F16" sqref="F16"/>
    </sheetView>
  </sheetViews>
  <sheetFormatPr defaultRowHeight="14.5" x14ac:dyDescent="0.35"/>
  <cols>
    <col min="1" max="1" width="5.453125" customWidth="1"/>
    <col min="2" max="2" width="33.1796875" customWidth="1"/>
    <col min="3" max="3" width="13.26953125" customWidth="1"/>
    <col min="4" max="4" width="6.7265625" customWidth="1"/>
    <col min="7" max="7" width="11.36328125" customWidth="1"/>
  </cols>
  <sheetData>
    <row r="1" spans="1:10" ht="18.5" x14ac:dyDescent="0.45">
      <c r="A1" s="138" t="s">
        <v>38</v>
      </c>
      <c r="B1" s="138"/>
      <c r="C1" s="138"/>
      <c r="D1" s="138"/>
      <c r="E1" s="138"/>
      <c r="F1" s="138"/>
      <c r="G1" s="138"/>
      <c r="H1" s="78"/>
      <c r="I1" s="78"/>
      <c r="J1" s="78"/>
    </row>
    <row r="2" spans="1:10" x14ac:dyDescent="0.35">
      <c r="A2" s="139" t="s">
        <v>62</v>
      </c>
      <c r="B2" s="139"/>
    </row>
    <row r="3" spans="1:10" x14ac:dyDescent="0.35">
      <c r="A3" s="139"/>
      <c r="B3" s="139"/>
    </row>
    <row r="4" spans="1:10" x14ac:dyDescent="0.35">
      <c r="A4" s="139"/>
      <c r="B4" s="139"/>
    </row>
    <row r="5" spans="1:10" x14ac:dyDescent="0.35">
      <c r="A5" s="139"/>
      <c r="B5" s="139"/>
    </row>
    <row r="6" spans="1:10" ht="15.5" x14ac:dyDescent="0.35">
      <c r="A6" s="140" t="s">
        <v>40</v>
      </c>
      <c r="B6" s="140"/>
      <c r="C6" s="140"/>
      <c r="D6" s="140"/>
      <c r="E6" s="140"/>
      <c r="F6" s="140"/>
      <c r="G6" s="140"/>
      <c r="H6" s="79"/>
      <c r="I6" s="79"/>
      <c r="J6" s="79"/>
    </row>
    <row r="7" spans="1:10" ht="16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thickTop="1" x14ac:dyDescent="0.35">
      <c r="A8" s="141" t="s">
        <v>41</v>
      </c>
      <c r="B8" s="142"/>
      <c r="D8" s="30" t="s">
        <v>45</v>
      </c>
      <c r="E8" s="20"/>
      <c r="F8" s="20"/>
      <c r="G8" s="31"/>
    </row>
    <row r="9" spans="1:10" x14ac:dyDescent="0.35">
      <c r="A9" s="136" t="s">
        <v>42</v>
      </c>
      <c r="B9" s="137"/>
      <c r="D9" s="32" t="s">
        <v>46</v>
      </c>
      <c r="G9" s="33"/>
    </row>
    <row r="10" spans="1:10" x14ac:dyDescent="0.35">
      <c r="A10" s="136" t="s">
        <v>43</v>
      </c>
      <c r="B10" s="137"/>
      <c r="D10" s="32"/>
      <c r="G10" s="33"/>
    </row>
    <row r="11" spans="1:10" x14ac:dyDescent="0.35">
      <c r="A11" s="136" t="s">
        <v>44</v>
      </c>
      <c r="B11" s="137"/>
      <c r="D11" s="32"/>
      <c r="G11" s="33"/>
    </row>
    <row r="12" spans="1:10" ht="15" thickBot="1" x14ac:dyDescent="0.4">
      <c r="A12" s="34" t="s">
        <v>39</v>
      </c>
      <c r="B12" s="36"/>
      <c r="D12" s="34"/>
      <c r="E12" s="35"/>
      <c r="F12" s="35"/>
      <c r="G12" s="36"/>
    </row>
    <row r="13" spans="1:10" ht="15.5" thickTop="1" thickBot="1" x14ac:dyDescent="0.4"/>
    <row r="14" spans="1:10" ht="15" thickBot="1" x14ac:dyDescent="0.4">
      <c r="A14" s="43" t="s">
        <v>47</v>
      </c>
      <c r="B14" s="43" t="s">
        <v>48</v>
      </c>
      <c r="C14" s="43" t="s">
        <v>49</v>
      </c>
      <c r="D14" s="83" t="s">
        <v>20</v>
      </c>
      <c r="E14" s="43" t="s">
        <v>50</v>
      </c>
      <c r="F14" s="70" t="s">
        <v>4</v>
      </c>
      <c r="G14" s="43" t="s">
        <v>33</v>
      </c>
    </row>
    <row r="15" spans="1:10" x14ac:dyDescent="0.35">
      <c r="A15" s="85">
        <v>1</v>
      </c>
      <c r="B15" s="86" t="s">
        <v>59</v>
      </c>
      <c r="C15" s="86" t="s">
        <v>60</v>
      </c>
      <c r="D15" s="80" t="s">
        <v>61</v>
      </c>
      <c r="E15" s="81">
        <v>1000</v>
      </c>
      <c r="F15" s="91">
        <v>75.5</v>
      </c>
      <c r="G15" s="90">
        <f>F15*E15</f>
        <v>75500</v>
      </c>
    </row>
    <row r="16" spans="1:10" x14ac:dyDescent="0.35">
      <c r="A16" s="69"/>
      <c r="B16" s="69"/>
      <c r="C16" s="69"/>
      <c r="D16" s="75"/>
      <c r="E16" s="69"/>
      <c r="F16" s="76"/>
      <c r="G16" s="69"/>
    </row>
    <row r="17" spans="1:7" x14ac:dyDescent="0.35">
      <c r="A17" s="69"/>
      <c r="B17" s="69"/>
      <c r="C17" s="69"/>
      <c r="D17" s="75"/>
      <c r="E17" s="69"/>
      <c r="F17" s="76"/>
      <c r="G17" s="69"/>
    </row>
    <row r="18" spans="1:7" x14ac:dyDescent="0.35">
      <c r="A18" s="69"/>
      <c r="B18" s="69"/>
      <c r="C18" s="69"/>
      <c r="D18" s="75"/>
      <c r="E18" s="69"/>
      <c r="F18" s="76"/>
      <c r="G18" s="69"/>
    </row>
    <row r="19" spans="1:7" x14ac:dyDescent="0.35">
      <c r="A19" s="69"/>
      <c r="B19" s="69"/>
      <c r="C19" s="69"/>
      <c r="D19" s="75"/>
      <c r="E19" s="69"/>
      <c r="F19" s="76"/>
      <c r="G19" s="69"/>
    </row>
    <row r="20" spans="1:7" x14ac:dyDescent="0.35">
      <c r="A20" s="69"/>
      <c r="B20" s="69"/>
      <c r="C20" s="69"/>
      <c r="D20" s="75"/>
      <c r="E20" s="69"/>
      <c r="F20" s="76"/>
      <c r="G20" s="69"/>
    </row>
    <row r="21" spans="1:7" x14ac:dyDescent="0.35">
      <c r="A21" s="69"/>
      <c r="B21" s="69"/>
      <c r="C21" s="69"/>
      <c r="D21" s="75"/>
      <c r="E21" s="69"/>
      <c r="F21" s="76"/>
      <c r="G21" s="69"/>
    </row>
    <row r="22" spans="1:7" x14ac:dyDescent="0.35">
      <c r="A22" s="69"/>
      <c r="B22" s="69"/>
      <c r="C22" s="69"/>
      <c r="D22" s="75"/>
      <c r="E22" s="69"/>
      <c r="F22" s="76"/>
      <c r="G22" s="69"/>
    </row>
    <row r="23" spans="1:7" x14ac:dyDescent="0.35">
      <c r="A23" s="69"/>
      <c r="B23" s="69"/>
      <c r="C23" s="69"/>
      <c r="D23" s="75"/>
      <c r="E23" s="69"/>
      <c r="F23" s="76"/>
      <c r="G23" s="69"/>
    </row>
    <row r="24" spans="1:7" ht="15" thickBot="1" x14ac:dyDescent="0.4">
      <c r="A24" s="69"/>
      <c r="B24" s="69"/>
      <c r="C24" s="82"/>
      <c r="D24" s="77"/>
      <c r="E24" s="82"/>
      <c r="F24" s="44"/>
      <c r="G24" s="82"/>
    </row>
    <row r="25" spans="1:7" ht="15" thickBot="1" x14ac:dyDescent="0.4">
      <c r="A25" s="69"/>
      <c r="B25" s="69"/>
      <c r="C25" s="143" t="s">
        <v>51</v>
      </c>
      <c r="D25" s="144"/>
      <c r="E25" s="150"/>
      <c r="F25" s="145"/>
      <c r="G25" s="87">
        <f>SUM(G15:G23)</f>
        <v>75500</v>
      </c>
    </row>
    <row r="26" spans="1:7" ht="15" thickBot="1" x14ac:dyDescent="0.4">
      <c r="A26" s="69"/>
      <c r="B26" s="69"/>
      <c r="C26" s="143" t="s">
        <v>55</v>
      </c>
      <c r="D26" s="144"/>
      <c r="E26" s="145"/>
      <c r="F26" s="84">
        <v>0.18</v>
      </c>
      <c r="G26" s="88">
        <f>G25*F26</f>
        <v>13590</v>
      </c>
    </row>
    <row r="27" spans="1:7" ht="15" thickBot="1" x14ac:dyDescent="0.4">
      <c r="A27" s="82"/>
      <c r="B27" s="82"/>
      <c r="C27" s="146" t="s">
        <v>52</v>
      </c>
      <c r="D27" s="147"/>
      <c r="E27" s="147"/>
      <c r="F27" s="148"/>
      <c r="G27" s="89">
        <f>SUM(G25:G26)</f>
        <v>89090</v>
      </c>
    </row>
    <row r="29" spans="1:7" x14ac:dyDescent="0.35">
      <c r="A29" s="149" t="s">
        <v>53</v>
      </c>
      <c r="B29" s="149"/>
      <c r="C29" s="149"/>
      <c r="D29" s="149"/>
      <c r="E29" s="149"/>
      <c r="F29" t="s">
        <v>54</v>
      </c>
    </row>
    <row r="34" spans="6:7" x14ac:dyDescent="0.35">
      <c r="F34" s="149" t="s">
        <v>63</v>
      </c>
      <c r="G34" s="149"/>
    </row>
  </sheetData>
  <mergeCells count="12">
    <mergeCell ref="C26:E26"/>
    <mergeCell ref="C27:F27"/>
    <mergeCell ref="A29:E29"/>
    <mergeCell ref="F34:G34"/>
    <mergeCell ref="C25:F25"/>
    <mergeCell ref="A9:B9"/>
    <mergeCell ref="A10:B10"/>
    <mergeCell ref="A11:B11"/>
    <mergeCell ref="A1:G1"/>
    <mergeCell ref="A2:B5"/>
    <mergeCell ref="A6:G6"/>
    <mergeCell ref="A8:B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D1A7-3E16-48BF-95AC-6BBCB3612E5C}">
  <dimension ref="A1:R11"/>
  <sheetViews>
    <sheetView tabSelected="1" topLeftCell="B1" workbookViewId="0">
      <selection activeCell="G2" sqref="G1:G1048576"/>
    </sheetView>
  </sheetViews>
  <sheetFormatPr defaultRowHeight="14.5" x14ac:dyDescent="0.35"/>
  <cols>
    <col min="7" max="7" width="13.453125" customWidth="1"/>
    <col min="10" max="10" width="16.1796875" customWidth="1"/>
    <col min="11" max="11" width="3.26953125" customWidth="1"/>
    <col min="13" max="13" width="11.1796875" customWidth="1"/>
    <col min="14" max="14" width="16.1796875" customWidth="1"/>
    <col min="15" max="15" width="11.7265625" bestFit="1" customWidth="1"/>
  </cols>
  <sheetData>
    <row r="1" spans="1:18" ht="15" thickBot="1" x14ac:dyDescent="0.4">
      <c r="A1" s="124" t="s">
        <v>7</v>
      </c>
      <c r="B1" s="125"/>
      <c r="C1" s="125"/>
      <c r="D1" s="125"/>
      <c r="E1" s="125"/>
      <c r="F1" s="125" t="s">
        <v>8</v>
      </c>
      <c r="G1" s="125"/>
      <c r="H1" s="125"/>
      <c r="I1" s="125"/>
      <c r="J1" s="125"/>
      <c r="K1" s="5"/>
      <c r="L1" s="133" t="s">
        <v>9</v>
      </c>
      <c r="M1" s="134"/>
      <c r="N1" s="134"/>
      <c r="O1" s="134"/>
      <c r="P1" s="134"/>
      <c r="Q1" s="134"/>
      <c r="R1" s="135"/>
    </row>
    <row r="2" spans="1:18" ht="15" thickBot="1" x14ac:dyDescent="0.4">
      <c r="A2" s="13" t="s">
        <v>1</v>
      </c>
      <c r="B2" s="127" t="s">
        <v>2</v>
      </c>
      <c r="C2" s="127"/>
      <c r="D2" s="127"/>
      <c r="E2" s="6" t="s">
        <v>3</v>
      </c>
      <c r="F2" s="6" t="s">
        <v>4</v>
      </c>
      <c r="G2" s="6" t="s">
        <v>12</v>
      </c>
      <c r="H2" s="6" t="s">
        <v>13</v>
      </c>
      <c r="I2" s="6" t="s">
        <v>5</v>
      </c>
      <c r="J2" s="6" t="s">
        <v>6</v>
      </c>
      <c r="K2" s="131"/>
      <c r="L2" s="6" t="s">
        <v>4</v>
      </c>
      <c r="M2" s="6" t="s">
        <v>72</v>
      </c>
      <c r="N2" s="6" t="s">
        <v>73</v>
      </c>
      <c r="O2" s="14" t="s">
        <v>6</v>
      </c>
      <c r="P2" s="6"/>
      <c r="Q2" s="6"/>
      <c r="R2" s="14" t="s">
        <v>6</v>
      </c>
    </row>
    <row r="3" spans="1:18" ht="15" thickBot="1" x14ac:dyDescent="0.4">
      <c r="A3" s="15">
        <v>1</v>
      </c>
      <c r="B3" s="128" t="s">
        <v>10</v>
      </c>
      <c r="C3" s="128"/>
      <c r="D3" s="128"/>
      <c r="E3" s="7" t="s">
        <v>11</v>
      </c>
      <c r="F3" s="8">
        <v>21.12</v>
      </c>
      <c r="G3" s="7">
        <v>50</v>
      </c>
      <c r="H3" s="7" t="s">
        <v>14</v>
      </c>
      <c r="I3" s="7">
        <f>305*G3</f>
        <v>15250</v>
      </c>
      <c r="J3" s="56">
        <f>F3*I3</f>
        <v>322080</v>
      </c>
      <c r="K3" s="131"/>
      <c r="L3" s="7">
        <v>29.5</v>
      </c>
      <c r="M3" s="7">
        <v>2</v>
      </c>
      <c r="N3" s="7">
        <f>(G3-M3)</f>
        <v>48</v>
      </c>
      <c r="O3" s="7">
        <f>(L3*M3*305)</f>
        <v>17995</v>
      </c>
      <c r="P3" s="7"/>
      <c r="Q3" s="7"/>
      <c r="R3" s="53">
        <f>M3*Q3</f>
        <v>0</v>
      </c>
    </row>
    <row r="4" spans="1:18" ht="15" thickBot="1" x14ac:dyDescent="0.4">
      <c r="A4" s="15">
        <v>2</v>
      </c>
      <c r="B4" s="128" t="s">
        <v>15</v>
      </c>
      <c r="C4" s="128"/>
      <c r="D4" s="128"/>
      <c r="E4" s="7"/>
      <c r="F4" s="7">
        <v>53.39</v>
      </c>
      <c r="G4" s="7" t="s">
        <v>16</v>
      </c>
      <c r="H4" s="7" t="s">
        <v>14</v>
      </c>
      <c r="I4" s="7">
        <v>1000</v>
      </c>
      <c r="J4" s="56">
        <f>F4*I4</f>
        <v>53390</v>
      </c>
      <c r="K4" s="131"/>
      <c r="L4" s="7">
        <v>75.5</v>
      </c>
      <c r="M4" s="7">
        <v>1000</v>
      </c>
      <c r="N4" s="7">
        <f>(I4-M4)</f>
        <v>0</v>
      </c>
      <c r="O4" s="7">
        <f>(L4*I4)</f>
        <v>75500</v>
      </c>
      <c r="P4" s="7"/>
      <c r="Q4" s="7"/>
      <c r="R4" s="53">
        <f>M4*Q4</f>
        <v>0</v>
      </c>
    </row>
    <row r="5" spans="1:18" ht="15" thickBot="1" x14ac:dyDescent="0.4">
      <c r="A5" s="15"/>
      <c r="B5" s="121"/>
      <c r="C5" s="121"/>
      <c r="D5" s="121"/>
      <c r="E5" s="10"/>
      <c r="F5" s="9"/>
      <c r="G5" s="7"/>
      <c r="H5" s="7"/>
      <c r="I5" s="7"/>
      <c r="J5" s="7"/>
      <c r="K5" s="131"/>
      <c r="L5" s="9"/>
      <c r="M5" s="4"/>
      <c r="N5" s="9"/>
      <c r="O5" s="7"/>
      <c r="P5" s="7"/>
      <c r="Q5" s="7"/>
      <c r="R5" s="53">
        <f t="shared" ref="R5:R6" si="0">M5*Q5</f>
        <v>0</v>
      </c>
    </row>
    <row r="6" spans="1:18" ht="15" thickBot="1" x14ac:dyDescent="0.4">
      <c r="A6" s="92"/>
      <c r="B6" s="121"/>
      <c r="C6" s="121"/>
      <c r="D6" s="121"/>
      <c r="E6" s="10"/>
      <c r="F6" s="9"/>
      <c r="G6" s="7"/>
      <c r="H6" s="7"/>
      <c r="I6" s="7"/>
      <c r="J6" s="7"/>
      <c r="K6" s="131"/>
      <c r="L6" s="52"/>
      <c r="M6" s="9"/>
      <c r="N6" s="9"/>
      <c r="O6" s="7"/>
      <c r="P6" s="7"/>
      <c r="Q6" s="7"/>
      <c r="R6" s="53">
        <f t="shared" si="0"/>
        <v>0</v>
      </c>
    </row>
    <row r="7" spans="1:18" ht="15" thickBot="1" x14ac:dyDescent="0.4">
      <c r="A7" s="16"/>
      <c r="B7" s="122"/>
      <c r="C7" s="122"/>
      <c r="D7" s="122"/>
      <c r="E7" s="8"/>
      <c r="F7" s="8"/>
      <c r="G7" s="8"/>
      <c r="H7" s="8"/>
      <c r="I7" s="11"/>
      <c r="J7" s="57"/>
      <c r="K7" s="131"/>
      <c r="L7" s="45"/>
      <c r="M7" s="8"/>
      <c r="N7" s="8"/>
      <c r="O7" s="8"/>
      <c r="P7" s="8"/>
      <c r="Q7" s="8"/>
      <c r="R7" s="54"/>
    </row>
    <row r="8" spans="1:18" ht="15" thickBot="1" x14ac:dyDescent="0.4">
      <c r="A8" s="16"/>
      <c r="B8" s="122"/>
      <c r="C8" s="122"/>
      <c r="D8" s="122"/>
      <c r="E8" s="8"/>
      <c r="F8" s="8"/>
      <c r="G8" s="8"/>
      <c r="H8" s="122" t="s">
        <v>17</v>
      </c>
      <c r="I8" s="122"/>
      <c r="J8" s="57">
        <f>SUM(J3:J7)</f>
        <v>375470</v>
      </c>
      <c r="K8" s="131"/>
      <c r="L8" s="45"/>
      <c r="M8" s="8"/>
      <c r="N8" s="9" t="s">
        <v>17</v>
      </c>
      <c r="O8" s="152">
        <f>SUM(O3:O7)</f>
        <v>93495</v>
      </c>
      <c r="P8" s="122" t="s">
        <v>17</v>
      </c>
      <c r="Q8" s="122"/>
      <c r="R8" s="54">
        <f>SUM(R3:R7)</f>
        <v>0</v>
      </c>
    </row>
    <row r="9" spans="1:18" ht="15" thickBot="1" x14ac:dyDescent="0.4">
      <c r="A9" s="16"/>
      <c r="B9" s="122"/>
      <c r="C9" s="122"/>
      <c r="D9" s="122"/>
      <c r="E9" s="7"/>
      <c r="F9" s="8"/>
      <c r="G9" s="8"/>
      <c r="H9" s="126" t="s">
        <v>55</v>
      </c>
      <c r="I9" s="126"/>
      <c r="J9" s="57">
        <f>(J8*1.18)</f>
        <v>443054.6</v>
      </c>
      <c r="K9" s="131"/>
      <c r="L9" s="45"/>
      <c r="M9" s="8"/>
      <c r="N9" s="151" t="s">
        <v>74</v>
      </c>
      <c r="O9" s="152">
        <f>(O8*0.18)</f>
        <v>16829.099999999999</v>
      </c>
      <c r="P9" s="126" t="s">
        <v>18</v>
      </c>
      <c r="Q9" s="126"/>
      <c r="R9" s="54">
        <f>(1+(MID(P9,FIND("@",P9)+2,2)%))*R8</f>
        <v>0</v>
      </c>
    </row>
    <row r="10" spans="1:18" ht="26.5" thickBot="1" x14ac:dyDescent="0.4">
      <c r="A10" s="17"/>
      <c r="B10" s="123"/>
      <c r="C10" s="123"/>
      <c r="D10" s="123"/>
      <c r="E10" s="18"/>
      <c r="F10" s="18"/>
      <c r="G10" s="19" t="s">
        <v>26</v>
      </c>
      <c r="H10" s="123" t="s">
        <v>19</v>
      </c>
      <c r="I10" s="123"/>
      <c r="J10" s="58">
        <f>((MID(H10,FIND("@",H10)+2,2)%))*J9</f>
        <v>332290.94999999995</v>
      </c>
      <c r="K10" s="132"/>
      <c r="L10" s="46"/>
      <c r="M10" s="18"/>
      <c r="N10" s="18" t="s">
        <v>28</v>
      </c>
      <c r="O10" s="58">
        <f>SUM(O8:O9)</f>
        <v>110324.1</v>
      </c>
      <c r="P10" s="123" t="s">
        <v>19</v>
      </c>
      <c r="Q10" s="123"/>
      <c r="R10" s="55">
        <f>((MID(P10,FIND("@",P10)+2,2)%))*R9</f>
        <v>0</v>
      </c>
    </row>
    <row r="11" spans="1:18" ht="15" thickTop="1" x14ac:dyDescent="0.35"/>
  </sheetData>
  <mergeCells count="19">
    <mergeCell ref="B10:D10"/>
    <mergeCell ref="H10:I10"/>
    <mergeCell ref="P10:Q10"/>
    <mergeCell ref="B8:D8"/>
    <mergeCell ref="H8:I8"/>
    <mergeCell ref="P8:Q8"/>
    <mergeCell ref="B9:D9"/>
    <mergeCell ref="H9:I9"/>
    <mergeCell ref="P9:Q9"/>
    <mergeCell ref="A1:E1"/>
    <mergeCell ref="F1:J1"/>
    <mergeCell ref="L1:R1"/>
    <mergeCell ref="B2:D2"/>
    <mergeCell ref="K2:K10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Deliver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Mandal, Tanmay (Cognizant)</dc:creator>
  <cp:lastModifiedBy>Mandal, Tanmay (Cognizant)</cp:lastModifiedBy>
  <cp:lastPrinted>2024-03-01T13:26:08Z</cp:lastPrinted>
  <dcterms:created xsi:type="dcterms:W3CDTF">2024-02-26T06:58:25Z</dcterms:created>
  <dcterms:modified xsi:type="dcterms:W3CDTF">2024-03-07T06:19:52Z</dcterms:modified>
</cp:coreProperties>
</file>