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0"/>
  <workbookPr defaultThemeVersion="166925"/>
  <mc:AlternateContent xmlns:mc="http://schemas.openxmlformats.org/markup-compatibility/2006">
    <mc:Choice Requires="x15">
      <x15ac:absPath xmlns:x15ac="http://schemas.microsoft.com/office/spreadsheetml/2010/11/ac" url="/Users/mario/Desktop/PC/"/>
    </mc:Choice>
  </mc:AlternateContent>
  <xr:revisionPtr revIDLastSave="0" documentId="8_{2EFA8F1D-3DDD-F44F-BAB4-873E22145D52}" xr6:coauthVersionLast="47" xr6:coauthVersionMax="47" xr10:uidLastSave="{00000000-0000-0000-0000-000000000000}"/>
  <bookViews>
    <workbookView xWindow="1360" yWindow="1680" windowWidth="19200" windowHeight="8340" firstSheet="3" activeTab="8" xr2:uid="{00000000-000D-0000-FFFF-FFFF00000000}"/>
  </bookViews>
  <sheets>
    <sheet name="Anagrafica" sheetId="1" r:id="rId1"/>
    <sheet name="Esercizio 1 soluzioni" sheetId="9" r:id="rId2"/>
    <sheet name="Esercizio 2 soluzioni" sheetId="6" r:id="rId3"/>
    <sheet name="Esercizio 3 soluzioni" sheetId="11" r:id="rId4"/>
    <sheet name="Esercizio 4 soluzioni" sheetId="12" r:id="rId5"/>
    <sheet name="Domanda 1" sheetId="13" r:id="rId6"/>
    <sheet name="Domanda 2" sheetId="17" r:id="rId7"/>
    <sheet name="Domanda 3" sheetId="18" r:id="rId8"/>
    <sheet name="Domanda 4" sheetId="19" r:id="rId9"/>
  </sheets>
  <definedNames>
    <definedName name="_xlnm.Print_Area" localSheetId="1">'Esercizio 1 soluzioni'!$A$1:$D$87</definedName>
    <definedName name="_xlnm.Print_Area" localSheetId="2">'Esercizio 2 soluzioni'!$A$1:$E$2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32" i="9" l="1"/>
  <c r="D19" i="12" l="1"/>
  <c r="C19" i="12"/>
  <c r="C29" i="12"/>
  <c r="B29" i="12"/>
  <c r="C28" i="12"/>
  <c r="B28" i="12"/>
  <c r="B20" i="12"/>
  <c r="D20" i="12" s="1"/>
  <c r="B40" i="12" s="1"/>
  <c r="B19" i="12"/>
  <c r="B37" i="12" s="1"/>
  <c r="C26" i="11"/>
  <c r="B26" i="11"/>
  <c r="C18" i="11"/>
  <c r="B18" i="11"/>
  <c r="D7" i="11"/>
  <c r="D6" i="11"/>
  <c r="D16" i="11" s="1"/>
  <c r="C36" i="6"/>
  <c r="C35" i="6"/>
  <c r="C31" i="6"/>
  <c r="C33" i="6"/>
  <c r="C34" i="6"/>
  <c r="B36" i="6"/>
  <c r="B35" i="6"/>
  <c r="B34" i="6"/>
  <c r="B33" i="6"/>
  <c r="B31" i="6"/>
  <c r="B37" i="6" s="1"/>
  <c r="B40" i="6" s="1"/>
  <c r="C20" i="6"/>
  <c r="C19" i="6"/>
  <c r="C21" i="6" s="1"/>
  <c r="B20" i="6"/>
  <c r="B19" i="6"/>
  <c r="B21" i="6" s="1"/>
  <c r="C17" i="6"/>
  <c r="B17" i="6"/>
  <c r="C25" i="11" l="1"/>
  <c r="C27" i="11" s="1"/>
  <c r="B17" i="11"/>
  <c r="B19" i="11" s="1"/>
  <c r="B25" i="11"/>
  <c r="B27" i="11" s="1"/>
  <c r="D27" i="11" s="1"/>
  <c r="C17" i="11"/>
  <c r="C19" i="11" s="1"/>
  <c r="B22" i="6"/>
  <c r="C37" i="6"/>
  <c r="C40" i="6" s="1"/>
  <c r="B30" i="12"/>
  <c r="C30" i="12"/>
  <c r="D21" i="12"/>
  <c r="C31" i="12" s="1"/>
  <c r="B21" i="12"/>
  <c r="C20" i="12"/>
  <c r="B39" i="12" s="1"/>
  <c r="C22" i="6"/>
  <c r="B46" i="6"/>
  <c r="B47" i="6" s="1"/>
  <c r="B34" i="9"/>
  <c r="C21" i="12" l="1"/>
  <c r="B31" i="12" s="1"/>
  <c r="B32" i="12" s="1"/>
  <c r="C32" i="12"/>
  <c r="C40" i="12" s="1"/>
  <c r="D19" i="11"/>
  <c r="D30" i="12"/>
  <c r="B80" i="9"/>
  <c r="B86" i="9" s="1"/>
  <c r="C65" i="9"/>
  <c r="C39" i="12" l="1"/>
  <c r="C41" i="12" s="1"/>
  <c r="D32" i="12"/>
  <c r="C37" i="12" s="1"/>
  <c r="D41" i="12" s="1"/>
  <c r="B55" i="9"/>
  <c r="D51" i="9"/>
  <c r="D50" i="9"/>
  <c r="B48" i="9"/>
  <c r="B39" i="9"/>
  <c r="B38" i="9"/>
  <c r="B79" i="9" s="1"/>
  <c r="B31" i="9"/>
  <c r="B36" i="9" s="1"/>
  <c r="B54" i="9" s="1"/>
  <c r="C13" i="9"/>
  <c r="D52" i="9" l="1"/>
  <c r="B32" i="9"/>
  <c r="B33" i="9"/>
  <c r="B84" i="9"/>
  <c r="B87" i="9" s="1"/>
  <c r="B81" i="9"/>
  <c r="D49" i="9"/>
  <c r="C68" i="9" l="1"/>
  <c r="C70" i="9" s="1"/>
  <c r="B85" i="9"/>
  <c r="B88" i="9" s="1"/>
  <c r="B89" i="9" s="1"/>
  <c r="D53" i="9"/>
  <c r="B35" i="9"/>
  <c r="B37" i="9" s="1"/>
  <c r="B40" i="9" l="1"/>
  <c r="C62" i="9" s="1"/>
  <c r="B49" i="9"/>
  <c r="B51" i="9"/>
  <c r="B50" i="9"/>
  <c r="B52" i="9" l="1"/>
  <c r="B53" i="9" s="1"/>
  <c r="B56" i="9" l="1"/>
  <c r="C61" i="9" s="1"/>
  <c r="C63" i="9" s="1"/>
</calcChain>
</file>

<file path=xl/sharedStrings.xml><?xml version="1.0" encoding="utf-8"?>
<sst xmlns="http://schemas.openxmlformats.org/spreadsheetml/2006/main" count="199" uniqueCount="162">
  <si>
    <t>Prezzo di vendita unitario</t>
  </si>
  <si>
    <t>Manodopera indiretta di produzione</t>
  </si>
  <si>
    <t>Affitto capannone produzione</t>
  </si>
  <si>
    <t>Costi generali e amministrativi</t>
  </si>
  <si>
    <t>Produzione</t>
  </si>
  <si>
    <t>Vendita</t>
  </si>
  <si>
    <t xml:space="preserve">Budget </t>
  </si>
  <si>
    <t>Ricavi di vendita</t>
  </si>
  <si>
    <t>Rimanenze iniziali</t>
  </si>
  <si>
    <t>Rimanenze finali</t>
  </si>
  <si>
    <t>Costo var pdz del venduto</t>
  </si>
  <si>
    <t>Provvigioni</t>
  </si>
  <si>
    <t>Margine di contribuzione</t>
  </si>
  <si>
    <t>Costi indiretti fissi di produzione</t>
  </si>
  <si>
    <t>Costi indiretti fissi commerciali e ammin</t>
  </si>
  <si>
    <t>Reddito operativo</t>
  </si>
  <si>
    <t>CDA =</t>
  </si>
  <si>
    <t xml:space="preserve">Margine lordo industriale </t>
  </si>
  <si>
    <t>Costo pieno unitario</t>
  </si>
  <si>
    <t>Reddito operativo costo pieno</t>
  </si>
  <si>
    <t>Reddito operativo costo variabile</t>
  </si>
  <si>
    <t>Delta</t>
  </si>
  <si>
    <t>RI</t>
  </si>
  <si>
    <t>RF</t>
  </si>
  <si>
    <t>CDA utilizzato per RF</t>
  </si>
  <si>
    <t>Riconciliazione</t>
  </si>
  <si>
    <t>Costi commerciali</t>
  </si>
  <si>
    <t>Costo var pdz unit</t>
  </si>
  <si>
    <t>Costi indiretti di produzione</t>
  </si>
  <si>
    <t>Totale</t>
  </si>
  <si>
    <t>Nome</t>
  </si>
  <si>
    <t>Cognome</t>
  </si>
  <si>
    <t>Matricola</t>
  </si>
  <si>
    <t>Classe</t>
  </si>
  <si>
    <t>Esame di Programmazione &amp; Controllo - Assignment ad integrazione della Prova Generale del 10 giugno 2021</t>
  </si>
  <si>
    <t>Margine di contribuzione unitario</t>
  </si>
  <si>
    <t>Quantità previste a budget</t>
  </si>
  <si>
    <t>Dati unitari di prodotto previsti a budget</t>
  </si>
  <si>
    <t>Altri costi previsti a budget</t>
  </si>
  <si>
    <t>Costo dei materiali diretti per unità di prodotto (€)</t>
  </si>
  <si>
    <t>Costo della manodopera diretta per unità di prodotto (€)</t>
  </si>
  <si>
    <t>Provvigioni di vendita (calcolate in percentuale sul fatturato)</t>
  </si>
  <si>
    <t>Rimanenze Iniziali</t>
  </si>
  <si>
    <t>Volumi di produzione effettivi</t>
  </si>
  <si>
    <t>Costi indiretti fissi di produzione effettivi</t>
  </si>
  <si>
    <t>Sistema a costi variabili</t>
  </si>
  <si>
    <t>CIF bdg</t>
  </si>
  <si>
    <t>CIF effettivi</t>
  </si>
  <si>
    <t>Delta spesa</t>
  </si>
  <si>
    <t>Sistema a costi pieni</t>
  </si>
  <si>
    <t>Delta volume</t>
  </si>
  <si>
    <t>SF</t>
  </si>
  <si>
    <t>volumi</t>
  </si>
  <si>
    <t>ESERCIZIO 1 (punti 6)</t>
  </si>
  <si>
    <t>La Airco produce e distribuisce in tutto il mondo tavole da surf. All'inizio del 202X il controller aveva elaborato il conto economico di budget relativo al primo semestre sulla base dei dati seguenti:</t>
  </si>
  <si>
    <t>Ammortamento impianti di produzione</t>
  </si>
  <si>
    <t>1. Conto economico di budget: configurazione a costo variabile</t>
  </si>
  <si>
    <t>Costo dei materiali di consumo per unità di prodotto (€)</t>
  </si>
  <si>
    <t>Manutenzioni impianti di produzione</t>
  </si>
  <si>
    <t>2. Conto economico di budget: configurazione a costo pieno</t>
  </si>
  <si>
    <t>Costo variabile prodotto ottenuto</t>
  </si>
  <si>
    <t>Costo pieno industriale del venduto</t>
  </si>
  <si>
    <t xml:space="preserve">3. Si spieghi la causa della differenza rilevata nel reddito operativo calcolato con le due diverse configurazioni di conto economico motivando la spiegazione con i calcoli opportuni  </t>
  </si>
  <si>
    <t>3. Differenza reddito operativo</t>
  </si>
  <si>
    <t>delta rimanenze</t>
  </si>
  <si>
    <t>4. Sapendo che: l'azienda per l'imputazione dei costi indretti di produzone ai prodtti utilizza un sistema di calcolo dei costi a valori normalizzati, i volumi di produzione effettivi del semestre sono risultati pari a 5.400 surf e che i costi indiretti fissi di produzione effettivi sono risultati pari a 450.000 euro, si determino gli scostamenti dei costi indiretti fissi di produzione relativi alle due confiigurazioni di costo utilizzate</t>
  </si>
  <si>
    <t>CIF assorbiti</t>
  </si>
  <si>
    <t>sf</t>
  </si>
  <si>
    <t>delta totale</t>
  </si>
  <si>
    <t>ESERCIZIO 3 (punti 5)</t>
  </si>
  <si>
    <t>Sulla base delle informazioni riportate</t>
  </si>
  <si>
    <r>
      <t xml:space="preserve">1. si proceda all'allocazione dei costi di manutenzione ai due reparti produttivi </t>
    </r>
    <r>
      <rPr>
        <b/>
        <sz val="12"/>
        <rFont val="Arial"/>
        <family val="2"/>
      </rPr>
      <t>a budget</t>
    </r>
  </si>
  <si>
    <r>
      <t xml:space="preserve">1. si proceda all'allocazione dei costi di manutenzione ai due reparti produttivi </t>
    </r>
    <r>
      <rPr>
        <b/>
        <sz val="12"/>
        <rFont val="Arial"/>
        <family val="2"/>
      </rPr>
      <t>a consuntivo</t>
    </r>
  </si>
  <si>
    <t>I dati relativi ai due prodotti sono i seguenti:</t>
  </si>
  <si>
    <t>Comfort</t>
  </si>
  <si>
    <t>Top</t>
  </si>
  <si>
    <t>Costo unitario materie prime</t>
  </si>
  <si>
    <t>Standard fisico taglio</t>
  </si>
  <si>
    <t>h. 0,1</t>
  </si>
  <si>
    <t>Standard fisico confezionamento</t>
  </si>
  <si>
    <t>Costo unitario materiali di consumo</t>
  </si>
  <si>
    <t>ESERCIZIO 2 (punti 6)</t>
  </si>
  <si>
    <t xml:space="preserve">Sulla base delle informazioni riportate: </t>
  </si>
  <si>
    <t>1. si elabori il conto economico di budget utlizzando la confiigurazione a costo variabile</t>
  </si>
  <si>
    <t xml:space="preserve">
2. Si elabori il conto economico a budget utilizzando la configurazione a costo pieno e sapendo che i costi fissi di produzione sono allocati ai prodotti sulla base dei volumi di produzione</t>
  </si>
  <si>
    <t>1. Si verifichi la fattiblità tecnica dei volumi di produzione ipotizzati</t>
  </si>
  <si>
    <t>h. 0,25</t>
  </si>
  <si>
    <t>h. 0,4</t>
  </si>
  <si>
    <t>2. Si elabori il programma di produzione/vendita ottimo per la Deepsea</t>
  </si>
  <si>
    <t>Taglio</t>
  </si>
  <si>
    <t>Confezionamento</t>
  </si>
  <si>
    <t>capacità produttiva disponibile</t>
  </si>
  <si>
    <t>capacità produttiva necessaria</t>
  </si>
  <si>
    <t>totale h. necessarie</t>
  </si>
  <si>
    <t>Eccesso/carenza</t>
  </si>
  <si>
    <t>Calcolo MdC per fattore scarso</t>
  </si>
  <si>
    <t>prezzo</t>
  </si>
  <si>
    <t>CV</t>
  </si>
  <si>
    <t>materie prime</t>
  </si>
  <si>
    <t>materiali di consumo</t>
  </si>
  <si>
    <t>MOD taglio</t>
  </si>
  <si>
    <t>Mod confezionamento</t>
  </si>
  <si>
    <t>standard fisico confezionamento</t>
  </si>
  <si>
    <t>mdc per fattore scarso</t>
  </si>
  <si>
    <t>Programma di produzione/vendita ottimo</t>
  </si>
  <si>
    <t>comfort</t>
  </si>
  <si>
    <t>tempo conf necessario</t>
  </si>
  <si>
    <t>tempo residuo da destinare a top</t>
  </si>
  <si>
    <t>costumi Top</t>
  </si>
  <si>
    <t>Delta è solita allocare i costi del centro servizio manutenzione ai 2 reparti produttivi (R1 e R2) in base ad una metodologia di allocazione separata dei costi variabili e dei costi fissi. In sede di budget 202X si definiscono le seguenti informazioni: I costi fissi programmati del reparto manutenzione sono pari a € 20.000 mensili dei quali il 70% è da considerarsi fisso. La capacità programmata richiesta nel periodo di picco dai due reparti, calcolata in base al numero di macchinari presenti nei 2 reparti, è pari al 60% per R1 e al 40% per R2; 	mentre i costi variabili di manutenzione sono allocati in base ad una tariffa determinata sulla base del numero di interventi di manutenzione programmati.  Con riferimento al mese dii maggio dell'anno 202X si rleva quanto segue:</t>
  </si>
  <si>
    <t>R1</t>
  </si>
  <si>
    <t>R2</t>
  </si>
  <si>
    <t>interventi di manutenzione programmati</t>
  </si>
  <si>
    <t>interventi di manutenzione effettivi</t>
  </si>
  <si>
    <t>Costi di manutenzione effettivi €28.000</t>
  </si>
  <si>
    <t>Costi manutenzione variabili</t>
  </si>
  <si>
    <t>Costi manutenzione fissi</t>
  </si>
  <si>
    <t>tariffa di budget</t>
  </si>
  <si>
    <t>Costi manutenzione totali</t>
  </si>
  <si>
    <t>Costo dei materiali diretti dei semilavorati al 1^ maggio</t>
  </si>
  <si>
    <t>Costo di trasaformazione dei semilavorati al 1^ maggio</t>
  </si>
  <si>
    <t>Semilavorati al 1^ maggio (quintali)</t>
  </si>
  <si>
    <t>Semilavorati al 31 maggio (quintali)</t>
  </si>
  <si>
    <t>% di completamento dei semiilavorati rispetto ai materiali diretti</t>
  </si>
  <si>
    <t>Costo dei materiali diretti aggiunti in maggio</t>
  </si>
  <si>
    <t>Costi di trasformazione aggiunti in maggio</t>
  </si>
  <si>
    <t>Sulla base delle informazioni riportate ed utilizzando il metodo della media ponderata</t>
  </si>
  <si>
    <t>1. si determino le unità equivalenti di produzione relative al mese di maggio</t>
  </si>
  <si>
    <t>2. si determini il costo unitario dei semilavorati relativi al mese di maggio</t>
  </si>
  <si>
    <t>TopB produce birra artigianale e adotta un sistema di misurazione dei costi per processo. Con rifermento al Reparto Fermentazione  e al mese di maggio 202X sono disponibili le seguenti informazioni:</t>
  </si>
  <si>
    <t>Materiali diretti</t>
  </si>
  <si>
    <t>Trasformazione</t>
  </si>
  <si>
    <t>Unità fisiche</t>
  </si>
  <si>
    <t>Produzione avviata nel mese di maggio (quintali)</t>
  </si>
  <si>
    <t>% di completamento dei semiilavorati rispetto alla trasformazione</t>
  </si>
  <si>
    <t>Costo rimanenze iniziali</t>
  </si>
  <si>
    <t>Costi aggiunti maggio</t>
  </si>
  <si>
    <t>Costi totali</t>
  </si>
  <si>
    <t>UEP</t>
  </si>
  <si>
    <t>Costo unitario semilavorato</t>
  </si>
  <si>
    <t>3. si determini il costo dei prodotti trasferiti ed il valore delle rimanenze finali di semilavorati del reparto fermentazione relativi al mese di maggio</t>
  </si>
  <si>
    <t>Unità completate</t>
  </si>
  <si>
    <t>Produzione completata</t>
  </si>
  <si>
    <t xml:space="preserve">Quantità </t>
  </si>
  <si>
    <t>Valore</t>
  </si>
  <si>
    <t>Totale rimanenze finali</t>
  </si>
  <si>
    <t>DOMANDA 4 (punti 2)</t>
  </si>
  <si>
    <t>DOMANDA 1 (punti 2)</t>
  </si>
  <si>
    <t>Si definisca il concetto di rischio operativo e si presentino gli indicatori atti a misurarlo</t>
  </si>
  <si>
    <t>DOMANDA 2 (punti 2)</t>
  </si>
  <si>
    <t>Si presentino i metodi di allocazione delle unità di servizi indicando per ciascuno di essi vantaggi e svantaggi</t>
  </si>
  <si>
    <t>DOMANDA 3 (punti 2)</t>
  </si>
  <si>
    <t>Si analizzino i vantaggi e gli svantaggi dei costi standard</t>
  </si>
  <si>
    <t>Con riferimento ai centri di responsabilità economica si definisca il criterio della controllabilità</t>
  </si>
  <si>
    <t>Costo pieno industriale prodotto ottenuto</t>
  </si>
  <si>
    <r>
      <t xml:space="preserve">Deepsea produce e vende abbigliamento da mare di elevata qualità. In particolare, i prodotti di punta dell'azienda sono due modelli di costume da uomo: il modello economico </t>
    </r>
    <r>
      <rPr>
        <b/>
        <sz val="12"/>
        <color theme="1"/>
        <rFont val="Arial"/>
        <family val="2"/>
      </rPr>
      <t xml:space="preserve">Comfort </t>
    </r>
    <r>
      <rPr>
        <sz val="12"/>
        <color theme="1"/>
        <rFont val="Arial"/>
        <family val="2"/>
      </rPr>
      <t>ed</t>
    </r>
    <r>
      <rPr>
        <b/>
        <sz val="12"/>
        <color theme="1"/>
        <rFont val="Arial"/>
        <family val="2"/>
      </rPr>
      <t xml:space="preserve"> il</t>
    </r>
    <r>
      <rPr>
        <sz val="12"/>
        <color theme="1"/>
        <rFont val="Arial"/>
        <family val="2"/>
      </rPr>
      <t xml:space="preserve"> modello più elegante</t>
    </r>
    <r>
      <rPr>
        <b/>
        <sz val="12"/>
        <color theme="1"/>
        <rFont val="Arial"/>
        <family val="2"/>
      </rPr>
      <t xml:space="preserve"> Top. L</t>
    </r>
    <r>
      <rPr>
        <sz val="12"/>
        <color theme="1"/>
        <rFont val="Arial"/>
        <family val="2"/>
      </rPr>
      <t xml:space="preserve">a produzione dei costumi da bagno si svolge in due reparti:  </t>
    </r>
    <r>
      <rPr>
        <b/>
        <sz val="12"/>
        <color theme="1"/>
        <rFont val="Arial"/>
        <family val="2"/>
      </rPr>
      <t>Reparto Taglio</t>
    </r>
    <r>
      <rPr>
        <sz val="12"/>
        <color theme="1"/>
        <rFont val="Arial"/>
        <family val="2"/>
      </rPr>
      <t xml:space="preserve"> dove 20 operai tagliano il tessuto secondo l modello predefinito e </t>
    </r>
    <r>
      <rPr>
        <b/>
        <sz val="12"/>
        <color theme="1"/>
        <rFont val="Arial"/>
        <family val="2"/>
      </rPr>
      <t>Reparto confezionamento</t>
    </r>
    <r>
      <rPr>
        <sz val="12"/>
        <color theme="1"/>
        <rFont val="Arial"/>
        <family val="2"/>
      </rPr>
      <t xml:space="preserve"> nel quale 40 operai realizzano il costume finito. Ciascun operaio lavora 22 giorni al mese per 8 ore al giorno ed il costo orario della MOD è di € 30.  Con riguardo al II trimestre 202X il Direttore Commerciale aveva previsto di vendere 50.000 costumi Comfort e 35.000 costumi Top</t>
    </r>
  </si>
  <si>
    <t>ESERCIZIO 4 (punti 6)</t>
  </si>
  <si>
    <t xml:space="preserve">              CDA</t>
  </si>
  <si>
    <t>costi contabilizzati</t>
  </si>
  <si>
    <t>Il rischio operativo rappresenta la probabilità di realizzare risultati economici sfavorevoli legata</t>
  </si>
  <si>
    <t>alla configurazione della struttura dei costi operativi. Quest'ultima dipende dal rapporto tra costi variabili e costi fissi</t>
  </si>
  <si>
    <t>indicatori di rischio operativo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</si>
</sst>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43" formatCode="_-* #,##0.00_-;\-* #,##0.00_-;_-* &quot;-&quot;??_-;_-@_-"/>
    <numFmt numFmtId="164" formatCode="#,##0.00;[Red]\(#,##0.00\)"/>
    <numFmt numFmtId="165" formatCode="#,##0.00;[Red]#,##0.00"/>
    <numFmt numFmtId="166" formatCode="#,##0;[Red]\(#,##0\)"/>
    <numFmt numFmtId="167" formatCode="#,##0;[Red]#,##0"/>
    <numFmt numFmtId="168" formatCode="_-* #,##0.00\ [$€-410]_-;\-* #,##0.00\ [$€-410]_-;_-* &quot;-&quot;??\ [$€-410]_-;_-@_-"/>
    <numFmt numFmtId="169" formatCode="_-* #,##0.0\ [$€-410]_-;\-* #,##0.0\ [$€-410]_-;_-* &quot;-&quot;??\ [$€-410]_-;_-@_-"/>
    <numFmt numFmtId="170" formatCode="_-* #,##0\ [$€-410]_-;\-* #,##0\ [$€-410]_-;_-* &quot;-&quot;??\ [$€-410]_-;_-@_-"/>
    <numFmt numFmtId="171" formatCode="_-* #,##0\ &quot;€&quot;_-;\-* #,##0\ &quot;€&quot;_-;_-* &quot;-&quot;??\ &quot;€&quot;_-;_-@_-"/>
  </numFmts>
  <fonts count="14"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2"/>
      <color theme="1"/>
      <name val="Arial"/>
      <family val="2"/>
    </font>
    <font>
      <sz val="12"/>
      <color theme="1"/>
      <name val="Arial"/>
      <family val="2"/>
    </font>
    <font>
      <b/>
      <sz val="12"/>
      <color theme="0"/>
      <name val="Arial"/>
      <family val="2"/>
    </font>
    <font>
      <b/>
      <sz val="12"/>
      <color rgb="FFFF0000"/>
      <name val="Arial"/>
      <family val="2"/>
    </font>
    <font>
      <sz val="12"/>
      <color rgb="FFFF0000"/>
      <name val="Arial"/>
      <family val="2"/>
    </font>
    <font>
      <u/>
      <sz val="12"/>
      <color theme="1"/>
      <name val="Arial"/>
      <family val="2"/>
    </font>
    <font>
      <sz val="12"/>
      <name val="Arial"/>
      <family val="2"/>
    </font>
    <font>
      <b/>
      <sz val="12"/>
      <name val="Arial"/>
      <family val="2"/>
    </font>
    <font>
      <sz val="11"/>
      <color theme="1"/>
      <name val="Tahoma"/>
      <family val="2"/>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theme="2" tint="-9.9978637043366805E-2"/>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09">
    <xf numFmtId="0" fontId="0" fillId="0" borderId="0" xfId="0"/>
    <xf numFmtId="0" fontId="2" fillId="0" borderId="0" xfId="0" applyFont="1"/>
    <xf numFmtId="0" fontId="3" fillId="0" borderId="1" xfId="0" applyFont="1" applyBorder="1" applyAlignment="1">
      <alignment vertical="top" wrapText="1"/>
    </xf>
    <xf numFmtId="0" fontId="2" fillId="0" borderId="2" xfId="0" applyFont="1" applyBorder="1" applyAlignment="1">
      <alignment vertical="top" wrapText="1"/>
    </xf>
    <xf numFmtId="0" fontId="3" fillId="0" borderId="0" xfId="0" applyFont="1"/>
    <xf numFmtId="0" fontId="2" fillId="0" borderId="2" xfId="0" applyFont="1" applyBorder="1" applyAlignment="1">
      <alignment horizontal="left" vertical="top" wrapText="1"/>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xf numFmtId="0" fontId="5" fillId="0" borderId="0" xfId="0" applyFont="1" applyAlignment="1">
      <alignment vertical="center"/>
    </xf>
    <xf numFmtId="0" fontId="5" fillId="0" borderId="0" xfId="0" applyFont="1" applyFill="1" applyAlignment="1">
      <alignment vertical="center"/>
    </xf>
    <xf numFmtId="0" fontId="5" fillId="0" borderId="3" xfId="0" applyFont="1" applyBorder="1" applyAlignment="1">
      <alignment horizontal="justify" vertical="center" wrapText="1"/>
    </xf>
    <xf numFmtId="9" fontId="5" fillId="0" borderId="3" xfId="0" applyNumberFormat="1" applyFont="1" applyBorder="1" applyAlignment="1">
      <alignment horizontal="right" vertical="center" wrapText="1"/>
    </xf>
    <xf numFmtId="0" fontId="6" fillId="4" borderId="3" xfId="0" applyFont="1" applyFill="1" applyBorder="1" applyAlignment="1">
      <alignment horizontal="justify" vertical="center" wrapText="1"/>
    </xf>
    <xf numFmtId="0" fontId="4" fillId="0" borderId="0" xfId="0" applyFont="1" applyFill="1" applyBorder="1" applyAlignment="1">
      <alignment horizontal="center" vertical="center" wrapText="1"/>
    </xf>
    <xf numFmtId="3" fontId="5" fillId="0" borderId="3" xfId="0" applyNumberFormat="1" applyFont="1" applyBorder="1" applyAlignment="1">
      <alignment horizontal="center" vertical="center" wrapText="1"/>
    </xf>
    <xf numFmtId="3" fontId="5" fillId="0" borderId="0" xfId="0" applyNumberFormat="1" applyFont="1" applyFill="1" applyBorder="1" applyAlignment="1">
      <alignment horizontal="center" vertical="center" wrapText="1"/>
    </xf>
    <xf numFmtId="0" fontId="5" fillId="0" borderId="0" xfId="0" applyFont="1" applyAlignment="1">
      <alignment vertical="center" wrapText="1"/>
    </xf>
    <xf numFmtId="0" fontId="5" fillId="0" borderId="0" xfId="0" applyFont="1" applyFill="1"/>
    <xf numFmtId="0" fontId="4" fillId="0" borderId="0" xfId="0" applyFont="1"/>
    <xf numFmtId="0" fontId="7" fillId="0" borderId="0" xfId="0" applyFont="1"/>
    <xf numFmtId="0" fontId="4" fillId="0" borderId="0" xfId="0" applyFont="1" applyAlignment="1">
      <alignment horizontal="center" vertical="center"/>
    </xf>
    <xf numFmtId="0" fontId="4" fillId="0" borderId="3" xfId="0" applyFont="1" applyBorder="1" applyAlignment="1">
      <alignment horizontal="center" vertical="center"/>
    </xf>
    <xf numFmtId="0" fontId="4" fillId="0" borderId="0" xfId="0" applyFont="1" applyFill="1" applyBorder="1" applyAlignment="1">
      <alignment horizontal="center" vertical="center"/>
    </xf>
    <xf numFmtId="0" fontId="8" fillId="0" borderId="0" xfId="0" applyFont="1"/>
    <xf numFmtId="0" fontId="5" fillId="0" borderId="3" xfId="0" applyFont="1" applyBorder="1" applyAlignment="1">
      <alignment vertical="center"/>
    </xf>
    <xf numFmtId="164" fontId="5" fillId="0" borderId="0" xfId="0" applyNumberFormat="1" applyFont="1" applyFill="1" applyBorder="1" applyAlignment="1">
      <alignment vertical="center"/>
    </xf>
    <xf numFmtId="0" fontId="5" fillId="0" borderId="3" xfId="0" applyFont="1" applyBorder="1"/>
    <xf numFmtId="164" fontId="5" fillId="0" borderId="0" xfId="0" applyNumberFormat="1" applyFont="1" applyFill="1" applyBorder="1"/>
    <xf numFmtId="0" fontId="9" fillId="0" borderId="3" xfId="0" applyFont="1" applyFill="1" applyBorder="1"/>
    <xf numFmtId="0" fontId="5" fillId="0" borderId="3" xfId="0" applyFont="1" applyFill="1" applyBorder="1"/>
    <xf numFmtId="0" fontId="4" fillId="0" borderId="3" xfId="0" applyFont="1" applyFill="1" applyBorder="1"/>
    <xf numFmtId="3" fontId="5" fillId="0" borderId="0" xfId="0" applyNumberFormat="1" applyFont="1"/>
    <xf numFmtId="164" fontId="5" fillId="0" borderId="0" xfId="0" applyNumberFormat="1" applyFont="1" applyFill="1"/>
    <xf numFmtId="0" fontId="5" fillId="0" borderId="0" xfId="0" applyFont="1" applyFill="1" applyBorder="1"/>
    <xf numFmtId="165" fontId="5" fillId="0" borderId="0" xfId="0" applyNumberFormat="1" applyFont="1" applyFill="1"/>
    <xf numFmtId="3" fontId="5" fillId="0" borderId="0" xfId="0" applyNumberFormat="1" applyFont="1" applyFill="1"/>
    <xf numFmtId="0" fontId="5" fillId="0" borderId="0" xfId="0" applyFont="1" applyFill="1" applyAlignment="1">
      <alignment horizontal="right"/>
    </xf>
    <xf numFmtId="4" fontId="5" fillId="0" borderId="4" xfId="0" applyNumberFormat="1" applyFont="1" applyFill="1" applyBorder="1"/>
    <xf numFmtId="0" fontId="4" fillId="0" borderId="0" xfId="0" applyFont="1" applyFill="1" applyBorder="1"/>
    <xf numFmtId="0" fontId="10" fillId="0" borderId="0" xfId="0" applyFont="1"/>
    <xf numFmtId="0" fontId="10" fillId="0" borderId="0" xfId="0" applyFont="1" applyAlignment="1">
      <alignment horizontal="center"/>
    </xf>
    <xf numFmtId="0" fontId="10" fillId="0" borderId="0" xfId="0" applyFont="1" applyBorder="1"/>
    <xf numFmtId="3" fontId="10" fillId="0" borderId="0" xfId="0" applyNumberFormat="1" applyFont="1" applyBorder="1" applyAlignment="1">
      <alignment horizontal="center"/>
    </xf>
    <xf numFmtId="3" fontId="5" fillId="0" borderId="3" xfId="0" applyNumberFormat="1" applyFont="1" applyBorder="1" applyAlignment="1">
      <alignment horizontal="right" vertical="center" wrapText="1"/>
    </xf>
    <xf numFmtId="0" fontId="6" fillId="4" borderId="3" xfId="0" applyFont="1" applyFill="1" applyBorder="1" applyAlignment="1">
      <alignment horizontal="center" vertical="center" wrapText="1"/>
    </xf>
    <xf numFmtId="0" fontId="10" fillId="0" borderId="3" xfId="0" applyFont="1" applyBorder="1" applyAlignment="1">
      <alignment horizontal="justify" vertical="center" wrapText="1"/>
    </xf>
    <xf numFmtId="0" fontId="4" fillId="0" borderId="0" xfId="0" applyFont="1" applyAlignment="1">
      <alignment vertical="center"/>
    </xf>
    <xf numFmtId="0" fontId="8" fillId="0" borderId="0" xfId="0" applyFont="1" applyAlignment="1">
      <alignment wrapText="1"/>
    </xf>
    <xf numFmtId="166" fontId="5" fillId="3" borderId="3" xfId="0" applyNumberFormat="1" applyFont="1" applyFill="1" applyBorder="1" applyAlignment="1">
      <alignment vertical="center"/>
    </xf>
    <xf numFmtId="166" fontId="5" fillId="0" borderId="3" xfId="0" applyNumberFormat="1" applyFont="1" applyBorder="1"/>
    <xf numFmtId="166" fontId="5" fillId="0" borderId="0" xfId="0" applyNumberFormat="1" applyFont="1"/>
    <xf numFmtId="167" fontId="5" fillId="0" borderId="0" xfId="0" applyNumberFormat="1" applyFont="1"/>
    <xf numFmtId="0" fontId="5" fillId="2" borderId="0" xfId="0" applyFont="1" applyFill="1" applyAlignment="1">
      <alignment horizontal="left" vertical="center" wrapText="1"/>
    </xf>
    <xf numFmtId="0" fontId="5" fillId="0" borderId="0" xfId="0" applyFont="1" applyAlignment="1">
      <alignment horizontal="left" vertical="center" wrapText="1"/>
    </xf>
    <xf numFmtId="0" fontId="11" fillId="0" borderId="0" xfId="0" applyFont="1"/>
    <xf numFmtId="2" fontId="5" fillId="0" borderId="0" xfId="0" applyNumberFormat="1" applyFont="1" applyFill="1"/>
    <xf numFmtId="4" fontId="5" fillId="0" borderId="0" xfId="0" applyNumberFormat="1" applyFont="1"/>
    <xf numFmtId="0" fontId="12" fillId="0" borderId="0" xfId="0" applyFont="1" applyAlignment="1">
      <alignment horizontal="justify" vertical="center"/>
    </xf>
    <xf numFmtId="0" fontId="10" fillId="0" borderId="0" xfId="0" applyFont="1" applyAlignment="1">
      <alignment horizontal="right"/>
    </xf>
    <xf numFmtId="0" fontId="11" fillId="0" borderId="0" xfId="0" applyFont="1" applyAlignment="1">
      <alignment horizontal="center"/>
    </xf>
    <xf numFmtId="170" fontId="10" fillId="0" borderId="0" xfId="0" applyNumberFormat="1" applyFont="1" applyAlignment="1">
      <alignment horizontal="right"/>
    </xf>
    <xf numFmtId="171" fontId="10" fillId="0" borderId="0" xfId="3" applyNumberFormat="1" applyFont="1" applyAlignment="1">
      <alignment horizontal="right"/>
    </xf>
    <xf numFmtId="0" fontId="4" fillId="2" borderId="0" xfId="0" applyFont="1" applyFill="1"/>
    <xf numFmtId="0" fontId="4" fillId="2" borderId="0" xfId="0" applyFont="1" applyFill="1" applyAlignment="1">
      <alignment horizontal="left" vertical="center" wrapText="1"/>
    </xf>
    <xf numFmtId="0" fontId="5" fillId="2" borderId="0" xfId="0" applyFont="1" applyFill="1" applyAlignment="1">
      <alignment horizontal="center"/>
    </xf>
    <xf numFmtId="0" fontId="5" fillId="2" borderId="0" xfId="0" applyFont="1" applyFill="1" applyAlignment="1">
      <alignment horizontal="left"/>
    </xf>
    <xf numFmtId="1" fontId="10" fillId="0" borderId="0" xfId="1" applyNumberFormat="1" applyFont="1" applyAlignment="1">
      <alignment horizontal="center"/>
    </xf>
    <xf numFmtId="1" fontId="10" fillId="0" borderId="0" xfId="0" applyNumberFormat="1" applyFont="1" applyAlignment="1">
      <alignment horizontal="center"/>
    </xf>
    <xf numFmtId="1" fontId="11" fillId="0" borderId="0" xfId="0" applyNumberFormat="1" applyFont="1" applyAlignment="1">
      <alignment horizontal="center"/>
    </xf>
    <xf numFmtId="170" fontId="10" fillId="0" borderId="0" xfId="0" applyNumberFormat="1" applyFont="1" applyAlignment="1">
      <alignment horizontal="center"/>
    </xf>
    <xf numFmtId="170" fontId="11" fillId="0" borderId="0" xfId="0" applyNumberFormat="1" applyFont="1" applyAlignment="1">
      <alignment horizontal="center"/>
    </xf>
    <xf numFmtId="0" fontId="4" fillId="0" borderId="0" xfId="0" applyFont="1" applyFill="1" applyAlignment="1">
      <alignment horizontal="left" vertical="center" wrapText="1"/>
    </xf>
    <xf numFmtId="0" fontId="10" fillId="2" borderId="0" xfId="0" applyFont="1" applyFill="1" applyAlignment="1">
      <alignment horizontal="left"/>
    </xf>
    <xf numFmtId="0" fontId="4" fillId="0" borderId="0" xfId="0" applyFont="1" applyAlignment="1">
      <alignment horizontal="left" vertical="center" wrapText="1"/>
    </xf>
    <xf numFmtId="0" fontId="5" fillId="0" borderId="0" xfId="0" applyFont="1" applyAlignment="1">
      <alignment horizontal="right" vertical="center" wrapText="1"/>
    </xf>
    <xf numFmtId="0" fontId="5" fillId="0" borderId="0" xfId="0" applyFont="1" applyAlignment="1">
      <alignment wrapText="1"/>
    </xf>
    <xf numFmtId="0" fontId="3" fillId="5" borderId="0" xfId="0" applyFont="1" applyFill="1"/>
    <xf numFmtId="3" fontId="5" fillId="0" borderId="3" xfId="0" applyNumberFormat="1" applyFont="1" applyBorder="1" applyAlignment="1">
      <alignment vertical="center" wrapText="1"/>
    </xf>
    <xf numFmtId="164" fontId="5" fillId="2" borderId="0" xfId="0" applyNumberFormat="1" applyFont="1" applyFill="1" applyBorder="1" applyAlignment="1">
      <alignment vertical="center"/>
    </xf>
    <xf numFmtId="169" fontId="10" fillId="0" borderId="0" xfId="0" applyNumberFormat="1" applyFont="1" applyAlignment="1">
      <alignment horizontal="center"/>
    </xf>
    <xf numFmtId="169" fontId="11" fillId="0" borderId="0" xfId="0" applyNumberFormat="1" applyFont="1" applyAlignment="1">
      <alignment horizontal="center"/>
    </xf>
    <xf numFmtId="168" fontId="11" fillId="0" borderId="0" xfId="0" applyNumberFormat="1" applyFont="1" applyAlignment="1">
      <alignment horizontal="center"/>
    </xf>
    <xf numFmtId="9" fontId="5" fillId="0" borderId="0" xfId="0" applyNumberFormat="1" applyFont="1"/>
    <xf numFmtId="164" fontId="4" fillId="0" borderId="0" xfId="0" applyNumberFormat="1" applyFont="1" applyFill="1" applyBorder="1" applyAlignment="1">
      <alignment horizontal="right" vertical="center"/>
    </xf>
    <xf numFmtId="0" fontId="4" fillId="0" borderId="0" xfId="0" applyFont="1" applyAlignment="1">
      <alignment horizontal="right"/>
    </xf>
    <xf numFmtId="0" fontId="4" fillId="0" borderId="0" xfId="0" applyFont="1" applyFill="1" applyAlignment="1">
      <alignment horizontal="right"/>
    </xf>
    <xf numFmtId="0" fontId="11" fillId="0" borderId="0" xfId="0" applyFont="1" applyAlignment="1">
      <alignment horizontal="right"/>
    </xf>
    <xf numFmtId="0" fontId="13" fillId="0" borderId="0" xfId="0" applyFont="1"/>
    <xf numFmtId="0" fontId="4" fillId="0" borderId="0" xfId="0" applyFont="1" applyAlignment="1">
      <alignment horizontal="right" vertical="center" wrapText="1"/>
    </xf>
    <xf numFmtId="0" fontId="3" fillId="0" borderId="0" xfId="0" applyFont="1" applyAlignment="1">
      <alignment horizontal="center" vertical="center" wrapText="1"/>
    </xf>
    <xf numFmtId="0" fontId="4" fillId="2" borderId="0" xfId="0" applyFont="1" applyFill="1" applyAlignment="1">
      <alignment horizontal="left" vertical="center"/>
    </xf>
    <xf numFmtId="0" fontId="5" fillId="2" borderId="0" xfId="0" applyFont="1" applyFill="1" applyAlignment="1">
      <alignment horizontal="left" vertical="top" wrapText="1"/>
    </xf>
    <xf numFmtId="0" fontId="5" fillId="2" borderId="0" xfId="0" applyFont="1" applyFill="1" applyAlignment="1">
      <alignment horizontal="left" vertical="center" wrapText="1"/>
    </xf>
    <xf numFmtId="0" fontId="5" fillId="0" borderId="0" xfId="0" applyFont="1" applyAlignment="1">
      <alignment horizontal="left" vertical="center" wrapText="1"/>
    </xf>
    <xf numFmtId="0" fontId="6" fillId="4" borderId="3" xfId="0" applyFont="1" applyFill="1" applyBorder="1" applyAlignment="1">
      <alignment horizontal="center" vertical="center" wrapText="1"/>
    </xf>
    <xf numFmtId="3" fontId="4" fillId="0" borderId="5" xfId="0" applyNumberFormat="1" applyFont="1" applyBorder="1" applyAlignment="1">
      <alignment horizontal="center" vertical="center"/>
    </xf>
    <xf numFmtId="3" fontId="4" fillId="0" borderId="6" xfId="0" applyNumberFormat="1" applyFont="1" applyBorder="1" applyAlignment="1">
      <alignment horizontal="center" vertical="center"/>
    </xf>
    <xf numFmtId="3" fontId="4" fillId="0" borderId="7" xfId="0" applyNumberFormat="1" applyFont="1" applyBorder="1" applyAlignment="1">
      <alignment horizontal="center" vertical="center"/>
    </xf>
    <xf numFmtId="0" fontId="5" fillId="0" borderId="8" xfId="0" applyFont="1" applyBorder="1"/>
    <xf numFmtId="0" fontId="5" fillId="0" borderId="8" xfId="0" applyFont="1" applyFill="1" applyBorder="1"/>
    <xf numFmtId="0" fontId="11" fillId="0" borderId="0" xfId="0" applyFont="1" applyAlignment="1">
      <alignment horizontal="right"/>
    </xf>
    <xf numFmtId="0" fontId="5" fillId="2" borderId="0" xfId="0" applyFont="1" applyFill="1" applyAlignment="1">
      <alignment horizontal="left" vertical="center"/>
    </xf>
    <xf numFmtId="0" fontId="4" fillId="2" borderId="0" xfId="0" applyFont="1" applyFill="1"/>
    <xf numFmtId="0" fontId="10" fillId="2" borderId="0" xfId="0" applyFont="1" applyFill="1" applyAlignment="1">
      <alignment horizontal="left"/>
    </xf>
    <xf numFmtId="0" fontId="10" fillId="2" borderId="0" xfId="0" applyFont="1" applyFill="1" applyAlignment="1">
      <alignment horizontal="left" wrapText="1"/>
    </xf>
    <xf numFmtId="0" fontId="12" fillId="0" borderId="0" xfId="0" applyFont="1" applyAlignment="1">
      <alignment horizontal="left" vertical="center" wrapText="1"/>
    </xf>
    <xf numFmtId="0" fontId="5" fillId="0" borderId="0" xfId="0" applyFont="1" applyAlignment="1">
      <alignment wrapText="1"/>
    </xf>
    <xf numFmtId="0" fontId="4" fillId="2" borderId="0" xfId="0" applyFont="1" applyFill="1" applyAlignment="1">
      <alignment horizontal="left" vertical="center" wrapText="1"/>
    </xf>
  </cellXfs>
  <cellStyles count="4">
    <cellStyle name="Migliaia 2" xfId="2" xr:uid="{00000000-0005-0000-0000-000000000000}"/>
    <cellStyle name="Normale" xfId="0" builtinId="0"/>
    <cellStyle name="Percentuale" xfId="1" builtinId="5"/>
    <cellStyle name="Valuta" xfId="3"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svg"/><Relationship Id="rId1" Type="http://schemas.openxmlformats.org/officeDocument/2006/relationships/image" Target="../media/image5.png"/><Relationship Id="rId4" Type="http://schemas.openxmlformats.org/officeDocument/2006/relationships/image" Target="../media/image8.sv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svg"/><Relationship Id="rId1" Type="http://schemas.openxmlformats.org/officeDocument/2006/relationships/image" Target="../media/image9.png"/><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svg"/><Relationship Id="rId1" Type="http://schemas.openxmlformats.org/officeDocument/2006/relationships/image" Target="../media/image13.png"/><Relationship Id="rId4"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90486</xdr:rowOff>
    </xdr:from>
    <xdr:to>
      <xdr:col>0</xdr:col>
      <xdr:colOff>4044950</xdr:colOff>
      <xdr:row>27</xdr:row>
      <xdr:rowOff>177799</xdr:rowOff>
    </xdr:to>
    <xdr:pic>
      <xdr:nvPicPr>
        <xdr:cNvPr id="2" name="Elemento grafico 1">
          <a:extLst>
            <a:ext uri="{FF2B5EF4-FFF2-40B4-BE49-F238E27FC236}">
              <a16:creationId xmlns:a16="http://schemas.microsoft.com/office/drawing/2014/main" id="{E6AB7735-5388-406E-B8B3-F69E8EB737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141536"/>
          <a:ext cx="4044950" cy="3033713"/>
        </a:xfrm>
        <a:prstGeom prst="rect">
          <a:avLst/>
        </a:prstGeom>
      </xdr:spPr>
    </xdr:pic>
    <xdr:clientData/>
  </xdr:twoCellAnchor>
  <xdr:twoCellAnchor editAs="oneCell">
    <xdr:from>
      <xdr:col>0</xdr:col>
      <xdr:colOff>0</xdr:colOff>
      <xdr:row>31</xdr:row>
      <xdr:rowOff>182561</xdr:rowOff>
    </xdr:from>
    <xdr:to>
      <xdr:col>0</xdr:col>
      <xdr:colOff>4502150</xdr:colOff>
      <xdr:row>50</xdr:row>
      <xdr:rowOff>60324</xdr:rowOff>
    </xdr:to>
    <xdr:pic>
      <xdr:nvPicPr>
        <xdr:cNvPr id="3" name="Elemento grafico 2">
          <a:extLst>
            <a:ext uri="{FF2B5EF4-FFF2-40B4-BE49-F238E27FC236}">
              <a16:creationId xmlns:a16="http://schemas.microsoft.com/office/drawing/2014/main" id="{99AEDFC2-F0E1-46E7-888F-7A1A3E2859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5916611"/>
          <a:ext cx="4502150" cy="33766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4</xdr:row>
      <xdr:rowOff>173036</xdr:rowOff>
    </xdr:from>
    <xdr:to>
      <xdr:col>0</xdr:col>
      <xdr:colOff>4178300</xdr:colOff>
      <xdr:row>21</xdr:row>
      <xdr:rowOff>171449</xdr:rowOff>
    </xdr:to>
    <xdr:pic>
      <xdr:nvPicPr>
        <xdr:cNvPr id="2" name="Elemento grafico 1">
          <a:extLst>
            <a:ext uri="{FF2B5EF4-FFF2-40B4-BE49-F238E27FC236}">
              <a16:creationId xmlns:a16="http://schemas.microsoft.com/office/drawing/2014/main" id="{BE5FCDDC-8FB6-484D-97DD-79D5A99808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0" y="935036"/>
          <a:ext cx="4171950" cy="3128963"/>
        </a:xfrm>
        <a:prstGeom prst="rect">
          <a:avLst/>
        </a:prstGeom>
      </xdr:spPr>
    </xdr:pic>
    <xdr:clientData/>
  </xdr:twoCellAnchor>
  <xdr:twoCellAnchor editAs="oneCell">
    <xdr:from>
      <xdr:col>0</xdr:col>
      <xdr:colOff>1</xdr:colOff>
      <xdr:row>23</xdr:row>
      <xdr:rowOff>139700</xdr:rowOff>
    </xdr:from>
    <xdr:to>
      <xdr:col>0</xdr:col>
      <xdr:colOff>4572001</xdr:colOff>
      <xdr:row>42</xdr:row>
      <xdr:rowOff>69850</xdr:rowOff>
    </xdr:to>
    <xdr:pic>
      <xdr:nvPicPr>
        <xdr:cNvPr id="3" name="Elemento grafico 2">
          <a:extLst>
            <a:ext uri="{FF2B5EF4-FFF2-40B4-BE49-F238E27FC236}">
              <a16:creationId xmlns:a16="http://schemas.microsoft.com/office/drawing/2014/main" id="{389DC223-27D0-45CA-BACC-9CEE637041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4400550"/>
          <a:ext cx="4572000" cy="3429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12700</xdr:rowOff>
    </xdr:from>
    <xdr:to>
      <xdr:col>0</xdr:col>
      <xdr:colOff>4318000</xdr:colOff>
      <xdr:row>23</xdr:row>
      <xdr:rowOff>120650</xdr:rowOff>
    </xdr:to>
    <xdr:pic>
      <xdr:nvPicPr>
        <xdr:cNvPr id="2" name="Elemento grafico 1">
          <a:extLst>
            <a:ext uri="{FF2B5EF4-FFF2-40B4-BE49-F238E27FC236}">
              <a16:creationId xmlns:a16="http://schemas.microsoft.com/office/drawing/2014/main" id="{C439EF6F-5BBD-4A10-9BC9-D659F8035E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143000"/>
          <a:ext cx="4318000" cy="3238500"/>
        </a:xfrm>
        <a:prstGeom prst="rect">
          <a:avLst/>
        </a:prstGeom>
      </xdr:spPr>
    </xdr:pic>
    <xdr:clientData/>
  </xdr:twoCellAnchor>
  <xdr:twoCellAnchor editAs="oneCell">
    <xdr:from>
      <xdr:col>0</xdr:col>
      <xdr:colOff>0</xdr:colOff>
      <xdr:row>25</xdr:row>
      <xdr:rowOff>82550</xdr:rowOff>
    </xdr:from>
    <xdr:to>
      <xdr:col>1</xdr:col>
      <xdr:colOff>4233</xdr:colOff>
      <xdr:row>44</xdr:row>
      <xdr:rowOff>25400</xdr:rowOff>
    </xdr:to>
    <xdr:pic>
      <xdr:nvPicPr>
        <xdr:cNvPr id="3" name="Elemento grafico 2">
          <a:extLst>
            <a:ext uri="{FF2B5EF4-FFF2-40B4-BE49-F238E27FC236}">
              <a16:creationId xmlns:a16="http://schemas.microsoft.com/office/drawing/2014/main" id="{5FF0A9E6-EAD6-4C4B-B028-9CED71A08C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4711700"/>
          <a:ext cx="4588933" cy="3441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12701</xdr:colOff>
      <xdr:row>4</xdr:row>
      <xdr:rowOff>57150</xdr:rowOff>
    </xdr:from>
    <xdr:to>
      <xdr:col>0</xdr:col>
      <xdr:colOff>4057651</xdr:colOff>
      <xdr:row>20</xdr:row>
      <xdr:rowOff>144463</xdr:rowOff>
    </xdr:to>
    <xdr:pic>
      <xdr:nvPicPr>
        <xdr:cNvPr id="2" name="Elemento grafico 1">
          <a:extLst>
            <a:ext uri="{FF2B5EF4-FFF2-40B4-BE49-F238E27FC236}">
              <a16:creationId xmlns:a16="http://schemas.microsoft.com/office/drawing/2014/main" id="{29AD0FDB-3E1D-44C7-B06A-85C2D03128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1" y="819150"/>
          <a:ext cx="4044950" cy="3033713"/>
        </a:xfrm>
        <a:prstGeom prst="rect">
          <a:avLst/>
        </a:prstGeom>
      </xdr:spPr>
    </xdr:pic>
    <xdr:clientData/>
  </xdr:twoCellAnchor>
  <xdr:twoCellAnchor editAs="oneCell">
    <xdr:from>
      <xdr:col>0</xdr:col>
      <xdr:colOff>12700</xdr:colOff>
      <xdr:row>23</xdr:row>
      <xdr:rowOff>38100</xdr:rowOff>
    </xdr:from>
    <xdr:to>
      <xdr:col>1</xdr:col>
      <xdr:colOff>254000</xdr:colOff>
      <xdr:row>42</xdr:row>
      <xdr:rowOff>158750</xdr:rowOff>
    </xdr:to>
    <xdr:pic>
      <xdr:nvPicPr>
        <xdr:cNvPr id="3" name="Elemento grafico 2">
          <a:extLst>
            <a:ext uri="{FF2B5EF4-FFF2-40B4-BE49-F238E27FC236}">
              <a16:creationId xmlns:a16="http://schemas.microsoft.com/office/drawing/2014/main" id="{A19CC6DB-D306-4BF3-9FD7-FF953681AD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00" y="4298950"/>
          <a:ext cx="4826000" cy="361950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20" zoomScaleNormal="120" workbookViewId="0">
      <selection activeCell="B16" sqref="B16"/>
    </sheetView>
  </sheetViews>
  <sheetFormatPr baseColWidth="10" defaultColWidth="8.83203125" defaultRowHeight="14" x14ac:dyDescent="0.15"/>
  <cols>
    <col min="1" max="1" width="20" style="1" customWidth="1"/>
    <col min="2" max="2" width="41.83203125" style="1" customWidth="1"/>
    <col min="3" max="16384" width="8.83203125" style="1"/>
  </cols>
  <sheetData>
    <row r="1" spans="1:2" ht="38.5" customHeight="1" x14ac:dyDescent="0.15">
      <c r="A1" s="90" t="s">
        <v>34</v>
      </c>
      <c r="B1" s="90"/>
    </row>
    <row r="3" spans="1:2" ht="15" thickBot="1" x14ac:dyDescent="0.2"/>
    <row r="4" spans="1:2" ht="16" thickBot="1" x14ac:dyDescent="0.2">
      <c r="A4" s="2" t="s">
        <v>30</v>
      </c>
      <c r="B4" s="3"/>
    </row>
    <row r="5" spans="1:2" ht="15" thickBot="1" x14ac:dyDescent="0.2">
      <c r="A5" s="4"/>
    </row>
    <row r="6" spans="1:2" ht="16" thickBot="1" x14ac:dyDescent="0.2">
      <c r="A6" s="2" t="s">
        <v>31</v>
      </c>
      <c r="B6" s="3"/>
    </row>
    <row r="7" spans="1:2" ht="15" thickBot="1" x14ac:dyDescent="0.2">
      <c r="A7" s="4"/>
    </row>
    <row r="8" spans="1:2" ht="16" thickBot="1" x14ac:dyDescent="0.2">
      <c r="A8" s="2" t="s">
        <v>32</v>
      </c>
      <c r="B8" s="5"/>
    </row>
    <row r="9" spans="1:2" ht="15" thickBot="1" x14ac:dyDescent="0.2">
      <c r="A9" s="4"/>
    </row>
    <row r="10" spans="1:2" ht="16" thickBot="1" x14ac:dyDescent="0.2">
      <c r="A10" s="2" t="s">
        <v>33</v>
      </c>
      <c r="B10" s="5"/>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92"/>
  <sheetViews>
    <sheetView topLeftCell="A74" workbookViewId="0">
      <selection activeCell="D90" sqref="D83:D90"/>
    </sheetView>
  </sheetViews>
  <sheetFormatPr baseColWidth="10" defaultColWidth="49.33203125" defaultRowHeight="16" x14ac:dyDescent="0.2"/>
  <cols>
    <col min="1" max="1" width="65.6640625" style="8" customWidth="1"/>
    <col min="2" max="3" width="30.6640625" style="8" customWidth="1"/>
    <col min="4" max="4" width="13.5" style="18" bestFit="1" customWidth="1"/>
    <col min="5" max="16384" width="49.33203125" style="8"/>
  </cols>
  <sheetData>
    <row r="1" spans="1:11" x14ac:dyDescent="0.2">
      <c r="A1" s="91" t="s">
        <v>53</v>
      </c>
      <c r="B1" s="91"/>
      <c r="C1" s="91"/>
      <c r="D1" s="8"/>
    </row>
    <row r="2" spans="1:11" x14ac:dyDescent="0.2">
      <c r="D2" s="8"/>
    </row>
    <row r="3" spans="1:11" ht="39.5" customHeight="1" x14ac:dyDescent="0.2">
      <c r="A3" s="94" t="s">
        <v>54</v>
      </c>
      <c r="B3" s="94"/>
      <c r="C3" s="94"/>
      <c r="D3" s="17"/>
    </row>
    <row r="4" spans="1:11" x14ac:dyDescent="0.2">
      <c r="A4" s="94"/>
      <c r="B4" s="94"/>
      <c r="C4" s="94"/>
      <c r="D4" s="94"/>
    </row>
    <row r="5" spans="1:11" x14ac:dyDescent="0.2">
      <c r="A5" s="95" t="s">
        <v>37</v>
      </c>
      <c r="B5" s="95"/>
      <c r="C5" s="9"/>
      <c r="D5" s="10"/>
      <c r="E5" s="9"/>
      <c r="F5" s="9"/>
      <c r="G5" s="9"/>
      <c r="H5" s="9"/>
      <c r="I5" s="9"/>
      <c r="J5" s="9"/>
      <c r="K5" s="9"/>
    </row>
    <row r="6" spans="1:11" ht="17" x14ac:dyDescent="0.2">
      <c r="A6" s="46" t="s">
        <v>0</v>
      </c>
      <c r="B6" s="44">
        <v>450</v>
      </c>
      <c r="C6" s="9"/>
      <c r="D6" s="10"/>
      <c r="E6" s="9"/>
      <c r="F6" s="9"/>
      <c r="G6" s="9"/>
      <c r="H6" s="9"/>
      <c r="I6" s="9"/>
      <c r="J6" s="9"/>
      <c r="K6" s="9"/>
    </row>
    <row r="7" spans="1:11" ht="17" x14ac:dyDescent="0.2">
      <c r="A7" s="46" t="s">
        <v>39</v>
      </c>
      <c r="B7" s="44">
        <v>175</v>
      </c>
      <c r="C7" s="9"/>
      <c r="D7" s="10"/>
      <c r="E7" s="9"/>
      <c r="F7" s="9"/>
      <c r="G7" s="9"/>
      <c r="H7" s="9"/>
      <c r="I7" s="9"/>
      <c r="J7" s="9"/>
      <c r="K7" s="9"/>
    </row>
    <row r="8" spans="1:11" ht="17" x14ac:dyDescent="0.2">
      <c r="A8" s="46" t="s">
        <v>57</v>
      </c>
      <c r="B8" s="44">
        <v>12</v>
      </c>
      <c r="C8" s="9"/>
      <c r="D8" s="10"/>
      <c r="E8" s="9"/>
      <c r="F8" s="9"/>
      <c r="G8" s="9"/>
      <c r="H8" s="9"/>
      <c r="I8" s="9"/>
      <c r="J8" s="9"/>
      <c r="K8" s="9"/>
    </row>
    <row r="9" spans="1:11" ht="17" x14ac:dyDescent="0.2">
      <c r="A9" s="46" t="s">
        <v>40</v>
      </c>
      <c r="B9" s="44">
        <v>32</v>
      </c>
      <c r="C9" s="9"/>
      <c r="D9" s="10"/>
      <c r="E9" s="9"/>
      <c r="F9" s="9"/>
      <c r="G9" s="9"/>
      <c r="H9" s="9"/>
      <c r="I9" s="9"/>
      <c r="J9" s="9"/>
      <c r="K9" s="9"/>
    </row>
    <row r="10" spans="1:11" ht="17" x14ac:dyDescent="0.2">
      <c r="A10" s="46" t="s">
        <v>41</v>
      </c>
      <c r="B10" s="12">
        <v>0.08</v>
      </c>
      <c r="C10" s="9"/>
      <c r="D10" s="10"/>
      <c r="E10" s="9"/>
      <c r="F10" s="9"/>
      <c r="G10" s="9"/>
      <c r="H10" s="9"/>
      <c r="I10" s="9"/>
      <c r="J10" s="9"/>
      <c r="K10" s="9"/>
    </row>
    <row r="11" spans="1:11" x14ac:dyDescent="0.2">
      <c r="A11" s="9"/>
      <c r="B11" s="9"/>
      <c r="C11" s="9"/>
      <c r="D11" s="10"/>
      <c r="E11" s="9"/>
      <c r="F11" s="9"/>
      <c r="G11" s="9"/>
      <c r="H11" s="9"/>
      <c r="I11" s="9"/>
      <c r="J11" s="9"/>
      <c r="K11" s="9"/>
    </row>
    <row r="12" spans="1:11" x14ac:dyDescent="0.2">
      <c r="A12" s="95" t="s">
        <v>38</v>
      </c>
      <c r="B12" s="95"/>
      <c r="C12" s="47" t="s">
        <v>28</v>
      </c>
      <c r="D12" s="10"/>
      <c r="E12" s="9"/>
      <c r="F12" s="9"/>
      <c r="G12" s="9"/>
      <c r="H12" s="9"/>
      <c r="I12" s="9"/>
      <c r="J12" s="9"/>
      <c r="K12" s="9"/>
    </row>
    <row r="13" spans="1:11" ht="17" x14ac:dyDescent="0.2">
      <c r="A13" s="11" t="s">
        <v>1</v>
      </c>
      <c r="B13" s="44">
        <v>190000</v>
      </c>
      <c r="C13" s="96">
        <f>SUM(B13:B16)</f>
        <v>371000</v>
      </c>
      <c r="D13" s="10"/>
      <c r="E13" s="9"/>
      <c r="F13" s="9"/>
      <c r="G13" s="9"/>
      <c r="H13" s="9"/>
      <c r="I13" s="9"/>
      <c r="J13" s="9"/>
      <c r="K13" s="9"/>
    </row>
    <row r="14" spans="1:11" ht="17" x14ac:dyDescent="0.2">
      <c r="A14" s="11" t="s">
        <v>55</v>
      </c>
      <c r="B14" s="44">
        <v>84000</v>
      </c>
      <c r="C14" s="97"/>
      <c r="D14" s="10"/>
      <c r="E14" s="9"/>
      <c r="F14" s="9"/>
      <c r="G14" s="9"/>
      <c r="H14" s="9"/>
      <c r="I14" s="9"/>
      <c r="J14" s="9"/>
      <c r="K14" s="9"/>
    </row>
    <row r="15" spans="1:11" ht="17" x14ac:dyDescent="0.2">
      <c r="A15" s="11" t="s">
        <v>2</v>
      </c>
      <c r="B15" s="44">
        <v>72000</v>
      </c>
      <c r="C15" s="97"/>
      <c r="D15" s="10"/>
      <c r="E15" s="9"/>
      <c r="F15" s="9"/>
      <c r="G15" s="9"/>
      <c r="H15" s="9"/>
      <c r="I15" s="9"/>
      <c r="J15" s="9"/>
      <c r="K15" s="9"/>
    </row>
    <row r="16" spans="1:11" ht="17" x14ac:dyDescent="0.2">
      <c r="A16" s="11" t="s">
        <v>58</v>
      </c>
      <c r="B16" s="44">
        <v>25000</v>
      </c>
      <c r="C16" s="98"/>
      <c r="D16" s="10"/>
      <c r="E16" s="9"/>
      <c r="F16" s="9"/>
      <c r="G16" s="9"/>
      <c r="H16" s="9"/>
      <c r="I16" s="9"/>
      <c r="J16" s="9"/>
      <c r="K16" s="9"/>
    </row>
    <row r="17" spans="1:11" ht="17" x14ac:dyDescent="0.2">
      <c r="A17" s="11" t="s">
        <v>26</v>
      </c>
      <c r="B17" s="78">
        <v>240000</v>
      </c>
      <c r="D17" s="10"/>
      <c r="E17" s="9"/>
      <c r="F17" s="9"/>
      <c r="G17" s="9"/>
      <c r="H17" s="9"/>
      <c r="I17" s="9"/>
      <c r="J17" s="9"/>
      <c r="K17" s="9"/>
    </row>
    <row r="18" spans="1:11" ht="17" x14ac:dyDescent="0.2">
      <c r="A18" s="54" t="s">
        <v>3</v>
      </c>
      <c r="B18" s="75">
        <v>185000</v>
      </c>
      <c r="C18" s="54"/>
      <c r="D18" s="10"/>
      <c r="E18" s="9"/>
      <c r="F18" s="9"/>
      <c r="G18" s="9"/>
      <c r="H18" s="9"/>
      <c r="I18" s="9"/>
      <c r="J18" s="9"/>
      <c r="K18" s="9"/>
    </row>
    <row r="19" spans="1:11" x14ac:dyDescent="0.2">
      <c r="C19" s="9"/>
      <c r="D19" s="10"/>
      <c r="E19" s="9"/>
      <c r="F19" s="9"/>
      <c r="G19" s="9"/>
      <c r="H19" s="9"/>
      <c r="I19" s="9"/>
      <c r="J19" s="9"/>
      <c r="K19" s="9"/>
    </row>
    <row r="20" spans="1:11" x14ac:dyDescent="0.2">
      <c r="A20" s="9"/>
      <c r="B20" s="9"/>
      <c r="C20" s="9"/>
      <c r="D20" s="14"/>
      <c r="E20" s="9"/>
      <c r="F20" s="9"/>
      <c r="G20" s="9"/>
      <c r="H20" s="9"/>
      <c r="I20" s="9"/>
      <c r="J20" s="9"/>
      <c r="K20" s="9"/>
    </row>
    <row r="21" spans="1:11" ht="17" x14ac:dyDescent="0.2">
      <c r="A21" s="13" t="s">
        <v>36</v>
      </c>
      <c r="B21" s="45"/>
      <c r="C21" s="9"/>
      <c r="D21" s="16"/>
      <c r="E21" s="9"/>
      <c r="F21" s="9"/>
      <c r="G21" s="9"/>
      <c r="H21" s="9"/>
      <c r="I21" s="9"/>
      <c r="J21" s="9"/>
      <c r="K21" s="9"/>
    </row>
    <row r="22" spans="1:11" ht="17" x14ac:dyDescent="0.2">
      <c r="A22" s="11" t="s">
        <v>42</v>
      </c>
      <c r="B22" s="15">
        <v>800</v>
      </c>
      <c r="C22" s="9"/>
      <c r="D22" s="16"/>
      <c r="E22" s="9"/>
      <c r="F22" s="9"/>
      <c r="G22" s="9"/>
      <c r="H22" s="9"/>
      <c r="I22" s="9"/>
      <c r="J22" s="9"/>
      <c r="K22" s="9"/>
    </row>
    <row r="23" spans="1:11" ht="17" x14ac:dyDescent="0.2">
      <c r="A23" s="11" t="s">
        <v>4</v>
      </c>
      <c r="B23" s="15">
        <v>5600</v>
      </c>
      <c r="C23" s="9"/>
      <c r="D23" s="16"/>
      <c r="E23" s="9"/>
      <c r="F23" s="9"/>
      <c r="G23" s="9"/>
      <c r="H23" s="9"/>
      <c r="I23" s="9"/>
      <c r="J23" s="9"/>
      <c r="K23" s="9"/>
    </row>
    <row r="24" spans="1:11" ht="17" x14ac:dyDescent="0.2">
      <c r="A24" s="11" t="s">
        <v>5</v>
      </c>
      <c r="B24" s="15">
        <v>5900</v>
      </c>
      <c r="C24" s="9"/>
      <c r="D24" s="10"/>
      <c r="E24" s="9"/>
      <c r="F24" s="9"/>
      <c r="G24" s="9"/>
      <c r="H24" s="9"/>
      <c r="I24" s="9"/>
      <c r="J24" s="9"/>
      <c r="K24" s="9"/>
    </row>
    <row r="25" spans="1:11" x14ac:dyDescent="0.2">
      <c r="A25" s="9"/>
      <c r="B25" s="9"/>
    </row>
    <row r="26" spans="1:11" ht="35" customHeight="1" x14ac:dyDescent="0.2">
      <c r="A26" s="63" t="s">
        <v>82</v>
      </c>
      <c r="B26" s="65"/>
      <c r="C26" s="65"/>
      <c r="D26" s="8"/>
    </row>
    <row r="27" spans="1:11" x14ac:dyDescent="0.2">
      <c r="A27" s="66" t="s">
        <v>83</v>
      </c>
      <c r="B27" s="66"/>
      <c r="C27" s="66"/>
    </row>
    <row r="29" spans="1:11" x14ac:dyDescent="0.2">
      <c r="A29" s="19" t="s">
        <v>56</v>
      </c>
      <c r="C29" s="20"/>
      <c r="D29" s="23"/>
    </row>
    <row r="30" spans="1:11" x14ac:dyDescent="0.2">
      <c r="A30" s="21"/>
      <c r="B30" s="22" t="s">
        <v>6</v>
      </c>
      <c r="C30" s="48"/>
      <c r="D30" s="26"/>
    </row>
    <row r="31" spans="1:11" x14ac:dyDescent="0.2">
      <c r="A31" s="25" t="s">
        <v>7</v>
      </c>
      <c r="B31" s="49">
        <f>+$B$6*B24</f>
        <v>2655000</v>
      </c>
    </row>
    <row r="32" spans="1:11" x14ac:dyDescent="0.2">
      <c r="A32" s="27" t="s">
        <v>8</v>
      </c>
      <c r="B32" s="50">
        <f>D32*B22</f>
        <v>175200</v>
      </c>
      <c r="C32" s="37" t="s">
        <v>27</v>
      </c>
      <c r="D32" s="36">
        <f>B7+B8+B9</f>
        <v>219</v>
      </c>
    </row>
    <row r="33" spans="1:7" x14ac:dyDescent="0.2">
      <c r="A33" s="27" t="s">
        <v>60</v>
      </c>
      <c r="B33" s="50">
        <f>+B23*$D$32</f>
        <v>1226400</v>
      </c>
      <c r="D33" s="28"/>
    </row>
    <row r="34" spans="1:7" x14ac:dyDescent="0.2">
      <c r="A34" s="27" t="s">
        <v>9</v>
      </c>
      <c r="B34" s="50">
        <f>-(B22+B23-B24)*$D$32</f>
        <v>-109500</v>
      </c>
      <c r="D34" s="26"/>
    </row>
    <row r="35" spans="1:7" x14ac:dyDescent="0.2">
      <c r="A35" s="29" t="s">
        <v>10</v>
      </c>
      <c r="B35" s="49">
        <f>SUM(B32:B34)</f>
        <v>1292100</v>
      </c>
      <c r="D35" s="28"/>
    </row>
    <row r="36" spans="1:7" x14ac:dyDescent="0.2">
      <c r="A36" s="30" t="s">
        <v>11</v>
      </c>
      <c r="B36" s="50">
        <f>+B31*$B$10</f>
        <v>212400</v>
      </c>
      <c r="C36" s="99"/>
      <c r="D36" s="26"/>
    </row>
    <row r="37" spans="1:7" x14ac:dyDescent="0.2">
      <c r="A37" s="31" t="s">
        <v>12</v>
      </c>
      <c r="B37" s="49">
        <f>+B31-B35-B36</f>
        <v>1150500</v>
      </c>
      <c r="C37" s="99"/>
      <c r="D37" s="28"/>
    </row>
    <row r="38" spans="1:7" x14ac:dyDescent="0.2">
      <c r="A38" s="30" t="s">
        <v>13</v>
      </c>
      <c r="B38" s="50">
        <f>+SUM($B$13:$B$16)</f>
        <v>371000</v>
      </c>
      <c r="C38" s="99"/>
      <c r="D38" s="28"/>
    </row>
    <row r="39" spans="1:7" x14ac:dyDescent="0.2">
      <c r="A39" s="30" t="s">
        <v>14</v>
      </c>
      <c r="B39" s="50">
        <f>+SUM($B$17:$B$18)</f>
        <v>425000</v>
      </c>
      <c r="C39" s="99"/>
      <c r="D39" s="26"/>
    </row>
    <row r="40" spans="1:7" s="18" customFormat="1" x14ac:dyDescent="0.2">
      <c r="A40" s="31" t="s">
        <v>15</v>
      </c>
      <c r="B40" s="49">
        <f>B37-B38-B39</f>
        <v>354500</v>
      </c>
      <c r="D40" s="84"/>
    </row>
    <row r="41" spans="1:7" ht="30" customHeight="1" x14ac:dyDescent="0.2">
      <c r="A41" s="39"/>
      <c r="B41" s="26"/>
      <c r="C41" s="26"/>
      <c r="D41" s="26"/>
    </row>
    <row r="42" spans="1:7" s="18" customFormat="1" ht="30" customHeight="1" x14ac:dyDescent="0.2">
      <c r="A42" s="92" t="s">
        <v>84</v>
      </c>
      <c r="B42" s="92"/>
      <c r="C42" s="79"/>
      <c r="D42" s="26"/>
    </row>
    <row r="43" spans="1:7" x14ac:dyDescent="0.2">
      <c r="A43" s="39"/>
      <c r="B43" s="26"/>
    </row>
    <row r="44" spans="1:7" x14ac:dyDescent="0.2">
      <c r="D44" s="23"/>
    </row>
    <row r="45" spans="1:7" x14ac:dyDescent="0.2">
      <c r="A45" s="19" t="s">
        <v>59</v>
      </c>
      <c r="D45" s="23"/>
      <c r="G45" s="24"/>
    </row>
    <row r="46" spans="1:7" x14ac:dyDescent="0.2">
      <c r="A46" s="19"/>
      <c r="C46" s="20"/>
      <c r="D46" s="26"/>
    </row>
    <row r="47" spans="1:7" x14ac:dyDescent="0.2">
      <c r="A47" s="21"/>
      <c r="B47" s="22" t="s">
        <v>6</v>
      </c>
      <c r="C47" s="48"/>
      <c r="D47" s="28"/>
    </row>
    <row r="48" spans="1:7" x14ac:dyDescent="0.2">
      <c r="A48" s="25" t="s">
        <v>7</v>
      </c>
      <c r="B48" s="49">
        <f>+$B$6*B24</f>
        <v>2655000</v>
      </c>
      <c r="D48" s="28"/>
    </row>
    <row r="49" spans="1:4" ht="21" customHeight="1" x14ac:dyDescent="0.2">
      <c r="A49" s="27" t="s">
        <v>8</v>
      </c>
      <c r="B49" s="50">
        <f>D53*B22</f>
        <v>228200</v>
      </c>
      <c r="C49" s="37" t="s">
        <v>27</v>
      </c>
      <c r="D49" s="18">
        <f>+D32</f>
        <v>219</v>
      </c>
    </row>
    <row r="50" spans="1:4" ht="21" customHeight="1" x14ac:dyDescent="0.2">
      <c r="A50" s="27" t="s">
        <v>154</v>
      </c>
      <c r="B50" s="50">
        <f>+$D$53*B23</f>
        <v>1597400</v>
      </c>
      <c r="C50" s="37" t="s">
        <v>16</v>
      </c>
      <c r="D50" s="38">
        <f>+SUM(B13:B16)</f>
        <v>371000</v>
      </c>
    </row>
    <row r="51" spans="1:4" x14ac:dyDescent="0.2">
      <c r="A51" s="27" t="s">
        <v>9</v>
      </c>
      <c r="B51" s="50">
        <f>-(B22+B23-B24)*$D$53</f>
        <v>-142625</v>
      </c>
      <c r="C51" s="37"/>
      <c r="D51" s="36">
        <f>+B23</f>
        <v>5600</v>
      </c>
    </row>
    <row r="52" spans="1:4" x14ac:dyDescent="0.2">
      <c r="A52" s="29" t="s">
        <v>61</v>
      </c>
      <c r="B52" s="49">
        <f>SUM(B49:B51)</f>
        <v>1682975</v>
      </c>
      <c r="C52" s="37" t="s">
        <v>157</v>
      </c>
      <c r="D52" s="56">
        <f>+D50/D51</f>
        <v>66.25</v>
      </c>
    </row>
    <row r="53" spans="1:4" x14ac:dyDescent="0.2">
      <c r="A53" s="31" t="s">
        <v>17</v>
      </c>
      <c r="B53" s="49">
        <f>+B48-B52</f>
        <v>972025</v>
      </c>
      <c r="C53" s="37" t="s">
        <v>18</v>
      </c>
      <c r="D53" s="18">
        <f>+D49+D52</f>
        <v>285.25</v>
      </c>
    </row>
    <row r="54" spans="1:4" x14ac:dyDescent="0.2">
      <c r="A54" s="30" t="s">
        <v>11</v>
      </c>
      <c r="B54" s="50">
        <f>+B36</f>
        <v>212400</v>
      </c>
      <c r="C54" s="100"/>
    </row>
    <row r="55" spans="1:4" x14ac:dyDescent="0.2">
      <c r="A55" s="30" t="s">
        <v>14</v>
      </c>
      <c r="B55" s="50">
        <f>+SUM($B$17:$B$18)</f>
        <v>425000</v>
      </c>
      <c r="C55" s="100"/>
    </row>
    <row r="56" spans="1:4" x14ac:dyDescent="0.2">
      <c r="A56" s="31" t="s">
        <v>15</v>
      </c>
      <c r="B56" s="49">
        <f>B53-B54-B55</f>
        <v>334625</v>
      </c>
      <c r="D56" s="85"/>
    </row>
    <row r="57" spans="1:4" ht="41" customHeight="1" x14ac:dyDescent="0.2">
      <c r="D57" s="8"/>
    </row>
    <row r="58" spans="1:4" ht="46.5" customHeight="1" x14ac:dyDescent="0.2">
      <c r="A58" s="93" t="s">
        <v>62</v>
      </c>
      <c r="B58" s="93"/>
      <c r="C58" s="53"/>
    </row>
    <row r="59" spans="1:4" x14ac:dyDescent="0.2">
      <c r="D59" s="20"/>
    </row>
    <row r="60" spans="1:4" x14ac:dyDescent="0.2">
      <c r="A60" s="19" t="s">
        <v>63</v>
      </c>
      <c r="D60" s="20"/>
    </row>
    <row r="61" spans="1:4" x14ac:dyDescent="0.2">
      <c r="A61" s="34" t="s">
        <v>19</v>
      </c>
      <c r="C61" s="51">
        <f>+B56</f>
        <v>334625</v>
      </c>
      <c r="D61" s="33"/>
    </row>
    <row r="62" spans="1:4" x14ac:dyDescent="0.2">
      <c r="A62" s="34" t="s">
        <v>20</v>
      </c>
      <c r="C62" s="51">
        <f>+B40</f>
        <v>354500</v>
      </c>
      <c r="D62" s="35"/>
    </row>
    <row r="63" spans="1:4" x14ac:dyDescent="0.2">
      <c r="A63" s="34" t="s">
        <v>21</v>
      </c>
      <c r="C63" s="51">
        <f>+C61-C62</f>
        <v>-19875</v>
      </c>
    </row>
    <row r="64" spans="1:4" x14ac:dyDescent="0.2">
      <c r="D64" s="36"/>
    </row>
    <row r="65" spans="1:4" x14ac:dyDescent="0.2">
      <c r="A65" s="8" t="s">
        <v>22</v>
      </c>
      <c r="C65" s="32">
        <f>+B22</f>
        <v>800</v>
      </c>
      <c r="D65" s="36"/>
    </row>
    <row r="66" spans="1:4" x14ac:dyDescent="0.2">
      <c r="A66" s="8" t="s">
        <v>23</v>
      </c>
      <c r="C66" s="32">
        <v>500</v>
      </c>
    </row>
    <row r="67" spans="1:4" x14ac:dyDescent="0.2">
      <c r="A67" s="8" t="s">
        <v>64</v>
      </c>
      <c r="C67" s="57">
        <v>-300</v>
      </c>
    </row>
    <row r="68" spans="1:4" x14ac:dyDescent="0.2">
      <c r="A68" s="8" t="s">
        <v>24</v>
      </c>
      <c r="C68" s="8">
        <f>+D52</f>
        <v>66.25</v>
      </c>
    </row>
    <row r="69" spans="1:4" x14ac:dyDescent="0.2">
      <c r="D69" s="35"/>
    </row>
    <row r="70" spans="1:4" x14ac:dyDescent="0.2">
      <c r="A70" s="8" t="s">
        <v>25</v>
      </c>
      <c r="C70" s="52">
        <f>C68*C67</f>
        <v>-19875</v>
      </c>
      <c r="D70" s="86"/>
    </row>
    <row r="72" spans="1:4" ht="30" customHeight="1" x14ac:dyDescent="0.2"/>
    <row r="73" spans="1:4" ht="70" customHeight="1" x14ac:dyDescent="0.2">
      <c r="A73" s="93" t="s">
        <v>65</v>
      </c>
      <c r="B73" s="93"/>
      <c r="C73" s="93"/>
      <c r="D73" s="20"/>
    </row>
    <row r="75" spans="1:4" x14ac:dyDescent="0.2">
      <c r="A75" s="8" t="s">
        <v>43</v>
      </c>
      <c r="B75" s="8">
        <v>5400</v>
      </c>
    </row>
    <row r="76" spans="1:4" x14ac:dyDescent="0.2">
      <c r="A76" s="8" t="s">
        <v>44</v>
      </c>
      <c r="B76" s="52">
        <v>450000</v>
      </c>
    </row>
    <row r="77" spans="1:4" x14ac:dyDescent="0.2">
      <c r="B77" s="52"/>
    </row>
    <row r="78" spans="1:4" x14ac:dyDescent="0.2">
      <c r="A78" s="8" t="s">
        <v>45</v>
      </c>
      <c r="B78" s="52"/>
    </row>
    <row r="79" spans="1:4" x14ac:dyDescent="0.2">
      <c r="A79" s="8" t="s">
        <v>46</v>
      </c>
      <c r="B79" s="52">
        <f>+B38</f>
        <v>371000</v>
      </c>
    </row>
    <row r="80" spans="1:4" x14ac:dyDescent="0.2">
      <c r="A80" s="8" t="s">
        <v>47</v>
      </c>
      <c r="B80" s="52">
        <f>+B76</f>
        <v>450000</v>
      </c>
    </row>
    <row r="81" spans="1:4" x14ac:dyDescent="0.2">
      <c r="A81" s="8" t="s">
        <v>48</v>
      </c>
      <c r="B81" s="52">
        <f>+B79-B80</f>
        <v>-79000</v>
      </c>
      <c r="C81" s="8" t="s">
        <v>67</v>
      </c>
      <c r="D81" s="86"/>
    </row>
    <row r="83" spans="1:4" x14ac:dyDescent="0.2">
      <c r="A83" s="8" t="s">
        <v>49</v>
      </c>
    </row>
    <row r="84" spans="1:4" x14ac:dyDescent="0.2">
      <c r="A84" s="8" t="s">
        <v>46</v>
      </c>
      <c r="B84" s="51">
        <f>+B79</f>
        <v>371000</v>
      </c>
    </row>
    <row r="85" spans="1:4" x14ac:dyDescent="0.2">
      <c r="A85" s="8" t="s">
        <v>66</v>
      </c>
      <c r="B85" s="51">
        <f>D52*B75</f>
        <v>357750</v>
      </c>
      <c r="D85" s="86"/>
    </row>
    <row r="86" spans="1:4" x14ac:dyDescent="0.2">
      <c r="A86" s="8" t="s">
        <v>47</v>
      </c>
      <c r="B86" s="51">
        <f>+B80</f>
        <v>450000</v>
      </c>
    </row>
    <row r="87" spans="1:4" x14ac:dyDescent="0.2">
      <c r="A87" s="8" t="s">
        <v>48</v>
      </c>
      <c r="B87" s="51">
        <f>+B84-B86</f>
        <v>-79000</v>
      </c>
      <c r="C87" s="8" t="s">
        <v>67</v>
      </c>
    </row>
    <row r="88" spans="1:4" x14ac:dyDescent="0.2">
      <c r="A88" s="8" t="s">
        <v>50</v>
      </c>
      <c r="B88" s="51">
        <f>B85-B84</f>
        <v>-13250</v>
      </c>
      <c r="C88" s="8" t="s">
        <v>51</v>
      </c>
      <c r="D88" s="86"/>
    </row>
    <row r="89" spans="1:4" x14ac:dyDescent="0.2">
      <c r="A89" s="8" t="s">
        <v>68</v>
      </c>
      <c r="B89" s="51">
        <f>SUM(B87:B88)</f>
        <v>-92250</v>
      </c>
      <c r="C89" s="8" t="s">
        <v>51</v>
      </c>
    </row>
    <row r="90" spans="1:4" x14ac:dyDescent="0.2">
      <c r="B90" s="51"/>
    </row>
    <row r="92" spans="1:4" x14ac:dyDescent="0.2">
      <c r="B92" s="51"/>
    </row>
  </sheetData>
  <mergeCells count="11">
    <mergeCell ref="A1:C1"/>
    <mergeCell ref="A42:B42"/>
    <mergeCell ref="A58:B58"/>
    <mergeCell ref="A73:C73"/>
    <mergeCell ref="A3:C3"/>
    <mergeCell ref="A4:D4"/>
    <mergeCell ref="A5:B5"/>
    <mergeCell ref="A12:B12"/>
    <mergeCell ref="C13:C16"/>
    <mergeCell ref="C36:C39"/>
    <mergeCell ref="C54:C55"/>
  </mergeCells>
  <pageMargins left="0.23622047244094491" right="0.23622047244094491" top="0.74803149606299213" bottom="0.74803149606299213" header="0.31496062992125984" footer="0.31496062992125984"/>
  <pageSetup paperSize="9" scale="70" fitToHeight="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50"/>
  <sheetViews>
    <sheetView topLeftCell="B4" workbookViewId="0">
      <selection activeCell="D16" sqref="D16:D52"/>
    </sheetView>
  </sheetViews>
  <sheetFormatPr baseColWidth="10" defaultColWidth="9" defaultRowHeight="16" x14ac:dyDescent="0.2"/>
  <cols>
    <col min="1" max="1" width="65.6640625" style="40" customWidth="1"/>
    <col min="2" max="3" width="30.6640625" style="41" customWidth="1"/>
    <col min="4" max="4" width="22.33203125" style="41" customWidth="1"/>
    <col min="5" max="5" width="17" style="40" customWidth="1"/>
    <col min="6" max="6" width="9" style="40" bestFit="1" customWidth="1"/>
    <col min="7" max="8" width="16" style="40" customWidth="1"/>
    <col min="9" max="9" width="11.6640625" style="40" bestFit="1" customWidth="1"/>
    <col min="10" max="16384" width="9" style="40"/>
  </cols>
  <sheetData>
    <row r="1" spans="1:5" x14ac:dyDescent="0.2">
      <c r="A1" s="91" t="s">
        <v>81</v>
      </c>
      <c r="B1" s="91"/>
      <c r="C1" s="91"/>
      <c r="D1" s="40"/>
    </row>
    <row r="3" spans="1:5" ht="100" customHeight="1" x14ac:dyDescent="0.2">
      <c r="A3" s="94" t="s">
        <v>155</v>
      </c>
      <c r="B3" s="94"/>
      <c r="C3" s="94"/>
    </row>
    <row r="4" spans="1:5" x14ac:dyDescent="0.2">
      <c r="A4" s="8" t="s">
        <v>73</v>
      </c>
      <c r="D4" s="41" t="s">
        <v>52</v>
      </c>
    </row>
    <row r="5" spans="1:5" x14ac:dyDescent="0.2">
      <c r="A5" s="58"/>
      <c r="B5" s="60" t="s">
        <v>74</v>
      </c>
      <c r="C5" s="60" t="s">
        <v>75</v>
      </c>
      <c r="D5" s="41" t="s">
        <v>74</v>
      </c>
      <c r="E5" s="40" t="s">
        <v>75</v>
      </c>
    </row>
    <row r="6" spans="1:5" x14ac:dyDescent="0.2">
      <c r="A6" s="58" t="s">
        <v>0</v>
      </c>
      <c r="B6" s="61">
        <v>120</v>
      </c>
      <c r="C6" s="62">
        <v>150</v>
      </c>
      <c r="D6" s="41">
        <v>50000</v>
      </c>
      <c r="E6" s="40">
        <v>35000</v>
      </c>
    </row>
    <row r="7" spans="1:5" x14ac:dyDescent="0.2">
      <c r="A7" s="58" t="s">
        <v>76</v>
      </c>
      <c r="B7" s="61">
        <v>32</v>
      </c>
      <c r="C7" s="62">
        <v>40</v>
      </c>
    </row>
    <row r="8" spans="1:5" x14ac:dyDescent="0.2">
      <c r="A8" s="58" t="s">
        <v>80</v>
      </c>
      <c r="B8" s="61">
        <v>2</v>
      </c>
      <c r="C8" s="62">
        <v>4</v>
      </c>
    </row>
    <row r="9" spans="1:5" x14ac:dyDescent="0.2">
      <c r="A9" s="58" t="s">
        <v>77</v>
      </c>
      <c r="B9" s="59" t="s">
        <v>78</v>
      </c>
      <c r="C9" s="59" t="s">
        <v>78</v>
      </c>
    </row>
    <row r="10" spans="1:5" x14ac:dyDescent="0.2">
      <c r="A10" s="58" t="s">
        <v>79</v>
      </c>
      <c r="B10" s="59" t="s">
        <v>86</v>
      </c>
      <c r="C10" s="59" t="s">
        <v>87</v>
      </c>
    </row>
    <row r="11" spans="1:5" x14ac:dyDescent="0.2">
      <c r="A11" s="58"/>
    </row>
    <row r="12" spans="1:5" x14ac:dyDescent="0.2">
      <c r="A12" s="103" t="s">
        <v>82</v>
      </c>
      <c r="B12" s="103"/>
      <c r="C12" s="103"/>
    </row>
    <row r="13" spans="1:5" x14ac:dyDescent="0.2">
      <c r="A13" s="103"/>
      <c r="B13" s="103"/>
      <c r="C13" s="103"/>
    </row>
    <row r="14" spans="1:5" x14ac:dyDescent="0.2">
      <c r="A14" s="102" t="s">
        <v>85</v>
      </c>
      <c r="B14" s="102"/>
      <c r="C14" s="102"/>
    </row>
    <row r="15" spans="1:5" x14ac:dyDescent="0.2">
      <c r="A15" s="58"/>
    </row>
    <row r="16" spans="1:5" x14ac:dyDescent="0.2">
      <c r="B16" s="60" t="s">
        <v>89</v>
      </c>
      <c r="C16" s="60" t="s">
        <v>90</v>
      </c>
    </row>
    <row r="17" spans="1:4" x14ac:dyDescent="0.2">
      <c r="A17" s="40" t="s">
        <v>91</v>
      </c>
      <c r="B17" s="60">
        <f>20*8*22*3</f>
        <v>10560</v>
      </c>
      <c r="C17" s="60">
        <f>40*8*22*3</f>
        <v>21120</v>
      </c>
      <c r="D17" s="87"/>
    </row>
    <row r="18" spans="1:4" x14ac:dyDescent="0.2">
      <c r="A18" s="40" t="s">
        <v>92</v>
      </c>
    </row>
    <row r="19" spans="1:4" x14ac:dyDescent="0.2">
      <c r="A19" s="40" t="s">
        <v>74</v>
      </c>
      <c r="B19" s="67">
        <f>D6*0.1</f>
        <v>5000</v>
      </c>
      <c r="C19" s="67">
        <f>D6*0.25</f>
        <v>12500</v>
      </c>
    </row>
    <row r="20" spans="1:4" x14ac:dyDescent="0.2">
      <c r="A20" s="40" t="s">
        <v>75</v>
      </c>
      <c r="B20" s="41">
        <f>E6*0.1</f>
        <v>3500</v>
      </c>
      <c r="C20" s="41">
        <f>E6*0.4</f>
        <v>14000</v>
      </c>
    </row>
    <row r="21" spans="1:4" x14ac:dyDescent="0.2">
      <c r="A21" s="40" t="s">
        <v>93</v>
      </c>
      <c r="B21" s="69">
        <f>SUM(B19:B20)</f>
        <v>8500</v>
      </c>
      <c r="C21" s="69">
        <f>SUM(C19:C20)</f>
        <v>26500</v>
      </c>
    </row>
    <row r="22" spans="1:4" x14ac:dyDescent="0.2">
      <c r="A22" s="40" t="s">
        <v>94</v>
      </c>
      <c r="B22" s="69">
        <f>B17-B21</f>
        <v>2060</v>
      </c>
      <c r="C22" s="69">
        <f>C17-C21</f>
        <v>-5380</v>
      </c>
      <c r="D22" s="87"/>
    </row>
    <row r="25" spans="1:4" x14ac:dyDescent="0.2">
      <c r="A25" s="102" t="s">
        <v>88</v>
      </c>
      <c r="B25" s="102"/>
      <c r="C25" s="102"/>
    </row>
    <row r="27" spans="1:4" x14ac:dyDescent="0.2">
      <c r="A27" s="40" t="s">
        <v>95</v>
      </c>
    </row>
    <row r="29" spans="1:4" x14ac:dyDescent="0.2">
      <c r="B29" s="60" t="s">
        <v>74</v>
      </c>
      <c r="C29" s="60" t="s">
        <v>75</v>
      </c>
    </row>
    <row r="31" spans="1:4" x14ac:dyDescent="0.2">
      <c r="A31" s="40" t="s">
        <v>96</v>
      </c>
      <c r="B31" s="70">
        <f>B6</f>
        <v>120</v>
      </c>
      <c r="C31" s="70">
        <f>C6</f>
        <v>150</v>
      </c>
    </row>
    <row r="32" spans="1:4" x14ac:dyDescent="0.2">
      <c r="A32" s="40" t="s">
        <v>97</v>
      </c>
    </row>
    <row r="33" spans="1:4" x14ac:dyDescent="0.2">
      <c r="A33" s="40" t="s">
        <v>98</v>
      </c>
      <c r="B33" s="70">
        <f>B7</f>
        <v>32</v>
      </c>
      <c r="C33" s="70">
        <f>C7</f>
        <v>40</v>
      </c>
    </row>
    <row r="34" spans="1:4" x14ac:dyDescent="0.2">
      <c r="A34" s="40" t="s">
        <v>99</v>
      </c>
      <c r="B34" s="70">
        <f>B8</f>
        <v>2</v>
      </c>
      <c r="C34" s="70">
        <f>C8</f>
        <v>4</v>
      </c>
    </row>
    <row r="35" spans="1:4" x14ac:dyDescent="0.2">
      <c r="A35" s="40" t="s">
        <v>100</v>
      </c>
      <c r="B35" s="70">
        <f>30*0.1</f>
        <v>3</v>
      </c>
      <c r="C35" s="70">
        <f>30*0.1</f>
        <v>3</v>
      </c>
    </row>
    <row r="36" spans="1:4" x14ac:dyDescent="0.2">
      <c r="A36" s="40" t="s">
        <v>101</v>
      </c>
      <c r="B36" s="80">
        <f>30*0.25</f>
        <v>7.5</v>
      </c>
      <c r="C36" s="70">
        <f>30*0.4</f>
        <v>12</v>
      </c>
    </row>
    <row r="37" spans="1:4" x14ac:dyDescent="0.2">
      <c r="A37" s="40" t="s">
        <v>35</v>
      </c>
      <c r="B37" s="82">
        <f>B31-B33-B34-B35-B36</f>
        <v>75.5</v>
      </c>
      <c r="C37" s="71">
        <f>C31-C33-C34-C35-C36</f>
        <v>91</v>
      </c>
    </row>
    <row r="38" spans="1:4" x14ac:dyDescent="0.2">
      <c r="A38" s="40" t="s">
        <v>102</v>
      </c>
      <c r="B38" s="41">
        <v>0.25</v>
      </c>
      <c r="C38" s="41">
        <v>0.4</v>
      </c>
    </row>
    <row r="40" spans="1:4" x14ac:dyDescent="0.2">
      <c r="A40" s="55" t="s">
        <v>103</v>
      </c>
      <c r="B40" s="81">
        <f>B37/B38</f>
        <v>302</v>
      </c>
      <c r="C40" s="82">
        <f>C37/C38</f>
        <v>227.5</v>
      </c>
      <c r="D40" s="87"/>
    </row>
    <row r="42" spans="1:4" x14ac:dyDescent="0.2">
      <c r="A42" s="40" t="s">
        <v>104</v>
      </c>
    </row>
    <row r="44" spans="1:4" x14ac:dyDescent="0.2">
      <c r="A44" s="40" t="s">
        <v>105</v>
      </c>
      <c r="B44" s="41">
        <v>50000</v>
      </c>
    </row>
    <row r="45" spans="1:4" x14ac:dyDescent="0.2">
      <c r="A45" s="40" t="s">
        <v>106</v>
      </c>
      <c r="B45" s="41">
        <v>12500</v>
      </c>
    </row>
    <row r="46" spans="1:4" x14ac:dyDescent="0.2">
      <c r="A46" s="40" t="s">
        <v>107</v>
      </c>
      <c r="B46" s="68">
        <f>C17-C19</f>
        <v>8620</v>
      </c>
    </row>
    <row r="47" spans="1:4" x14ac:dyDescent="0.2">
      <c r="A47" s="40" t="s">
        <v>108</v>
      </c>
      <c r="B47" s="41">
        <f>B46/0.4</f>
        <v>21550</v>
      </c>
    </row>
    <row r="49" spans="1:4" x14ac:dyDescent="0.2">
      <c r="A49" s="55" t="s">
        <v>74</v>
      </c>
      <c r="B49" s="60">
        <v>50000</v>
      </c>
      <c r="D49" s="101"/>
    </row>
    <row r="50" spans="1:4" x14ac:dyDescent="0.2">
      <c r="A50" s="55" t="s">
        <v>75</v>
      </c>
      <c r="B50" s="60">
        <v>21550</v>
      </c>
      <c r="D50" s="101"/>
    </row>
  </sheetData>
  <mergeCells count="6">
    <mergeCell ref="D49:D50"/>
    <mergeCell ref="A14:C14"/>
    <mergeCell ref="A25:C25"/>
    <mergeCell ref="A1:C1"/>
    <mergeCell ref="A3:C3"/>
    <mergeCell ref="A12:C13"/>
  </mergeCells>
  <pageMargins left="0.70866141732283472" right="0.70866141732283472" top="0.74803149606299213" bottom="0.74803149606299213" header="0.31496062992125984" footer="0.31496062992125984"/>
  <pageSetup paperSize="9" scale="7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7"/>
  <sheetViews>
    <sheetView topLeftCell="B7" zoomScaleNormal="100" workbookViewId="0">
      <selection activeCell="E13" sqref="E13:E30"/>
    </sheetView>
  </sheetViews>
  <sheetFormatPr baseColWidth="10" defaultColWidth="8.83203125" defaultRowHeight="15" x14ac:dyDescent="0.2"/>
  <cols>
    <col min="1" max="1" width="65.6640625" customWidth="1"/>
    <col min="2" max="3" width="30.6640625" customWidth="1"/>
    <col min="4" max="4" width="23.33203125" customWidth="1"/>
    <col min="5" max="5" width="14.1640625" customWidth="1"/>
  </cols>
  <sheetData>
    <row r="1" spans="1:5" ht="16" x14ac:dyDescent="0.2">
      <c r="A1" s="91" t="s">
        <v>69</v>
      </c>
      <c r="B1" s="91"/>
      <c r="C1" s="91"/>
    </row>
    <row r="2" spans="1:5" ht="16" x14ac:dyDescent="0.2">
      <c r="A2" s="40"/>
      <c r="B2" s="41"/>
      <c r="C2" s="41"/>
      <c r="D2" s="41"/>
    </row>
    <row r="3" spans="1:5" ht="80" customHeight="1" x14ac:dyDescent="0.2">
      <c r="A3" s="94" t="s">
        <v>109</v>
      </c>
      <c r="B3" s="94"/>
      <c r="C3" s="94"/>
      <c r="D3" s="94"/>
    </row>
    <row r="4" spans="1:5" ht="16" x14ac:dyDescent="0.2">
      <c r="A4" s="54"/>
      <c r="B4" s="54"/>
      <c r="C4" s="54"/>
      <c r="D4" s="54"/>
    </row>
    <row r="5" spans="1:5" ht="17" x14ac:dyDescent="0.2">
      <c r="A5" s="54"/>
      <c r="B5" s="74" t="s">
        <v>110</v>
      </c>
      <c r="C5" s="74" t="s">
        <v>111</v>
      </c>
      <c r="D5" s="54"/>
    </row>
    <row r="6" spans="1:5" ht="17" x14ac:dyDescent="0.2">
      <c r="A6" s="54" t="s">
        <v>112</v>
      </c>
      <c r="B6" s="54">
        <v>76</v>
      </c>
      <c r="C6" s="54">
        <v>49</v>
      </c>
      <c r="D6" s="54">
        <f>SUM(B6:C6)</f>
        <v>125</v>
      </c>
    </row>
    <row r="7" spans="1:5" ht="16" x14ac:dyDescent="0.2">
      <c r="A7" s="40" t="s">
        <v>113</v>
      </c>
      <c r="B7" s="54">
        <v>68</v>
      </c>
      <c r="C7" s="54">
        <v>55</v>
      </c>
      <c r="D7" s="54">
        <f>SUM(B7:C7)</f>
        <v>123</v>
      </c>
    </row>
    <row r="8" spans="1:5" ht="16" x14ac:dyDescent="0.2">
      <c r="B8" s="54"/>
      <c r="C8" s="54"/>
      <c r="D8" s="54"/>
    </row>
    <row r="9" spans="1:5" ht="17" x14ac:dyDescent="0.2">
      <c r="A9" s="54" t="s">
        <v>114</v>
      </c>
      <c r="B9" s="54"/>
      <c r="C9" s="54"/>
      <c r="D9" s="41"/>
    </row>
    <row r="10" spans="1:5" ht="16" x14ac:dyDescent="0.2">
      <c r="B10" s="54"/>
      <c r="C10" s="54"/>
      <c r="D10" s="72"/>
    </row>
    <row r="11" spans="1:5" ht="16" x14ac:dyDescent="0.2">
      <c r="B11" s="41"/>
      <c r="C11" s="41"/>
      <c r="D11" s="41"/>
    </row>
    <row r="12" spans="1:5" ht="17" x14ac:dyDescent="0.2">
      <c r="A12" s="64" t="s">
        <v>70</v>
      </c>
      <c r="B12" s="64"/>
      <c r="C12" s="64"/>
      <c r="D12" s="43"/>
    </row>
    <row r="13" spans="1:5" ht="16" x14ac:dyDescent="0.2">
      <c r="A13" s="73" t="s">
        <v>71</v>
      </c>
      <c r="B13" s="73"/>
      <c r="C13" s="73"/>
    </row>
    <row r="14" spans="1:5" ht="16" x14ac:dyDescent="0.2">
      <c r="A14" s="42"/>
      <c r="B14" s="43"/>
      <c r="C14" s="43"/>
    </row>
    <row r="15" spans="1:5" ht="17" x14ac:dyDescent="0.2">
      <c r="B15" s="74" t="s">
        <v>110</v>
      </c>
      <c r="C15" s="74" t="s">
        <v>111</v>
      </c>
      <c r="D15" s="54" t="s">
        <v>117</v>
      </c>
    </row>
    <row r="16" spans="1:5" ht="16" x14ac:dyDescent="0.2">
      <c r="D16" s="75">
        <f>(20000*0.3)/D6</f>
        <v>48</v>
      </c>
      <c r="E16" s="89"/>
    </row>
    <row r="17" spans="1:5" ht="17" x14ac:dyDescent="0.2">
      <c r="A17" s="74" t="s">
        <v>115</v>
      </c>
      <c r="B17" s="74">
        <f>D16*B6</f>
        <v>3648</v>
      </c>
      <c r="C17" s="74">
        <f>D16*C6</f>
        <v>2352</v>
      </c>
      <c r="D17" s="54"/>
    </row>
    <row r="18" spans="1:5" ht="17" x14ac:dyDescent="0.2">
      <c r="A18" s="74" t="s">
        <v>116</v>
      </c>
      <c r="B18" s="74">
        <f>(20000*0.7)*0.6</f>
        <v>8400</v>
      </c>
      <c r="C18" s="74">
        <f>20000*0.7*0.4</f>
        <v>5600</v>
      </c>
      <c r="D18" s="54"/>
    </row>
    <row r="19" spans="1:5" ht="17" x14ac:dyDescent="0.2">
      <c r="A19" s="74" t="s">
        <v>118</v>
      </c>
      <c r="B19" s="74">
        <f>SUM(B17:B18)</f>
        <v>12048</v>
      </c>
      <c r="C19" s="74">
        <f>SUM(C17:C18)</f>
        <v>7952</v>
      </c>
      <c r="D19" s="54">
        <f>SUM(B19:C19)</f>
        <v>20000</v>
      </c>
      <c r="E19" s="89"/>
    </row>
    <row r="21" spans="1:5" ht="16" x14ac:dyDescent="0.2">
      <c r="A21" s="73" t="s">
        <v>72</v>
      </c>
      <c r="B21" s="73"/>
      <c r="C21" s="73"/>
    </row>
    <row r="23" spans="1:5" ht="17" x14ac:dyDescent="0.2">
      <c r="B23" s="74" t="s">
        <v>110</v>
      </c>
      <c r="C23" s="74" t="s">
        <v>111</v>
      </c>
    </row>
    <row r="25" spans="1:5" ht="17" x14ac:dyDescent="0.2">
      <c r="A25" s="74" t="s">
        <v>115</v>
      </c>
      <c r="B25" s="74">
        <f>D16*B7</f>
        <v>3264</v>
      </c>
      <c r="C25" s="74">
        <f>D16*C7</f>
        <v>2640</v>
      </c>
    </row>
    <row r="26" spans="1:5" ht="17" x14ac:dyDescent="0.2">
      <c r="A26" s="74" t="s">
        <v>116</v>
      </c>
      <c r="B26" s="74">
        <f>B18</f>
        <v>8400</v>
      </c>
      <c r="C26" s="74">
        <f>C18</f>
        <v>5600</v>
      </c>
    </row>
    <row r="27" spans="1:5" ht="17" x14ac:dyDescent="0.2">
      <c r="A27" s="74" t="s">
        <v>118</v>
      </c>
      <c r="B27" s="74">
        <f>SUM(B25:B26)</f>
        <v>11664</v>
      </c>
      <c r="C27" s="74">
        <f>SUM(C25:C26)</f>
        <v>8240</v>
      </c>
      <c r="D27" s="54">
        <f>SUM(B27:C27)</f>
        <v>19904</v>
      </c>
      <c r="E27" s="89"/>
    </row>
  </sheetData>
  <mergeCells count="2">
    <mergeCell ref="A1:C1"/>
    <mergeCell ref="A3:D3"/>
  </mergeCells>
  <pageMargins left="0.70866141732283472" right="0.70866141732283472" top="0.74803149606299213" bottom="0.74803149606299213" header="0.31496062992125984" footer="0.31496062992125984"/>
  <pageSetup paperSize="9" scale="7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42"/>
  <sheetViews>
    <sheetView topLeftCell="A33" workbookViewId="0">
      <selection activeCell="E44" sqref="E19:E44"/>
    </sheetView>
  </sheetViews>
  <sheetFormatPr baseColWidth="10" defaultColWidth="8.83203125" defaultRowHeight="15" x14ac:dyDescent="0.2"/>
  <cols>
    <col min="1" max="1" width="65.6640625" customWidth="1"/>
    <col min="2" max="2" width="22.6640625" customWidth="1"/>
    <col min="3" max="3" width="25.5" customWidth="1"/>
    <col min="4" max="4" width="22.6640625" customWidth="1"/>
    <col min="5" max="5" width="21.5" customWidth="1"/>
    <col min="10" max="10" width="6.6640625" customWidth="1"/>
  </cols>
  <sheetData>
    <row r="1" spans="1:10" ht="16" x14ac:dyDescent="0.2">
      <c r="A1" s="91" t="s">
        <v>156</v>
      </c>
      <c r="B1" s="91"/>
      <c r="C1" s="91"/>
    </row>
    <row r="3" spans="1:10" ht="50" customHeight="1" x14ac:dyDescent="0.2">
      <c r="A3" s="107" t="s">
        <v>129</v>
      </c>
      <c r="B3" s="107"/>
      <c r="C3" s="107"/>
    </row>
    <row r="4" spans="1:10" x14ac:dyDescent="0.2">
      <c r="A4" s="106"/>
      <c r="B4" s="106"/>
      <c r="C4" s="106"/>
      <c r="D4" s="106"/>
      <c r="E4" s="106"/>
      <c r="F4" s="106"/>
      <c r="G4" s="106"/>
      <c r="H4" s="106"/>
      <c r="I4" s="106"/>
      <c r="J4" s="106"/>
    </row>
    <row r="5" spans="1:10" ht="16" x14ac:dyDescent="0.2">
      <c r="A5" s="77" t="s">
        <v>121</v>
      </c>
      <c r="B5" s="19">
        <v>140</v>
      </c>
    </row>
    <row r="6" spans="1:10" ht="16" x14ac:dyDescent="0.2">
      <c r="A6" s="1" t="s">
        <v>119</v>
      </c>
      <c r="B6" s="8">
        <v>24850</v>
      </c>
    </row>
    <row r="7" spans="1:10" ht="16" x14ac:dyDescent="0.2">
      <c r="A7" s="1" t="s">
        <v>120</v>
      </c>
      <c r="B7" s="8">
        <v>9500</v>
      </c>
    </row>
    <row r="8" spans="1:10" ht="16" x14ac:dyDescent="0.2">
      <c r="A8" s="77" t="s">
        <v>122</v>
      </c>
      <c r="B8" s="19">
        <v>110</v>
      </c>
    </row>
    <row r="9" spans="1:10" ht="16" x14ac:dyDescent="0.2">
      <c r="A9" s="1" t="s">
        <v>123</v>
      </c>
      <c r="B9" s="83">
        <v>0.8</v>
      </c>
    </row>
    <row r="10" spans="1:10" ht="16" x14ac:dyDescent="0.2">
      <c r="A10" s="1" t="s">
        <v>134</v>
      </c>
      <c r="B10" s="83">
        <v>0.4</v>
      </c>
    </row>
    <row r="11" spans="1:10" ht="16" x14ac:dyDescent="0.2">
      <c r="A11" s="77" t="s">
        <v>133</v>
      </c>
      <c r="B11" s="19">
        <v>820</v>
      </c>
    </row>
    <row r="12" spans="1:10" ht="16" x14ac:dyDescent="0.2">
      <c r="A12" s="1" t="s">
        <v>124</v>
      </c>
      <c r="B12" s="8">
        <v>148680</v>
      </c>
    </row>
    <row r="13" spans="1:10" ht="16" x14ac:dyDescent="0.2">
      <c r="A13" s="1" t="s">
        <v>125</v>
      </c>
      <c r="B13" s="8">
        <v>57550</v>
      </c>
      <c r="C13" s="76"/>
    </row>
    <row r="14" spans="1:10" ht="16" x14ac:dyDescent="0.2">
      <c r="C14" s="76"/>
    </row>
    <row r="15" spans="1:10" ht="31" customHeight="1" x14ac:dyDescent="0.2">
      <c r="A15" s="108" t="s">
        <v>126</v>
      </c>
      <c r="B15" s="108"/>
      <c r="C15" s="108"/>
    </row>
    <row r="16" spans="1:10" ht="16" x14ac:dyDescent="0.2">
      <c r="A16" s="104" t="s">
        <v>127</v>
      </c>
      <c r="B16" s="104"/>
      <c r="C16" s="104"/>
    </row>
    <row r="18" spans="1:5" ht="16" x14ac:dyDescent="0.2">
      <c r="A18" s="8"/>
      <c r="B18" s="19" t="s">
        <v>132</v>
      </c>
      <c r="C18" s="19" t="s">
        <v>130</v>
      </c>
      <c r="D18" s="19" t="s">
        <v>131</v>
      </c>
    </row>
    <row r="19" spans="1:5" ht="16" x14ac:dyDescent="0.2">
      <c r="A19" s="8" t="s">
        <v>142</v>
      </c>
      <c r="B19" s="8">
        <f>B5+B11-B8</f>
        <v>850</v>
      </c>
      <c r="C19" s="8">
        <f>B19</f>
        <v>850</v>
      </c>
      <c r="D19" s="8">
        <f>B19</f>
        <v>850</v>
      </c>
    </row>
    <row r="20" spans="1:5" ht="16" x14ac:dyDescent="0.2">
      <c r="A20" s="8" t="s">
        <v>9</v>
      </c>
      <c r="B20" s="8">
        <f>B8</f>
        <v>110</v>
      </c>
      <c r="C20" s="8">
        <f>B20*B9</f>
        <v>88</v>
      </c>
      <c r="D20" s="8">
        <f>B20*B10</f>
        <v>44</v>
      </c>
    </row>
    <row r="21" spans="1:5" ht="16" x14ac:dyDescent="0.2">
      <c r="A21" s="8" t="s">
        <v>29</v>
      </c>
      <c r="B21" s="19">
        <f>SUM(B19:B20)</f>
        <v>960</v>
      </c>
      <c r="C21" s="19">
        <f>SUM(C19:C20)</f>
        <v>938</v>
      </c>
      <c r="D21" s="19">
        <f>SUM(D19:D20)</f>
        <v>894</v>
      </c>
      <c r="E21" s="85"/>
    </row>
    <row r="24" spans="1:5" ht="16" x14ac:dyDescent="0.2">
      <c r="A24" s="104" t="s">
        <v>128</v>
      </c>
      <c r="B24" s="104"/>
      <c r="C24" s="104"/>
    </row>
    <row r="26" spans="1:5" ht="16" x14ac:dyDescent="0.2">
      <c r="B26" s="19" t="s">
        <v>130</v>
      </c>
      <c r="C26" s="19" t="s">
        <v>131</v>
      </c>
    </row>
    <row r="28" spans="1:5" ht="16" x14ac:dyDescent="0.2">
      <c r="A28" s="8" t="s">
        <v>135</v>
      </c>
      <c r="B28" s="8">
        <f>B6</f>
        <v>24850</v>
      </c>
      <c r="C28" s="8">
        <f>B7</f>
        <v>9500</v>
      </c>
    </row>
    <row r="29" spans="1:5" ht="16" x14ac:dyDescent="0.2">
      <c r="A29" s="8" t="s">
        <v>136</v>
      </c>
      <c r="B29" s="8">
        <f>B12</f>
        <v>148680</v>
      </c>
      <c r="C29" s="8">
        <f>B13</f>
        <v>57550</v>
      </c>
    </row>
    <row r="30" spans="1:5" ht="16" x14ac:dyDescent="0.2">
      <c r="A30" s="8" t="s">
        <v>137</v>
      </c>
      <c r="B30" s="8">
        <f>SUM(B28:B29)</f>
        <v>173530</v>
      </c>
      <c r="C30" s="8">
        <f>SUM(C28:C29)</f>
        <v>67050</v>
      </c>
      <c r="D30">
        <f>SUM(B30:C30)</f>
        <v>240580</v>
      </c>
    </row>
    <row r="31" spans="1:5" ht="16" x14ac:dyDescent="0.2">
      <c r="A31" s="8" t="s">
        <v>138</v>
      </c>
      <c r="B31" s="8">
        <f>C21</f>
        <v>938</v>
      </c>
      <c r="C31" s="8">
        <f>D21</f>
        <v>894</v>
      </c>
    </row>
    <row r="32" spans="1:5" ht="16" x14ac:dyDescent="0.2">
      <c r="A32" s="8" t="s">
        <v>139</v>
      </c>
      <c r="B32" s="19">
        <f>B30/B31</f>
        <v>185</v>
      </c>
      <c r="C32" s="19">
        <f>C30/C31</f>
        <v>75</v>
      </c>
      <c r="D32">
        <f>SUM(B32:C32)</f>
        <v>260</v>
      </c>
      <c r="E32" s="85"/>
    </row>
    <row r="34" spans="1:5" ht="35" customHeight="1" x14ac:dyDescent="0.2">
      <c r="A34" s="105" t="s">
        <v>140</v>
      </c>
      <c r="B34" s="105"/>
      <c r="C34" s="105"/>
    </row>
    <row r="36" spans="1:5" ht="16" x14ac:dyDescent="0.2">
      <c r="A36" s="8"/>
      <c r="B36" s="8" t="s">
        <v>143</v>
      </c>
      <c r="C36" s="8" t="s">
        <v>144</v>
      </c>
    </row>
    <row r="37" spans="1:5" ht="16" x14ac:dyDescent="0.2">
      <c r="A37" s="8" t="s">
        <v>141</v>
      </c>
      <c r="B37" s="8">
        <f>B19</f>
        <v>850</v>
      </c>
      <c r="C37" s="19">
        <f>B37*D32</f>
        <v>221000</v>
      </c>
    </row>
    <row r="38" spans="1:5" ht="16" x14ac:dyDescent="0.2">
      <c r="A38" s="8" t="s">
        <v>9</v>
      </c>
      <c r="B38" s="8"/>
      <c r="C38" s="8"/>
    </row>
    <row r="39" spans="1:5" ht="16" x14ac:dyDescent="0.2">
      <c r="A39" s="8" t="s">
        <v>130</v>
      </c>
      <c r="B39" s="8">
        <f>C20</f>
        <v>88</v>
      </c>
      <c r="C39" s="8">
        <f>B39*B32</f>
        <v>16280</v>
      </c>
    </row>
    <row r="40" spans="1:5" ht="16" x14ac:dyDescent="0.2">
      <c r="A40" s="8" t="s">
        <v>131</v>
      </c>
      <c r="B40" s="8">
        <f>D20</f>
        <v>44</v>
      </c>
      <c r="C40" s="8">
        <f>B40*C32</f>
        <v>3300</v>
      </c>
    </row>
    <row r="41" spans="1:5" ht="16" x14ac:dyDescent="0.2">
      <c r="A41" s="8" t="s">
        <v>145</v>
      </c>
      <c r="B41" s="8"/>
      <c r="C41" s="19">
        <f>SUM(C39:C40)</f>
        <v>19580</v>
      </c>
      <c r="D41">
        <f>C37+C41</f>
        <v>240580</v>
      </c>
      <c r="E41" s="85"/>
    </row>
    <row r="42" spans="1:5" x14ac:dyDescent="0.2">
      <c r="D42" t="s">
        <v>158</v>
      </c>
    </row>
  </sheetData>
  <mergeCells count="7">
    <mergeCell ref="A24:C24"/>
    <mergeCell ref="A34:C34"/>
    <mergeCell ref="A4:J4"/>
    <mergeCell ref="A1:C1"/>
    <mergeCell ref="A3:C3"/>
    <mergeCell ref="A15:C15"/>
    <mergeCell ref="A16:C16"/>
  </mergeCells>
  <pageMargins left="0.70866141732283472" right="0.70866141732283472" top="0.74803149606299213" bottom="0.74803149606299213" header="0.31496062992125984" footer="0.31496062992125984"/>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9"/>
  <sheetViews>
    <sheetView workbookViewId="0">
      <selection activeCell="C6" sqref="C6"/>
    </sheetView>
  </sheetViews>
  <sheetFormatPr baseColWidth="10" defaultColWidth="8.83203125" defaultRowHeight="15" x14ac:dyDescent="0.2"/>
  <cols>
    <col min="1" max="1" width="65.6640625" customWidth="1"/>
    <col min="2" max="3" width="30.6640625" customWidth="1"/>
  </cols>
  <sheetData>
    <row r="1" spans="1:5" ht="16" x14ac:dyDescent="0.2">
      <c r="A1" s="6" t="s">
        <v>147</v>
      </c>
      <c r="B1" s="6"/>
      <c r="C1" s="7"/>
      <c r="D1" s="7"/>
      <c r="E1" s="7"/>
    </row>
    <row r="3" spans="1:5" ht="16" x14ac:dyDescent="0.2">
      <c r="A3" s="8" t="s">
        <v>148</v>
      </c>
    </row>
    <row r="6" spans="1:5" x14ac:dyDescent="0.2">
      <c r="A6" s="88" t="s">
        <v>159</v>
      </c>
    </row>
    <row r="7" spans="1:5" x14ac:dyDescent="0.2">
      <c r="A7" s="88" t="s">
        <v>160</v>
      </c>
    </row>
    <row r="9" spans="1:5" x14ac:dyDescent="0.2">
      <c r="A9" t="s">
        <v>161</v>
      </c>
    </row>
  </sheetData>
  <pageMargins left="0.70866141732283472" right="0.70866141732283472" top="0.74803149606299213" bottom="0.74803149606299213" header="0.31496062992125984" footer="0.31496062992125984"/>
  <pageSetup paperSize="9"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3"/>
  <sheetViews>
    <sheetView workbookViewId="0">
      <selection activeCell="B3" sqref="B3"/>
    </sheetView>
  </sheetViews>
  <sheetFormatPr baseColWidth="10" defaultColWidth="8.83203125" defaultRowHeight="15" x14ac:dyDescent="0.2"/>
  <cols>
    <col min="1" max="1" width="65.6640625" customWidth="1"/>
    <col min="2" max="3" width="30.6640625" customWidth="1"/>
  </cols>
  <sheetData>
    <row r="1" spans="1:5" ht="16" x14ac:dyDescent="0.2">
      <c r="A1" s="6" t="s">
        <v>149</v>
      </c>
      <c r="B1" s="6"/>
      <c r="C1" s="7"/>
      <c r="D1" s="7"/>
      <c r="E1" s="7"/>
    </row>
    <row r="3" spans="1:5" ht="16" x14ac:dyDescent="0.2">
      <c r="A3" s="8" t="s">
        <v>152</v>
      </c>
    </row>
  </sheetData>
  <pageMargins left="0.70866141732283472" right="0.70866141732283472" top="0.74803149606299213" bottom="0.74803149606299213" header="0.31496062992125984" footer="0.31496062992125984"/>
  <pageSetup paperSize="9" scale="6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3"/>
  <sheetViews>
    <sheetView workbookViewId="0">
      <selection activeCell="B8" sqref="B8:B35"/>
    </sheetView>
  </sheetViews>
  <sheetFormatPr baseColWidth="10" defaultColWidth="8.83203125" defaultRowHeight="15" x14ac:dyDescent="0.2"/>
  <cols>
    <col min="1" max="1" width="65.6640625" customWidth="1"/>
    <col min="2" max="3" width="30.6640625" customWidth="1"/>
  </cols>
  <sheetData>
    <row r="1" spans="1:5" ht="16" x14ac:dyDescent="0.2">
      <c r="A1" s="6" t="s">
        <v>151</v>
      </c>
      <c r="B1" s="6"/>
      <c r="C1" s="7"/>
      <c r="D1" s="7"/>
      <c r="E1" s="7"/>
    </row>
    <row r="3" spans="1:5" ht="16" x14ac:dyDescent="0.2">
      <c r="A3" s="8" t="s">
        <v>150</v>
      </c>
    </row>
  </sheetData>
  <pageMargins left="0.70866141732283472" right="0.70866141732283472" top="0.74803149606299213" bottom="0.74803149606299213" header="0.31496062992125984" footer="0.31496062992125984"/>
  <pageSetup paperSize="9" scale="6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3"/>
  <sheetViews>
    <sheetView tabSelected="1" workbookViewId="0">
      <selection activeCell="B6" sqref="B6"/>
    </sheetView>
  </sheetViews>
  <sheetFormatPr baseColWidth="10" defaultColWidth="8.83203125" defaultRowHeight="15" x14ac:dyDescent="0.2"/>
  <cols>
    <col min="1" max="1" width="65.6640625" customWidth="1"/>
    <col min="2" max="3" width="30.6640625" customWidth="1"/>
  </cols>
  <sheetData>
    <row r="1" spans="1:5" ht="16" x14ac:dyDescent="0.2">
      <c r="A1" s="6" t="s">
        <v>146</v>
      </c>
      <c r="B1" s="6"/>
      <c r="C1" s="7"/>
      <c r="D1" s="7"/>
      <c r="E1" s="7"/>
    </row>
    <row r="3" spans="1:5" ht="16" x14ac:dyDescent="0.2">
      <c r="A3" s="8" t="s">
        <v>153</v>
      </c>
    </row>
  </sheetData>
  <pageMargins left="0.70866141732283472" right="0.70866141732283472" top="0.74803149606299213" bottom="0.74803149606299213" header="0.31496062992125984" footer="0.31496062992125984"/>
  <pageSetup paperSize="9" scale="60"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Fogli di lavoro</vt:lpstr>
      </vt:variant>
      <vt:variant>
        <vt:i4>9</vt:i4>
      </vt:variant>
      <vt:variant>
        <vt:lpstr>Intervalli denominati</vt:lpstr>
      </vt:variant>
      <vt:variant>
        <vt:i4>2</vt:i4>
      </vt:variant>
    </vt:vector>
  </HeadingPairs>
  <TitlesOfParts>
    <vt:vector size="11" baseType="lpstr">
      <vt:lpstr>Anagrafica</vt:lpstr>
      <vt:lpstr>Esercizio 1 soluzioni</vt:lpstr>
      <vt:lpstr>Esercizio 2 soluzioni</vt:lpstr>
      <vt:lpstr>Esercizio 3 soluzioni</vt:lpstr>
      <vt:lpstr>Esercizio 4 soluzioni</vt:lpstr>
      <vt:lpstr>Domanda 1</vt:lpstr>
      <vt:lpstr>Domanda 2</vt:lpstr>
      <vt:lpstr>Domanda 3</vt:lpstr>
      <vt:lpstr>Domanda 4</vt:lpstr>
      <vt:lpstr>'Esercizio 1 soluzioni'!Area_stampa</vt:lpstr>
      <vt:lpstr>'Esercizio 2 soluzioni'!Area_stampa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Ghezzi</dc:creator>
  <cp:lastModifiedBy>Microsoft Office User</cp:lastModifiedBy>
  <cp:lastPrinted>2022-06-22T10:48:09Z</cp:lastPrinted>
  <dcterms:created xsi:type="dcterms:W3CDTF">2021-05-24T10:30:56Z</dcterms:created>
  <dcterms:modified xsi:type="dcterms:W3CDTF">2022-08-12T07:16:08Z</dcterms:modified>
</cp:coreProperties>
</file>