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MPrimitives" sheetId="1" r:id="rId4"/>
    <sheet state="visible" name="WriteEnergy" sheetId="2" r:id="rId5"/>
    <sheet state="visible" name="PrimitivePeakThroughput" sheetId="3" r:id="rId6"/>
    <sheet state="visible" name="MemoryHierarchy" sheetId="4" r:id="rId7"/>
    <sheet state="visible" name="Scaling data" sheetId="5" r:id="rId8"/>
    <sheet state="visible" name="GEMMShape" sheetId="6" r:id="rId9"/>
  </sheets>
  <definedNames/>
  <calcPr/>
</workbook>
</file>

<file path=xl/sharedStrings.xml><?xml version="1.0" encoding="utf-8"?>
<sst xmlns="http://schemas.openxmlformats.org/spreadsheetml/2006/main" count="141" uniqueCount="115">
  <si>
    <t>Index</t>
  </si>
  <si>
    <t>Paper Name</t>
  </si>
  <si>
    <t>Link</t>
  </si>
  <si>
    <t>Technology</t>
  </si>
  <si>
    <t>Array Row</t>
  </si>
  <si>
    <t>Array Col</t>
  </si>
  <si>
    <t>Storage size (B)</t>
  </si>
  <si>
    <t>n</t>
  </si>
  <si>
    <t>Rp</t>
  </si>
  <si>
    <t>Cp</t>
  </si>
  <si>
    <t>Voltage (V)</t>
  </si>
  <si>
    <t>Latency (ns)</t>
  </si>
  <si>
    <t>Area</t>
  </si>
  <si>
    <t>TOPS/W</t>
  </si>
  <si>
    <t>E_op (fJ)</t>
  </si>
  <si>
    <t>EnergyFactor</t>
  </si>
  <si>
    <t>DelayFactor</t>
  </si>
  <si>
    <t>EnergyRatio</t>
  </si>
  <si>
    <t>DelayRatio</t>
  </si>
  <si>
    <t>E_45nm</t>
  </si>
  <si>
    <t>Lat_45nm</t>
  </si>
  <si>
    <t>A Local Computing Cell and 6T SRAM-Based Computing-in-Memory Macro With 8-b MAC Operation for Edge AI Chips</t>
  </si>
  <si>
    <t>https://ieeexplore.ieee.org/document/9416993</t>
  </si>
  <si>
    <t>28nm</t>
  </si>
  <si>
    <t>A 65 nm 1.4-6.7 TOPS/W Adaptive-SNR Sparsity-Aware CIM Core with Load Balancing Support for DL workloads</t>
  </si>
  <si>
    <t>https://ieeexplore.ieee.org/document/10121243</t>
  </si>
  <si>
    <t>65nm</t>
  </si>
  <si>
    <t>A 89 TOPS/W and 16.3 TOPS/mm2 All Digital SRAM- Based Full Precision Compute-In-Memory in 22nm for Machine-Learning Edge Applications</t>
  </si>
  <si>
    <t>https://ieeexplore.ieee.org/document/9365766</t>
  </si>
  <si>
    <t>22nm</t>
  </si>
  <si>
    <t>A 28-nm Compute SRAM With Bit-Serial Logic/ Arithmetic Operations for Programmable In-Memory Vector Computing</t>
  </si>
  <si>
    <t>http://blaauw.engin.umich.edu/wp-content/uploads/sites/342/2020/06/A-28-nm-Compute-SRAM-With-Bit-Serial-Logic_Arithmetic-Operations-for-Programmable-In-Memory-Vector-Computing.pdf</t>
  </si>
  <si>
    <t>CiMPrimitive</t>
  </si>
  <si>
    <t>Array Size Row</t>
  </si>
  <si>
    <t>Array Size Col</t>
  </si>
  <si>
    <t>Write Energy in 65nm (2*write current/MHz * V * freq (MHz) * access time )</t>
  </si>
  <si>
    <t>Energy Factor 65nm</t>
  </si>
  <si>
    <t>Enery Factor 45nm</t>
  </si>
  <si>
    <t>Write Energy in 45nm</t>
  </si>
  <si>
    <t>Write Energy/8bit</t>
  </si>
  <si>
    <t>Size</t>
  </si>
  <si>
    <t>Digital1</t>
  </si>
  <si>
    <t>6T</t>
  </si>
  <si>
    <t>Digital2</t>
  </si>
  <si>
    <t>8T</t>
  </si>
  <si>
    <t>Analog1</t>
  </si>
  <si>
    <t>Analog2</t>
  </si>
  <si>
    <t>Note: numbers obtained using TSMC's memory compiler</t>
  </si>
  <si>
    <t>Number of CiM Arrays</t>
  </si>
  <si>
    <t>Peak Throughput = (Rp*Cp * #CiM Arrays)/CiM Latency</t>
  </si>
  <si>
    <t>Register File (4x4KB)</t>
  </si>
  <si>
    <t>Shared Memory (256KB)</t>
  </si>
  <si>
    <t>Min Reuse for compute bound</t>
  </si>
  <si>
    <t>Analog-1</t>
  </si>
  <si>
    <t>Analog-2</t>
  </si>
  <si>
    <t>Digital-1</t>
  </si>
  <si>
    <t>Digital-2</t>
  </si>
  <si>
    <t>Memory</t>
  </si>
  <si>
    <t>Read Energy/access</t>
  </si>
  <si>
    <t>Size (KB for RF and SMEM)</t>
  </si>
  <si>
    <t>Write energy/access</t>
  </si>
  <si>
    <t>DRAM</t>
  </si>
  <si>
    <t>-</t>
  </si>
  <si>
    <t>SMEM</t>
  </si>
  <si>
    <t>RF</t>
  </si>
  <si>
    <t>LRF</t>
  </si>
  <si>
    <t>1B</t>
  </si>
  <si>
    <t>MAC energy</t>
  </si>
  <si>
    <t xml:space="preserve">Paper Reference: Stillmaker, Aaron, and Bevan Baas. "Scaling equations for the accurate prediction of CMOS device performance from 180 nm to 7 nm." Integration 58 (2017): 74-81. </t>
  </si>
  <si>
    <t>Delay Coefficients</t>
  </si>
  <si>
    <t>Energy Coefficients</t>
  </si>
  <si>
    <t>Type</t>
  </si>
  <si>
    <t>Node</t>
  </si>
  <si>
    <t>ad3</t>
  </si>
  <si>
    <t>ad2</t>
  </si>
  <si>
    <t>ad1</t>
  </si>
  <si>
    <t>ado</t>
  </si>
  <si>
    <t>ae2</t>
  </si>
  <si>
    <t>ae1</t>
  </si>
  <si>
    <t>ae0</t>
  </si>
  <si>
    <t>Bulk</t>
  </si>
  <si>
    <t>180 mm</t>
  </si>
  <si>
    <t>130 mm</t>
  </si>
  <si>
    <t>90 nm</t>
  </si>
  <si>
    <t>65 nm</t>
  </si>
  <si>
    <t>High-k</t>
  </si>
  <si>
    <t>HP</t>
  </si>
  <si>
    <t>45 nm</t>
  </si>
  <si>
    <t>32 nm</t>
  </si>
  <si>
    <t>LP</t>
  </si>
  <si>
    <t>Multi-Gate</t>
  </si>
  <si>
    <t>20 mm</t>
  </si>
  <si>
    <t>16 nm</t>
  </si>
  <si>
    <t>14 nm</t>
  </si>
  <si>
    <t>10 nm</t>
  </si>
  <si>
    <t>7 mm</t>
  </si>
  <si>
    <t>LSTP</t>
  </si>
  <si>
    <t>14nm</t>
  </si>
  <si>
    <t>10 mm</t>
  </si>
  <si>
    <t>ML Workload</t>
  </si>
  <si>
    <t>M</t>
  </si>
  <si>
    <t>N</t>
  </si>
  <si>
    <t>K</t>
  </si>
  <si>
    <t>Conv2D</t>
  </si>
  <si>
    <t>Out height*Out width*Batch</t>
  </si>
  <si>
    <t>Out channels</t>
  </si>
  <si>
    <t>Inp height * Inp width * Inp channels</t>
  </si>
  <si>
    <t>FC</t>
  </si>
  <si>
    <t>Intermediate size</t>
  </si>
  <si>
    <t>Input size</t>
  </si>
  <si>
    <t>Attention1</t>
  </si>
  <si>
    <t>Embedding size</t>
  </si>
  <si>
    <t>Seq length</t>
  </si>
  <si>
    <t>Attention2</t>
  </si>
  <si>
    <t>Attention3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</si>
</sst>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"/>
    <numFmt numFmtId="166" formatCode="0.0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Calibri"/>
    </font>
    <font>
      <sz val="9.0"/>
      <color rgb="FF000000"/>
      <name val="&quot;Segoe UI&quot;"/>
    </font>
    <font>
      <sz val="12.0"/>
      <color rgb="FF212529"/>
      <name val="Chivo"/>
    </font>
    <font/>
    <font>
      <b/>
      <color rgb="FF000000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57373"/>
        <bgColor rgb="FFE57373"/>
      </patternFill>
    </fill>
    <fill>
      <patternFill patternType="solid">
        <fgColor rgb="FFE9EBF5"/>
        <bgColor rgb="FFE9EBF5"/>
      </patternFill>
    </fill>
  </fills>
  <borders count="7">
    <border/>
    <border>
      <left style="thin">
        <color rgb="FF909090"/>
      </left>
      <right style="thin">
        <color rgb="FF909090"/>
      </right>
      <top style="thin">
        <color rgb="FF909090"/>
      </top>
      <bottom style="thin">
        <color rgb="FF909090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top style="thin">
        <color rgb="FFDEE2E6"/>
      </top>
      <bottom style="thin">
        <color rgb="FFDEE2E6"/>
      </bottom>
    </border>
    <border>
      <top style="thin">
        <color rgb="FFDEE2E6"/>
      </top>
      <bottom style="thin">
        <color rgb="FFDEE2E6"/>
      </bottom>
    </border>
    <border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1" xfId="0" applyFont="1" applyNumberFormat="1"/>
    <xf borderId="0" fillId="0" fontId="2" numFmtId="165" xfId="0" applyFont="1" applyNumberFormat="1"/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vertical="top"/>
    </xf>
    <xf borderId="2" fillId="0" fontId="6" numFmtId="0" xfId="0" applyAlignment="1" applyBorder="1" applyFont="1">
      <alignment horizontal="left" vertical="top"/>
    </xf>
    <xf borderId="3" fillId="0" fontId="6" numFmtId="0" xfId="0" applyAlignment="1" applyBorder="1" applyFont="1">
      <alignment horizontal="left" readingOrder="0" vertical="top"/>
    </xf>
    <xf borderId="4" fillId="0" fontId="7" numFmtId="0" xfId="0" applyBorder="1" applyFont="1"/>
    <xf borderId="5" fillId="0" fontId="7" numFmtId="0" xfId="0" applyBorder="1" applyFont="1"/>
    <xf borderId="2" fillId="0" fontId="6" numFmtId="0" xfId="0" applyAlignment="1" applyBorder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0" fontId="6" numFmtId="2" xfId="0" applyAlignment="1" applyBorder="1" applyFont="1" applyNumberFormat="1">
      <alignment horizontal="left" readingOrder="0" vertical="top"/>
    </xf>
    <xf borderId="0" fillId="0" fontId="2" numFmtId="2" xfId="0" applyFont="1" applyNumberFormat="1"/>
    <xf borderId="2" fillId="2" fontId="6" numFmtId="0" xfId="0" applyAlignment="1" applyBorder="1" applyFill="1" applyFont="1">
      <alignment horizontal="left" readingOrder="0" vertical="top"/>
    </xf>
    <xf borderId="2" fillId="0" fontId="6" numFmtId="164" xfId="0" applyAlignment="1" applyBorder="1" applyFont="1" applyNumberFormat="1">
      <alignment horizontal="left" readingOrder="0" vertical="top"/>
    </xf>
    <xf borderId="2" fillId="0" fontId="6" numFmtId="166" xfId="0" applyAlignment="1" applyBorder="1" applyFont="1" applyNumberFormat="1">
      <alignment horizontal="left" readingOrder="0" vertical="top"/>
    </xf>
    <xf borderId="2" fillId="0" fontId="6" numFmtId="3" xfId="0" applyAlignment="1" applyBorder="1" applyFont="1" applyNumberForma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2" fillId="2" fontId="6" numFmtId="0" xfId="0" applyAlignment="1" applyBorder="1" applyFill="1" applyFont="1">
      <alignment horizontal="left" readingOrder="0" vertical="top"/>
    </xf>
    <xf borderId="6" fillId="3" fontId="8" numFmtId="0" xfId="0" applyAlignment="1" applyBorder="1" applyFill="1" applyFont="1">
      <alignment horizontal="left" readingOrder="0" vertical="top"/>
    </xf>
    <xf borderId="6" fillId="3" fontId="9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416993" TargetMode="External"/><Relationship Id="rId2" Type="http://schemas.openxmlformats.org/officeDocument/2006/relationships/hyperlink" Target="https://ieeexplore.ieee.org/document/10121243" TargetMode="External"/><Relationship Id="rId3" Type="http://schemas.openxmlformats.org/officeDocument/2006/relationships/hyperlink" Target="https://ieeexplore.ieee.org/document/9365766" TargetMode="External"/><Relationship Id="rId4" Type="http://schemas.openxmlformats.org/officeDocument/2006/relationships/hyperlink" Target="http://blaauw.engin.umich.edu/wp-content/uploads/sites/342/2020/06/A-28-nm-Compute-SRAM-With-Bit-Serial-Logic_Arithmetic-Operations-for-Programmable-In-Memory-Vector-Computing.pd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  <col customWidth="1" min="15" max="15" width="11.5"/>
    <col customWidth="1" min="20" max="20" width="10.13"/>
    <col customWidth="1" min="22" max="22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</row>
    <row r="2">
      <c r="A2" s="2">
        <v>1.0</v>
      </c>
      <c r="B2" s="2" t="s">
        <v>21</v>
      </c>
      <c r="C2" s="3" t="s">
        <v>22</v>
      </c>
      <c r="D2" s="2" t="s">
        <v>23</v>
      </c>
      <c r="E2" s="2">
        <v>512.0</v>
      </c>
      <c r="F2" s="2">
        <v>64.0</v>
      </c>
      <c r="G2" s="2">
        <v>16.0</v>
      </c>
      <c r="H2" s="2">
        <v>16.0</v>
      </c>
      <c r="I2" s="2">
        <v>4.0</v>
      </c>
      <c r="J2" s="2">
        <v>64.0</v>
      </c>
      <c r="K2" s="2">
        <v>0.8</v>
      </c>
      <c r="L2" s="2">
        <v>9.0</v>
      </c>
      <c r="M2" s="2">
        <v>1.34</v>
      </c>
      <c r="N2" s="2">
        <v>14.05</v>
      </c>
      <c r="O2" s="2">
        <f t="shared" ref="O2:O5" si="1">1/N2</f>
        <v>0.07117437722</v>
      </c>
      <c r="P2" s="4">
        <f>'Scaling data'!H11*(K2*K2)+'Scaling data'!I11*K2+'Scaling data'!J11</f>
        <v>0.456936</v>
      </c>
      <c r="Q2" s="4">
        <f>'Scaling data'!D11*(K2*K2*K2)+'Scaling data'!E11*(K2*K2)+'Scaling data'!F11*K2+'Scaling data'!G11</f>
        <v>88.0992</v>
      </c>
      <c r="R2" s="4">
        <f>'Scaling data'!$L$10/P2</f>
        <v>2.22722657</v>
      </c>
      <c r="S2" s="4">
        <f>'Scaling data'!$K$10/Q2</f>
        <v>0.6481330137</v>
      </c>
      <c r="T2" s="5">
        <f t="shared" ref="T2:T5" si="2">R2*O2</f>
        <v>0.1585214641</v>
      </c>
      <c r="U2" s="4">
        <f t="shared" ref="U2:U5" si="3">S2*L2</f>
        <v>5.833197123</v>
      </c>
      <c r="V2" s="4">
        <f t="shared" ref="V2:V5" si="4">2*T2</f>
        <v>0.3170429281</v>
      </c>
    </row>
    <row r="3">
      <c r="A3" s="2">
        <v>2.0</v>
      </c>
      <c r="B3" s="2" t="s">
        <v>24</v>
      </c>
      <c r="C3" s="3" t="s">
        <v>25</v>
      </c>
      <c r="D3" s="2" t="s">
        <v>26</v>
      </c>
      <c r="E3" s="2">
        <v>64.0</v>
      </c>
      <c r="F3" s="2">
        <f>8*64</f>
        <v>512</v>
      </c>
      <c r="G3" s="2">
        <v>16.0</v>
      </c>
      <c r="H3" s="2">
        <v>16.0</v>
      </c>
      <c r="I3" s="2">
        <v>64.0</v>
      </c>
      <c r="J3" s="2">
        <v>4.0</v>
      </c>
      <c r="K3" s="2">
        <v>1.1</v>
      </c>
      <c r="L3" s="2">
        <v>240.0</v>
      </c>
      <c r="M3" s="2">
        <v>2.17</v>
      </c>
      <c r="N3" s="2">
        <v>6.7</v>
      </c>
      <c r="O3" s="4">
        <f t="shared" si="1"/>
        <v>0.1492537313</v>
      </c>
      <c r="P3" s="6">
        <f>'Scaling data'!H7*K3*K3+'Scaling data'!I7*K3+'Scaling data'!J7</f>
        <v>1.68075</v>
      </c>
      <c r="Q3" s="4">
        <f>'Scaling data'!D7*K3*K3*K3+'Scaling data'!E7*K3*K3+'Scaling data'!F7*K3+'Scaling data'!G7</f>
        <v>19.1517</v>
      </c>
      <c r="R3" s="4">
        <f>'Scaling data'!$L$10/P3</f>
        <v>0.6055034955</v>
      </c>
      <c r="S3" s="4">
        <f>'Scaling data'!$K$10/Q3</f>
        <v>2.981458565</v>
      </c>
      <c r="T3" s="5">
        <f t="shared" si="2"/>
        <v>0.09037365604</v>
      </c>
      <c r="U3" s="4">
        <f t="shared" si="3"/>
        <v>715.5500556</v>
      </c>
      <c r="V3" s="4">
        <f t="shared" si="4"/>
        <v>0.1807473121</v>
      </c>
    </row>
    <row r="4">
      <c r="A4" s="2">
        <v>3.0</v>
      </c>
      <c r="B4" s="2" t="s">
        <v>27</v>
      </c>
      <c r="C4" s="3" t="s">
        <v>28</v>
      </c>
      <c r="D4" s="2" t="s">
        <v>29</v>
      </c>
      <c r="E4" s="2">
        <v>256.0</v>
      </c>
      <c r="F4" s="2">
        <v>256.0</v>
      </c>
      <c r="G4" s="2">
        <v>1.0</v>
      </c>
      <c r="H4" s="2">
        <v>1.0</v>
      </c>
      <c r="I4" s="2">
        <v>256.0</v>
      </c>
      <c r="J4" s="2">
        <v>32.0</v>
      </c>
      <c r="K4" s="2">
        <v>0.72</v>
      </c>
      <c r="L4" s="2">
        <v>18.0</v>
      </c>
      <c r="M4" s="2">
        <v>1.4</v>
      </c>
      <c r="N4" s="2">
        <v>24.7</v>
      </c>
      <c r="O4" s="4">
        <f t="shared" si="1"/>
        <v>0.04048582996</v>
      </c>
      <c r="P4" s="4">
        <f>'Scaling data'!H12*K4*K4+'Scaling data'!I12*K4+'Scaling data'!J12</f>
        <v>0.1204992</v>
      </c>
      <c r="Q4" s="4">
        <f>'Scaling data'!E12*K4*K4+'Scaling data'!F12*K4+'Scaling data'!G12</f>
        <v>11.315792</v>
      </c>
      <c r="R4" s="4">
        <f>'Scaling data'!$L$10/P4</f>
        <v>8.445699225</v>
      </c>
      <c r="S4" s="4">
        <f>'Scaling data'!$K$10/Q4</f>
        <v>5.046045385</v>
      </c>
      <c r="T4" s="5">
        <f t="shared" si="2"/>
        <v>0.3419311427</v>
      </c>
      <c r="U4" s="4">
        <f t="shared" si="3"/>
        <v>90.82881693</v>
      </c>
      <c r="V4" s="4">
        <f t="shared" si="4"/>
        <v>0.6838622854</v>
      </c>
    </row>
    <row r="5">
      <c r="A5" s="2">
        <v>4.0</v>
      </c>
      <c r="B5" s="2" t="s">
        <v>30</v>
      </c>
      <c r="C5" s="3" t="s">
        <v>31</v>
      </c>
      <c r="D5" s="2" t="s">
        <v>23</v>
      </c>
      <c r="E5" s="2">
        <v>128.0</v>
      </c>
      <c r="F5" s="2">
        <v>256.0</v>
      </c>
      <c r="G5" s="4">
        <f>256/8</f>
        <v>32</v>
      </c>
      <c r="H5" s="2">
        <v>10.0</v>
      </c>
      <c r="I5" s="2">
        <v>128.0</v>
      </c>
      <c r="J5" s="2">
        <v>1.0</v>
      </c>
      <c r="K5" s="2">
        <v>0.85</v>
      </c>
      <c r="L5" s="2">
        <v>233.0</v>
      </c>
      <c r="M5" s="2">
        <v>1.1</v>
      </c>
      <c r="N5" s="2">
        <v>2.45</v>
      </c>
      <c r="O5" s="4">
        <f t="shared" si="1"/>
        <v>0.4081632653</v>
      </c>
      <c r="P5" s="4">
        <f>'Scaling data'!H11*(K5*K5)+'Scaling data'!I11*K5+'Scaling data'!J11</f>
        <v>0.49668275</v>
      </c>
      <c r="Q5" s="4">
        <f>'Scaling data'!D11*(K5*K5*K5)+'Scaling data'!E11*(K5*K5)+'Scaling data'!F11*K5+'Scaling data'!G11</f>
        <v>72.0716625</v>
      </c>
      <c r="R5" s="4">
        <f>'Scaling data'!$L$10/P5</f>
        <v>2.048994051</v>
      </c>
      <c r="S5" s="4">
        <f>'Scaling data'!$K$10/Q5</f>
        <v>0.7922670023</v>
      </c>
      <c r="T5" s="5">
        <f t="shared" si="2"/>
        <v>0.8363241025</v>
      </c>
      <c r="U5" s="4">
        <f t="shared" si="3"/>
        <v>184.5982115</v>
      </c>
      <c r="V5" s="4">
        <f t="shared" si="4"/>
        <v>1.672648205</v>
      </c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25"/>
    <col customWidth="1" min="6" max="6" width="16.13"/>
    <col customWidth="1" min="7" max="7" width="15.13"/>
  </cols>
  <sheetData>
    <row r="1">
      <c r="A1" s="2" t="s">
        <v>32</v>
      </c>
      <c r="B1" s="2" t="s">
        <v>3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>
      <c r="A2" s="2" t="s">
        <v>41</v>
      </c>
      <c r="B2" s="2" t="s">
        <v>42</v>
      </c>
      <c r="C2" s="2">
        <v>256.0</v>
      </c>
      <c r="D2" s="2">
        <v>256.0</v>
      </c>
      <c r="E2" s="4">
        <f>2*28.126*1.2*500*1.637</f>
        <v>55250.7144</v>
      </c>
      <c r="F2" s="6">
        <f>'Scaling data'!$H$7*1.2*1.2+('Scaling data'!$I$7)*1.2+'Scaling data'!$J$7</f>
        <v>2.1046</v>
      </c>
      <c r="G2" s="7">
        <f>'Scaling data'!$L$10</f>
        <v>1.0177</v>
      </c>
      <c r="H2" s="4">
        <f t="shared" ref="H2:H5" si="1">E2*G2/F2</f>
        <v>26717.02558</v>
      </c>
      <c r="I2" s="4">
        <f t="shared" ref="I2:I5" si="2">H2*8/(C2*D2)</f>
        <v>3.261355662</v>
      </c>
      <c r="J2" s="4">
        <f t="shared" ref="J2:J4" si="3">C2*D2</f>
        <v>65536</v>
      </c>
    </row>
    <row r="3">
      <c r="A3" s="2" t="s">
        <v>43</v>
      </c>
      <c r="B3" s="2" t="s">
        <v>44</v>
      </c>
      <c r="C3" s="2">
        <v>128.0</v>
      </c>
      <c r="D3" s="2">
        <v>256.0</v>
      </c>
      <c r="E3" s="4">
        <f>4*6.648*1.2*500*0.945</f>
        <v>15077.664</v>
      </c>
      <c r="F3" s="6">
        <f>'Scaling data'!$H$7*1.2*1.2+('Scaling data'!$I$7)*1.2+'Scaling data'!$J$7</f>
        <v>2.1046</v>
      </c>
      <c r="G3" s="7">
        <f>'Scaling data'!$L$10</f>
        <v>1.0177</v>
      </c>
      <c r="H3" s="4">
        <f t="shared" si="1"/>
        <v>7290.95251</v>
      </c>
      <c r="I3" s="4">
        <f t="shared" si="2"/>
        <v>1.780017703</v>
      </c>
      <c r="J3" s="4">
        <f t="shared" si="3"/>
        <v>32768</v>
      </c>
    </row>
    <row r="4">
      <c r="A4" s="2" t="s">
        <v>45</v>
      </c>
      <c r="B4" s="2" t="s">
        <v>42</v>
      </c>
      <c r="C4" s="2">
        <v>512.0</v>
      </c>
      <c r="D4" s="2">
        <v>64.0</v>
      </c>
      <c r="E4" s="4">
        <f>16.627*500*1.2*1.67 </f>
        <v>16660.254</v>
      </c>
      <c r="F4" s="6">
        <f>'Scaling data'!$H$7*1.2*1.2+('Scaling data'!$I$7)*1.2+'Scaling data'!$J$7</f>
        <v>2.1046</v>
      </c>
      <c r="G4" s="7">
        <f>'Scaling data'!$L$10</f>
        <v>1.0177</v>
      </c>
      <c r="H4" s="4">
        <f t="shared" si="1"/>
        <v>8056.229448</v>
      </c>
      <c r="I4" s="4">
        <f t="shared" si="2"/>
        <v>1.966852893</v>
      </c>
      <c r="J4" s="4">
        <f t="shared" si="3"/>
        <v>32768</v>
      </c>
    </row>
    <row r="5">
      <c r="A5" s="2" t="s">
        <v>46</v>
      </c>
      <c r="B5" s="2" t="s">
        <v>44</v>
      </c>
      <c r="C5" s="2">
        <v>64.0</v>
      </c>
      <c r="D5" s="2">
        <v>64.0</v>
      </c>
      <c r="E5" s="4">
        <f>5.773*500*1.2*0.936</f>
        <v>3242.1168</v>
      </c>
      <c r="F5" s="6">
        <f>'Scaling data'!$H$7*1.2*1.2+('Scaling data'!$I$7)*1.2+'Scaling data'!$J$7</f>
        <v>2.1046</v>
      </c>
      <c r="G5" s="7">
        <f>'Scaling data'!$L$10</f>
        <v>1.0177</v>
      </c>
      <c r="H5" s="4">
        <f t="shared" si="1"/>
        <v>1567.757421</v>
      </c>
      <c r="I5" s="4">
        <f t="shared" si="2"/>
        <v>3.062026212</v>
      </c>
      <c r="J5" s="4">
        <f>C5*D5*8</f>
        <v>32768</v>
      </c>
    </row>
    <row r="7">
      <c r="E7" s="2" t="s">
        <v>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  <col customWidth="1" min="4" max="4" width="24.75"/>
    <col customWidth="1" min="5" max="5" width="19.38"/>
    <col customWidth="1" min="6" max="7" width="23.38"/>
  </cols>
  <sheetData>
    <row r="1">
      <c r="B1" s="8" t="s">
        <v>48</v>
      </c>
      <c r="D1" s="1" t="s">
        <v>49</v>
      </c>
    </row>
    <row r="2">
      <c r="B2" s="2" t="s">
        <v>50</v>
      </c>
      <c r="C2" s="2" t="s">
        <v>51</v>
      </c>
      <c r="D2" s="2" t="s">
        <v>50</v>
      </c>
      <c r="E2" s="2" t="s">
        <v>51</v>
      </c>
      <c r="F2" s="2" t="s">
        <v>52</v>
      </c>
      <c r="G2" s="2" t="s">
        <v>52</v>
      </c>
    </row>
    <row r="3">
      <c r="A3" s="2" t="s">
        <v>53</v>
      </c>
      <c r="B3" s="2">
        <v>3.0</v>
      </c>
      <c r="C3" s="4">
        <f t="shared" ref="C3:C6" si="2">B3*16</f>
        <v>48</v>
      </c>
      <c r="D3" s="9">
        <f>2*B3*CiMPrimitives!I2*CiMPrimitives!J2/CiMPrimitives!L2</f>
        <v>170.6666667</v>
      </c>
      <c r="E3" s="9">
        <f t="shared" ref="E3:E6" si="3">16*D3</f>
        <v>2730.666667</v>
      </c>
      <c r="F3" s="10">
        <f t="shared" ref="F3:G3" si="1">D3/42</f>
        <v>4.063492063</v>
      </c>
      <c r="G3" s="10">
        <f t="shared" si="1"/>
        <v>65.01587302</v>
      </c>
    </row>
    <row r="4">
      <c r="A4" s="2" t="s">
        <v>54</v>
      </c>
      <c r="B4" s="2">
        <v>2.0</v>
      </c>
      <c r="C4" s="4">
        <f t="shared" si="2"/>
        <v>32</v>
      </c>
      <c r="D4" s="9">
        <f>2*B4*4*64/144</f>
        <v>7.111111111</v>
      </c>
      <c r="E4" s="9">
        <f t="shared" si="3"/>
        <v>113.7777778</v>
      </c>
      <c r="F4" s="10">
        <f t="shared" ref="F4:G4" si="4">D4/42</f>
        <v>0.1693121693</v>
      </c>
      <c r="G4" s="10">
        <f t="shared" si="4"/>
        <v>2.708994709</v>
      </c>
    </row>
    <row r="5">
      <c r="A5" s="2" t="s">
        <v>55</v>
      </c>
      <c r="B5" s="2">
        <v>3.0</v>
      </c>
      <c r="C5" s="4">
        <f t="shared" si="2"/>
        <v>48</v>
      </c>
      <c r="D5" s="9">
        <f>B5*256*16*2/18</f>
        <v>1365.333333</v>
      </c>
      <c r="E5" s="9">
        <f t="shared" si="3"/>
        <v>21845.33333</v>
      </c>
      <c r="F5" s="10">
        <f t="shared" ref="F5:G5" si="5">D5/42</f>
        <v>32.50793651</v>
      </c>
      <c r="G5" s="10">
        <f t="shared" si="5"/>
        <v>520.1269841</v>
      </c>
    </row>
    <row r="6">
      <c r="A6" s="2" t="s">
        <v>56</v>
      </c>
      <c r="B6" s="2">
        <v>4.0</v>
      </c>
      <c r="C6" s="4">
        <f t="shared" si="2"/>
        <v>64</v>
      </c>
      <c r="D6" s="9">
        <f>2*B6*128*1/233</f>
        <v>4.394849785</v>
      </c>
      <c r="E6" s="9">
        <f t="shared" si="3"/>
        <v>70.31759657</v>
      </c>
      <c r="F6" s="10">
        <f t="shared" ref="F6:G6" si="6">D6/42</f>
        <v>0.1046392806</v>
      </c>
      <c r="G6" s="10">
        <f t="shared" si="6"/>
        <v>1.67422849</v>
      </c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57</v>
      </c>
      <c r="B1" s="11" t="s">
        <v>58</v>
      </c>
      <c r="C1" s="11" t="s">
        <v>59</v>
      </c>
      <c r="D1" s="11" t="s">
        <v>60</v>
      </c>
    </row>
    <row r="2">
      <c r="A2" s="11" t="s">
        <v>61</v>
      </c>
      <c r="B2" s="11">
        <v>512.0</v>
      </c>
      <c r="C2" s="11" t="s">
        <v>62</v>
      </c>
      <c r="D2" s="11">
        <v>512.0</v>
      </c>
    </row>
    <row r="3">
      <c r="A3" s="11" t="s">
        <v>63</v>
      </c>
      <c r="B3" s="11">
        <v>164.042047</v>
      </c>
      <c r="C3" s="11">
        <v>256.0</v>
      </c>
      <c r="D3" s="11">
        <v>157.140047</v>
      </c>
    </row>
    <row r="4">
      <c r="A4" s="11" t="s">
        <v>64</v>
      </c>
      <c r="B4" s="11">
        <v>1.658893</v>
      </c>
      <c r="C4" s="11">
        <v>2.0</v>
      </c>
      <c r="D4" s="11">
        <v>1.675892</v>
      </c>
    </row>
    <row r="5">
      <c r="A5" s="11" t="s">
        <v>65</v>
      </c>
      <c r="B5" s="11">
        <v>0.072</v>
      </c>
      <c r="C5" s="11" t="s">
        <v>66</v>
      </c>
      <c r="D5" s="11">
        <v>0.072</v>
      </c>
    </row>
    <row r="6">
      <c r="A6" s="11" t="s">
        <v>67</v>
      </c>
      <c r="B6" s="11">
        <v>0.5608</v>
      </c>
      <c r="C6" s="12"/>
      <c r="D6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</v>
      </c>
    </row>
    <row r="2">
      <c r="A2" s="13"/>
      <c r="B2" s="13"/>
      <c r="C2" s="14" t="s">
        <v>69</v>
      </c>
      <c r="D2" s="15"/>
      <c r="E2" s="15"/>
      <c r="F2" s="15"/>
      <c r="G2" s="16"/>
      <c r="H2" s="14" t="s">
        <v>70</v>
      </c>
      <c r="I2" s="15"/>
      <c r="J2" s="16"/>
      <c r="K2" s="2" t="s">
        <v>16</v>
      </c>
      <c r="L2" s="2" t="s">
        <v>15</v>
      </c>
    </row>
    <row r="3">
      <c r="A3" s="17" t="s">
        <v>71</v>
      </c>
      <c r="B3" s="13"/>
      <c r="C3" s="17" t="s">
        <v>72</v>
      </c>
      <c r="D3" s="18" t="s">
        <v>73</v>
      </c>
      <c r="E3" s="19" t="s">
        <v>74</v>
      </c>
      <c r="F3" s="20" t="s">
        <v>75</v>
      </c>
      <c r="G3" s="21" t="s">
        <v>76</v>
      </c>
      <c r="H3" s="22" t="s">
        <v>77</v>
      </c>
      <c r="I3" s="22" t="s">
        <v>78</v>
      </c>
      <c r="J3" s="23" t="s">
        <v>79</v>
      </c>
    </row>
    <row r="4">
      <c r="A4" s="17" t="s">
        <v>80</v>
      </c>
      <c r="B4" s="13"/>
      <c r="C4" s="24" t="s">
        <v>81</v>
      </c>
      <c r="D4" s="17" t="s">
        <v>62</v>
      </c>
      <c r="E4" s="17">
        <v>97.09</v>
      </c>
      <c r="F4" s="17">
        <v>-356.7</v>
      </c>
      <c r="G4" s="17">
        <v>406.5</v>
      </c>
      <c r="H4" s="17" t="s">
        <v>62</v>
      </c>
      <c r="I4" s="17">
        <v>24.64</v>
      </c>
      <c r="J4" s="25">
        <v>-17.98</v>
      </c>
      <c r="K4" s="4">
        <f>E4+F4+G4</f>
        <v>146.89</v>
      </c>
      <c r="L4" s="26">
        <f>I4+J4</f>
        <v>6.66</v>
      </c>
    </row>
    <row r="5">
      <c r="A5" s="13"/>
      <c r="B5" s="13"/>
      <c r="C5" s="27" t="s">
        <v>82</v>
      </c>
      <c r="D5" s="17">
        <v>-76.65</v>
      </c>
      <c r="E5" s="17">
        <v>334.9</v>
      </c>
      <c r="F5" s="17">
        <v>-493.4</v>
      </c>
      <c r="G5" s="17">
        <v>275.8</v>
      </c>
      <c r="H5" s="28">
        <v>7.171</v>
      </c>
      <c r="I5" s="28">
        <v>-6.709</v>
      </c>
      <c r="J5" s="29">
        <v>2.904</v>
      </c>
      <c r="K5" s="4">
        <f t="shared" ref="K5:K11" si="1">D5+E5+F5+G5</f>
        <v>40.65</v>
      </c>
      <c r="L5" s="7">
        <f t="shared" ref="L5:L21" si="2">H5+I5+J5</f>
        <v>3.366</v>
      </c>
    </row>
    <row r="6">
      <c r="A6" s="13"/>
      <c r="B6" s="13"/>
      <c r="C6" s="27" t="s">
        <v>83</v>
      </c>
      <c r="D6" s="17">
        <v>-60.34</v>
      </c>
      <c r="E6" s="17">
        <v>262.5</v>
      </c>
      <c r="F6" s="17">
        <v>-384.2</v>
      </c>
      <c r="G6" s="17">
        <v>210.9</v>
      </c>
      <c r="H6" s="28">
        <v>4.762</v>
      </c>
      <c r="I6" s="28">
        <v>-4.781</v>
      </c>
      <c r="J6" s="29">
        <v>2.092</v>
      </c>
      <c r="K6" s="4">
        <f t="shared" si="1"/>
        <v>28.86</v>
      </c>
      <c r="L6" s="7">
        <f t="shared" si="2"/>
        <v>2.073</v>
      </c>
    </row>
    <row r="7">
      <c r="A7" s="13"/>
      <c r="B7" s="13"/>
      <c r="C7" s="21" t="s">
        <v>84</v>
      </c>
      <c r="D7" s="17">
        <v>-53.3</v>
      </c>
      <c r="E7" s="17">
        <v>230.4</v>
      </c>
      <c r="F7" s="17">
        <v>-333.9</v>
      </c>
      <c r="G7" s="17">
        <v>178.6</v>
      </c>
      <c r="H7" s="28">
        <v>3.755</v>
      </c>
      <c r="I7" s="28">
        <v>-4.398</v>
      </c>
      <c r="J7" s="30">
        <v>1.975</v>
      </c>
      <c r="K7" s="4">
        <f t="shared" si="1"/>
        <v>21.8</v>
      </c>
      <c r="L7" s="7">
        <f t="shared" si="2"/>
        <v>1.332</v>
      </c>
    </row>
    <row r="8">
      <c r="A8" s="17" t="s">
        <v>85</v>
      </c>
      <c r="B8" s="17" t="s">
        <v>86</v>
      </c>
      <c r="C8" s="21" t="s">
        <v>87</v>
      </c>
      <c r="D8" s="17">
        <v>-501.6</v>
      </c>
      <c r="E8" s="17">
        <v>1567.0</v>
      </c>
      <c r="F8" s="17">
        <v>-1619.0</v>
      </c>
      <c r="G8" s="17">
        <v>566.1</v>
      </c>
      <c r="H8" s="28">
        <v>1.018</v>
      </c>
      <c r="I8" s="17">
        <v>-0.3107</v>
      </c>
      <c r="J8" s="17">
        <v>0.1539</v>
      </c>
      <c r="K8" s="4">
        <f t="shared" si="1"/>
        <v>12.5</v>
      </c>
      <c r="L8" s="7">
        <f t="shared" si="2"/>
        <v>0.8612</v>
      </c>
    </row>
    <row r="9">
      <c r="A9" s="13"/>
      <c r="B9" s="13"/>
      <c r="C9" s="21" t="s">
        <v>88</v>
      </c>
      <c r="D9" s="17">
        <v>-1047.0</v>
      </c>
      <c r="E9" s="17">
        <v>2982.0</v>
      </c>
      <c r="F9" s="17">
        <v>-2797.0</v>
      </c>
      <c r="G9" s="17">
        <v>873.5</v>
      </c>
      <c r="H9" s="17">
        <v>0.8367</v>
      </c>
      <c r="I9" s="17">
        <v>-0.4341</v>
      </c>
      <c r="J9" s="17">
        <v>0.1701</v>
      </c>
      <c r="K9" s="4">
        <f t="shared" si="1"/>
        <v>11.5</v>
      </c>
      <c r="L9" s="4">
        <f t="shared" si="2"/>
        <v>0.5727</v>
      </c>
    </row>
    <row r="10">
      <c r="A10" s="13"/>
      <c r="B10" s="17" t="s">
        <v>89</v>
      </c>
      <c r="C10" s="21" t="s">
        <v>87</v>
      </c>
      <c r="D10" s="17">
        <v>-285.7</v>
      </c>
      <c r="E10" s="17">
        <v>1239.0</v>
      </c>
      <c r="F10" s="17">
        <v>-1795.0</v>
      </c>
      <c r="G10" s="17">
        <v>898.8</v>
      </c>
      <c r="H10" s="28">
        <v>1.103</v>
      </c>
      <c r="I10" s="17">
        <v>-0.362</v>
      </c>
      <c r="J10" s="17">
        <v>0.2767</v>
      </c>
      <c r="K10" s="4">
        <f t="shared" si="1"/>
        <v>57.1</v>
      </c>
      <c r="L10" s="7">
        <f t="shared" si="2"/>
        <v>1.0177</v>
      </c>
    </row>
    <row r="11">
      <c r="A11" s="13"/>
      <c r="B11" s="13"/>
      <c r="C11" s="31" t="s">
        <v>88</v>
      </c>
      <c r="D11" s="17">
        <v>-325.9</v>
      </c>
      <c r="E11" s="17">
        <v>1374.0</v>
      </c>
      <c r="F11" s="17">
        <v>-1922.0</v>
      </c>
      <c r="G11" s="17">
        <v>913.2</v>
      </c>
      <c r="H11" s="17">
        <v>0.9559</v>
      </c>
      <c r="I11" s="17">
        <v>-0.7823</v>
      </c>
      <c r="J11" s="17">
        <v>0.471</v>
      </c>
      <c r="K11" s="4">
        <f t="shared" si="1"/>
        <v>39.3</v>
      </c>
      <c r="L11" s="4">
        <f t="shared" si="2"/>
        <v>0.6446</v>
      </c>
    </row>
    <row r="12">
      <c r="A12" s="17" t="s">
        <v>90</v>
      </c>
      <c r="B12" s="17" t="s">
        <v>86</v>
      </c>
      <c r="C12" s="22" t="s">
        <v>91</v>
      </c>
      <c r="D12" s="17" t="s">
        <v>62</v>
      </c>
      <c r="E12" s="17">
        <v>34.63</v>
      </c>
      <c r="F12" s="17">
        <v>-66.37</v>
      </c>
      <c r="G12" s="17">
        <v>41.15</v>
      </c>
      <c r="H12" s="17">
        <v>0.373</v>
      </c>
      <c r="I12" s="17">
        <v>-0.1582</v>
      </c>
      <c r="J12" s="17">
        <v>0.04104</v>
      </c>
      <c r="K12" s="4">
        <f t="shared" ref="K12:K13" si="3">E12+F12+G12</f>
        <v>9.41</v>
      </c>
      <c r="L12" s="4">
        <f t="shared" si="2"/>
        <v>0.25584</v>
      </c>
    </row>
    <row r="13">
      <c r="A13" s="13"/>
      <c r="B13" s="13"/>
      <c r="C13" s="32" t="s">
        <v>92</v>
      </c>
      <c r="D13" s="17" t="s">
        <v>62</v>
      </c>
      <c r="E13" s="17">
        <v>24.8</v>
      </c>
      <c r="F13" s="17">
        <v>-47.52</v>
      </c>
      <c r="G13" s="17">
        <v>28.87</v>
      </c>
      <c r="H13" s="17">
        <v>0.2958</v>
      </c>
      <c r="I13" s="17">
        <v>-0.1241</v>
      </c>
      <c r="J13" s="17">
        <v>0.03024</v>
      </c>
      <c r="K13" s="4">
        <f t="shared" si="3"/>
        <v>6.15</v>
      </c>
      <c r="L13" s="4">
        <f t="shared" si="2"/>
        <v>0.20194</v>
      </c>
    </row>
    <row r="14">
      <c r="A14" s="13"/>
      <c r="B14" s="13"/>
      <c r="C14" s="33" t="s">
        <v>93</v>
      </c>
      <c r="D14" s="17">
        <v>-40.66</v>
      </c>
      <c r="E14" s="17">
        <v>109.2</v>
      </c>
      <c r="F14" s="17">
        <v>-100.6</v>
      </c>
      <c r="G14" s="17">
        <v>35.92</v>
      </c>
      <c r="H14" s="17">
        <v>0.2363</v>
      </c>
      <c r="I14" s="17">
        <v>-0.09675</v>
      </c>
      <c r="J14" s="17">
        <v>0.02239</v>
      </c>
      <c r="K14" s="4">
        <f t="shared" ref="K14:K21" si="4">D14+E14+F14+G14</f>
        <v>3.86</v>
      </c>
      <c r="L14" s="4">
        <f t="shared" si="2"/>
        <v>0.16194</v>
      </c>
    </row>
    <row r="15">
      <c r="A15" s="13"/>
      <c r="B15" s="13"/>
      <c r="C15" s="34" t="s">
        <v>94</v>
      </c>
      <c r="D15" s="17">
        <v>-34.95</v>
      </c>
      <c r="E15" s="17">
        <v>93.65</v>
      </c>
      <c r="F15" s="17">
        <v>-85.99</v>
      </c>
      <c r="G15" s="17">
        <v>30.4</v>
      </c>
      <c r="H15" s="17">
        <v>0.2068</v>
      </c>
      <c r="I15" s="17">
        <v>-0.09311</v>
      </c>
      <c r="J15" s="17">
        <v>0.02375</v>
      </c>
      <c r="K15" s="4">
        <f t="shared" si="4"/>
        <v>3.11</v>
      </c>
      <c r="L15" s="4">
        <f t="shared" si="2"/>
        <v>0.13744</v>
      </c>
    </row>
    <row r="16">
      <c r="A16" s="13"/>
      <c r="B16" s="13"/>
      <c r="C16" s="34" t="s">
        <v>95</v>
      </c>
      <c r="D16" s="17">
        <v>-28.58</v>
      </c>
      <c r="E16" s="17">
        <v>76.6</v>
      </c>
      <c r="F16" s="17">
        <v>-70.26</v>
      </c>
      <c r="G16" s="17">
        <v>24.69</v>
      </c>
      <c r="H16" s="17">
        <v>0.1776</v>
      </c>
      <c r="I16" s="17">
        <v>-0.09097</v>
      </c>
      <c r="J16" s="17">
        <v>0.02447</v>
      </c>
      <c r="K16" s="4">
        <f t="shared" si="4"/>
        <v>2.45</v>
      </c>
      <c r="L16" s="4">
        <f t="shared" si="2"/>
        <v>0.1111</v>
      </c>
    </row>
    <row r="17">
      <c r="A17" s="13"/>
      <c r="B17" s="17" t="s">
        <v>96</v>
      </c>
      <c r="C17" s="35" t="s">
        <v>91</v>
      </c>
      <c r="D17" s="17">
        <v>-160.5</v>
      </c>
      <c r="E17" s="17">
        <v>514.1</v>
      </c>
      <c r="F17" s="17">
        <v>-558.6</v>
      </c>
      <c r="G17" s="17">
        <v>217.5</v>
      </c>
      <c r="H17" s="17">
        <v>0.2632</v>
      </c>
      <c r="I17" s="17">
        <v>-0.14</v>
      </c>
      <c r="J17" s="17">
        <v>0.06841</v>
      </c>
      <c r="K17" s="4">
        <f t="shared" si="4"/>
        <v>12.5</v>
      </c>
      <c r="L17" s="4">
        <f t="shared" si="2"/>
        <v>0.19161</v>
      </c>
    </row>
    <row r="18">
      <c r="A18" s="13"/>
      <c r="B18" s="13"/>
      <c r="C18" s="20" t="s">
        <v>92</v>
      </c>
      <c r="D18" s="17">
        <v>-114.6</v>
      </c>
      <c r="E18" s="17">
        <v>366.7</v>
      </c>
      <c r="F18" s="17">
        <v>-397.4</v>
      </c>
      <c r="G18" s="17">
        <v>153.6</v>
      </c>
      <c r="H18" s="17">
        <v>0.2139</v>
      </c>
      <c r="I18" s="17">
        <v>-0.1187</v>
      </c>
      <c r="J18" s="17">
        <v>0.05639</v>
      </c>
      <c r="K18" s="4">
        <f t="shared" si="4"/>
        <v>8.3</v>
      </c>
      <c r="L18" s="4">
        <f t="shared" si="2"/>
        <v>0.15159</v>
      </c>
    </row>
    <row r="19">
      <c r="A19" s="13"/>
      <c r="B19" s="13"/>
      <c r="C19" s="36" t="s">
        <v>97</v>
      </c>
      <c r="D19" s="17">
        <v>-85.37</v>
      </c>
      <c r="E19" s="17">
        <v>271.6</v>
      </c>
      <c r="F19" s="17">
        <v>-292.2</v>
      </c>
      <c r="G19" s="17">
        <v>111.4</v>
      </c>
      <c r="H19" s="17">
        <v>0.1556</v>
      </c>
      <c r="I19" s="17">
        <v>-0.06472</v>
      </c>
      <c r="J19" s="17">
        <v>0.03066</v>
      </c>
      <c r="K19" s="4">
        <f t="shared" si="4"/>
        <v>5.43</v>
      </c>
      <c r="L19" s="4">
        <f t="shared" si="2"/>
        <v>0.12154</v>
      </c>
    </row>
    <row r="20">
      <c r="A20" s="13"/>
      <c r="B20" s="13"/>
      <c r="C20" s="34" t="s">
        <v>98</v>
      </c>
      <c r="D20" s="17">
        <v>-71.76</v>
      </c>
      <c r="E20" s="17">
        <v>228.6</v>
      </c>
      <c r="F20" s="17">
        <v>-246.3</v>
      </c>
      <c r="G20" s="17">
        <v>93.91</v>
      </c>
      <c r="H20" s="17">
        <v>0.1261</v>
      </c>
      <c r="I20" s="17">
        <v>-0.0518</v>
      </c>
      <c r="J20" s="17">
        <v>0.02769</v>
      </c>
      <c r="K20" s="4">
        <f t="shared" si="4"/>
        <v>4.45</v>
      </c>
      <c r="L20" s="4">
        <f t="shared" si="2"/>
        <v>0.10199</v>
      </c>
    </row>
    <row r="21">
      <c r="A21" s="13"/>
      <c r="B21" s="13"/>
      <c r="C21" s="34" t="s">
        <v>95</v>
      </c>
      <c r="D21" s="17">
        <v>-61.79</v>
      </c>
      <c r="E21" s="17">
        <v>196.1</v>
      </c>
      <c r="F21" s="17">
        <v>-210.3</v>
      </c>
      <c r="G21" s="17">
        <v>79.55</v>
      </c>
      <c r="H21" s="17">
        <v>0.09365</v>
      </c>
      <c r="I21" s="17">
        <v>-0.03409</v>
      </c>
      <c r="J21" s="17">
        <v>0.02043</v>
      </c>
      <c r="K21" s="4">
        <f t="shared" si="4"/>
        <v>3.56</v>
      </c>
      <c r="L21" s="4">
        <f t="shared" si="2"/>
        <v>0.07999</v>
      </c>
    </row>
  </sheetData>
  <mergeCells count="2">
    <mergeCell ref="C2:G2"/>
    <mergeCell ref="H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99</v>
      </c>
      <c r="B1" s="37" t="s">
        <v>100</v>
      </c>
      <c r="C1" s="37" t="s">
        <v>101</v>
      </c>
      <c r="D1" s="37" t="s">
        <v>102</v>
      </c>
    </row>
    <row r="2">
      <c r="A2" s="38" t="s">
        <v>103</v>
      </c>
      <c r="B2" s="38" t="s">
        <v>104</v>
      </c>
      <c r="C2" s="38" t="s">
        <v>105</v>
      </c>
      <c r="D2" s="38" t="s">
        <v>106</v>
      </c>
    </row>
    <row r="3">
      <c r="A3" s="38" t="s">
        <v>107</v>
      </c>
      <c r="B3" s="38">
        <v>1.0</v>
      </c>
      <c r="C3" s="38" t="s">
        <v>108</v>
      </c>
      <c r="D3" s="38" t="s">
        <v>109</v>
      </c>
    </row>
    <row r="4">
      <c r="A4" s="38" t="s">
        <v>110</v>
      </c>
      <c r="B4" s="38" t="s">
        <v>111</v>
      </c>
      <c r="C4" s="38" t="s">
        <v>112</v>
      </c>
      <c r="D4" s="38" t="s">
        <v>111</v>
      </c>
    </row>
    <row r="5">
      <c r="A5" s="38" t="s">
        <v>113</v>
      </c>
      <c r="B5" s="38" t="s">
        <v>112</v>
      </c>
      <c r="C5" s="38" t="s">
        <v>112</v>
      </c>
      <c r="D5" s="38" t="s">
        <v>111</v>
      </c>
    </row>
    <row r="6">
      <c r="A6" s="38" t="s">
        <v>114</v>
      </c>
      <c r="B6" s="38" t="s">
        <v>111</v>
      </c>
      <c r="C6" s="38" t="s">
        <v>112</v>
      </c>
      <c r="D6" s="38" t="s">
        <v>112</v>
      </c>
    </row>
  </sheetData>
  <drawing r:id="rId1"/>
</worksheet>
</file>