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ue Regulars" sheetId="1" r:id="rId3"/>
    <sheet state="visible" name="References" sheetId="2" r:id="rId4"/>
  </sheets>
  <definedNames>
    <definedName hidden="1" localSheetId="0" name="Z_4A51F6C6_A0AB_485C_A304_CB1D6232200E_.wvu.FilterData">'Blue Regulars'!$D$7:$F$127</definedName>
  </definedNames>
  <calcPr/>
  <customWorkbookViews>
    <customWorkbookView activeSheetId="0" maximized="1" tabRatio="600" windowHeight="0" windowWidth="0" guid="{4A51F6C6-A0AB-485C-A304-CB1D6232200E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4">
      <text>
        <t xml:space="preserve">সকলের সুবিধার জন্য মাঝখানের কোডটি http://pastebin.com/fQV59Yds এ দেয়া হলো। :)</t>
      </text>
    </comment>
    <comment authorId="0" ref="A75">
      <text>
        <t xml:space="preserve">There is problem in uDebug data. Don't use that.</t>
      </text>
    </comment>
    <comment authorId="0" ref="A95">
      <text>
        <t xml:space="preserve">If you can solve this, you can tell people that you have solved an ACM ICPC Dhaka regional problem. :) 
In fact this problem appeared in the ICPC Dhaka from which I qualified to the ACM World Finals.</t>
      </text>
    </comment>
    <comment authorId="0" ref="A100">
      <text>
        <t xml:space="preserve">Something even better. This one here is an ACM ICPC World Finals problem.</t>
      </text>
    </comment>
    <comment authorId="0" ref="A105">
      <text>
        <t xml:space="preserve">Be aware of Udebug!</t>
      </text>
    </comment>
    <comment authorId="0" ref="A109">
      <text>
        <t xml:space="preserve">Learn Backtracking</t>
      </text>
    </comment>
    <comment authorId="0" ref="A113">
      <text>
        <t xml:space="preserve">Don't use uDebug to check your output for this problem</t>
      </text>
    </comment>
    <comment authorId="0" ref="A115">
      <text>
        <t xml:space="preserve">Be careful about the presentation. And the sample input is slightly wrong on the problem. For better information- https://www.udebug.com/UVa/750 (read the note)</t>
      </text>
    </comment>
    <comment authorId="0" ref="D126">
      <text>
        <t xml:space="preserve">Finally!!!
Took my whole day to debug and retry!</t>
      </text>
    </comment>
    <comment authorId="0" ref="A142">
      <text>
        <t xml:space="preserve">Learn Binary Search</t>
      </text>
    </comment>
    <comment authorId="0" ref="A151">
      <text>
        <t xml:space="preserve">be aware...there was a wrong spelling on Sample output.</t>
      </text>
    </comment>
    <comment authorId="0" ref="A175">
      <text>
        <t xml:space="preserve">Learn Ternary Search</t>
      </text>
    </comment>
    <comment authorId="0" ref="A177">
      <text>
        <t xml:space="preserve">Greedy</t>
      </text>
    </comment>
    <comment authorId="0" ref="A290">
      <text>
        <t xml:space="preserve">Extended Euclid</t>
      </text>
    </comment>
    <comment authorId="0" ref="A293">
      <text>
        <t xml:space="preserve">Modular Arithmetic</t>
      </text>
    </comment>
    <comment authorId="0" ref="A333">
      <text>
        <t xml:space="preserve">Combinatorics</t>
      </text>
    </comment>
    <comment authorId="0" ref="D341">
      <text>
        <t xml:space="preserve">Now I can say:- "Khub e mojar ekta problem" :3</t>
      </text>
    </comment>
    <comment authorId="0" ref="A370">
      <text>
        <t xml:space="preserve">Probability</t>
      </text>
    </comment>
    <comment authorId="0" ref="A377">
      <text>
        <t xml:space="preserve">Learn Gaussian Elimination</t>
      </text>
    </comment>
    <comment authorId="0" ref="A380">
      <text>
        <t xml:space="preserve">Learn Chinese Remainder Theorem</t>
      </text>
    </comment>
    <comment authorId="0" ref="A386">
      <text>
        <t xml:space="preserve">I guess there's a problem with it's dataset. Alternate problem link of "LA 6982 - Dhoni's Bowlers": https://www.codechef.com/AMR14ROS/problems/AMR14C
~MSA</t>
      </text>
    </comment>
    <comment authorId="0" ref="A387">
      <text>
        <t xml:space="preserve">https://www.codechef.com/AMR14ROS/problems/AMR14I</t>
      </text>
    </comment>
    <comment authorId="0" ref="B465">
      <text>
        <t xml:space="preserve">This one is an awesome problem :D</t>
      </text>
    </comment>
    <comment authorId="0" ref="D475">
      <text>
        <t xml:space="preserve">I felt like- "Wow! This is awesome!" when I got the solution idea and then I regretted immediately. Damn! I need to implement it by my own?! -_-</t>
      </text>
    </comment>
    <comment authorId="0" ref="A498">
      <text>
        <t xml:space="preserve">Stack</t>
      </text>
    </comment>
    <comment authorId="0" ref="D498">
      <text>
        <t xml:space="preserve">Aha! Ki nidarun shomossha eta!!! -_-</t>
      </text>
    </comment>
    <comment authorId="0" ref="A502">
      <text>
        <t xml:space="preserve">Queue
</t>
      </text>
    </comment>
    <comment authorId="0" ref="B502">
      <text>
        <t xml:space="preserve">Ar jibone dekhte chaina ei problem :/</t>
      </text>
    </comment>
    <comment authorId="0" ref="A504">
      <text>
        <t xml:space="preserve">STL &lt;map&gt; / &lt;set&gt;</t>
      </text>
    </comment>
    <comment authorId="0" ref="A508">
      <text>
        <t xml:space="preserve">Priority Queue</t>
      </text>
    </comment>
    <comment authorId="0" ref="A509">
      <text>
        <t xml:space="preserve">Union-Find</t>
      </text>
    </comment>
    <comment authorId="0" ref="A518">
      <text>
        <t xml:space="preserve">Segment Tree</t>
      </text>
    </comment>
    <comment authorId="0" ref="A529">
      <text>
        <t xml:space="preserve">Binary Indexed Tree</t>
      </text>
    </comment>
    <comment authorId="0" ref="A538">
      <text>
        <t xml:space="preserve">Hashing</t>
      </text>
    </comment>
    <comment authorId="0" ref="A559">
      <text>
        <t xml:space="preserve">LCA - Lowest Common Ancestor</t>
      </text>
    </comment>
    <comment authorId="0" ref="A563">
      <text>
        <t xml:space="preserve">Trie</t>
      </text>
    </comment>
    <comment authorId="0" ref="B566">
      <text>
        <t xml:space="preserve">nice problem, liked it :D</t>
      </text>
    </comment>
    <comment authorId="0" ref="A590">
      <text>
        <t xml:space="preserve">Unleashing Dynamic Programming :D</t>
      </text>
    </comment>
    <comment authorId="0" ref="A595">
      <text>
        <t xml:space="preserve">DP - Longest Increasing Subsequence (LIS)</t>
      </text>
    </comment>
    <comment authorId="0" ref="A606">
      <text>
        <t xml:space="preserve">DP - Coin Change</t>
      </text>
    </comment>
    <comment authorId="0" ref="A614">
      <text>
        <t xml:space="preserve">DP - MIS (Maximum Interval Sum)
</t>
      </text>
    </comment>
    <comment authorId="0" ref="A621">
      <text>
        <t xml:space="preserve">0/1 Knapsack</t>
      </text>
    </comment>
    <comment authorId="0" ref="A625">
      <text>
        <t xml:space="preserve">DP - Longest Common Subsequence (LCS)</t>
      </text>
    </comment>
    <comment authorId="0" ref="A630">
      <text>
        <t xml:space="preserve">DP - Edit Distance
</t>
      </text>
    </comment>
    <comment authorId="0" ref="A638">
      <text>
        <t xml:space="preserve">Higher precision can give WA. 4 digits after decimal will be fine.
- Abeer</t>
      </text>
    </comment>
    <comment authorId="0" ref="A639">
      <text>
        <t xml:space="preserve">Bitmask DP
</t>
      </text>
    </comment>
    <comment authorId="0" ref="A651">
      <text>
        <t xml:space="preserve">UVa LA - 4525</t>
      </text>
    </comment>
    <comment authorId="0" ref="A666">
      <text>
        <t xml:space="preserve">Completely clearing DP array might cause TLE - Abeer</t>
      </text>
    </comment>
    <comment authorId="0" ref="D671">
      <text>
        <t xml:space="preserve">Phew!!!</t>
      </text>
    </comment>
    <comment authorId="0" ref="A753">
      <text>
        <t xml:space="preserve">The second sample is wrong. It should be -740.</t>
      </text>
    </comment>
    <comment authorId="0" ref="D823">
      <text>
        <t xml:space="preserve">Besh mojar problem :3</t>
      </text>
    </comment>
    <comment authorId="0" ref="A872">
      <text>
        <t xml:space="preserve">Introducing String Processing problems</t>
      </text>
    </comment>
    <comment authorId="0" ref="A877">
      <text>
        <t xml:space="preserve">String length can be as large as 1500000(1.5*10^6)</t>
      </text>
    </comment>
    <comment authorId="0" ref="D879">
      <text>
        <t xml:space="preserve">Aho-Corasick</t>
      </text>
    </comment>
    <comment authorId="0" ref="A911">
      <text>
        <t xml:space="preserve">Suffix Array</t>
      </text>
    </comment>
    <comment authorId="0" ref="D911">
      <text>
        <t xml:space="preserve">using stringHashing
</t>
      </text>
    </comment>
    <comment authorId="0" ref="A920">
      <text>
        <t xml:space="preserve">KMP</t>
      </text>
    </comment>
    <comment authorId="0" ref="A924">
      <text>
        <t xml:space="preserve">Aho-Corasick</t>
      </text>
    </comment>
    <comment authorId="0" ref="A925">
      <text>
        <t xml:space="preserve">Introducing Computational Geometry </t>
      </text>
    </comment>
    <comment authorId="0" ref="A960">
      <text>
        <t xml:space="preserve">Great-circle Distance</t>
      </text>
    </comment>
    <comment authorId="0" ref="A971">
      <text>
        <t xml:space="preserve">Pick's Theorem
</t>
      </text>
    </comment>
    <comment authorId="0" ref="A976">
      <text>
        <t xml:space="preserve">Convex Hull</t>
      </text>
    </comment>
    <comment authorId="0" ref="A986">
      <text>
        <t xml:space="preserve">Intersection</t>
      </text>
    </comment>
    <comment authorId="0" ref="A993">
      <text>
        <t xml:space="preserve">High level of precision problem. For absolute comparison, use eps=1e-6 and for outputs, add eps2=1e-4.
uDebug output might or might not match according to your solution.</t>
      </text>
    </comment>
    <comment authorId="0" ref="A1022">
      <text>
        <t xml:space="preserve">Don't check it without trying enough:-
https://bit.ly/2XiNKxo </t>
      </text>
    </comment>
    <comment authorId="0" ref="D1022">
      <text>
        <t xml:space="preserve">One more step in Geometry. Kichhu geo problem j just boshe theke try korle solvable eta kore shetai bujhlam. Boshe boshe high school math solve korlam :P</t>
      </text>
    </comment>
    <comment authorId="0" ref="D1081">
      <text>
        <t xml:space="preserve">It was hard to understand the problem. Let the house be in origin.</t>
      </text>
    </comment>
    <comment authorId="0" ref="D1082">
      <text>
        <t xml:space="preserve">Had to use euclidean geo</t>
      </text>
    </comment>
  </commentList>
</comments>
</file>

<file path=xl/sharedStrings.xml><?xml version="1.0" encoding="utf-8"?>
<sst xmlns="http://schemas.openxmlformats.org/spreadsheetml/2006/main" count="2597" uniqueCount="157">
  <si>
    <t>Topic</t>
  </si>
  <si>
    <t>Link</t>
  </si>
  <si>
    <t>Backtracking</t>
  </si>
  <si>
    <t>http://www.shafaetsplanet.com/planetcoding/?p=1266</t>
  </si>
  <si>
    <t>Top</t>
  </si>
  <si>
    <t>NOTICE: Those with &lt;500 problems solved on April 27 will be removed from this page.</t>
  </si>
  <si>
    <t>Bottom of the page</t>
  </si>
  <si>
    <t>NOTICE: Some resources on Computational Geometry are added in the reference section.</t>
  </si>
  <si>
    <t>Introducing COLOR LEGEND. Your name marked in GREEN means your recent progress is Impressive, YELLOW means I have some concerns while RED means you need serious improvement. Stay GREEN!</t>
  </si>
  <si>
    <t>ID</t>
  </si>
  <si>
    <t>161-15-6764</t>
  </si>
  <si>
    <t>161-15-7431</t>
  </si>
  <si>
    <t>161-15-7609</t>
  </si>
  <si>
    <t>Name</t>
  </si>
  <si>
    <t>Mahmud Sajjad Abeer</t>
  </si>
  <si>
    <t>Md.Raihanur Rahman</t>
  </si>
  <si>
    <t>Pranto Das</t>
  </si>
  <si>
    <t>https://www.topcoder.com/community/data-science/data-science-tutorials/an-introduction-to-recursion-part-1/</t>
  </si>
  <si>
    <t>CF Handle</t>
  </si>
  <si>
    <t>http://www.geeksforgeeks.org/backtracking-algorithms/</t>
  </si>
  <si>
    <t>Backtracking (Branch and Bound)</t>
  </si>
  <si>
    <t>http://www.geeksforgeeks.org/fundamentals-of-algorithms/#BranchandBound</t>
  </si>
  <si>
    <t>Binary Search</t>
  </si>
  <si>
    <t>Solve count</t>
  </si>
  <si>
    <t>https://www.hackerearth.com/practice/algorithms/searching/binary-search/tutorial/</t>
  </si>
  <si>
    <t>http://www.geeksforgeeks.org/binary-search/</t>
  </si>
  <si>
    <t>%</t>
  </si>
  <si>
    <t>https://www.topcoder.com/community/data-science/data-science-tutorials/binary-search/</t>
  </si>
  <si>
    <t>Ternary Search</t>
  </si>
  <si>
    <t>https://www.hackerearth.com/practice/algorithms/searching/ternary-search/tutorial/</t>
  </si>
  <si>
    <t>https://apps.topcoder.com/forums/?module=Thread&amp;threadID=506787&amp;start=0&amp;mc=27]</t>
  </si>
  <si>
    <t>Greedy</t>
  </si>
  <si>
    <t>https://www.topcoder.com/community/data-science/data-science-tutorials/greedy-is-good/</t>
  </si>
  <si>
    <t>Computational Mathematics</t>
  </si>
  <si>
    <t>https://www.topcoder.com/community/data-science/data-science-tutorials/mathematics-for-topcoders/</t>
  </si>
  <si>
    <t>http://www.geeksforgeeks.org/mathematical-algorithms/</t>
  </si>
  <si>
    <t>Sieve</t>
  </si>
  <si>
    <t>http://www.geeksforgeeks.org/sieve-of-eratosthenes/</t>
  </si>
  <si>
    <t>OK</t>
  </si>
  <si>
    <t>Segmentd Sieve</t>
  </si>
  <si>
    <t>http://www.geeksforgeeks.org/segmented-sieve/</t>
  </si>
  <si>
    <t>Prime Factorization</t>
  </si>
  <si>
    <t>http://www.geeksforgeeks.org/print-all-prime-factors-of-a-given-number/</t>
  </si>
  <si>
    <t>GCD / LCM</t>
  </si>
  <si>
    <t>http://www.geeksforgeeks.org/mathematical-algorithms/#gcd</t>
  </si>
  <si>
    <t>Euclid (Basic + Extended)</t>
  </si>
  <si>
    <t>http://www.geeksforgeeks.org/euclidean-algorithms-basic-and-extended/</t>
  </si>
  <si>
    <t>Modular Arithmetic</t>
  </si>
  <si>
    <t>http://www.geeksforgeeks.org/modular-exponentiation-power-in-modular-arithmetic/</t>
  </si>
  <si>
    <t>Combinatorics</t>
  </si>
  <si>
    <t>https://www.topcoder.com/community/data-science/data-science-tutorials/basics-of-combinatorics/</t>
  </si>
  <si>
    <t>http://www.math.utk.edu/~wagner/papers/comb.pdf</t>
  </si>
  <si>
    <t>Probability</t>
  </si>
  <si>
    <t>https://www.topcoder.com/community/data-science/data-science-tutorials/understanding-probabilities/</t>
  </si>
  <si>
    <t>Stack</t>
  </si>
  <si>
    <t>https://www.hackerearth.com/practice/data-structures/stacks/basics-of-stacks/tutorial/</t>
  </si>
  <si>
    <t>Stack (STL)</t>
  </si>
  <si>
    <t>https://www.geeksforgeeks.org/stack-in-cpp-stl/</t>
  </si>
  <si>
    <t>Queue</t>
  </si>
  <si>
    <t>Queue (STL)</t>
  </si>
  <si>
    <t>https://www.geeksforgeeks.org/queue-cpp-stl/</t>
  </si>
  <si>
    <t>Binary Search Tree</t>
  </si>
  <si>
    <t>https://www.hackerearth.com/practice/data-structures/trees/binary-search-tree/tutorial/</t>
  </si>
  <si>
    <t>Red-Black Tree</t>
  </si>
  <si>
    <t>https://www.topcoder.com/community/data-science/data-science-tutorials/an-introduction-to-binary-search-and-red-black-trees/</t>
  </si>
  <si>
    <t>Set (STL)</t>
  </si>
  <si>
    <t>https://www.geeksforgeeks.org/set-in-cpp-stl/</t>
  </si>
  <si>
    <t>Map (STL)</t>
  </si>
  <si>
    <t>https://www.geeksforgeeks.org/map-associative-containers-the-c-standard-template-library-stl/</t>
  </si>
  <si>
    <t>Heap</t>
  </si>
  <si>
    <t>https://www.hackerearth.com/practice/notes/heaps-and-priority-queues/</t>
  </si>
  <si>
    <t>Priority Queue (STL)</t>
  </si>
  <si>
    <t>https://www.geeksforgeeks.org/priority-queue-in-cpp-stl/</t>
  </si>
  <si>
    <t>https://www.geeksforgeeks.org/implement-min-heap-using-stl/</t>
  </si>
  <si>
    <t>Union Find</t>
  </si>
  <si>
    <t>https://www.topcoder.com/community/data-science/data-science-tutorials/disjoint-set-data-structures/</t>
  </si>
  <si>
    <t>Segment Tree</t>
  </si>
  <si>
    <t>https://www.hackerearth.com/practice/notes/segment-tree-and-lazy-propagation/</t>
  </si>
  <si>
    <t>http://se7so.blogspot.in/2012/12/segment-trees-and-lazy-propagation.html</t>
  </si>
  <si>
    <t>2D Segment Tree</t>
  </si>
  <si>
    <t>http://codeforces.com/blog/entry/16363</t>
  </si>
  <si>
    <t>Binary Indexed Tree</t>
  </si>
  <si>
    <t>https://www.topcoder.com/community/data-science/data-science-tutorials/binary-indexed-trees/</t>
  </si>
  <si>
    <t>https://www.hackerearth.com/practice/data-structures/advanced-data-structures/fenwick-binary-indexed-trees/tutorial/</t>
  </si>
  <si>
    <t>Hashing</t>
  </si>
  <si>
    <t>https://www.geeksforgeeks.org/hashing-set-1-introduction/</t>
  </si>
  <si>
    <t>Trie</t>
  </si>
  <si>
    <t>https://www.hackerearth.com/practice/data-structures/advanced-data-structures/trie-keyword-tree/tutorial/</t>
  </si>
  <si>
    <t>https://www.topcoder.com/community/data-science/data-science-tutorials/using-tries/</t>
  </si>
  <si>
    <t>http://www.shafaetsplanet.com/?p=1679</t>
  </si>
  <si>
    <t>LCA</t>
  </si>
  <si>
    <t>http://www.shafaetsplanet.com/?p=1831</t>
  </si>
  <si>
    <t>DP</t>
  </si>
  <si>
    <t>https://www.codechef.com/wiki/tutorial-dynamic-programming</t>
  </si>
  <si>
    <t>https://www.hackerearth.com/practice/algorithms/dynamic-programming/introduction-to-dynamic-programming-1/tutorial/</t>
  </si>
  <si>
    <t>https://www.topcoder.com/community/data-science/data-science-tutorials/dynamic-programming-from-novice-to-advanced/</t>
  </si>
  <si>
    <t>DP (LIS)</t>
  </si>
  <si>
    <t>https://www.geeksforgeeks.org/longest-increasing-subsequence/</t>
  </si>
  <si>
    <t>DP (LIS) - N log N</t>
  </si>
  <si>
    <t>https://www.geeksforgeeks.org/longest-monotonically-increasing-subsequence-size-n-log-n/</t>
  </si>
  <si>
    <t>DP (Coin Change)</t>
  </si>
  <si>
    <t>https://www.geeksforgeeks.org/dynamic-programming-set-7-coin-change/</t>
  </si>
  <si>
    <t>DP (MIS)</t>
  </si>
  <si>
    <t>https://www.geeksforgeeks.org/largest-sum-contiguous-subarray/</t>
  </si>
  <si>
    <t>DP (0/1 Knapsack)</t>
  </si>
  <si>
    <t>https://www.geeksforgeeks.org/knapsack-problem/</t>
  </si>
  <si>
    <t>DP (LCS)</t>
  </si>
  <si>
    <t>https://www.dyclassroom.com/dynamic-programming/longest-common-subsequence</t>
  </si>
  <si>
    <t>DP (Edit Distance)</t>
  </si>
  <si>
    <t>https://www.geeksforgeeks.org/dynamic-programming-set-5-edit-distance/</t>
  </si>
  <si>
    <t>DP + Bitmask</t>
  </si>
  <si>
    <t>https://www.hackerearth.com/practice/algorithms/dynamic-programming/bit-masking/tutorial/</t>
  </si>
  <si>
    <t>Suffix Array</t>
  </si>
  <si>
    <t>https://discuss.codechef.com/questions/21385/a-tutorial-on-suffix-arrays</t>
  </si>
  <si>
    <t>http://web.stanford.edu/class/cs97si/suffix-array.pdf</t>
  </si>
  <si>
    <t>KMP</t>
  </si>
  <si>
    <t>https://www.geeksforgeeks.org/kmp-algorithm-for-pattern-searching/</t>
  </si>
  <si>
    <t>https://www.topcoder.com/community/competitive-programming/tutorials/introduction-to-string-searching-algorithms/</t>
  </si>
  <si>
    <t>Aho-Corasick</t>
  </si>
  <si>
    <t>https://www.geeksforgeeks.org/aho-corasick-algorithm-pattern-searching/</t>
  </si>
  <si>
    <t>Computational Geometry</t>
  </si>
  <si>
    <t>https://www.topcoder.com/community/competitive-programming/tutorials/geometry-concepts-basic-concepts/</t>
  </si>
  <si>
    <t>https://www.cs.cmu.edu/~eugene/research/talks/compete-geom.pdf</t>
  </si>
  <si>
    <t>https://vlecomte.github.io/cp-geo.pdf</t>
  </si>
  <si>
    <t>Convex Hull</t>
  </si>
  <si>
    <t>https://www.geeksforgeeks.org/convex-hull-set-2-graham-scan/</t>
  </si>
  <si>
    <t xml:space="preserve"> </t>
  </si>
  <si>
    <t>Biday pitibi</t>
  </si>
  <si>
    <t>Unclear</t>
  </si>
  <si>
    <t>R</t>
  </si>
  <si>
    <t>R, Advanced knowledge</t>
  </si>
  <si>
    <t>R Lagrange multipliers</t>
  </si>
  <si>
    <t>Not sure if Gauss would work</t>
  </si>
  <si>
    <t>R No Idea</t>
  </si>
  <si>
    <t>Need calculus visualization!</t>
  </si>
  <si>
    <t>Jibon oti shundor! :|</t>
  </si>
  <si>
    <t>R Need some proofs</t>
  </si>
  <si>
    <t>R!</t>
  </si>
  <si>
    <t>R*</t>
  </si>
  <si>
    <t>R *</t>
  </si>
  <si>
    <t>QuadTree/2DSegTree</t>
  </si>
  <si>
    <t>*</t>
  </si>
  <si>
    <t>Bujhinai</t>
  </si>
  <si>
    <t>R Later someday</t>
  </si>
  <si>
    <t>R No idea</t>
  </si>
  <si>
    <t>WA Cost handling kivabe korbo bujhtesina</t>
  </si>
  <si>
    <t>R***</t>
  </si>
  <si>
    <t>R**</t>
  </si>
  <si>
    <t>**</t>
  </si>
  <si>
    <t>***</t>
  </si>
  <si>
    <t>R, No Idea</t>
  </si>
  <si>
    <t>WA</t>
  </si>
  <si>
    <t>R 3D Geo</t>
  </si>
  <si>
    <t>R Bujhinai</t>
  </si>
  <si>
    <t>R I tough implementatin</t>
  </si>
  <si>
    <t>WA on #6</t>
  </si>
  <si>
    <t>WA 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</si>
</sst>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</font>
    <font/>
    <font>
      <b/>
      <u/>
      <color rgb="FF0000FF"/>
      <name val="Arial"/>
    </font>
    <font>
      <sz val="12.0"/>
    </font>
    <font>
      <name val="Arial"/>
    </font>
    <font>
      <u/>
      <sz val="14.0"/>
      <color rgb="FF1155CC"/>
      <name val="Arial"/>
    </font>
    <font>
      <b/>
      <sz val="12.0"/>
      <color rgb="FFFF0000"/>
      <name val="Arial"/>
    </font>
    <font>
      <u/>
      <color rgb="FF0000FF"/>
    </font>
    <font>
      <u/>
      <color rgb="FF000000"/>
    </font>
    <font>
      <u/>
      <color rgb="FF000000"/>
      <name val="Arial"/>
    </font>
    <font>
      <u/>
      <color rgb="FF000000"/>
      <name val="Arial"/>
    </font>
    <font>
      <b/>
      <sz val="11.0"/>
      <name val="Arial"/>
    </font>
    <font>
      <b/>
      <sz val="10.0"/>
      <name val="Arial"/>
    </font>
    <font>
      <b/>
      <name val="Arial"/>
    </font>
    <font>
      <u/>
      <color rgb="FF0000FF"/>
    </font>
    <font>
      <sz val="11.0"/>
      <color rgb="FF000000"/>
      <name val="Inconsolata"/>
    </font>
    <font>
      <b/>
      <color rgb="FF15C6D4"/>
      <name val="Arial"/>
    </font>
    <font>
      <u/>
      <color rgb="FF0000FF"/>
    </font>
    <font>
      <b/>
      <u/>
      <color rgb="FF0000FF"/>
    </font>
    <font>
      <u/>
      <color rgb="FFFF0000"/>
    </font>
    <font>
      <name val="Lucida Grande"/>
    </font>
    <font>
      <color rgb="FF0000FF"/>
    </font>
    <font>
      <b/>
      <color rgb="FF000000"/>
      <name val="Arial"/>
    </font>
    <font>
      <color rgb="FF000000"/>
    </font>
    <font>
      <color rgb="FF000000"/>
      <name val="Arial"/>
    </font>
    <font>
      <color rgb="FFB00000"/>
      <name val="Sans-serif"/>
    </font>
  </fonts>
  <fills count="10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</fills>
  <borders count="3">
    <border/>
    <border>
      <right/>
    </border>
    <border>
      <left/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1" fillId="0" fontId="5" numFmtId="0" xfId="0" applyAlignment="1" applyBorder="1" applyFont="1">
      <alignment horizontal="left" vertical="bottom"/>
    </xf>
    <xf borderId="2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2" fillId="0" fontId="7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vertical="bottom"/>
    </xf>
    <xf borderId="0" fillId="5" fontId="2" numFmtId="0" xfId="0" applyAlignment="1" applyFill="1" applyFont="1">
      <alignment horizontal="left" readingOrder="0"/>
    </xf>
    <xf borderId="0" fillId="5" fontId="5" numFmtId="0" xfId="0" applyAlignment="1" applyFont="1">
      <alignment horizontal="left" vertical="bottom"/>
    </xf>
    <xf borderId="0" fillId="5" fontId="5" numFmtId="0" xfId="0" applyAlignment="1" applyFont="1">
      <alignment vertical="bottom"/>
    </xf>
    <xf borderId="0" fillId="5" fontId="2" numFmtId="0" xfId="0" applyAlignment="1" applyFont="1">
      <alignment horizontal="left" readingOrder="0"/>
    </xf>
    <xf borderId="0" fillId="5" fontId="5" numFmtId="0" xfId="0" applyAlignment="1" applyFont="1">
      <alignment horizontal="left" vertical="bottom"/>
    </xf>
    <xf borderId="0" fillId="0" fontId="8" numFmtId="0" xfId="0" applyAlignment="1" applyFont="1">
      <alignment readingOrder="0"/>
    </xf>
    <xf borderId="0" fillId="5" fontId="5" numFmtId="0" xfId="0" applyAlignment="1" applyFont="1">
      <alignment vertical="bottom"/>
    </xf>
    <xf borderId="0" fillId="5" fontId="9" numFmtId="0" xfId="0" applyAlignment="1" applyFont="1">
      <alignment horizontal="left" readingOrder="0"/>
    </xf>
    <xf borderId="0" fillId="5" fontId="10" numFmtId="0" xfId="0" applyAlignment="1" applyFont="1">
      <alignment horizontal="left" vertical="bottom"/>
    </xf>
    <xf borderId="0" fillId="5" fontId="11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horizontal="left"/>
    </xf>
    <xf borderId="0" fillId="6" fontId="14" numFmtId="0" xfId="0" applyAlignment="1" applyFill="1" applyFont="1">
      <alignment horizontal="left" vertical="bottom"/>
    </xf>
    <xf borderId="0" fillId="7" fontId="14" numFmtId="0" xfId="0" applyAlignment="1" applyFill="1" applyFont="1">
      <alignment horizontal="left" vertical="bottom"/>
    </xf>
    <xf borderId="0" fillId="6" fontId="14" numFmtId="0" xfId="0" applyAlignment="1" applyFont="1">
      <alignment horizontal="right" vertical="bottom"/>
    </xf>
    <xf borderId="0" fillId="0" fontId="15" numFmtId="0" xfId="0" applyAlignment="1" applyFont="1">
      <alignment readingOrder="0"/>
    </xf>
    <xf borderId="0" fillId="4" fontId="16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8" numFmtId="0" xfId="0" applyFont="1"/>
    <xf borderId="0" fillId="0" fontId="1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22" numFmtId="0" xfId="0" applyAlignment="1" applyFont="1">
      <alignment readingOrder="0"/>
    </xf>
    <xf borderId="0" fillId="0" fontId="16" numFmtId="0" xfId="0" applyAlignment="1" applyFont="1">
      <alignment horizontal="center"/>
    </xf>
    <xf borderId="0" fillId="8" fontId="2" numFmtId="0" xfId="0" applyAlignment="1" applyFill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7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9" fontId="5" numFmtId="0" xfId="0" applyAlignment="1" applyFill="1" applyFont="1">
      <alignment horizontal="left" readingOrder="0" vertical="bottom"/>
    </xf>
    <xf borderId="0" fillId="0" fontId="24" numFmtId="0" xfId="0" applyAlignment="1" applyFont="1">
      <alignment horizontal="left" readingOrder="0"/>
    </xf>
    <xf borderId="0" fillId="8" fontId="1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8" fontId="17" numFmtId="0" xfId="0" applyAlignment="1" applyFont="1">
      <alignment vertical="bottom"/>
    </xf>
    <xf borderId="0" fillId="0" fontId="25" numFmtId="0" xfId="0" applyAlignment="1" applyFont="1">
      <alignment readingOrder="0" vertical="bottom"/>
    </xf>
    <xf borderId="0" fillId="0" fontId="26" numFmtId="0" xfId="0" applyAlignment="1" applyFont="1">
      <alignment horizontal="left" readingOrder="0" vertical="bottom"/>
    </xf>
    <xf borderId="0" fillId="0" fontId="23" numFmtId="0" xfId="0" applyAlignment="1" applyFont="1">
      <alignment vertical="bottom"/>
    </xf>
    <xf borderId="0" fillId="8" fontId="25" numFmtId="0" xfId="0" applyAlignment="1" applyFont="1">
      <alignment readingOrder="0" vertical="bottom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/>
    </xf>
    <xf borderId="0" fillId="0" fontId="17" numFmtId="0" xfId="0" applyAlignment="1" applyFont="1">
      <alignment vertical="bottom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6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  <color rgb="FF15C6D4"/>
      </font>
      <fill>
        <patternFill patternType="none"/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  <dxf>
      <font>
        <b/>
        <color rgb="FFFF0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6AA84F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FF00"/>
      </font>
      <fill>
        <patternFill patternType="none"/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b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Blue Regulars-style">
      <tableStyleElement dxfId="14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E481:G481" displayName="Table_1" id="1">
  <tableColumns count="3">
    <tableColumn name="Column1" id="1"/>
    <tableColumn name="Column2" id="2"/>
    <tableColumn name="Column3" id="3"/>
  </tableColumns>
  <tableStyleInfo name="Blue Regula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hackerearth.com/practice/data-structures/advanced-data-structures/trie-keyword-tree/tutorial/" TargetMode="External"/><Relationship Id="rId42" Type="http://schemas.openxmlformats.org/officeDocument/2006/relationships/hyperlink" Target="http://www.shafaetsplanet.com/?p=1679" TargetMode="External"/><Relationship Id="rId41" Type="http://schemas.openxmlformats.org/officeDocument/2006/relationships/hyperlink" Target="https://www.topcoder.com/community/data-science/data-science-tutorials/using-tries/" TargetMode="External"/><Relationship Id="rId44" Type="http://schemas.openxmlformats.org/officeDocument/2006/relationships/hyperlink" Target="https://www.codechef.com/wiki/tutorial-dynamic-programming" TargetMode="External"/><Relationship Id="rId43" Type="http://schemas.openxmlformats.org/officeDocument/2006/relationships/hyperlink" Target="http://www.shafaetsplanet.com/?p=1831" TargetMode="External"/><Relationship Id="rId46" Type="http://schemas.openxmlformats.org/officeDocument/2006/relationships/hyperlink" Target="https://www.topcoder.com/community/data-science/data-science-tutorials/dynamic-programming-from-novice-to-advanced/" TargetMode="External"/><Relationship Id="rId45" Type="http://schemas.openxmlformats.org/officeDocument/2006/relationships/hyperlink" Target="https://www.hackerearth.com/practice/algorithms/dynamic-programming/introduction-to-dynamic-programming-1/tutorial/" TargetMode="External"/><Relationship Id="rId1" Type="http://schemas.openxmlformats.org/officeDocument/2006/relationships/hyperlink" Target="http://www.shafaetsplanet.com/planetcoding/?p=1266" TargetMode="External"/><Relationship Id="rId2" Type="http://schemas.openxmlformats.org/officeDocument/2006/relationships/hyperlink" Target="https://www.topcoder.com/community/data-science/data-science-tutorials/an-introduction-to-recursion-part-1/" TargetMode="External"/><Relationship Id="rId3" Type="http://schemas.openxmlformats.org/officeDocument/2006/relationships/hyperlink" Target="http://www.geeksforgeeks.org/backtracking-algorithms/" TargetMode="External"/><Relationship Id="rId4" Type="http://schemas.openxmlformats.org/officeDocument/2006/relationships/hyperlink" Target="http://www.geeksforgeeks.org/fundamentals-of-algorithms/" TargetMode="External"/><Relationship Id="rId9" Type="http://schemas.openxmlformats.org/officeDocument/2006/relationships/hyperlink" Target="https://apps.topcoder.com/forums/?module=Thread&amp;threadID=506787&amp;start=0&amp;mc=27%5D" TargetMode="External"/><Relationship Id="rId48" Type="http://schemas.openxmlformats.org/officeDocument/2006/relationships/hyperlink" Target="https://www.geeksforgeeks.org/longest-monotonically-increasing-subsequence-size-n-log-n/" TargetMode="External"/><Relationship Id="rId47" Type="http://schemas.openxmlformats.org/officeDocument/2006/relationships/hyperlink" Target="https://www.geeksforgeeks.org/longest-increasing-subsequence/" TargetMode="External"/><Relationship Id="rId49" Type="http://schemas.openxmlformats.org/officeDocument/2006/relationships/hyperlink" Target="https://www.geeksforgeeks.org/dynamic-programming-set-7-coin-change/" TargetMode="External"/><Relationship Id="rId5" Type="http://schemas.openxmlformats.org/officeDocument/2006/relationships/hyperlink" Target="https://www.hackerearth.com/practice/algorithms/searching/binary-search/tutorial/" TargetMode="External"/><Relationship Id="rId6" Type="http://schemas.openxmlformats.org/officeDocument/2006/relationships/hyperlink" Target="http://www.geeksforgeeks.org/binary-search/" TargetMode="External"/><Relationship Id="rId7" Type="http://schemas.openxmlformats.org/officeDocument/2006/relationships/hyperlink" Target="https://www.topcoder.com/community/data-science/data-science-tutorials/binary-search/" TargetMode="External"/><Relationship Id="rId8" Type="http://schemas.openxmlformats.org/officeDocument/2006/relationships/hyperlink" Target="https://www.hackerearth.com/practice/algorithms/searching/ternary-search/tutorial/" TargetMode="External"/><Relationship Id="rId31" Type="http://schemas.openxmlformats.org/officeDocument/2006/relationships/hyperlink" Target="https://www.geeksforgeeks.org/priority-queue-in-cpp-stl/" TargetMode="External"/><Relationship Id="rId30" Type="http://schemas.openxmlformats.org/officeDocument/2006/relationships/hyperlink" Target="https://www.hackerearth.com/practice/notes/heaps-and-priority-queues/" TargetMode="External"/><Relationship Id="rId33" Type="http://schemas.openxmlformats.org/officeDocument/2006/relationships/hyperlink" Target="https://www.topcoder.com/community/data-science/data-science-tutorials/disjoint-set-data-structures/" TargetMode="External"/><Relationship Id="rId32" Type="http://schemas.openxmlformats.org/officeDocument/2006/relationships/hyperlink" Target="https://www.geeksforgeeks.org/implement-min-heap-using-stl/" TargetMode="External"/><Relationship Id="rId35" Type="http://schemas.openxmlformats.org/officeDocument/2006/relationships/hyperlink" Target="http://se7so.blogspot.in/2012/12/segment-trees-and-lazy-propagation.html" TargetMode="External"/><Relationship Id="rId34" Type="http://schemas.openxmlformats.org/officeDocument/2006/relationships/hyperlink" Target="https://www.hackerearth.com/practice/notes/segment-tree-and-lazy-propagation/" TargetMode="External"/><Relationship Id="rId37" Type="http://schemas.openxmlformats.org/officeDocument/2006/relationships/hyperlink" Target="https://www.topcoder.com/community/data-science/data-science-tutorials/binary-indexed-trees/" TargetMode="External"/><Relationship Id="rId36" Type="http://schemas.openxmlformats.org/officeDocument/2006/relationships/hyperlink" Target="http://codeforces.com/blog/entry/16363" TargetMode="External"/><Relationship Id="rId39" Type="http://schemas.openxmlformats.org/officeDocument/2006/relationships/hyperlink" Target="https://www.geeksforgeeks.org/hashing-set-1-introduction/" TargetMode="External"/><Relationship Id="rId38" Type="http://schemas.openxmlformats.org/officeDocument/2006/relationships/hyperlink" Target="https://www.hackerearth.com/practice/data-structures/advanced-data-structures/fenwick-binary-indexed-trees/tutorial/" TargetMode="External"/><Relationship Id="rId62" Type="http://schemas.openxmlformats.org/officeDocument/2006/relationships/hyperlink" Target="https://vlecomte.github.io/cp-geo.pdf" TargetMode="External"/><Relationship Id="rId61" Type="http://schemas.openxmlformats.org/officeDocument/2006/relationships/hyperlink" Target="https://www.cs.cmu.edu/~eugene/research/talks/compete-geom.pdf" TargetMode="External"/><Relationship Id="rId20" Type="http://schemas.openxmlformats.org/officeDocument/2006/relationships/hyperlink" Target="http://www.math.utk.edu/~wagner/papers/comb.pdf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www.geeksforgeeks.org/convex-hull-set-2-graham-scan/" TargetMode="External"/><Relationship Id="rId22" Type="http://schemas.openxmlformats.org/officeDocument/2006/relationships/hyperlink" Target="https://www.hackerearth.com/practice/data-structures/stacks/basics-of-stacks/tutorial/" TargetMode="External"/><Relationship Id="rId21" Type="http://schemas.openxmlformats.org/officeDocument/2006/relationships/hyperlink" Target="https://www.topcoder.com/community/data-science/data-science-tutorials/understanding-probabilities/" TargetMode="External"/><Relationship Id="rId24" Type="http://schemas.openxmlformats.org/officeDocument/2006/relationships/hyperlink" Target="https://www.hackerearth.com/practice/data-structures/stacks/basics-of-stacks/tutorial/" TargetMode="External"/><Relationship Id="rId23" Type="http://schemas.openxmlformats.org/officeDocument/2006/relationships/hyperlink" Target="https://www.geeksforgeeks.org/stack-in-cpp-stl/" TargetMode="External"/><Relationship Id="rId60" Type="http://schemas.openxmlformats.org/officeDocument/2006/relationships/hyperlink" Target="https://www.topcoder.com/community/competitive-programming/tutorials/geometry-concepts-basic-concepts/" TargetMode="External"/><Relationship Id="rId26" Type="http://schemas.openxmlformats.org/officeDocument/2006/relationships/hyperlink" Target="https://www.hackerearth.com/practice/data-structures/trees/binary-search-tree/tutorial/" TargetMode="External"/><Relationship Id="rId25" Type="http://schemas.openxmlformats.org/officeDocument/2006/relationships/hyperlink" Target="https://www.geeksforgeeks.org/queue-cpp-stl/" TargetMode="External"/><Relationship Id="rId28" Type="http://schemas.openxmlformats.org/officeDocument/2006/relationships/hyperlink" Target="https://www.geeksforgeeks.org/set-in-cpp-stl/" TargetMode="External"/><Relationship Id="rId27" Type="http://schemas.openxmlformats.org/officeDocument/2006/relationships/hyperlink" Target="https://www.topcoder.com/community/data-science/data-science-tutorials/an-introduction-to-binary-search-and-red-black-trees/" TargetMode="External"/><Relationship Id="rId29" Type="http://schemas.openxmlformats.org/officeDocument/2006/relationships/hyperlink" Target="https://www.geeksforgeeks.org/map-associative-containers-the-c-standard-template-library-stl/" TargetMode="External"/><Relationship Id="rId51" Type="http://schemas.openxmlformats.org/officeDocument/2006/relationships/hyperlink" Target="https://www.geeksforgeeks.org/knapsack-problem/" TargetMode="External"/><Relationship Id="rId50" Type="http://schemas.openxmlformats.org/officeDocument/2006/relationships/hyperlink" Target="https://www.geeksforgeeks.org/largest-sum-contiguous-subarray/" TargetMode="External"/><Relationship Id="rId53" Type="http://schemas.openxmlformats.org/officeDocument/2006/relationships/hyperlink" Target="https://www.geeksforgeeks.org/dynamic-programming-set-5-edit-distance/" TargetMode="External"/><Relationship Id="rId52" Type="http://schemas.openxmlformats.org/officeDocument/2006/relationships/hyperlink" Target="https://www.dyclassroom.com/dynamic-programming/longest-common-subsequence" TargetMode="External"/><Relationship Id="rId11" Type="http://schemas.openxmlformats.org/officeDocument/2006/relationships/hyperlink" Target="https://www.topcoder.com/community/data-science/data-science-tutorials/mathematics-for-topcoders/" TargetMode="External"/><Relationship Id="rId55" Type="http://schemas.openxmlformats.org/officeDocument/2006/relationships/hyperlink" Target="https://discuss.codechef.com/questions/21385/a-tutorial-on-suffix-arrays" TargetMode="External"/><Relationship Id="rId10" Type="http://schemas.openxmlformats.org/officeDocument/2006/relationships/hyperlink" Target="https://www.topcoder.com/community/data-science/data-science-tutorials/greedy-is-good/" TargetMode="External"/><Relationship Id="rId54" Type="http://schemas.openxmlformats.org/officeDocument/2006/relationships/hyperlink" Target="https://www.hackerearth.com/practice/algorithms/dynamic-programming/bit-masking/tutorial/" TargetMode="External"/><Relationship Id="rId13" Type="http://schemas.openxmlformats.org/officeDocument/2006/relationships/hyperlink" Target="http://www.geeksforgeeks.org/sieve-of-eratosthenes/" TargetMode="External"/><Relationship Id="rId57" Type="http://schemas.openxmlformats.org/officeDocument/2006/relationships/hyperlink" Target="https://www.geeksforgeeks.org/kmp-algorithm-for-pattern-searching/" TargetMode="External"/><Relationship Id="rId12" Type="http://schemas.openxmlformats.org/officeDocument/2006/relationships/hyperlink" Target="http://www.geeksforgeeks.org/mathematical-algorithms/" TargetMode="External"/><Relationship Id="rId56" Type="http://schemas.openxmlformats.org/officeDocument/2006/relationships/hyperlink" Target="http://web.stanford.edu/class/cs97si/suffix-array.pdf" TargetMode="External"/><Relationship Id="rId15" Type="http://schemas.openxmlformats.org/officeDocument/2006/relationships/hyperlink" Target="http://www.geeksforgeeks.org/print-all-prime-factors-of-a-given-number/" TargetMode="External"/><Relationship Id="rId59" Type="http://schemas.openxmlformats.org/officeDocument/2006/relationships/hyperlink" Target="https://www.geeksforgeeks.org/aho-corasick-algorithm-pattern-searching/" TargetMode="External"/><Relationship Id="rId14" Type="http://schemas.openxmlformats.org/officeDocument/2006/relationships/hyperlink" Target="http://www.geeksforgeeks.org/segmented-sieve/" TargetMode="External"/><Relationship Id="rId58" Type="http://schemas.openxmlformats.org/officeDocument/2006/relationships/hyperlink" Target="https://www.topcoder.com/community/competitive-programming/tutorials/introduction-to-string-searching-algorithms/" TargetMode="External"/><Relationship Id="rId17" Type="http://schemas.openxmlformats.org/officeDocument/2006/relationships/hyperlink" Target="http://www.geeksforgeeks.org/euclidean-algorithms-basic-and-extended/" TargetMode="External"/><Relationship Id="rId16" Type="http://schemas.openxmlformats.org/officeDocument/2006/relationships/hyperlink" Target="http://www.geeksforgeeks.org/mathematical-algorithms/" TargetMode="External"/><Relationship Id="rId19" Type="http://schemas.openxmlformats.org/officeDocument/2006/relationships/hyperlink" Target="https://www.topcoder.com/community/data-science/data-science-tutorials/basics-of-combinatorics/" TargetMode="External"/><Relationship Id="rId18" Type="http://schemas.openxmlformats.org/officeDocument/2006/relationships/hyperlink" Target="http://www.geeksforgeeks.org/modular-exponentiation-power-in-modular-arithmet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>
      <pane xSplit="2.0" ySplit="8.0" topLeftCell="C9" activePane="bottomRight" state="frozen"/>
      <selection activeCell="C1" sqref="C1" pane="topRight"/>
      <selection activeCell="A9" sqref="A9" pane="bottomLeft"/>
      <selection activeCell="C9" sqref="C9" pane="bottomRight"/>
    </sheetView>
  </sheetViews>
  <sheetFormatPr customHeight="1" defaultColWidth="14.43" defaultRowHeight="15.75"/>
  <cols>
    <col customWidth="1" min="1" max="1" width="37.43"/>
    <col customWidth="1" min="2" max="2" width="12.57"/>
    <col customWidth="1" min="3" max="3" width="0.43"/>
    <col customWidth="1" min="4" max="5" width="19.57"/>
    <col customWidth="1" min="6" max="6" width="18.14"/>
    <col customWidth="1" min="7" max="7" width="20.29"/>
  </cols>
  <sheetData>
    <row r="1">
      <c r="A1" s="3" t="s">
        <v>4</v>
      </c>
      <c r="D1" s="4" t="s">
        <v>5</v>
      </c>
      <c r="E1" s="5"/>
      <c r="F1" s="6"/>
      <c r="G1" s="7"/>
    </row>
    <row r="2">
      <c r="A2" s="8" t="s">
        <v>6</v>
      </c>
      <c r="D2" s="4" t="s">
        <v>7</v>
      </c>
      <c r="E2" s="5"/>
      <c r="F2" s="9"/>
      <c r="G2" s="7"/>
    </row>
    <row r="3">
      <c r="B3" s="10"/>
      <c r="C3" s="10"/>
      <c r="D3" s="11" t="s">
        <v>8</v>
      </c>
      <c r="E3" s="12"/>
      <c r="F3" s="6"/>
      <c r="G3" s="7"/>
    </row>
    <row r="4">
      <c r="A4" s="11" t="s">
        <v>9</v>
      </c>
      <c r="B4" s="10"/>
      <c r="C4" s="10"/>
      <c r="D4" s="13" t="s">
        <v>10</v>
      </c>
      <c r="E4" s="14" t="s">
        <v>11</v>
      </c>
      <c r="F4" s="15" t="s">
        <v>12</v>
      </c>
      <c r="G4" s="15"/>
    </row>
    <row r="5">
      <c r="A5" s="11" t="s">
        <v>13</v>
      </c>
      <c r="B5" s="10"/>
      <c r="C5" s="10"/>
      <c r="D5" s="16" t="s">
        <v>14</v>
      </c>
      <c r="E5" s="17" t="s">
        <v>15</v>
      </c>
      <c r="F5" s="19" t="s">
        <v>16</v>
      </c>
      <c r="G5" s="19"/>
    </row>
    <row r="6">
      <c r="A6" s="11" t="s">
        <v>18</v>
      </c>
      <c r="B6" s="10"/>
      <c r="C6" s="10"/>
      <c r="D6" s="20" t="str">
        <f>HYPERLINK("http://codeforces.com/profile/De.Wilde","De.Wilde")</f>
        <v>De.Wilde</v>
      </c>
      <c r="E6" s="21" t="str">
        <f>HYPERLINK("http://codeforces.com/profile/Raihanur_R","Raihanur_R")</f>
        <v>Raihanur_R</v>
      </c>
      <c r="F6" s="22" t="str">
        <f>HYPERLINK("http://codeforces.com/profile/PRANTO_DAS","PRANTO_DAS")</f>
        <v>PRANTO_DAS</v>
      </c>
      <c r="G6" s="19"/>
    </row>
    <row r="7">
      <c r="A7" s="11" t="s">
        <v>23</v>
      </c>
      <c r="B7" s="23">
        <f>COUNTIF(A9:A3002,"&lt;&gt;")</f>
        <v>1176</v>
      </c>
      <c r="C7" s="23"/>
      <c r="D7" s="24">
        <f t="shared" ref="D7:F7" si="1">countif(D9:D3007,"=OK")</f>
        <v>897</v>
      </c>
      <c r="E7" s="24">
        <f t="shared" si="1"/>
        <v>763</v>
      </c>
      <c r="F7" s="24">
        <f t="shared" si="1"/>
        <v>720</v>
      </c>
      <c r="G7" s="25"/>
    </row>
    <row r="8">
      <c r="A8" s="26" t="s">
        <v>26</v>
      </c>
      <c r="B8" s="27"/>
      <c r="C8" s="27"/>
      <c r="D8" s="28">
        <f>int(D7/COUNTIF(A9:A3002,"&lt;&gt;") * 10000)/100</f>
        <v>76.27</v>
      </c>
      <c r="E8" s="29">
        <f>int(E7/COUNTIF(A9:A3002,"&lt;&gt;") * 10000)/100</f>
        <v>64.88</v>
      </c>
      <c r="F8" s="30">
        <f>int(F7/COUNTIF(A9:A3002,"&lt;&gt;") * 10000)/100</f>
        <v>61.22</v>
      </c>
      <c r="G8" s="31"/>
    </row>
    <row r="9" ht="16.5" customHeight="1">
      <c r="A9" s="32" t="str">
        <f>HYPERLINK("http://acm.timus.ru/problem.aspx?space=1&amp;num=1000","[Timus 1000] A+B Problem")</f>
        <v>[Timus 1000] A+B Problem</v>
      </c>
      <c r="B9" s="33">
        <f t="shared" ref="B9:B1184" si="2">countif(C9:AA9,"=OK")</f>
        <v>3</v>
      </c>
      <c r="C9" s="33"/>
      <c r="D9" s="34" t="s">
        <v>38</v>
      </c>
      <c r="E9" s="35" t="s">
        <v>38</v>
      </c>
      <c r="F9" s="36" t="s">
        <v>38</v>
      </c>
      <c r="G9" s="37"/>
    </row>
    <row r="10">
      <c r="A10" s="32" t="str">
        <f>HYPERLINK("http://acm.timus.ru/problem.aspx?space=1&amp;num=1264","[Timus 1264] Workdays")</f>
        <v>[Timus 1264] Workdays</v>
      </c>
      <c r="B10" s="33">
        <f t="shared" si="2"/>
        <v>3</v>
      </c>
      <c r="C10" s="33"/>
      <c r="D10" s="34" t="s">
        <v>38</v>
      </c>
      <c r="E10" s="35" t="s">
        <v>38</v>
      </c>
      <c r="F10" s="38" t="s">
        <v>38</v>
      </c>
      <c r="G10" s="37"/>
    </row>
    <row r="11">
      <c r="A11" s="32" t="str">
        <f>HYPERLINK("http://acm.timus.ru/problem.aspx?space=1&amp;num=1293","[Timus 1293] Enya")</f>
        <v>[Timus 1293] Enya</v>
      </c>
      <c r="B11" s="33">
        <f t="shared" si="2"/>
        <v>3</v>
      </c>
      <c r="C11" s="33"/>
      <c r="D11" s="34" t="s">
        <v>38</v>
      </c>
      <c r="E11" s="35" t="s">
        <v>38</v>
      </c>
      <c r="F11" s="38" t="s">
        <v>38</v>
      </c>
      <c r="G11" s="39"/>
    </row>
    <row r="12">
      <c r="A12" s="32" t="str">
        <f>HYPERLINK("http://acm.timus.ru/problem.aspx?space=1&amp;num=1409","[Timus 1409] Two Gangsters")</f>
        <v>[Timus 1409] Two Gangsters</v>
      </c>
      <c r="B12" s="33">
        <f t="shared" si="2"/>
        <v>3</v>
      </c>
      <c r="C12" s="33"/>
      <c r="D12" s="34" t="s">
        <v>38</v>
      </c>
      <c r="E12" s="35" t="s">
        <v>38</v>
      </c>
      <c r="F12" s="38" t="s">
        <v>38</v>
      </c>
      <c r="G12" s="37"/>
    </row>
    <row r="13">
      <c r="A13" s="32" t="str">
        <f>HYPERLINK("http://acm.timus.ru/problem.aspx?num=1068","[Timus 1068] Sum")</f>
        <v>[Timus 1068] Sum</v>
      </c>
      <c r="B13" s="33">
        <f t="shared" si="2"/>
        <v>3</v>
      </c>
      <c r="C13" s="33"/>
      <c r="D13" s="34" t="s">
        <v>38</v>
      </c>
      <c r="E13" s="35" t="s">
        <v>38</v>
      </c>
      <c r="F13" s="38" t="s">
        <v>38</v>
      </c>
      <c r="G13" s="37"/>
    </row>
    <row r="14">
      <c r="A14" s="32" t="str">
        <f>HYPERLINK("http://acm.timus.ru/problem.aspx?num=1083","[Timus 1083] Factorials!!!")</f>
        <v>[Timus 1083] Factorials!!!</v>
      </c>
      <c r="B14" s="33">
        <f t="shared" si="2"/>
        <v>3</v>
      </c>
      <c r="C14" s="33"/>
      <c r="D14" s="34" t="s">
        <v>38</v>
      </c>
      <c r="E14" s="35" t="s">
        <v>38</v>
      </c>
      <c r="F14" s="38" t="s">
        <v>38</v>
      </c>
      <c r="G14" s="37"/>
    </row>
    <row r="15">
      <c r="A15" s="32" t="str">
        <f>HYPERLINK("http://acm.timus.ru/problem.aspx?num=1086","[Timus 1086] Cryptography")</f>
        <v>[Timus 1086] Cryptography</v>
      </c>
      <c r="B15" s="33">
        <f t="shared" si="2"/>
        <v>3</v>
      </c>
      <c r="C15" s="33"/>
      <c r="D15" s="34" t="s">
        <v>38</v>
      </c>
      <c r="E15" s="35" t="s">
        <v>38</v>
      </c>
      <c r="F15" s="38" t="s">
        <v>38</v>
      </c>
      <c r="G15" s="37"/>
    </row>
    <row r="16">
      <c r="A16" s="32" t="str">
        <f>HYPERLINK("http://acm.timus.ru/problem.aspx?num=1209","[Timus 1209] 1,10,100,1000...")</f>
        <v>[Timus 1209] 1,10,100,1000...</v>
      </c>
      <c r="B16" s="33">
        <f t="shared" si="2"/>
        <v>3</v>
      </c>
      <c r="C16" s="33"/>
      <c r="D16" s="34" t="s">
        <v>38</v>
      </c>
      <c r="E16" s="35" t="s">
        <v>38</v>
      </c>
      <c r="F16" s="38" t="s">
        <v>38</v>
      </c>
      <c r="G16" s="37"/>
    </row>
    <row r="17">
      <c r="A17" s="32" t="str">
        <f>HYPERLINK("http://www.lightoj.com/volume_showproblem.php?problem=1001","[LOJ 1001] Opposite Task")</f>
        <v>[LOJ 1001] Opposite Task</v>
      </c>
      <c r="B17" s="33">
        <f t="shared" si="2"/>
        <v>3</v>
      </c>
      <c r="C17" s="33"/>
      <c r="D17" s="34" t="s">
        <v>38</v>
      </c>
      <c r="E17" s="35" t="s">
        <v>38</v>
      </c>
      <c r="F17" s="38" t="s">
        <v>38</v>
      </c>
      <c r="G17" s="37"/>
    </row>
    <row r="18" ht="13.5" customHeight="1">
      <c r="A18" s="32" t="str">
        <f>HYPERLINK("http://www.lightoj.com/volume_showproblem.php?problem=1008","[LOJ 1008] Fibsieve's Fantabulous Birthday")</f>
        <v>[LOJ 1008] Fibsieve's Fantabulous Birthday</v>
      </c>
      <c r="B18" s="33">
        <f t="shared" si="2"/>
        <v>3</v>
      </c>
      <c r="C18" s="33"/>
      <c r="D18" s="34" t="s">
        <v>38</v>
      </c>
      <c r="E18" s="35" t="s">
        <v>38</v>
      </c>
      <c r="F18" s="38" t="s">
        <v>38</v>
      </c>
      <c r="G18" s="37"/>
    </row>
    <row r="19">
      <c r="A19" s="32" t="str">
        <f>HYPERLINK("http://www.lightoj.com/volume_showproblem.php?problem=1010","[LOJ 1010] Knights in Chessboard")</f>
        <v>[LOJ 1010] Knights in Chessboard</v>
      </c>
      <c r="B19" s="33">
        <f t="shared" si="2"/>
        <v>3</v>
      </c>
      <c r="C19" s="33"/>
      <c r="D19" s="34" t="s">
        <v>38</v>
      </c>
      <c r="E19" s="35" t="s">
        <v>38</v>
      </c>
      <c r="F19" s="38" t="s">
        <v>38</v>
      </c>
      <c r="G19" s="37"/>
    </row>
    <row r="20" ht="12.75" customHeight="1">
      <c r="A20" s="32" t="str">
        <f>HYPERLINK("http://www.lightoj.com/volume_showproblem.php?problem=1015","[LOJ 1015] Brush (I)")</f>
        <v>[LOJ 1015] Brush (I)</v>
      </c>
      <c r="B20" s="33">
        <f t="shared" si="2"/>
        <v>3</v>
      </c>
      <c r="C20" s="33"/>
      <c r="D20" s="34" t="s">
        <v>38</v>
      </c>
      <c r="E20" s="35" t="s">
        <v>38</v>
      </c>
      <c r="F20" s="38" t="s">
        <v>38</v>
      </c>
      <c r="G20" s="37"/>
    </row>
    <row r="21">
      <c r="A21" s="32" t="str">
        <f>HYPERLINK("http://www.lightoj.com/volume_showproblem.php?problem=1022","[LOJ 1022] Circle in Square")</f>
        <v>[LOJ 1022] Circle in Square</v>
      </c>
      <c r="B21" s="33">
        <f t="shared" si="2"/>
        <v>3</v>
      </c>
      <c r="C21" s="33"/>
      <c r="D21" s="34" t="s">
        <v>38</v>
      </c>
      <c r="E21" s="35" t="s">
        <v>38</v>
      </c>
      <c r="F21" s="38" t="s">
        <v>38</v>
      </c>
      <c r="G21" s="37"/>
    </row>
    <row r="22">
      <c r="A22" s="32" t="str">
        <f>HYPERLINK("http://www.lightoj.com/volume_showproblem.php?problem=1053","[LOJ 1053] Higher Math")</f>
        <v>[LOJ 1053] Higher Math</v>
      </c>
      <c r="B22" s="33">
        <f t="shared" si="2"/>
        <v>3</v>
      </c>
      <c r="C22" s="33"/>
      <c r="D22" s="34" t="s">
        <v>38</v>
      </c>
      <c r="E22" s="35" t="s">
        <v>38</v>
      </c>
      <c r="F22" s="38" t="s">
        <v>38</v>
      </c>
      <c r="G22" s="37"/>
    </row>
    <row r="23">
      <c r="A23" s="32" t="str">
        <f>HYPERLINK("http://www.lightoj.com/volume_showproblem.php?problem=1069","[LOJ 1069] Lift")</f>
        <v>[LOJ 1069] Lift</v>
      </c>
      <c r="B23" s="33">
        <f t="shared" si="2"/>
        <v>3</v>
      </c>
      <c r="C23" s="33"/>
      <c r="D23" s="34" t="s">
        <v>38</v>
      </c>
      <c r="E23" s="35" t="s">
        <v>38</v>
      </c>
      <c r="F23" s="38" t="s">
        <v>38</v>
      </c>
      <c r="G23" s="37"/>
    </row>
    <row r="24">
      <c r="A24" s="32" t="str">
        <f>HYPERLINK("http://www.lightoj.com/volume_showproblem.php?problem=1072","[LOJ 1072] Calm Down")</f>
        <v>[LOJ 1072] Calm Down</v>
      </c>
      <c r="B24" s="33">
        <f t="shared" si="2"/>
        <v>3</v>
      </c>
      <c r="C24" s="33"/>
      <c r="D24" s="34" t="s">
        <v>38</v>
      </c>
      <c r="E24" s="35" t="s">
        <v>38</v>
      </c>
      <c r="F24" s="38" t="s">
        <v>38</v>
      </c>
      <c r="G24" s="37"/>
    </row>
    <row r="25">
      <c r="A25" s="32" t="str">
        <f>HYPERLINK("http://www.lightoj.com/volume_showproblem.php?problem=1107","[LOJ 1107] How Cow")</f>
        <v>[LOJ 1107] How Cow</v>
      </c>
      <c r="B25" s="33">
        <f t="shared" si="2"/>
        <v>3</v>
      </c>
      <c r="C25" s="33"/>
      <c r="D25" s="34" t="s">
        <v>38</v>
      </c>
      <c r="E25" s="35" t="s">
        <v>38</v>
      </c>
      <c r="F25" s="38" t="s">
        <v>38</v>
      </c>
      <c r="G25" s="37"/>
    </row>
    <row r="26">
      <c r="A26" s="32" t="str">
        <f>HYPERLINK("http://www.lightoj.com/volume_showproblem.php?problem=1116","[LOJ 1116] Ekka Dokka")</f>
        <v>[LOJ 1116] Ekka Dokka</v>
      </c>
      <c r="B26" s="33">
        <f t="shared" si="2"/>
        <v>3</v>
      </c>
      <c r="C26" s="33"/>
      <c r="D26" s="34" t="s">
        <v>38</v>
      </c>
      <c r="E26" s="35" t="s">
        <v>38</v>
      </c>
      <c r="F26" s="38" t="s">
        <v>38</v>
      </c>
      <c r="G26" s="37"/>
    </row>
    <row r="27">
      <c r="A27" s="32" t="str">
        <f>HYPERLINK("http://www.lightoj.com/volume_showproblem.php?problem=1136","[LOJ 1136] Division By 3")</f>
        <v>[LOJ 1136] Division By 3</v>
      </c>
      <c r="B27" s="33">
        <f t="shared" si="2"/>
        <v>3</v>
      </c>
      <c r="C27" s="33"/>
      <c r="D27" s="34" t="s">
        <v>38</v>
      </c>
      <c r="E27" s="35" t="s">
        <v>38</v>
      </c>
      <c r="F27" s="38" t="s">
        <v>38</v>
      </c>
      <c r="G27" s="37"/>
    </row>
    <row r="28">
      <c r="A28" s="32" t="str">
        <f>HYPERLINK("http://www.lightoj.com/volume_showproblem.php?problem=1182","[LOJ 1182] Parity")</f>
        <v>[LOJ 1182] Parity</v>
      </c>
      <c r="B28" s="33">
        <f t="shared" si="2"/>
        <v>3</v>
      </c>
      <c r="C28" s="33"/>
      <c r="D28" s="34" t="s">
        <v>38</v>
      </c>
      <c r="E28" s="35" t="s">
        <v>38</v>
      </c>
      <c r="F28" s="38" t="s">
        <v>38</v>
      </c>
      <c r="G28" s="37"/>
    </row>
    <row r="29">
      <c r="A29" s="32" t="str">
        <f>HYPERLINK("http://www.lightoj.com/volume_showproblem.php?problem=1202","[LOJ 1202] Bishops")</f>
        <v>[LOJ 1202] Bishops</v>
      </c>
      <c r="B29" s="33">
        <f t="shared" si="2"/>
        <v>3</v>
      </c>
      <c r="C29" s="33"/>
      <c r="D29" s="34" t="s">
        <v>38</v>
      </c>
      <c r="E29" s="35" t="s">
        <v>38</v>
      </c>
      <c r="F29" s="38" t="s">
        <v>38</v>
      </c>
      <c r="G29" s="37"/>
    </row>
    <row r="30">
      <c r="A30" s="32" t="str">
        <f>HYPERLINK("http://www.lightoj.com/volume_showproblem.php?problem=1211","[LOJ 1211] Intersection of Cubes")</f>
        <v>[LOJ 1211] Intersection of Cubes</v>
      </c>
      <c r="B30" s="33">
        <f t="shared" si="2"/>
        <v>3</v>
      </c>
      <c r="C30" s="33"/>
      <c r="D30" s="34" t="s">
        <v>38</v>
      </c>
      <c r="E30" s="35" t="s">
        <v>38</v>
      </c>
      <c r="F30" s="38" t="s">
        <v>38</v>
      </c>
      <c r="G30" s="37"/>
    </row>
    <row r="31">
      <c r="A31" s="32" t="str">
        <f>HYPERLINK("http://www.lightoj.com/volume_showproblem.php?problem=1216","[LOJ 1216] Juice in the Glass")</f>
        <v>[LOJ 1216] Juice in the Glass</v>
      </c>
      <c r="B31" s="33">
        <f t="shared" si="2"/>
        <v>3</v>
      </c>
      <c r="C31" s="33"/>
      <c r="D31" s="34" t="s">
        <v>38</v>
      </c>
      <c r="E31" s="35" t="s">
        <v>38</v>
      </c>
      <c r="F31" s="38" t="s">
        <v>38</v>
      </c>
      <c r="G31" s="37"/>
    </row>
    <row r="32">
      <c r="A32" s="32" t="str">
        <f>HYPERLINK("http://www.lightoj.com/volume_showproblem.php?problem=1294","[LOJ 1294] Positive Negative Sign")</f>
        <v>[LOJ 1294] Positive Negative Sign</v>
      </c>
      <c r="B32" s="33">
        <f t="shared" si="2"/>
        <v>3</v>
      </c>
      <c r="C32" s="33"/>
      <c r="D32" s="34" t="s">
        <v>38</v>
      </c>
      <c r="E32" s="35" t="s">
        <v>38</v>
      </c>
      <c r="F32" s="38" t="s">
        <v>38</v>
      </c>
      <c r="G32" s="37"/>
    </row>
    <row r="33">
      <c r="A33" s="32" t="str">
        <f>HYPERLINK("http://www.lightoj.com/volume_showproblem.php?problem=1305","[LOJ 1305] Area of a Parallelogram")</f>
        <v>[LOJ 1305] Area of a Parallelogram</v>
      </c>
      <c r="B33" s="33">
        <f t="shared" si="2"/>
        <v>3</v>
      </c>
      <c r="C33" s="33"/>
      <c r="D33" s="34" t="s">
        <v>38</v>
      </c>
      <c r="E33" s="35" t="s">
        <v>38</v>
      </c>
      <c r="F33" s="38" t="s">
        <v>38</v>
      </c>
      <c r="G33" s="37"/>
    </row>
    <row r="34">
      <c r="A34" s="32" t="str">
        <f>HYPERLINK("http://www.lightoj.com/volume_showproblem.php?problem=1311","[LOJ 1311] Unlucky Bird")</f>
        <v>[LOJ 1311] Unlucky Bird</v>
      </c>
      <c r="B34" s="33">
        <f t="shared" si="2"/>
        <v>3</v>
      </c>
      <c r="C34" s="33"/>
      <c r="D34" s="34" t="s">
        <v>38</v>
      </c>
      <c r="E34" s="35" t="s">
        <v>38</v>
      </c>
      <c r="F34" s="38" t="s">
        <v>38</v>
      </c>
      <c r="G34" s="37"/>
    </row>
    <row r="35">
      <c r="A35" s="32" t="str">
        <f>HYPERLINK("http://www.lightoj.com/volume_showproblem.php?problem=1331","[LOJ 1331] Agent J")</f>
        <v>[LOJ 1331] Agent J</v>
      </c>
      <c r="B35" s="33">
        <f t="shared" si="2"/>
        <v>3</v>
      </c>
      <c r="C35" s="33"/>
      <c r="D35" s="34" t="s">
        <v>38</v>
      </c>
      <c r="E35" s="35" t="s">
        <v>38</v>
      </c>
      <c r="F35" s="38" t="s">
        <v>38</v>
      </c>
      <c r="G35" s="37"/>
    </row>
    <row r="36">
      <c r="A36" s="32" t="str">
        <f>HYPERLINK("http://www.lightoj.com/volume_showproblem.php?problem=1433","[LOJ 1433] Minimum Arc Distance")</f>
        <v>[LOJ 1433] Minimum Arc Distance</v>
      </c>
      <c r="B36" s="33">
        <f t="shared" si="2"/>
        <v>3</v>
      </c>
      <c r="C36" s="33"/>
      <c r="D36" s="34" t="s">
        <v>38</v>
      </c>
      <c r="E36" s="35" t="s">
        <v>38</v>
      </c>
      <c r="F36" s="38" t="s">
        <v>38</v>
      </c>
      <c r="G36" s="37"/>
    </row>
    <row r="37">
      <c r="A37" s="32" t="str">
        <f>HYPERLINK("https://uva.onlinejudge.org/index.php?option=com_onlinejudge&amp;Itemid=8&amp;category=3&amp;page=show_problem&amp;problem=36","[UVa 100] The 3n+1 Problem")</f>
        <v>[UVa 100] The 3n+1 Problem</v>
      </c>
      <c r="B37" s="33">
        <f t="shared" si="2"/>
        <v>3</v>
      </c>
      <c r="C37" s="33"/>
      <c r="D37" s="34" t="s">
        <v>38</v>
      </c>
      <c r="E37" s="35" t="s">
        <v>38</v>
      </c>
      <c r="F37" s="38" t="s">
        <v>38</v>
      </c>
      <c r="G37" s="37"/>
    </row>
    <row r="38">
      <c r="A38" s="32" t="str">
        <f>HYPERLINK("http://acm.timus.ru/problem.aspx?num=1001","[Timus 1001] Reverse Root")</f>
        <v>[Timus 1001] Reverse Root</v>
      </c>
      <c r="B38" s="33">
        <f t="shared" si="2"/>
        <v>3</v>
      </c>
      <c r="C38" s="33"/>
      <c r="D38" s="34" t="s">
        <v>38</v>
      </c>
      <c r="E38" s="35" t="s">
        <v>38</v>
      </c>
      <c r="F38" s="38" t="s">
        <v>38</v>
      </c>
      <c r="G38" s="37"/>
    </row>
    <row r="39">
      <c r="A39" s="32" t="str">
        <f>HYPERLINK("http://acm.timus.ru/problem.aspx?num=1014","[Timus 1014] Product of Digits")</f>
        <v>[Timus 1014] Product of Digits</v>
      </c>
      <c r="B39" s="33">
        <f t="shared" si="2"/>
        <v>3</v>
      </c>
      <c r="C39" s="33"/>
      <c r="D39" s="34" t="s">
        <v>38</v>
      </c>
      <c r="E39" s="35" t="s">
        <v>38</v>
      </c>
      <c r="F39" s="38" t="s">
        <v>38</v>
      </c>
      <c r="G39" s="37"/>
    </row>
    <row r="40">
      <c r="A40" s="32" t="str">
        <f>HYPERLINK("http://acm.timus.ru/problem.aspx?num=1020","[Timus 1020] Rope")</f>
        <v>[Timus 1020] Rope</v>
      </c>
      <c r="B40" s="33">
        <f t="shared" si="2"/>
        <v>3</v>
      </c>
      <c r="C40" s="33"/>
      <c r="D40" s="34" t="s">
        <v>38</v>
      </c>
      <c r="E40" s="35" t="s">
        <v>38</v>
      </c>
      <c r="F40" s="38" t="s">
        <v>38</v>
      </c>
      <c r="G40" s="37"/>
    </row>
    <row r="41">
      <c r="A41" s="32" t="str">
        <f>HYPERLINK("http://acm.timus.ru/problem.aspx?num=1025","[Timus 1025] Democracy in Danger")</f>
        <v>[Timus 1025] Democracy in Danger</v>
      </c>
      <c r="B41" s="33">
        <f t="shared" si="2"/>
        <v>3</v>
      </c>
      <c r="C41" s="33"/>
      <c r="D41" s="34" t="s">
        <v>38</v>
      </c>
      <c r="E41" s="35" t="s">
        <v>38</v>
      </c>
      <c r="F41" s="38" t="s">
        <v>38</v>
      </c>
      <c r="G41" s="37"/>
    </row>
    <row r="42">
      <c r="A42" s="32" t="str">
        <f>HYPERLINK("http://acm.timus.ru/problem.aspx?num=1044","[Timus 1044] Lucky Tickets. Easy!")</f>
        <v>[Timus 1044] Lucky Tickets. Easy!</v>
      </c>
      <c r="B42" s="33">
        <f t="shared" si="2"/>
        <v>3</v>
      </c>
      <c r="C42" s="33"/>
      <c r="D42" s="34" t="s">
        <v>38</v>
      </c>
      <c r="E42" s="35" t="s">
        <v>38</v>
      </c>
      <c r="F42" s="38" t="s">
        <v>38</v>
      </c>
      <c r="G42" s="37"/>
    </row>
    <row r="43">
      <c r="A43" s="32" t="str">
        <f>HYPERLINK("http://acm.timus.ru/problem.aspx?num=1079","[Timus 1079] Maximum")</f>
        <v>[Timus 1079] Maximum</v>
      </c>
      <c r="B43" s="33">
        <f t="shared" si="2"/>
        <v>3</v>
      </c>
      <c r="C43" s="33"/>
      <c r="D43" s="34" t="s">
        <v>38</v>
      </c>
      <c r="E43" s="35" t="s">
        <v>38</v>
      </c>
      <c r="F43" s="38" t="s">
        <v>38</v>
      </c>
      <c r="G43" s="37"/>
    </row>
    <row r="44">
      <c r="A44" s="32" t="str">
        <f>HYPERLINK("http://acm.timus.ru/problem.aspx?num=1197","[Timus 1197] Lonesome Knight")</f>
        <v>[Timus 1197] Lonesome Knight</v>
      </c>
      <c r="B44" s="33">
        <f t="shared" si="2"/>
        <v>3</v>
      </c>
      <c r="C44" s="33"/>
      <c r="D44" s="34" t="s">
        <v>38</v>
      </c>
      <c r="E44" s="35" t="s">
        <v>38</v>
      </c>
      <c r="F44" s="38" t="s">
        <v>38</v>
      </c>
      <c r="G44" s="37"/>
    </row>
    <row r="45">
      <c r="A45" s="32" t="str">
        <f>HYPERLINK("http://acm.timus.ru/problem.aspx?num=1313","[Timus 1313] Some Words About Sport")</f>
        <v>[Timus 1313] Some Words About Sport</v>
      </c>
      <c r="B45" s="33">
        <f t="shared" si="2"/>
        <v>3</v>
      </c>
      <c r="C45" s="33"/>
      <c r="D45" s="34" t="s">
        <v>38</v>
      </c>
      <c r="E45" s="35" t="s">
        <v>38</v>
      </c>
      <c r="F45" s="38" t="s">
        <v>38</v>
      </c>
      <c r="G45" s="37"/>
    </row>
    <row r="46">
      <c r="A46" s="32" t="str">
        <f>HYPERLINK("http://acm.timus.ru/problem.aspx?num=1319","[Timus 1319] Hotel")</f>
        <v>[Timus 1319] Hotel</v>
      </c>
      <c r="B46" s="33">
        <f t="shared" si="2"/>
        <v>3</v>
      </c>
      <c r="C46" s="33"/>
      <c r="D46" s="34" t="s">
        <v>38</v>
      </c>
      <c r="E46" s="35" t="s">
        <v>38</v>
      </c>
      <c r="F46" s="38" t="s">
        <v>38</v>
      </c>
      <c r="G46" s="37"/>
    </row>
    <row r="47">
      <c r="A47" s="32" t="str">
        <f>HYPERLINK("http://www.lightoj.com/volume_showproblem.php?problem=1006","[LOJ 1006] Hex-a-Bonacci")</f>
        <v>[LOJ 1006] Hex-a-Bonacci</v>
      </c>
      <c r="B47" s="33">
        <f t="shared" si="2"/>
        <v>3</v>
      </c>
      <c r="C47" s="33"/>
      <c r="D47" s="34" t="s">
        <v>38</v>
      </c>
      <c r="E47" s="35" t="s">
        <v>38</v>
      </c>
      <c r="F47" s="38" t="s">
        <v>38</v>
      </c>
      <c r="G47" s="37"/>
    </row>
    <row r="48">
      <c r="A48" s="32" t="str">
        <f>HYPERLINK("http://www.lightoj.com/volume_showproblem.php?problem=1045","[LOJ 1045] Digits of Factorial")</f>
        <v>[LOJ 1045] Digits of Factorial</v>
      </c>
      <c r="B48" s="33">
        <f t="shared" si="2"/>
        <v>3</v>
      </c>
      <c r="C48" s="33"/>
      <c r="D48" s="34" t="s">
        <v>38</v>
      </c>
      <c r="E48" s="35" t="s">
        <v>38</v>
      </c>
      <c r="F48" s="38" t="s">
        <v>38</v>
      </c>
      <c r="G48" s="37"/>
    </row>
    <row r="49">
      <c r="A49" s="32" t="str">
        <f>HYPERLINK("http://www.lightoj.com/volume_showproblem.php?problem=1109","[LOJ 1109] False Ordering")</f>
        <v>[LOJ 1109] False Ordering</v>
      </c>
      <c r="B49" s="33">
        <f t="shared" si="2"/>
        <v>3</v>
      </c>
      <c r="C49" s="33"/>
      <c r="D49" s="34" t="s">
        <v>38</v>
      </c>
      <c r="E49" s="35" t="s">
        <v>38</v>
      </c>
      <c r="F49" s="38" t="s">
        <v>38</v>
      </c>
      <c r="G49" s="37"/>
    </row>
    <row r="50">
      <c r="A50" s="32" t="str">
        <f>HYPERLINK("http://www.lightoj.com/volume_showproblem.php?problem=1113","[LOJ 1113] Discover the Web")</f>
        <v>[LOJ 1113] Discover the Web</v>
      </c>
      <c r="B50" s="33">
        <f t="shared" si="2"/>
        <v>3</v>
      </c>
      <c r="C50" s="33"/>
      <c r="D50" s="34" t="s">
        <v>38</v>
      </c>
      <c r="E50" s="35" t="s">
        <v>38</v>
      </c>
      <c r="F50" s="38" t="s">
        <v>38</v>
      </c>
      <c r="G50" s="37"/>
    </row>
    <row r="51">
      <c r="A51" s="32" t="str">
        <f>HYPERLINK("http://www.lightoj.com/volume_showproblem.php?problem=1133","[LOJ 1133] Array Simulation")</f>
        <v>[LOJ 1133] Array Simulation</v>
      </c>
      <c r="B51" s="33">
        <f t="shared" si="2"/>
        <v>3</v>
      </c>
      <c r="C51" s="33"/>
      <c r="D51" s="34" t="s">
        <v>38</v>
      </c>
      <c r="E51" s="35" t="s">
        <v>38</v>
      </c>
      <c r="F51" s="38" t="s">
        <v>38</v>
      </c>
      <c r="G51" s="37"/>
    </row>
    <row r="52">
      <c r="A52" s="32" t="str">
        <f>HYPERLINK("http://www.lightoj.com/volume_showproblem.php?problem=1214","[LOJ 1214] Large Division")</f>
        <v>[LOJ 1214] Large Division</v>
      </c>
      <c r="B52" s="33">
        <f t="shared" si="2"/>
        <v>3</v>
      </c>
      <c r="C52" s="33"/>
      <c r="D52" s="34" t="s">
        <v>38</v>
      </c>
      <c r="E52" s="35" t="s">
        <v>38</v>
      </c>
      <c r="F52" s="38" t="s">
        <v>38</v>
      </c>
      <c r="G52" s="37"/>
    </row>
    <row r="53">
      <c r="A53" s="32" t="str">
        <f>HYPERLINK("http://www.lightoj.com/volume_showproblem.php?problem=1225","[LOJ 1225] Palindromic Numbers (II)")</f>
        <v>[LOJ 1225] Palindromic Numbers (II)</v>
      </c>
      <c r="B53" s="33">
        <f t="shared" si="2"/>
        <v>3</v>
      </c>
      <c r="C53" s="33"/>
      <c r="D53" s="34" t="s">
        <v>38</v>
      </c>
      <c r="E53" s="35" t="s">
        <v>38</v>
      </c>
      <c r="F53" s="38" t="s">
        <v>38</v>
      </c>
      <c r="G53" s="37"/>
    </row>
    <row r="54">
      <c r="A54" s="32" t="str">
        <f>HYPERLINK("http://www.lightoj.com/volume_showproblem.php?problem=1227","[LOJ 1227] Boiled Eggs")</f>
        <v>[LOJ 1227] Boiled Eggs</v>
      </c>
      <c r="B54" s="33">
        <f t="shared" si="2"/>
        <v>3</v>
      </c>
      <c r="C54" s="33"/>
      <c r="D54" s="34" t="s">
        <v>38</v>
      </c>
      <c r="E54" s="35" t="s">
        <v>38</v>
      </c>
      <c r="F54" s="38" t="s">
        <v>38</v>
      </c>
      <c r="G54" s="37"/>
    </row>
    <row r="55">
      <c r="A55" s="32" t="str">
        <f>HYPERLINK("http://www.lightoj.com/volume_showproblem.php?problem=1241","[LOJ 1241] Pinocchio")</f>
        <v>[LOJ 1241] Pinocchio</v>
      </c>
      <c r="B55" s="33">
        <f t="shared" si="2"/>
        <v>3</v>
      </c>
      <c r="C55" s="33"/>
      <c r="D55" s="34" t="s">
        <v>38</v>
      </c>
      <c r="E55" s="35" t="s">
        <v>38</v>
      </c>
      <c r="F55" s="38" t="s">
        <v>38</v>
      </c>
      <c r="G55" s="37"/>
    </row>
    <row r="56">
      <c r="A56" s="32" t="str">
        <f>HYPERLINK("http://www.lightoj.com/volume_showproblem.php?problem=1249","[LOJ 1249] Chocolate Thief")</f>
        <v>[LOJ 1249] Chocolate Thief</v>
      </c>
      <c r="B56" s="33">
        <f t="shared" si="2"/>
        <v>3</v>
      </c>
      <c r="C56" s="33"/>
      <c r="D56" s="34" t="s">
        <v>38</v>
      </c>
      <c r="E56" s="35" t="s">
        <v>38</v>
      </c>
      <c r="F56" s="38" t="s">
        <v>38</v>
      </c>
      <c r="G56" s="37"/>
    </row>
    <row r="57">
      <c r="A57" s="32" t="str">
        <f>HYPERLINK("http://www.lightoj.com/volume_showproblem.php?problem=1261","[LOJ 1261] K-SAT Problem")</f>
        <v>[LOJ 1261] K-SAT Problem</v>
      </c>
      <c r="B57" s="33">
        <f t="shared" si="2"/>
        <v>3</v>
      </c>
      <c r="C57" s="33"/>
      <c r="D57" s="34" t="s">
        <v>38</v>
      </c>
      <c r="E57" s="12" t="s">
        <v>38</v>
      </c>
      <c r="F57" s="38" t="s">
        <v>38</v>
      </c>
      <c r="G57" s="7"/>
    </row>
    <row r="58">
      <c r="A58" s="32" t="str">
        <f>HYPERLINK("http://www.lightoj.com/volume_showproblem.php?problem=1338","[LOJ 1338] Hidden Secret!")</f>
        <v>[LOJ 1338] Hidden Secret!</v>
      </c>
      <c r="B58" s="33">
        <f t="shared" si="2"/>
        <v>3</v>
      </c>
      <c r="C58" s="33"/>
      <c r="D58" s="34" t="s">
        <v>38</v>
      </c>
      <c r="E58" s="35" t="s">
        <v>38</v>
      </c>
      <c r="F58" s="38" t="s">
        <v>38</v>
      </c>
      <c r="G58" s="37"/>
    </row>
    <row r="59">
      <c r="A59" s="32" t="str">
        <f>HYPERLINK("http://www.lightoj.com/volume_showproblem.php?problem=1354","[LOJ 1354] IP Checking")</f>
        <v>[LOJ 1354] IP Checking</v>
      </c>
      <c r="B59" s="33">
        <f t="shared" si="2"/>
        <v>3</v>
      </c>
      <c r="C59" s="33"/>
      <c r="D59" s="34" t="s">
        <v>38</v>
      </c>
      <c r="E59" s="35" t="s">
        <v>38</v>
      </c>
      <c r="F59" s="38" t="s">
        <v>38</v>
      </c>
      <c r="G59" s="37"/>
    </row>
    <row r="60">
      <c r="A60" s="32" t="str">
        <f>HYPERLINK("http://www.lightoj.com/volume_showproblem.php?problem=1387","[LOJ 1387] Setu")</f>
        <v>[LOJ 1387] Setu</v>
      </c>
      <c r="B60" s="33">
        <f t="shared" si="2"/>
        <v>3</v>
      </c>
      <c r="C60" s="33"/>
      <c r="D60" s="34" t="s">
        <v>38</v>
      </c>
      <c r="E60" s="35" t="s">
        <v>38</v>
      </c>
      <c r="F60" s="38" t="s">
        <v>38</v>
      </c>
      <c r="G60" s="37"/>
    </row>
    <row r="61">
      <c r="A61" s="32" t="str">
        <f>HYPERLINK("https://uva.onlinejudge.org/index.php?option=com_onlinejudge&amp;Itemid=8&amp;category=18&amp;page=show_problem&amp;problem=1552","[UVa 10611] The Playboy Chimp")</f>
        <v>[UVa 10611] The Playboy Chimp</v>
      </c>
      <c r="B61" s="33">
        <f t="shared" si="2"/>
        <v>3</v>
      </c>
      <c r="C61" s="33"/>
      <c r="D61" s="34" t="s">
        <v>38</v>
      </c>
      <c r="E61" s="35" t="s">
        <v>38</v>
      </c>
      <c r="F61" s="38" t="s">
        <v>38</v>
      </c>
      <c r="G61" s="37"/>
    </row>
    <row r="62">
      <c r="A62" s="32" t="str">
        <f>HYPERLINK("http://www.lightoj.com/volume_showproblem.php?problem=1414","[LOJ 1414] February 29")</f>
        <v>[LOJ 1414] February 29</v>
      </c>
      <c r="B62" s="33">
        <f t="shared" si="2"/>
        <v>3</v>
      </c>
      <c r="C62" s="33"/>
      <c r="D62" s="34" t="s">
        <v>38</v>
      </c>
      <c r="E62" s="35" t="s">
        <v>38</v>
      </c>
      <c r="F62" s="38" t="s">
        <v>38</v>
      </c>
      <c r="G62" s="37"/>
    </row>
    <row r="63" ht="9.0" customHeight="1">
      <c r="A63" s="32" t="str">
        <f>HYPERLINK("http://acm.timus.ru/problem.aspx?space=1&amp;num=1005","[Timus 1005] Stone Pile")</f>
        <v>[Timus 1005] Stone Pile</v>
      </c>
      <c r="B63" s="33">
        <f t="shared" si="2"/>
        <v>3</v>
      </c>
      <c r="C63" s="33"/>
      <c r="D63" s="34" t="s">
        <v>38</v>
      </c>
      <c r="E63" s="35" t="s">
        <v>38</v>
      </c>
      <c r="F63" s="38" t="s">
        <v>38</v>
      </c>
      <c r="G63" s="37"/>
    </row>
    <row r="64" ht="10.5" customHeight="1">
      <c r="A64" s="32" t="str">
        <f>HYPERLINK("http://acm.timus.ru/problem.aspx?space=1&amp;num=1082","[Timus 1082] Gaby Ivanushka")</f>
        <v>[Timus 1082] Gaby Ivanushka</v>
      </c>
      <c r="B64" s="33">
        <f t="shared" si="2"/>
        <v>3</v>
      </c>
      <c r="C64" s="33"/>
      <c r="D64" s="34" t="s">
        <v>38</v>
      </c>
      <c r="E64" s="35" t="s">
        <v>38</v>
      </c>
      <c r="F64" s="38" t="s">
        <v>38</v>
      </c>
      <c r="G64" s="37"/>
    </row>
    <row r="65" ht="13.5" customHeight="1">
      <c r="A65" s="32" t="str">
        <f>HYPERLINK("http://www.lightoj.com/volume_showproblem.php?problem=1042","[LOJ 1042] Secret Origins")</f>
        <v>[LOJ 1042] Secret Origins</v>
      </c>
      <c r="B65" s="33">
        <f t="shared" si="2"/>
        <v>3</v>
      </c>
      <c r="C65" s="33"/>
      <c r="D65" s="34" t="s">
        <v>38</v>
      </c>
      <c r="E65" s="35" t="s">
        <v>38</v>
      </c>
      <c r="F65" s="38" t="s">
        <v>38</v>
      </c>
      <c r="G65" s="37"/>
    </row>
    <row r="66">
      <c r="A66" s="32" t="str">
        <f>HYPERLINK("http://lightoj.com/volume_showproblem.php?problem=1189","[LOJ 1189] Sum of Factorials")</f>
        <v>[LOJ 1189] Sum of Factorials</v>
      </c>
      <c r="B66" s="33">
        <f t="shared" si="2"/>
        <v>3</v>
      </c>
      <c r="C66" s="33"/>
      <c r="D66" s="34" t="s">
        <v>38</v>
      </c>
      <c r="E66" s="35" t="s">
        <v>38</v>
      </c>
      <c r="F66" s="38" t="s">
        <v>38</v>
      </c>
      <c r="G66" s="37"/>
    </row>
    <row r="67">
      <c r="A67" s="32" t="str">
        <f>HYPERLINK("http://acm.timus.ru/problem.aspx?space=1&amp;num=1149","[Timus 1149] Sinus Dances")</f>
        <v>[Timus 1149] Sinus Dances</v>
      </c>
      <c r="B67" s="33">
        <f t="shared" si="2"/>
        <v>3</v>
      </c>
      <c r="C67" s="33"/>
      <c r="D67" s="34" t="s">
        <v>38</v>
      </c>
      <c r="E67" s="35" t="s">
        <v>38</v>
      </c>
      <c r="F67" s="38" t="s">
        <v>38</v>
      </c>
      <c r="G67" s="37"/>
    </row>
    <row r="68">
      <c r="A68" s="32" t="str">
        <f>HYPERLINK("https://uva.onlinejudge.org/index.php?option=com_onlinejudge&amp;Itemid=8&amp;page=show_problem&amp;problem=208","[UVa 272] Tex Quotes")</f>
        <v>[UVa 272] Tex Quotes</v>
      </c>
      <c r="B68" s="33">
        <f t="shared" si="2"/>
        <v>3</v>
      </c>
      <c r="C68" s="33"/>
      <c r="D68" s="34" t="s">
        <v>38</v>
      </c>
      <c r="E68" s="35" t="s">
        <v>38</v>
      </c>
      <c r="F68" s="38" t="s">
        <v>38</v>
      </c>
      <c r="G68" s="37"/>
    </row>
    <row r="69">
      <c r="A69" s="32" t="str">
        <f>HYPERLINK("https://uva.onlinejudge.org/index.php?option=onlinejudge&amp;page=show_problem&amp;problem=330","[UVa 394] Mapmaker")</f>
        <v>[UVa 394] Mapmaker</v>
      </c>
      <c r="B69" s="33">
        <f t="shared" si="2"/>
        <v>3</v>
      </c>
      <c r="C69" s="33"/>
      <c r="D69" s="34" t="s">
        <v>38</v>
      </c>
      <c r="E69" s="35" t="s">
        <v>38</v>
      </c>
      <c r="F69" s="45" t="s">
        <v>38</v>
      </c>
      <c r="G69" s="37"/>
    </row>
    <row r="70">
      <c r="A70" s="32" t="str">
        <f>HYPERLINK("https://uva.onlinejudge.org/index.php?option=com_onlinejudge&amp;Itemid=8&amp;page=show_problem&amp;problem=424","[UVa 483] Word Scramble")</f>
        <v>[UVa 483] Word Scramble</v>
      </c>
      <c r="B70" s="33">
        <f t="shared" si="2"/>
        <v>3</v>
      </c>
      <c r="C70" s="33"/>
      <c r="D70" s="34" t="s">
        <v>38</v>
      </c>
      <c r="E70" s="35" t="s">
        <v>38</v>
      </c>
      <c r="F70" s="38" t="s">
        <v>38</v>
      </c>
      <c r="G70" s="37"/>
    </row>
    <row r="71">
      <c r="A71" s="32" t="str">
        <f>HYPERLINK("https://uva.onlinejudge.org/index.php?option=onlinejudge&amp;page=show_problem&amp;problem=514","[UVa 573] The Snail")</f>
        <v>[UVa 573] The Snail</v>
      </c>
      <c r="B71" s="33">
        <f t="shared" si="2"/>
        <v>3</v>
      </c>
      <c r="C71" s="33"/>
      <c r="D71" s="34" t="s">
        <v>38</v>
      </c>
      <c r="E71" s="35" t="s">
        <v>38</v>
      </c>
      <c r="F71" s="38" t="s">
        <v>38</v>
      </c>
      <c r="G71" s="37"/>
    </row>
    <row r="72">
      <c r="A72" s="32" t="str">
        <f>HYPERLINK("https://uva.onlinejudge.org/index.php?option=onlinejudge&amp;page=show_problem&amp;problem=602","[UVa 661] Blowing Fuses")</f>
        <v>[UVa 661] Blowing Fuses</v>
      </c>
      <c r="B72" s="33">
        <f t="shared" si="2"/>
        <v>3</v>
      </c>
      <c r="C72" s="33"/>
      <c r="D72" s="34" t="s">
        <v>38</v>
      </c>
      <c r="E72" s="35" t="s">
        <v>38</v>
      </c>
      <c r="F72" s="38" t="s">
        <v>38</v>
      </c>
      <c r="G72" s="37"/>
    </row>
    <row r="73">
      <c r="A73" s="32" t="str">
        <f>HYPERLINK("https://uva.onlinejudge.org/index.php?option=onlinejudge&amp;page=show_problem&amp;problem=680","[UVa 739] Soundex Indexing")</f>
        <v>[UVa 739] Soundex Indexing</v>
      </c>
      <c r="B73" s="33">
        <f t="shared" si="2"/>
        <v>3</v>
      </c>
      <c r="C73" s="33"/>
      <c r="D73" s="34" t="s">
        <v>38</v>
      </c>
      <c r="E73" s="35" t="s">
        <v>38</v>
      </c>
      <c r="F73" s="38" t="s">
        <v>38</v>
      </c>
      <c r="G73" s="37"/>
    </row>
    <row r="74">
      <c r="A74" s="32" t="str">
        <f>HYPERLINK("https://uva.onlinejudge.org/index.php?option=com_onlinejudge&amp;Itemid=8&amp;page=show_problem&amp;problem=778","[UVa 837] Light and Transparencies")</f>
        <v>[UVa 837] Light and Transparencies</v>
      </c>
      <c r="B74" s="33">
        <f t="shared" si="2"/>
        <v>3</v>
      </c>
      <c r="C74" s="33"/>
      <c r="D74" s="34" t="s">
        <v>38</v>
      </c>
      <c r="E74" s="12" t="s">
        <v>38</v>
      </c>
      <c r="F74" s="45" t="s">
        <v>38</v>
      </c>
      <c r="G74" s="7"/>
    </row>
    <row r="75">
      <c r="A75" s="32" t="str">
        <f>HYPERLINK("https://uva.onlinejudge.org/index.php?option=onlinejudge&amp;page=show_problem&amp;problem=882","[UVa 941] Permutations")</f>
        <v>[UVa 941] Permutations</v>
      </c>
      <c r="B75" s="33">
        <f t="shared" si="2"/>
        <v>3</v>
      </c>
      <c r="C75" s="33"/>
      <c r="D75" s="34" t="s">
        <v>38</v>
      </c>
      <c r="E75" s="12" t="s">
        <v>38</v>
      </c>
      <c r="F75" s="38" t="s">
        <v>38</v>
      </c>
      <c r="G75" s="7"/>
    </row>
    <row r="76">
      <c r="A76" s="32" t="str">
        <f>HYPERLINK("https://uva.onlinejudge.org/index.php?option=com_onlinejudge&amp;Itemid=8&amp;phttps://uva.onlinejudge.org/index.php?option=com_onlinejudge&amp;Itemid=8&amp;page=show_problem&amp;problem=1023age=show_problem&amp;problem=1023","[UVa 10082] WERTYU")</f>
        <v>[UVa 10082] WERTYU</v>
      </c>
      <c r="B76" s="33">
        <f t="shared" si="2"/>
        <v>3</v>
      </c>
      <c r="C76" s="33"/>
      <c r="D76" s="34" t="s">
        <v>38</v>
      </c>
      <c r="E76" s="35" t="s">
        <v>38</v>
      </c>
      <c r="F76" s="38" t="s">
        <v>38</v>
      </c>
      <c r="G76" s="37"/>
    </row>
    <row r="77">
      <c r="A77" s="32" t="str">
        <f>HYPERLINK("https://uva.onlinejudge.org/index.php?option=com_onlinejudge&amp;Itemid=8&amp;page=show_problem&amp;problem=1082","[UVa 10141] Request for Proposal")</f>
        <v>[UVa 10141] Request for Proposal</v>
      </c>
      <c r="B77" s="33">
        <f t="shared" si="2"/>
        <v>3</v>
      </c>
      <c r="C77" s="33"/>
      <c r="D77" s="34" t="s">
        <v>38</v>
      </c>
      <c r="E77" s="35" t="s">
        <v>38</v>
      </c>
      <c r="F77" s="38" t="s">
        <v>38</v>
      </c>
      <c r="G77" s="37"/>
    </row>
    <row r="78">
      <c r="A78" s="32" t="str">
        <f>HYPERLINK("https://uva.onlinejudge.org/index.php?option=onlinejudge&amp;page=show_problem&amp;problem=1222","[UVa 10281] Average Speed")</f>
        <v>[UVa 10281] Average Speed</v>
      </c>
      <c r="B78" s="33">
        <f t="shared" si="2"/>
        <v>3</v>
      </c>
      <c r="C78" s="33"/>
      <c r="D78" s="34" t="s">
        <v>38</v>
      </c>
      <c r="E78" s="35" t="s">
        <v>38</v>
      </c>
      <c r="F78" s="38" t="s">
        <v>38</v>
      </c>
      <c r="G78" s="46"/>
    </row>
    <row r="79">
      <c r="A79" s="32" t="str">
        <f>HYPERLINK("https://uva.onlinejudge.org/index.php?option=onlinejudge&amp;page=show_problem&amp;problem=1304","[UVa 10363] Tic Tac Toe")</f>
        <v>[UVa 10363] Tic Tac Toe</v>
      </c>
      <c r="B79" s="33">
        <f t="shared" si="2"/>
        <v>3</v>
      </c>
      <c r="C79" s="33"/>
      <c r="D79" s="34" t="s">
        <v>38</v>
      </c>
      <c r="E79" s="35" t="s">
        <v>38</v>
      </c>
      <c r="F79" s="38" t="s">
        <v>38</v>
      </c>
      <c r="G79" s="37"/>
    </row>
    <row r="80">
      <c r="A80" s="32" t="str">
        <f>HYPERLINK("https://uva.onlinejudge.org/index.php?option=onlinejudge&amp;page=show_problem&amp;problem=1361","[UVa 10420] List of Conquests")</f>
        <v>[UVa 10420] List of Conquests</v>
      </c>
      <c r="B80" s="33">
        <f t="shared" si="2"/>
        <v>3</v>
      </c>
      <c r="C80" s="33"/>
      <c r="D80" s="34" t="s">
        <v>38</v>
      </c>
      <c r="E80" s="35" t="s">
        <v>38</v>
      </c>
      <c r="F80" s="38" t="s">
        <v>38</v>
      </c>
      <c r="G80" s="37"/>
    </row>
    <row r="81">
      <c r="A81" s="32" t="str">
        <f>HYPERLINK("https://uva.onlinejudge.org/index.php?option=com_onlinejudge&amp;Itemid=8&amp;page=show_problem&amp;problem=1469","[UVa 10528] Major Scales")</f>
        <v>[UVa 10528] Major Scales</v>
      </c>
      <c r="B81" s="33">
        <f t="shared" si="2"/>
        <v>3</v>
      </c>
      <c r="C81" s="33"/>
      <c r="D81" s="34" t="s">
        <v>38</v>
      </c>
      <c r="E81" s="12" t="s">
        <v>38</v>
      </c>
      <c r="F81" s="45" t="s">
        <v>38</v>
      </c>
      <c r="G81" s="7"/>
    </row>
    <row r="82">
      <c r="A82" s="32" t="str">
        <f>HYPERLINK("https://uva.onlinejudge.org/index.php?option=onlinejudge&amp;page=show_problem&amp;problem=1624","[UVa 10683] The Decadary Watch")</f>
        <v>[UVa 10683] The Decadary Watch</v>
      </c>
      <c r="B82" s="33">
        <f t="shared" si="2"/>
        <v>3</v>
      </c>
      <c r="C82" s="33"/>
      <c r="D82" s="34" t="s">
        <v>38</v>
      </c>
      <c r="E82" s="35" t="s">
        <v>38</v>
      </c>
      <c r="F82" s="38" t="s">
        <v>38</v>
      </c>
      <c r="G82" s="37"/>
    </row>
    <row r="83">
      <c r="A83" s="32" t="str">
        <f>HYPERLINK("https://uva.onlinejudge.org/index.php?option=onlinejudge&amp;page=show_problem&amp;problem=1644","[UVa 10703] Free Spots")</f>
        <v>[UVa 10703] Free Spots</v>
      </c>
      <c r="B83" s="33">
        <f t="shared" si="2"/>
        <v>3</v>
      </c>
      <c r="C83" s="33"/>
      <c r="D83" s="34" t="s">
        <v>38</v>
      </c>
      <c r="E83" s="35" t="s">
        <v>38</v>
      </c>
      <c r="F83" s="38" t="s">
        <v>38</v>
      </c>
      <c r="G83" s="37"/>
    </row>
    <row r="84">
      <c r="A84" s="32" t="str">
        <f>HYPERLINK("https://uva.onlinejudge.org/index.php?option=onlinejudge&amp;page=show_problem&amp;problem=1753","[UVa 10812] Beat the Spread!")</f>
        <v>[UVa 10812] Beat the Spread!</v>
      </c>
      <c r="B84" s="33">
        <f t="shared" si="2"/>
        <v>3</v>
      </c>
      <c r="C84" s="33"/>
      <c r="D84" s="34" t="s">
        <v>38</v>
      </c>
      <c r="E84" s="35" t="s">
        <v>38</v>
      </c>
      <c r="F84" s="38" t="s">
        <v>38</v>
      </c>
      <c r="G84" s="37"/>
    </row>
    <row r="85">
      <c r="A85" s="32" t="str">
        <f>HYPERLINK("https://uva.onlinejudge.org/index.php?option=onlinejudge&amp;page=show_problem&amp;problem=1862","[UVa 10921] Find the Telephone")</f>
        <v>[UVa 10921] Find the Telephone</v>
      </c>
      <c r="B85" s="33">
        <f t="shared" si="2"/>
        <v>3</v>
      </c>
      <c r="C85" s="33"/>
      <c r="D85" s="34" t="s">
        <v>38</v>
      </c>
      <c r="E85" s="35" t="s">
        <v>38</v>
      </c>
      <c r="F85" s="38" t="s">
        <v>38</v>
      </c>
      <c r="G85" s="37"/>
    </row>
    <row r="86">
      <c r="A86" s="32" t="str">
        <f>HYPERLINK("https://uva.onlinejudge.org/index.php?option=onlinejudge&amp;page=show_problem&amp;problem=1985","[UVa 11044] Searching for Nessy")</f>
        <v>[UVa 11044] Searching for Nessy</v>
      </c>
      <c r="B86" s="33">
        <f t="shared" si="2"/>
        <v>3</v>
      </c>
      <c r="C86" s="33"/>
      <c r="D86" s="34" t="s">
        <v>38</v>
      </c>
      <c r="E86" s="35" t="s">
        <v>38</v>
      </c>
      <c r="F86" s="38" t="s">
        <v>38</v>
      </c>
      <c r="G86" s="37"/>
    </row>
    <row r="87">
      <c r="A87" s="32" t="str">
        <f>HYPERLINK("https://uva.onlinejudge.org/index.php?option=onlinejudge&amp;page=show_problem&amp;problem=2091","[UVa 11150] Cola")</f>
        <v>[UVa 11150] Cola</v>
      </c>
      <c r="B87" s="33">
        <f t="shared" si="2"/>
        <v>3</v>
      </c>
      <c r="C87" s="33"/>
      <c r="D87" s="34" t="s">
        <v>38</v>
      </c>
      <c r="E87" s="35" t="s">
        <v>38</v>
      </c>
      <c r="F87" s="38" t="s">
        <v>38</v>
      </c>
      <c r="G87" s="39" t="s">
        <v>126</v>
      </c>
    </row>
    <row r="88">
      <c r="A88" s="32" t="str">
        <f>HYPERLINK("https://uva.onlinejudge.org/index.php?option=onlinejudge&amp;page=show_problem&amp;problem=2164","[UVa 11223] O: Dah Dah Dah!")</f>
        <v>[UVa 11223] O: Dah Dah Dah!</v>
      </c>
      <c r="B88" s="33">
        <f t="shared" si="2"/>
        <v>3</v>
      </c>
      <c r="C88" s="33"/>
      <c r="D88" s="34" t="s">
        <v>38</v>
      </c>
      <c r="E88" s="35" t="s">
        <v>38</v>
      </c>
      <c r="F88" s="38" t="s">
        <v>38</v>
      </c>
      <c r="G88" s="37"/>
    </row>
    <row r="89">
      <c r="A89" s="32" t="str">
        <f>HYPERLINK("https://uva.onlinejudge.org/index.php?option=onlinejudge&amp;page=show_problem&amp;problem=2315","[UVa 11340] Newspaper")</f>
        <v>[UVa 11340] Newspaper</v>
      </c>
      <c r="B89" s="33">
        <f t="shared" si="2"/>
        <v>3</v>
      </c>
      <c r="C89" s="33"/>
      <c r="D89" s="34" t="s">
        <v>38</v>
      </c>
      <c r="E89" s="35" t="s">
        <v>38</v>
      </c>
      <c r="F89" s="38" t="s">
        <v>38</v>
      </c>
      <c r="G89" s="37"/>
    </row>
    <row r="90">
      <c r="A90" s="32" t="str">
        <f>HYPERLINK("https://uva.onlinejudge.org/index.php?option=onlinejudge&amp;page=show_problem&amp;problem=2493","[UVa 11498] Division of nlogonia")</f>
        <v>[UVa 11498] Division of nlogonia</v>
      </c>
      <c r="B90" s="33">
        <f t="shared" si="2"/>
        <v>3</v>
      </c>
      <c r="C90" s="33"/>
      <c r="D90" s="34" t="s">
        <v>38</v>
      </c>
      <c r="E90" s="35" t="s">
        <v>38</v>
      </c>
      <c r="F90" s="38" t="s">
        <v>38</v>
      </c>
      <c r="G90" s="37"/>
    </row>
    <row r="91">
      <c r="A91" s="32" t="str">
        <f>HYPERLINK("https://uva.onlinejudge.org/index.php?option=com_onlinejudge&amp;Itemid=8&amp;page=show_problem&amp;problem=2542","[UVa 11547] Automatic Answer")</f>
        <v>[UVa 11547] Automatic Answer</v>
      </c>
      <c r="B91" s="33">
        <f t="shared" si="2"/>
        <v>3</v>
      </c>
      <c r="C91" s="33"/>
      <c r="D91" s="34" t="s">
        <v>38</v>
      </c>
      <c r="E91" s="35" t="s">
        <v>38</v>
      </c>
      <c r="F91" s="38" t="s">
        <v>38</v>
      </c>
      <c r="G91" s="37"/>
    </row>
    <row r="92">
      <c r="A92" s="32" t="str">
        <f>HYPERLINK("https://uva.onlinejudge.org/index.php?option=com_onlinejudge&amp;Itemid=8&amp;page=show_problem&amp;problem=2663","[UVa 11616] Roman Numerals")</f>
        <v>[UVa 11616] Roman Numerals</v>
      </c>
      <c r="B92" s="33">
        <f t="shared" si="2"/>
        <v>3</v>
      </c>
      <c r="C92" s="33"/>
      <c r="D92" s="34" t="s">
        <v>38</v>
      </c>
      <c r="E92" s="35" t="s">
        <v>38</v>
      </c>
      <c r="F92" s="38" t="s">
        <v>38</v>
      </c>
      <c r="G92" s="37"/>
    </row>
    <row r="93">
      <c r="A93" s="32" t="str">
        <f>HYPERLINK("https://uva.onlinejudge.org/index.php?option=com_onlinejudge&amp;Itemid=8&amp;page=show_problem&amp;problem=2827","[UVa 11727] Cost Cutting")</f>
        <v>[UVa 11727] Cost Cutting</v>
      </c>
      <c r="B93" s="33">
        <f t="shared" si="2"/>
        <v>3</v>
      </c>
      <c r="C93" s="33"/>
      <c r="D93" s="34" t="s">
        <v>38</v>
      </c>
      <c r="E93" s="35" t="s">
        <v>38</v>
      </c>
      <c r="F93" s="38" t="s">
        <v>38</v>
      </c>
      <c r="G93" s="37"/>
    </row>
    <row r="94">
      <c r="A94" s="32" t="str">
        <f>HYPERLINK("https://uva.onlinejudge.org/index.php?option=com_onlinejudge&amp;Itemid=8&amp;page=show_problem&amp;problem=2900","[UVa 11800] Determine the Shape")</f>
        <v>[UVa 11800] Determine the Shape</v>
      </c>
      <c r="B94" s="33">
        <f t="shared" si="2"/>
        <v>3</v>
      </c>
      <c r="C94" s="33"/>
      <c r="D94" s="34" t="s">
        <v>38</v>
      </c>
      <c r="E94" s="47" t="s">
        <v>38</v>
      </c>
      <c r="F94" s="45" t="s">
        <v>38</v>
      </c>
      <c r="G94" s="39"/>
    </row>
    <row r="95">
      <c r="A95" s="32" t="str">
        <f>HYPERLINK("https://icpcarchive.ecs.baylor.edu/index.php?option=com_onlinejudge&amp;Itemid=8&amp;page=show_problem&amp;problem=190","[LA 2189] Mobile Casanova")</f>
        <v>[LA 2189] Mobile Casanova</v>
      </c>
      <c r="B95" s="33">
        <f t="shared" si="2"/>
        <v>3</v>
      </c>
      <c r="C95" s="33"/>
      <c r="D95" s="34" t="s">
        <v>38</v>
      </c>
      <c r="E95" s="12" t="s">
        <v>38</v>
      </c>
      <c r="F95" s="45" t="s">
        <v>38</v>
      </c>
      <c r="G95" s="7"/>
    </row>
    <row r="96">
      <c r="A96" s="32" t="str">
        <f>HYPERLINK("https://icpcarchive.ecs.baylor.edu/index.php?option=com_onlinejudge&amp;Itemid=8&amp;page=show_problem&amp;problem=1013","[LA 3012] All Integer Average")</f>
        <v>[LA 3012] All Integer Average</v>
      </c>
      <c r="B96" s="33">
        <f t="shared" si="2"/>
        <v>3</v>
      </c>
      <c r="C96" s="33"/>
      <c r="D96" s="34" t="s">
        <v>38</v>
      </c>
      <c r="E96" s="35" t="s">
        <v>38</v>
      </c>
      <c r="F96" s="38" t="s">
        <v>38</v>
      </c>
      <c r="G96" s="37"/>
    </row>
    <row r="97">
      <c r="A97" s="32" t="str">
        <f>HYPERLINK("https://uva.onlinejudge.org/index.php?option=com_onlinejudge&amp;Itemid=8&amp;page=show_problem&amp;problem=3650","[UVa 1209] Wordfish")</f>
        <v>[UVa 1209] Wordfish</v>
      </c>
      <c r="B97" s="33">
        <f t="shared" si="2"/>
        <v>3</v>
      </c>
      <c r="C97" s="33"/>
      <c r="D97" s="34" t="s">
        <v>38</v>
      </c>
      <c r="E97" s="12" t="s">
        <v>38</v>
      </c>
      <c r="F97" s="45" t="s">
        <v>38</v>
      </c>
      <c r="G97" s="7"/>
    </row>
    <row r="98">
      <c r="A98" s="32" t="str">
        <f>HYPERLINK("https://icpcarchive.ecs.baylor.edu/index.php?option=com_onlinejudge&amp;Itemid=8&amp;page=show_problem&amp;problem=1997","[LA 3996] Digit Counting")</f>
        <v>[LA 3996] Digit Counting</v>
      </c>
      <c r="B98" s="33">
        <f t="shared" si="2"/>
        <v>3</v>
      </c>
      <c r="C98" s="33"/>
      <c r="D98" s="34" t="s">
        <v>38</v>
      </c>
      <c r="E98" s="35" t="s">
        <v>38</v>
      </c>
      <c r="F98" s="38" t="s">
        <v>38</v>
      </c>
      <c r="G98" s="37"/>
    </row>
    <row r="99">
      <c r="A99" s="32" t="str">
        <f>HYPERLINK("https://icpcarchive.ecs.baylor.edu/index.php?option=onlinejudge&amp;page=show_problem&amp;problem=2203","[LA 4202] Schedule of a Married Man")</f>
        <v>[LA 4202] Schedule of a Married Man</v>
      </c>
      <c r="B99" s="33">
        <f t="shared" si="2"/>
        <v>3</v>
      </c>
      <c r="C99" s="33"/>
      <c r="D99" s="34" t="s">
        <v>38</v>
      </c>
      <c r="E99" s="35" t="s">
        <v>38</v>
      </c>
      <c r="F99" s="38" t="s">
        <v>38</v>
      </c>
      <c r="G99" s="37"/>
    </row>
    <row r="100">
      <c r="A100" s="32" t="str">
        <f>HYPERLINK("https://icpcarchive.ecs.baylor.edu/index.php?option=com_onlinejudge&amp;Itemid=8&amp;page=show_problem&amp;problem=2787","[LA 4786] Barcodes")</f>
        <v>[LA 4786] Barcodes</v>
      </c>
      <c r="B100" s="33">
        <f t="shared" si="2"/>
        <v>2</v>
      </c>
      <c r="C100" s="33"/>
      <c r="D100" s="34" t="s">
        <v>38</v>
      </c>
      <c r="E100" s="12"/>
      <c r="F100" s="39" t="s">
        <v>38</v>
      </c>
      <c r="G100" s="39"/>
    </row>
    <row r="101">
      <c r="A101" s="32" t="str">
        <f>HYPERLINK("https://uva.onlinejudge.org/index.php?option=onlinejudge&amp;page=show_problem&amp;problem=90","[UVa 154] Recycling")</f>
        <v>[UVa 154] Recycling</v>
      </c>
      <c r="B101" s="33">
        <f t="shared" si="2"/>
        <v>3</v>
      </c>
      <c r="C101" s="33"/>
      <c r="D101" s="34" t="s">
        <v>38</v>
      </c>
      <c r="E101" s="12" t="s">
        <v>38</v>
      </c>
      <c r="F101" s="45" t="s">
        <v>38</v>
      </c>
      <c r="G101" s="7"/>
    </row>
    <row r="102">
      <c r="A102" s="48" t="str">
        <f>HYPERLINK("https://uva.onlinejudge.org/index.php?option=onlinejudge&amp;page=show_problem&amp;problem=382","[UVa 441] Lotto")</f>
        <v>[UVa 441] Lotto</v>
      </c>
      <c r="B102" s="33">
        <f t="shared" si="2"/>
        <v>3</v>
      </c>
      <c r="C102" s="33"/>
      <c r="D102" s="34" t="s">
        <v>38</v>
      </c>
      <c r="E102" s="35" t="s">
        <v>38</v>
      </c>
      <c r="F102" s="38" t="s">
        <v>38</v>
      </c>
      <c r="G102" s="37"/>
    </row>
    <row r="103">
      <c r="A103" s="32" t="str">
        <f>HYPERLINK("https://uva.onlinejudge.org/index.php?option=com_onlinejudge&amp;Itemid=8&amp;page=show_problem&amp;problem=580","[UVa 639] Don't Get Rooked")</f>
        <v>[UVa 639] Don't Get Rooked</v>
      </c>
      <c r="B103" s="33">
        <f t="shared" si="2"/>
        <v>3</v>
      </c>
      <c r="C103" s="33"/>
      <c r="D103" s="34" t="s">
        <v>38</v>
      </c>
      <c r="E103" s="35" t="s">
        <v>38</v>
      </c>
      <c r="F103" s="45" t="s">
        <v>38</v>
      </c>
      <c r="G103" s="37"/>
    </row>
    <row r="104">
      <c r="A104" s="32" t="str">
        <f>HYPERLINK("https://uva.onlinejudge.org/index.php?option=onlinejudge&amp;page=show_problem&amp;problem=666","[UVa 725] Division")</f>
        <v>[UVa 725] Division</v>
      </c>
      <c r="B104" s="33">
        <f t="shared" si="2"/>
        <v>3</v>
      </c>
      <c r="C104" s="33"/>
      <c r="D104" s="34" t="s">
        <v>38</v>
      </c>
      <c r="E104" s="35" t="s">
        <v>38</v>
      </c>
      <c r="F104" s="38" t="s">
        <v>38</v>
      </c>
      <c r="G104" s="37"/>
    </row>
    <row r="105">
      <c r="A105" s="32" t="str">
        <f>HYPERLINK("https://uva.onlinejudge.org/index.php?option=onlinejudge&amp;page=show_problem&amp;problem=1301","[UVa 10360] Rat Attack")</f>
        <v>[UVa 10360] Rat Attack</v>
      </c>
      <c r="B105" s="33">
        <f t="shared" si="2"/>
        <v>3</v>
      </c>
      <c r="C105" s="33"/>
      <c r="D105" s="34" t="s">
        <v>38</v>
      </c>
      <c r="E105" s="12" t="s">
        <v>38</v>
      </c>
      <c r="F105" s="45" t="s">
        <v>38</v>
      </c>
      <c r="G105" s="7"/>
    </row>
    <row r="106">
      <c r="A106" s="32" t="str">
        <f>HYPERLINK("https://uva.onlinejudge.org/index.php?option=onlinejudge&amp;page=show_problem&amp;problem=1603","[UVa 10662] Wedding")</f>
        <v>[UVa 10662] Wedding</v>
      </c>
      <c r="B106" s="33">
        <f t="shared" si="2"/>
        <v>3</v>
      </c>
      <c r="C106" s="33"/>
      <c r="D106" s="34" t="s">
        <v>38</v>
      </c>
      <c r="E106" s="12" t="s">
        <v>38</v>
      </c>
      <c r="F106" s="38" t="s">
        <v>38</v>
      </c>
      <c r="G106" s="7"/>
    </row>
    <row r="107">
      <c r="A107" s="32" t="str">
        <f>HYPERLINK("https://uva.onlinejudge.org/index.php?option=onlinejudge&amp;page=show_problem&amp;problem=2183","[UVa 11242] Tour de France")</f>
        <v>[UVa 11242] Tour de France</v>
      </c>
      <c r="B107" s="33">
        <f t="shared" si="2"/>
        <v>3</v>
      </c>
      <c r="C107" s="33"/>
      <c r="D107" s="34" t="s">
        <v>38</v>
      </c>
      <c r="E107" s="12" t="s">
        <v>38</v>
      </c>
      <c r="F107" s="45" t="s">
        <v>38</v>
      </c>
      <c r="G107" s="7"/>
    </row>
    <row r="108">
      <c r="A108" s="32" t="str">
        <f>HYPERLINK("https://uva.onlinejudge.org/index.php?option=com_onlinejudge&amp;Itemid=8&amp;page=show_problem&amp;problem=2904","[UVa 11804] Argentina")</f>
        <v>[UVa 11804] Argentina</v>
      </c>
      <c r="B108" s="33">
        <f t="shared" si="2"/>
        <v>3</v>
      </c>
      <c r="C108" s="33"/>
      <c r="D108" s="34" t="s">
        <v>38</v>
      </c>
      <c r="E108" s="35" t="s">
        <v>38</v>
      </c>
      <c r="F108" s="45" t="s">
        <v>38</v>
      </c>
      <c r="G108" s="37"/>
    </row>
    <row r="109">
      <c r="A109" s="32" t="str">
        <f>HYPERLINK("https://uva.onlinejudge.org/index.php?option=com_onlinejudge&amp;Itemid=8&amp;page=show_problem&amp;problem=129","[UVa 193] Graph Coloring")</f>
        <v>[UVa 193] Graph Coloring</v>
      </c>
      <c r="B109" s="33">
        <f t="shared" si="2"/>
        <v>3</v>
      </c>
      <c r="C109" s="33"/>
      <c r="D109" s="34" t="s">
        <v>38</v>
      </c>
      <c r="E109" s="12" t="s">
        <v>38</v>
      </c>
      <c r="F109" s="45" t="s">
        <v>38</v>
      </c>
      <c r="G109" s="7"/>
    </row>
    <row r="110">
      <c r="A110" s="32" t="str">
        <f>HYPERLINK("https://uva.onlinejudge.org/index.php?option=com_onlinejudge&amp;Itemid=8&amp;page=show_problem&amp;problem=158","[UVa 222] Budget Travel")</f>
        <v>[UVa 222] Budget Travel</v>
      </c>
      <c r="B110" s="33">
        <f t="shared" si="2"/>
        <v>3</v>
      </c>
      <c r="C110" s="33"/>
      <c r="D110" s="34" t="s">
        <v>38</v>
      </c>
      <c r="E110" s="12" t="s">
        <v>38</v>
      </c>
      <c r="F110" s="45" t="s">
        <v>38</v>
      </c>
      <c r="G110" s="7"/>
    </row>
    <row r="111">
      <c r="A111" s="32" t="str">
        <f>HYPERLINK("https://uva.onlinejudge.org/index.php?option=com_onlinejudge&amp;Itemid=8&amp;page=show_problem&amp;problem=465","[UVa 524] Prime Ring Problem")</f>
        <v>[UVa 524] Prime Ring Problem</v>
      </c>
      <c r="B111" s="33">
        <f t="shared" si="2"/>
        <v>3</v>
      </c>
      <c r="C111" s="33"/>
      <c r="D111" s="34" t="s">
        <v>38</v>
      </c>
      <c r="E111" s="35" t="s">
        <v>38</v>
      </c>
      <c r="F111" s="38" t="s">
        <v>38</v>
      </c>
      <c r="G111" s="37"/>
    </row>
    <row r="112">
      <c r="A112" s="32" t="str">
        <f>HYPERLINK("https://uva.onlinejudge.org/index.php?option=com_onlinejudge&amp;Itemid=8&amp;page=show_problem&amp;problem=565","[UVa 624] CD")</f>
        <v>[UVa 624] CD</v>
      </c>
      <c r="B112" s="33">
        <f t="shared" si="2"/>
        <v>3</v>
      </c>
      <c r="C112" s="33"/>
      <c r="D112" s="34" t="s">
        <v>38</v>
      </c>
      <c r="E112" s="35" t="s">
        <v>38</v>
      </c>
      <c r="F112" s="38" t="s">
        <v>38</v>
      </c>
      <c r="G112" s="37"/>
    </row>
    <row r="113">
      <c r="A113" s="32" t="str">
        <f>HYPERLINK("https://uva.onlinejudge.org/index.php?option=com_onlinejudge&amp;Itemid=8&amp;page=show_problem&amp;problem=569","[UVa 628] Passwords")</f>
        <v>[UVa 628] Passwords</v>
      </c>
      <c r="B113" s="33">
        <f t="shared" si="2"/>
        <v>3</v>
      </c>
      <c r="C113" s="33"/>
      <c r="D113" s="34" t="s">
        <v>38</v>
      </c>
      <c r="E113" s="35" t="s">
        <v>38</v>
      </c>
      <c r="F113" s="38" t="s">
        <v>38</v>
      </c>
      <c r="G113" s="37"/>
    </row>
    <row r="114">
      <c r="A114" s="32" t="str">
        <f>HYPERLINK("https://uva.onlinejudge.org/index.php?option=onlinejudge&amp;page=show_problem&amp;problem=670","[UVa 729] The Hamming Distance Problem")</f>
        <v>[UVa 729] The Hamming Distance Problem</v>
      </c>
      <c r="B114" s="33">
        <f t="shared" si="2"/>
        <v>3</v>
      </c>
      <c r="C114" s="33"/>
      <c r="D114" s="34" t="s">
        <v>38</v>
      </c>
      <c r="E114" s="35" t="s">
        <v>38</v>
      </c>
      <c r="F114" s="45" t="s">
        <v>38</v>
      </c>
      <c r="G114" s="37"/>
    </row>
    <row r="115">
      <c r="A115" s="32" t="str">
        <f>HYPERLINK("https://uva.onlinejudge.org/index.php?option=com_onlinejudge&amp;Itemid=8&amp;page=show_problem&amp;problem=691","[UVa 750] 8 Queens Chess Problem")</f>
        <v>[UVa 750] 8 Queens Chess Problem</v>
      </c>
      <c r="B115" s="33">
        <f t="shared" si="2"/>
        <v>3</v>
      </c>
      <c r="C115" s="33"/>
      <c r="D115" s="34" t="s">
        <v>38</v>
      </c>
      <c r="E115" s="12" t="s">
        <v>38</v>
      </c>
      <c r="F115" s="45" t="s">
        <v>38</v>
      </c>
      <c r="G115" s="7"/>
    </row>
    <row r="116">
      <c r="A116" s="32" t="str">
        <f>HYPERLINK("https://uva.onlinejudge.org/index.php?option=com_onlinejudge&amp;Itemid=8&amp;page=show_problem&amp;problem=1226","[UVa 10285] Longest Run on a Snowboard")</f>
        <v>[UVa 10285] Longest Run on a Snowboard</v>
      </c>
      <c r="B116" s="33">
        <f t="shared" si="2"/>
        <v>3</v>
      </c>
      <c r="C116" s="33"/>
      <c r="D116" s="34" t="s">
        <v>38</v>
      </c>
      <c r="E116" s="12" t="s">
        <v>38</v>
      </c>
      <c r="F116" s="45" t="s">
        <v>38</v>
      </c>
      <c r="G116" s="7"/>
    </row>
    <row r="117">
      <c r="A117" s="32" t="str">
        <f>HYPERLINK("https://uva.onlinejudge.org/index.php?option=onlinejudge&amp;page=show_problem&amp;problem=1437","[UVa 10496] Collecting Beepers")</f>
        <v>[UVa 10496] Collecting Beepers</v>
      </c>
      <c r="B117" s="33">
        <f t="shared" si="2"/>
        <v>3</v>
      </c>
      <c r="C117" s="33"/>
      <c r="D117" s="34" t="s">
        <v>38</v>
      </c>
      <c r="E117" s="47" t="s">
        <v>38</v>
      </c>
      <c r="F117" s="45" t="s">
        <v>38</v>
      </c>
      <c r="G117" s="39"/>
    </row>
    <row r="118">
      <c r="A118" s="32" t="str">
        <f>HYPERLINK("https://icpcarchive.ecs.baylor.edu/index.php?option=com_onlinejudge&amp;Itemid=8&amp;page=show_problem&amp;problem=2794","[LA 4793] Robots on Ice")</f>
        <v>[LA 4793] Robots on Ice</v>
      </c>
      <c r="B118" s="33">
        <f t="shared" si="2"/>
        <v>2</v>
      </c>
      <c r="C118" s="33"/>
      <c r="D118" s="34" t="s">
        <v>38</v>
      </c>
      <c r="E118" s="12"/>
      <c r="F118" s="45" t="s">
        <v>38</v>
      </c>
      <c r="G118" s="7"/>
    </row>
    <row r="119">
      <c r="A119" s="32" t="str">
        <f>HYPERLINK("http://lightoj.com/volume_showproblem.php?problem=1023","[LOJ 1023] Discovering Permutations")</f>
        <v>[LOJ 1023] Discovering Permutations</v>
      </c>
      <c r="B119" s="33">
        <f t="shared" si="2"/>
        <v>3</v>
      </c>
      <c r="C119" s="33"/>
      <c r="D119" s="34" t="s">
        <v>38</v>
      </c>
      <c r="E119" s="35" t="s">
        <v>38</v>
      </c>
      <c r="F119" s="38" t="s">
        <v>38</v>
      </c>
      <c r="G119" s="37"/>
    </row>
    <row r="120">
      <c r="A120" s="32" t="str">
        <f>HYPERLINK("http://lightoj.com/volume_showproblem.php?problem=1091","[LOJ 1091] The Fastest Sorting Ever!")</f>
        <v>[LOJ 1091] The Fastest Sorting Ever!</v>
      </c>
      <c r="B120" s="33">
        <f t="shared" si="2"/>
        <v>2</v>
      </c>
      <c r="C120" s="33"/>
      <c r="D120" s="34" t="s">
        <v>38</v>
      </c>
      <c r="E120" s="12"/>
      <c r="F120" s="39" t="s">
        <v>38</v>
      </c>
      <c r="G120" s="7"/>
    </row>
    <row r="121">
      <c r="A121" s="32" t="str">
        <f>HYPERLINK("http://lightoj.com/volume_showproblem.php?problem=1397","[LOJ 1397] Sudoku Solver")</f>
        <v>[LOJ 1397] Sudoku Solver</v>
      </c>
      <c r="B121" s="33">
        <f t="shared" si="2"/>
        <v>2</v>
      </c>
      <c r="C121" s="33"/>
      <c r="D121" s="34" t="s">
        <v>38</v>
      </c>
      <c r="E121" s="12"/>
      <c r="F121" s="45" t="s">
        <v>38</v>
      </c>
      <c r="G121" s="7"/>
    </row>
    <row r="122">
      <c r="A122" s="32" t="str">
        <f>HYPERLINK("http://lightoj.com/volume_showproblem.php?problem=1309","[LOJ 1309] Children's Math")</f>
        <v>[LOJ 1309] Children's Math</v>
      </c>
      <c r="B122" s="33">
        <f t="shared" si="2"/>
        <v>3</v>
      </c>
      <c r="C122" s="33"/>
      <c r="D122" s="34" t="s">
        <v>38</v>
      </c>
      <c r="E122" s="47" t="s">
        <v>38</v>
      </c>
      <c r="F122" s="45" t="s">
        <v>38</v>
      </c>
      <c r="G122" s="7"/>
    </row>
    <row r="123">
      <c r="A123" s="32" t="str">
        <f>HYPERLINK("http://lightoj.com/volume_showproblem.php?problem=1324","[LOJ 1324] Equivalent Boolean Expressions")</f>
        <v>[LOJ 1324] Equivalent Boolean Expressions</v>
      </c>
      <c r="B123" s="33">
        <f t="shared" si="2"/>
        <v>3</v>
      </c>
      <c r="C123" s="49"/>
      <c r="D123" s="34" t="s">
        <v>38</v>
      </c>
      <c r="E123" s="47" t="s">
        <v>38</v>
      </c>
      <c r="F123" s="39" t="s">
        <v>38</v>
      </c>
      <c r="G123" s="7"/>
    </row>
    <row r="124">
      <c r="A124" s="32" t="str">
        <f>HYPERLINK("https://icpcarchive.ecs.baylor.edu/index.php?option=com_onlinejudge&amp;Itemid=8&amp;page=show_problem&amp;problem=4814","[LA 6802] Turtle Graphics")</f>
        <v>[LA 6802] Turtle Graphics</v>
      </c>
      <c r="B124" s="33">
        <f t="shared" si="2"/>
        <v>3</v>
      </c>
      <c r="C124" s="33"/>
      <c r="D124" s="34" t="s">
        <v>38</v>
      </c>
      <c r="E124" s="35" t="s">
        <v>38</v>
      </c>
      <c r="F124" s="45" t="s">
        <v>38</v>
      </c>
      <c r="G124" s="37"/>
    </row>
    <row r="125">
      <c r="A125" s="32" t="str">
        <f>HYPERLINK("https://icpcarchive.ecs.baylor.edu/index.php?option=com_onlinejudge&amp;Itemid=8&amp;page=show_problem&amp;problem=4821","[LA 6809] Spokes Wheel")</f>
        <v>[LA 6809] Spokes Wheel</v>
      </c>
      <c r="B125" s="33">
        <f t="shared" si="2"/>
        <v>3</v>
      </c>
      <c r="C125" s="33"/>
      <c r="D125" s="34" t="s">
        <v>38</v>
      </c>
      <c r="E125" s="12" t="s">
        <v>38</v>
      </c>
      <c r="F125" s="45" t="s">
        <v>38</v>
      </c>
      <c r="G125" s="7"/>
    </row>
    <row r="126">
      <c r="A126" s="32" t="str">
        <f>HYPERLINK("https://icpcarchive.ecs.baylor.edu/index.php?option=com_onlinejudge&amp;Itemid=8&amp;category=672&amp;page=show_problem&amp;problem=4848","[LA 6836] Automotive Navigation")</f>
        <v>[LA 6836] Automotive Navigation</v>
      </c>
      <c r="B126" s="33">
        <f t="shared" si="2"/>
        <v>1</v>
      </c>
      <c r="C126" s="33"/>
      <c r="D126" s="34" t="s">
        <v>38</v>
      </c>
      <c r="E126" s="12"/>
      <c r="F126" s="7"/>
      <c r="G126" s="7"/>
    </row>
    <row r="127">
      <c r="A127" s="32" t="str">
        <f>HYPERLINK("https://icpcarchive.ecs.baylor.edu/index.php?option=onlinejudge&amp;page=show_problem&amp;problem=4896","[LA 6884] GREAT + SWERC = PORTO")</f>
        <v>[LA 6884] GREAT + SWERC = PORTO</v>
      </c>
      <c r="B127" s="33">
        <f t="shared" si="2"/>
        <v>3</v>
      </c>
      <c r="C127" s="33"/>
      <c r="D127" s="34" t="s">
        <v>38</v>
      </c>
      <c r="E127" s="47" t="s">
        <v>38</v>
      </c>
      <c r="F127" s="45" t="s">
        <v>38</v>
      </c>
      <c r="G127" s="7"/>
    </row>
    <row r="128">
      <c r="A128" s="32" t="str">
        <f>HYPERLINK("https://icpcarchive.ecs.baylor.edu/index.php?option=com_onlinejudge&amp;Itemid=8&amp;category=643&amp;page=show_problem&amp;problem=4918","[LA 6906] Cluster Analysis")</f>
        <v>[LA 6906] Cluster Analysis</v>
      </c>
      <c r="B128" s="33">
        <f t="shared" si="2"/>
        <v>3</v>
      </c>
      <c r="C128" s="33"/>
      <c r="D128" s="34" t="s">
        <v>38</v>
      </c>
      <c r="E128" s="35" t="s">
        <v>38</v>
      </c>
      <c r="F128" s="45" t="s">
        <v>38</v>
      </c>
      <c r="G128" s="37"/>
    </row>
    <row r="129">
      <c r="A129" s="32" t="str">
        <f>HYPERLINK("https://icpcarchive.ecs.baylor.edu/index.php?option=com_onlinejudge&amp;Itemid=8&amp;page=show_problem&amp;problem=4924","[LA 6912] Prime Switch")</f>
        <v>[LA 6912] Prime Switch</v>
      </c>
      <c r="B129" s="33">
        <f t="shared" si="2"/>
        <v>3</v>
      </c>
      <c r="C129" s="33"/>
      <c r="D129" s="34" t="s">
        <v>38</v>
      </c>
      <c r="E129" s="47" t="s">
        <v>38</v>
      </c>
      <c r="F129" s="38" t="s">
        <v>38</v>
      </c>
      <c r="G129" s="7"/>
    </row>
    <row r="130">
      <c r="A130" s="32" t="str">
        <f>HYPERLINK("https://icpcarchive.ecs.baylor.edu/index.php?option=onlinejudge&amp;Itemid=8&amp;page=show_problem&amp;problem=4960","[LA 6948] Jokewithpermutation")</f>
        <v>[LA 6948] Jokewithpermutation</v>
      </c>
      <c r="B130" s="33">
        <f t="shared" si="2"/>
        <v>3</v>
      </c>
      <c r="C130" s="33"/>
      <c r="D130" s="34" t="s">
        <v>38</v>
      </c>
      <c r="E130" s="12" t="s">
        <v>38</v>
      </c>
      <c r="F130" s="45" t="s">
        <v>38</v>
      </c>
      <c r="G130" s="7"/>
    </row>
    <row r="131">
      <c r="A131" s="32" t="str">
        <f>HYPERLINK("https://icpcarchive.ecs.baylor.edu/index.php?option=com_onlinejudge&amp;Itemid=8&amp;page=show_problem&amp;problem=4966","[LA 6954] Euclidian TSP")</f>
        <v>[LA 6954] Euclidian TSP</v>
      </c>
      <c r="B131" s="33">
        <f t="shared" si="2"/>
        <v>3</v>
      </c>
      <c r="C131" s="33"/>
      <c r="D131" s="34" t="s">
        <v>38</v>
      </c>
      <c r="E131" s="47" t="s">
        <v>38</v>
      </c>
      <c r="F131" s="38" t="s">
        <v>38</v>
      </c>
      <c r="G131" s="7"/>
    </row>
    <row r="132">
      <c r="A132" s="32" t="str">
        <f>HYPERLINK("https://icpcarchive.ecs.baylor.edu/index.php?option=com_onlinejudge&amp;Itemid=8&amp;page=show_problem&amp;problem=4985","[LA 6973] Excavator Contest")</f>
        <v>[LA 6973] Excavator Contest</v>
      </c>
      <c r="B132" s="33">
        <f t="shared" si="2"/>
        <v>0</v>
      </c>
      <c r="C132" s="33"/>
      <c r="D132" s="34" t="s">
        <v>127</v>
      </c>
      <c r="E132" s="12"/>
      <c r="F132" s="7"/>
      <c r="G132" s="7"/>
    </row>
    <row r="133">
      <c r="A133" s="32" t="str">
        <f>HYPERLINK("https://icpcarchive.ecs.baylor.edu/index.php?option=com_onlinejudge&amp;Itemid=8&amp;category=674&amp;page=show_problem&amp;problem=5012","[LA 7000] Present Problem")</f>
        <v>[LA 7000] Present Problem</v>
      </c>
      <c r="B133" s="33">
        <f t="shared" si="2"/>
        <v>3</v>
      </c>
      <c r="C133" s="33"/>
      <c r="D133" s="34" t="s">
        <v>38</v>
      </c>
      <c r="E133" s="47" t="s">
        <v>38</v>
      </c>
      <c r="F133" s="38" t="s">
        <v>38</v>
      </c>
      <c r="G133" s="7"/>
    </row>
    <row r="134">
      <c r="A134" s="32" t="str">
        <f>HYPERLINK("https://icpcarchive.ecs.baylor.edu/index.php?option=com_onlinejudge&amp;Itemid=8&amp;page=show_problem&amp;problem=5026","[LA 7014] Ideal Scoreboard")</f>
        <v>[LA 7014] Ideal Scoreboard</v>
      </c>
      <c r="B134" s="33">
        <f t="shared" si="2"/>
        <v>3</v>
      </c>
      <c r="C134" s="33"/>
      <c r="D134" s="34" t="s">
        <v>38</v>
      </c>
      <c r="E134" s="35" t="s">
        <v>38</v>
      </c>
      <c r="F134" s="45" t="s">
        <v>38</v>
      </c>
      <c r="G134" s="37"/>
    </row>
    <row r="135">
      <c r="A135" s="32" t="str">
        <f>HYPERLINK("https://icpcarchive.ecs.baylor.edu/index.php?option=com_onlinejudge&amp;Itemid=8&amp;category=674&amp;page=show_problem&amp;problem=5059","[LA 7047] Chat")</f>
        <v>[LA 7047] Chat</v>
      </c>
      <c r="B135" s="33">
        <f t="shared" si="2"/>
        <v>2</v>
      </c>
      <c r="C135" s="33"/>
      <c r="D135" s="34" t="s">
        <v>38</v>
      </c>
      <c r="E135" s="12"/>
      <c r="F135" s="39" t="s">
        <v>38</v>
      </c>
      <c r="G135" s="7"/>
    </row>
    <row r="136">
      <c r="A136" s="32" t="str">
        <f>HYPERLINK("https://icpcarchive.ecs.baylor.edu/index.php?option=onlinejudge&amp;page=show_problem&amp;problem=5070","[LA 7058] A Curious Matt")</f>
        <v>[LA 7058] A Curious Matt</v>
      </c>
      <c r="B136" s="33">
        <f t="shared" si="2"/>
        <v>3</v>
      </c>
      <c r="C136" s="33"/>
      <c r="D136" s="34" t="s">
        <v>38</v>
      </c>
      <c r="E136" s="35" t="s">
        <v>38</v>
      </c>
      <c r="F136" s="38" t="s">
        <v>38</v>
      </c>
      <c r="G136" s="37"/>
    </row>
    <row r="137">
      <c r="A137" s="32" t="str">
        <f>HYPERLINK("https://icpcarchive.ecs.baylor.edu/index.php?option=com_onlinejudge&amp;Itemid=8&amp;page=show_problem&amp;problem=4862","[LA 6850] Hidden Plus Signs")</f>
        <v>[LA 6850] Hidden Plus Signs</v>
      </c>
      <c r="B137" s="33">
        <f t="shared" si="2"/>
        <v>3</v>
      </c>
      <c r="C137" s="33"/>
      <c r="D137" s="34" t="s">
        <v>38</v>
      </c>
      <c r="E137" s="47" t="s">
        <v>38</v>
      </c>
      <c r="F137" s="39" t="s">
        <v>38</v>
      </c>
      <c r="G137" s="7"/>
    </row>
    <row r="138">
      <c r="A138" s="32" t="str">
        <f>HYPERLINK("https://icpcarchive.ecs.baylor.edu/index.php?option=com_onlinejudge&amp;Itemid=8&amp;page=show_problem&amp;problem=5014","[LA 7002] Queen on Horse")</f>
        <v>[LA 7002] Queen on Horse</v>
      </c>
      <c r="B138" s="33">
        <f t="shared" si="2"/>
        <v>3</v>
      </c>
      <c r="C138" s="33"/>
      <c r="D138" s="34" t="s">
        <v>38</v>
      </c>
      <c r="E138" s="47" t="s">
        <v>38</v>
      </c>
      <c r="F138" s="39" t="s">
        <v>38</v>
      </c>
      <c r="G138" s="7"/>
    </row>
    <row r="139">
      <c r="A139" s="32" t="str">
        <f>HYPERLINK("https://icpcarchive.ecs.baylor.edu/index.php?option=com_onlinejudge&amp;Itemid=8&amp;page=show_problem&amp;problem=5018","[LA 7006] Folding a Binary String")</f>
        <v>[LA 7006] Folding a Binary String</v>
      </c>
      <c r="B139" s="33">
        <f t="shared" si="2"/>
        <v>2</v>
      </c>
      <c r="C139" s="33"/>
      <c r="D139" s="34" t="s">
        <v>38</v>
      </c>
      <c r="E139" s="12"/>
      <c r="F139" s="39" t="s">
        <v>38</v>
      </c>
      <c r="G139" s="7"/>
    </row>
    <row r="140">
      <c r="A140" s="32" t="str">
        <f>HYPERLINK("https://icpcarchive.ecs.baylor.edu/index.php?option=com_onlinejudge&amp;Itemid=8&amp;page=show_problem&amp;problem=5021","[LA 7009] Secret Binary Tree")</f>
        <v>[LA 7009] Secret Binary Tree</v>
      </c>
      <c r="B140" s="33">
        <f t="shared" si="2"/>
        <v>0</v>
      </c>
      <c r="C140" s="33"/>
      <c r="D140" s="34" t="s">
        <v>128</v>
      </c>
      <c r="E140" s="12"/>
      <c r="F140" s="7"/>
      <c r="G140" s="7"/>
    </row>
    <row r="141">
      <c r="A141" s="32" t="str">
        <f>HYPERLINK("https://icpcarchive.ecs.baylor.edu/index.php?option=com_onlinejudge&amp;Itemid=8&amp;category=674&amp;page=show_problem&amp;problem=5065","[LA 7053] NAND")</f>
        <v>[LA 7053] NAND</v>
      </c>
      <c r="B141" s="33">
        <f t="shared" si="2"/>
        <v>0</v>
      </c>
      <c r="C141" s="33"/>
      <c r="D141" s="34" t="s">
        <v>129</v>
      </c>
      <c r="E141" s="12"/>
      <c r="F141" s="7"/>
      <c r="G141" s="7"/>
    </row>
    <row r="142">
      <c r="A142" s="32" t="str">
        <f>HYPERLINK("https://uva.onlinejudge.org/index.php?option=onlinejudge&amp;page=show_problem&amp;problem=620","[UVa 679] Dropping Balls")</f>
        <v>[UVa 679] Dropping Balls</v>
      </c>
      <c r="B142" s="33">
        <f t="shared" si="2"/>
        <v>3</v>
      </c>
      <c r="C142" s="33"/>
      <c r="D142" s="34" t="s">
        <v>38</v>
      </c>
      <c r="E142" s="12" t="s">
        <v>38</v>
      </c>
      <c r="F142" s="45" t="s">
        <v>38</v>
      </c>
      <c r="G142" s="7"/>
    </row>
    <row r="143">
      <c r="A143" s="32" t="str">
        <f>HYPERLINK("https://uva.onlinejudge.org/index.php?option=com_onlinejudge&amp;Itemid=8&amp;page=show_problem&amp;problem=655","[UVa 714] Copying Books")</f>
        <v>[UVa 714] Copying Books</v>
      </c>
      <c r="B143" s="33">
        <f t="shared" si="2"/>
        <v>3</v>
      </c>
      <c r="C143" s="33"/>
      <c r="D143" s="34" t="s">
        <v>38</v>
      </c>
      <c r="E143" s="12" t="s">
        <v>38</v>
      </c>
      <c r="F143" s="45" t="s">
        <v>38</v>
      </c>
      <c r="G143" s="7"/>
    </row>
    <row r="144">
      <c r="A144" s="32" t="str">
        <f>HYPERLINK("https://uva.onlinejudge.org/index.php?option=onlinejudge&amp;page=show_problem&amp;problem=898","[UVa 957] Popes")</f>
        <v>[UVa 957] Popes</v>
      </c>
      <c r="B144" s="33">
        <f t="shared" si="2"/>
        <v>3</v>
      </c>
      <c r="C144" s="33"/>
      <c r="D144" s="34" t="s">
        <v>38</v>
      </c>
      <c r="E144" s="12" t="s">
        <v>38</v>
      </c>
      <c r="F144" s="45" t="s">
        <v>38</v>
      </c>
      <c r="G144" s="7"/>
    </row>
    <row r="145">
      <c r="A145" s="32" t="str">
        <f>HYPERLINK("https://uva.onlinejudge.org/index.php?option=com_onlinejudge&amp;Itemid=8&amp;page=show_problem&amp;problem=1018","[UVa 10077] The Stern-Brocot Number System")</f>
        <v>[UVa 10077] The Stern-Brocot Number System</v>
      </c>
      <c r="B145" s="33">
        <f t="shared" si="2"/>
        <v>3</v>
      </c>
      <c r="C145" s="33"/>
      <c r="D145" s="34" t="s">
        <v>38</v>
      </c>
      <c r="E145" s="12" t="s">
        <v>38</v>
      </c>
      <c r="F145" s="45" t="s">
        <v>38</v>
      </c>
      <c r="G145" s="7"/>
    </row>
    <row r="146">
      <c r="A146" s="32" t="str">
        <f>HYPERLINK("https://uva.onlinejudge.org/index.php?option=onlinejudge&amp;page=show_problem&amp;problem=1282","[UVa 10341] Solve It")</f>
        <v>[UVa 10341] Solve It</v>
      </c>
      <c r="B146" s="33">
        <f t="shared" si="2"/>
        <v>3</v>
      </c>
      <c r="C146" s="33"/>
      <c r="D146" s="34" t="s">
        <v>38</v>
      </c>
      <c r="E146" s="35" t="s">
        <v>38</v>
      </c>
      <c r="F146" s="38" t="s">
        <v>38</v>
      </c>
      <c r="G146" s="37"/>
    </row>
    <row r="147">
      <c r="A147" s="32" t="str">
        <f>HYPERLINK("https://uva.onlinejudge.org/index.php?option=com_onlinejudge&amp;Itemid=8&amp;page=show_problem&amp;problem=1310","[UVa 10369] Arctic Network")</f>
        <v>[UVa 10369] Arctic Network</v>
      </c>
      <c r="B147" s="33">
        <f t="shared" si="2"/>
        <v>3</v>
      </c>
      <c r="C147" s="33"/>
      <c r="D147" s="34" t="s">
        <v>38</v>
      </c>
      <c r="E147" s="47" t="s">
        <v>38</v>
      </c>
      <c r="F147" s="38" t="s">
        <v>38</v>
      </c>
      <c r="G147" s="39"/>
    </row>
    <row r="148">
      <c r="A148" s="32" t="str">
        <f>HYPERLINK("https://uva.onlinejudge.org/index.php?option=com_onlinejudge&amp;Itemid=8&amp;page=show_problem&amp;problem=1415","[UVa 10474] Where is the Marble")</f>
        <v>[UVa 10474] Where is the Marble</v>
      </c>
      <c r="B148" s="33">
        <f t="shared" si="2"/>
        <v>3</v>
      </c>
      <c r="C148" s="33"/>
      <c r="D148" s="34" t="s">
        <v>38</v>
      </c>
      <c r="E148" s="35" t="s">
        <v>38</v>
      </c>
      <c r="F148" s="38" t="s">
        <v>38</v>
      </c>
      <c r="G148" s="37"/>
    </row>
    <row r="149">
      <c r="A149" s="32" t="str">
        <f>HYPERLINK("https://uva.onlinejudge.org/index.php?option=com_onlinejudge&amp;Itemid=8&amp;page=show_problem&amp;problem=2229","[UVa 11262] Weird Fence")</f>
        <v>[UVa 11262] Weird Fence</v>
      </c>
      <c r="B149" s="33">
        <f t="shared" si="2"/>
        <v>1</v>
      </c>
      <c r="C149" s="33"/>
      <c r="D149" s="50" t="s">
        <v>38</v>
      </c>
      <c r="E149" s="12"/>
      <c r="F149" s="7"/>
      <c r="G149" s="7"/>
    </row>
    <row r="150">
      <c r="A150" s="32" t="str">
        <f>HYPERLINK("https://icpcarchive.ecs.baylor.edu/index.php?option=com_onlinejudge&amp;Itemid=8&amp;page=show_problem&amp;problem=566","[LA 2565] Calling Extraterrestrial Intelligence Again")</f>
        <v>[LA 2565] Calling Extraterrestrial Intelligence Again</v>
      </c>
      <c r="B150" s="33">
        <f t="shared" si="2"/>
        <v>3</v>
      </c>
      <c r="C150" s="33"/>
      <c r="D150" s="34" t="s">
        <v>38</v>
      </c>
      <c r="E150" s="12" t="s">
        <v>38</v>
      </c>
      <c r="F150" s="45" t="s">
        <v>38</v>
      </c>
      <c r="G150" s="7"/>
    </row>
    <row r="151">
      <c r="A151" s="32" t="str">
        <f>HYPERLINK("https://icpcarchive.ecs.baylor.edu/index.php?option=onlinejudge&amp;page=show_problem&amp;problem=3048","[LA 5047] Arbiter Login")</f>
        <v>[LA 5047] Arbiter Login</v>
      </c>
      <c r="B151" s="33">
        <f t="shared" si="2"/>
        <v>3</v>
      </c>
      <c r="C151" s="33"/>
      <c r="D151" s="34" t="s">
        <v>38</v>
      </c>
      <c r="E151" s="35" t="s">
        <v>38</v>
      </c>
      <c r="F151" s="38" t="s">
        <v>38</v>
      </c>
      <c r="G151" s="37"/>
    </row>
    <row r="152">
      <c r="A152" s="32" t="str">
        <f>HYPERLINK("https://icpcarchive.ecs.baylor.edu/index.php?option=com_onlinejudge&amp;Itemid=8&amp;page=show_problem&amp;problem=950","[LA 2949] Elevator Stopping Plan")</f>
        <v>[LA 2949] Elevator Stopping Plan</v>
      </c>
      <c r="B152" s="33">
        <f t="shared" si="2"/>
        <v>0</v>
      </c>
      <c r="C152" s="33"/>
      <c r="D152" s="51"/>
      <c r="E152" s="12"/>
      <c r="F152" s="7"/>
      <c r="G152" s="7"/>
    </row>
    <row r="153">
      <c r="A153" s="32" t="str">
        <f>HYPERLINK("https://icpcarchive.ecs.baylor.edu/index.php?option=com_onlinejudge&amp;Itemid=8&amp;page=show_problem&amp;problem=1796","[LA 3795] Against Mammoths")</f>
        <v>[LA 3795] Against Mammoths</v>
      </c>
      <c r="B153" s="33">
        <f t="shared" si="2"/>
        <v>0</v>
      </c>
      <c r="C153" s="33"/>
      <c r="D153" s="51"/>
      <c r="E153" s="12"/>
      <c r="F153" s="7"/>
      <c r="G153" s="7"/>
    </row>
    <row r="154">
      <c r="A154" s="32" t="str">
        <f>HYPERLINK("https://icpcarchive.ecs.baylor.edu/index.php?option=com_onlinejudge&amp;Itemid=8&amp;page=show_problem&amp;problem=2446","[LA 4445] A Careful Approach")</f>
        <v>[LA 4445] A Careful Approach</v>
      </c>
      <c r="B154" s="33">
        <f t="shared" si="2"/>
        <v>0</v>
      </c>
      <c r="C154" s="33"/>
      <c r="D154" s="51"/>
      <c r="E154" s="12"/>
      <c r="F154" s="7"/>
      <c r="G154" s="7"/>
    </row>
    <row r="155">
      <c r="A155" s="32" t="str">
        <f>HYPERLINK("http://www.spoj.com/problems/AGGRCOW/","[SPOJ AGGRCOW] Aggressive Cows")</f>
        <v>[SPOJ AGGRCOW] Aggressive Cows</v>
      </c>
      <c r="B155" s="33">
        <f t="shared" si="2"/>
        <v>3</v>
      </c>
      <c r="C155" s="33"/>
      <c r="D155" s="34" t="s">
        <v>38</v>
      </c>
      <c r="E155" s="12" t="s">
        <v>38</v>
      </c>
      <c r="F155" s="45" t="s">
        <v>38</v>
      </c>
      <c r="G155" s="7"/>
    </row>
    <row r="156">
      <c r="A156" s="32" t="str">
        <f>HYPERLINK("http://lightoj.com/volume_showproblem.php?problem=1043","[LOJ 1043] Triangle Partitioning")</f>
        <v>[LOJ 1043] Triangle Partitioning</v>
      </c>
      <c r="B156" s="33">
        <f t="shared" si="2"/>
        <v>3</v>
      </c>
      <c r="C156" s="33"/>
      <c r="D156" s="34" t="s">
        <v>38</v>
      </c>
      <c r="E156" s="35" t="s">
        <v>38</v>
      </c>
      <c r="F156" s="38" t="s">
        <v>38</v>
      </c>
      <c r="G156" s="37"/>
    </row>
    <row r="157">
      <c r="A157" s="32" t="str">
        <f>HYPERLINK("http://lightoj.com/volume_showproblem.php?problem=1048","[LOJ 1048] Conquering Keokradong")</f>
        <v>[LOJ 1048] Conquering Keokradong</v>
      </c>
      <c r="B157" s="33">
        <f t="shared" si="2"/>
        <v>3</v>
      </c>
      <c r="C157" s="33"/>
      <c r="D157" s="34" t="s">
        <v>38</v>
      </c>
      <c r="E157" s="12" t="s">
        <v>38</v>
      </c>
      <c r="F157" s="45" t="s">
        <v>38</v>
      </c>
      <c r="G157" s="7"/>
    </row>
    <row r="158">
      <c r="A158" s="32" t="str">
        <f>HYPERLINK("http://lightoj.com/volume_showproblem.php?problem=1056","[LOJ 1056] Olympics")</f>
        <v>[LOJ 1056] Olympics</v>
      </c>
      <c r="B158" s="33">
        <f t="shared" si="2"/>
        <v>3</v>
      </c>
      <c r="C158" s="33"/>
      <c r="D158" s="34" t="s">
        <v>38</v>
      </c>
      <c r="E158" s="12" t="s">
        <v>38</v>
      </c>
      <c r="F158" s="45" t="s">
        <v>38</v>
      </c>
      <c r="G158" s="7"/>
    </row>
    <row r="159">
      <c r="A159" s="32" t="str">
        <f>HYPERLINK("http://lightoj.com/volume_showproblem.php?problem=1062","[LOJ 1062] Crossed Ladders")</f>
        <v>[LOJ 1062] Crossed Ladders</v>
      </c>
      <c r="B159" s="33">
        <f t="shared" si="2"/>
        <v>3</v>
      </c>
      <c r="C159" s="33"/>
      <c r="D159" s="34" t="s">
        <v>38</v>
      </c>
      <c r="E159" s="12" t="s">
        <v>38</v>
      </c>
      <c r="F159" s="45" t="s">
        <v>38</v>
      </c>
      <c r="G159" s="7"/>
    </row>
    <row r="160">
      <c r="A160" s="32" t="str">
        <f>HYPERLINK("http://lightoj.com/volume_showproblem.php?problem=1076","[LOJ 1076] Get the Containers")</f>
        <v>[LOJ 1076] Get the Containers</v>
      </c>
      <c r="B160" s="33">
        <f t="shared" si="2"/>
        <v>3</v>
      </c>
      <c r="C160" s="33"/>
      <c r="D160" s="34" t="s">
        <v>38</v>
      </c>
      <c r="E160" s="12" t="s">
        <v>38</v>
      </c>
      <c r="F160" s="45" t="s">
        <v>38</v>
      </c>
      <c r="G160" s="7"/>
    </row>
    <row r="161">
      <c r="A161" s="32" t="str">
        <f>HYPERLINK("http://lightoj.com/volume_showproblem.php?problem=1088","[LOJ 1088] Points in Segments")</f>
        <v>[LOJ 1088] Points in Segments</v>
      </c>
      <c r="B161" s="33">
        <f t="shared" si="2"/>
        <v>3</v>
      </c>
      <c r="C161" s="33"/>
      <c r="D161" s="34" t="s">
        <v>38</v>
      </c>
      <c r="E161" s="35" t="s">
        <v>38</v>
      </c>
      <c r="F161" s="38" t="s">
        <v>38</v>
      </c>
      <c r="G161" s="37"/>
    </row>
    <row r="162">
      <c r="A162" s="32" t="str">
        <f>HYPERLINK("http://lightoj.com/volume_showproblem.php?problem=1127","[LOJ 1127] Funny Knapsack")</f>
        <v>[LOJ 1127] Funny Knapsack</v>
      </c>
      <c r="B162" s="33">
        <f t="shared" si="2"/>
        <v>3</v>
      </c>
      <c r="C162" s="33"/>
      <c r="D162" s="34" t="s">
        <v>38</v>
      </c>
      <c r="E162" s="47" t="s">
        <v>38</v>
      </c>
      <c r="F162" s="38" t="s">
        <v>38</v>
      </c>
      <c r="G162" s="7"/>
    </row>
    <row r="163">
      <c r="A163" s="32" t="str">
        <f>HYPERLINK("http://lightoj.com/volume_showproblem.php?problem=1137","[LOJ 1137] Expanding Rods")</f>
        <v>[LOJ 1137] Expanding Rods</v>
      </c>
      <c r="B163" s="33">
        <f t="shared" si="2"/>
        <v>3</v>
      </c>
      <c r="C163" s="33"/>
      <c r="D163" s="34" t="s">
        <v>38</v>
      </c>
      <c r="E163" s="12" t="s">
        <v>38</v>
      </c>
      <c r="F163" s="38" t="s">
        <v>38</v>
      </c>
      <c r="G163" s="7"/>
    </row>
    <row r="164">
      <c r="A164" s="32" t="str">
        <f>HYPERLINK("http://lightoj.com/volume_showproblem.php?problem=1138","[LOJ 1138] Trailing Zeroes (III)")</f>
        <v>[LOJ 1138] Trailing Zeroes (III)</v>
      </c>
      <c r="B164" s="33">
        <f t="shared" si="2"/>
        <v>3</v>
      </c>
      <c r="C164" s="33"/>
      <c r="D164" s="34" t="s">
        <v>38</v>
      </c>
      <c r="E164" s="12" t="s">
        <v>38</v>
      </c>
      <c r="F164" s="45" t="s">
        <v>38</v>
      </c>
      <c r="G164" s="7"/>
    </row>
    <row r="165">
      <c r="A165" s="32" t="str">
        <f>HYPERLINK("http://lightoj.com/volume_showproblem.php?problem=1170","[LOJ 1170] Counting Perfect BST")</f>
        <v>[LOJ 1170] Counting Perfect BST</v>
      </c>
      <c r="B165" s="33">
        <f t="shared" si="2"/>
        <v>3</v>
      </c>
      <c r="C165" s="33"/>
      <c r="D165" s="34" t="s">
        <v>38</v>
      </c>
      <c r="E165" s="47" t="s">
        <v>38</v>
      </c>
      <c r="F165" s="38" t="s">
        <v>38</v>
      </c>
      <c r="G165" s="39"/>
    </row>
    <row r="166">
      <c r="A166" s="32" t="str">
        <f>HYPERLINK("http://lightoj.com/volume_showproblem.php?problem=1196","[LOJ 1196] Inhabitants")</f>
        <v>[LOJ 1196] Inhabitants</v>
      </c>
      <c r="B166" s="33">
        <f t="shared" si="2"/>
        <v>3</v>
      </c>
      <c r="C166" s="33"/>
      <c r="D166" s="34" t="s">
        <v>38</v>
      </c>
      <c r="E166" s="47" t="s">
        <v>38</v>
      </c>
      <c r="F166" s="45" t="s">
        <v>38</v>
      </c>
      <c r="G166" s="7"/>
    </row>
    <row r="167">
      <c r="A167" s="32" t="str">
        <f>HYPERLINK("http://lightoj.com/volume_showproblem.php?problem=1235","[LOJ 1235] COIN Change (IV)")</f>
        <v>[LOJ 1235] COIN Change (IV)</v>
      </c>
      <c r="B167" s="33">
        <f t="shared" si="2"/>
        <v>3</v>
      </c>
      <c r="C167" s="33"/>
      <c r="D167" s="34" t="s">
        <v>38</v>
      </c>
      <c r="E167" s="47" t="s">
        <v>38</v>
      </c>
      <c r="F167" s="38" t="s">
        <v>38</v>
      </c>
      <c r="G167" s="7"/>
    </row>
    <row r="168">
      <c r="A168" s="32" t="str">
        <f>HYPERLINK("http://lightoj.com/volume_showproblem.php?problem=1276","[LOJ 1276] Very Lucky Numbers")</f>
        <v>[LOJ 1276] Very Lucky Numbers</v>
      </c>
      <c r="B168" s="33">
        <f t="shared" si="2"/>
        <v>3</v>
      </c>
      <c r="C168" s="33"/>
      <c r="D168" s="34" t="s">
        <v>38</v>
      </c>
      <c r="E168" s="12" t="s">
        <v>38</v>
      </c>
      <c r="F168" s="38" t="s">
        <v>38</v>
      </c>
      <c r="G168" s="7"/>
    </row>
    <row r="169">
      <c r="A169" s="32" t="str">
        <f>HYPERLINK("http://lightoj.com/volume_showproblem.php?problem=1280","[LOJ 1280] Best Grade")</f>
        <v>[LOJ 1280] Best Grade</v>
      </c>
      <c r="B169" s="33">
        <f t="shared" si="2"/>
        <v>3</v>
      </c>
      <c r="C169" s="33"/>
      <c r="D169" s="34" t="s">
        <v>38</v>
      </c>
      <c r="E169" s="47" t="s">
        <v>38</v>
      </c>
      <c r="F169" s="38" t="s">
        <v>38</v>
      </c>
      <c r="G169" s="7"/>
    </row>
    <row r="170">
      <c r="A170" s="32" t="str">
        <f>HYPERLINK("http://lightoj.com/volume_showproblem.php?problem=1307","[LOJ 1307] Counting Triangles")</f>
        <v>[LOJ 1307] Counting Triangles</v>
      </c>
      <c r="B170" s="33">
        <f t="shared" si="2"/>
        <v>3</v>
      </c>
      <c r="C170" s="33"/>
      <c r="D170" s="34" t="s">
        <v>38</v>
      </c>
      <c r="E170" s="12" t="s">
        <v>38</v>
      </c>
      <c r="F170" s="45" t="s">
        <v>38</v>
      </c>
      <c r="G170" s="7"/>
    </row>
    <row r="171">
      <c r="A171" s="32" t="str">
        <f>HYPERLINK("http://lightoj.com/volume_showproblem.php?problem=1358","[LOJ 1358] Fukushima Nuclear Blast")</f>
        <v>[LOJ 1358] Fukushima Nuclear Blast</v>
      </c>
      <c r="B171" s="33">
        <f t="shared" si="2"/>
        <v>0</v>
      </c>
      <c r="C171" s="33"/>
      <c r="D171" s="34" t="s">
        <v>130</v>
      </c>
      <c r="E171" s="12"/>
      <c r="F171" s="37"/>
      <c r="G171" s="7"/>
    </row>
    <row r="172">
      <c r="A172" s="32" t="str">
        <f>HYPERLINK("http://lightoj.com/volume_showproblem.php?problem=1383","[LOJ 1383] Underwater Snipers")</f>
        <v>[LOJ 1383] Underwater Snipers</v>
      </c>
      <c r="B172" s="33">
        <f t="shared" si="2"/>
        <v>1</v>
      </c>
      <c r="C172" s="33"/>
      <c r="D172" s="34" t="s">
        <v>38</v>
      </c>
      <c r="E172" s="12"/>
      <c r="F172" s="37"/>
      <c r="G172" s="7"/>
    </row>
    <row r="173">
      <c r="A173" s="32" t="str">
        <f>HYPERLINK("http://lightoj.com/volume_showproblem.php?problem=1384","[LOJ 1384] Stream My Contest")</f>
        <v>[LOJ 1384] Stream My Contest</v>
      </c>
      <c r="B173" s="33">
        <f t="shared" si="2"/>
        <v>1</v>
      </c>
      <c r="C173" s="33"/>
      <c r="D173" s="34" t="s">
        <v>38</v>
      </c>
      <c r="E173" s="12"/>
      <c r="F173" s="37"/>
      <c r="G173" s="7"/>
    </row>
    <row r="174">
      <c r="A174" s="32" t="str">
        <f>HYPERLINK("http://lightoj.com/volume_showproblem.php?problem=1391","[LOJ 1391] Speed Zones")</f>
        <v>[LOJ 1391] Speed Zones</v>
      </c>
      <c r="B174" s="33">
        <f t="shared" si="2"/>
        <v>0</v>
      </c>
      <c r="C174" s="33"/>
      <c r="D174" s="34" t="s">
        <v>131</v>
      </c>
      <c r="E174" s="12"/>
      <c r="F174" s="37"/>
      <c r="G174" s="7"/>
    </row>
    <row r="175">
      <c r="A175" s="32" t="str">
        <f>HYPERLINK("http://lightoj.com/volume_showproblem.php?problem=1146","[LOJ 1146] Closest Distance")</f>
        <v>[LOJ 1146] Closest Distance</v>
      </c>
      <c r="B175" s="33">
        <f t="shared" si="2"/>
        <v>3</v>
      </c>
      <c r="C175" s="33"/>
      <c r="D175" s="34" t="s">
        <v>38</v>
      </c>
      <c r="E175" s="12" t="s">
        <v>38</v>
      </c>
      <c r="F175" s="45" t="s">
        <v>38</v>
      </c>
      <c r="G175" s="7"/>
    </row>
    <row r="176">
      <c r="A176" s="32" t="str">
        <f>HYPERLINK("http://lightoj.com/volume_showproblem.php?problem=1240","[LOJ 1240] Point Segment Distance (3D)")</f>
        <v>[LOJ 1240] Point Segment Distance (3D)</v>
      </c>
      <c r="B176" s="33">
        <f t="shared" si="2"/>
        <v>3</v>
      </c>
      <c r="C176" s="33"/>
      <c r="D176" s="34" t="s">
        <v>38</v>
      </c>
      <c r="E176" s="12" t="s">
        <v>38</v>
      </c>
      <c r="F176" s="45" t="s">
        <v>38</v>
      </c>
      <c r="G176" s="7"/>
    </row>
    <row r="177">
      <c r="A177" s="32" t="str">
        <f>HYPERLINK("https://uva.onlinejudge.org/index.php?option=com_onlinejudge&amp;Itemid=8&amp;page=show_problem&amp;problem=351","[UVa 410] Station Balance")</f>
        <v>[UVa 410] Station Balance</v>
      </c>
      <c r="B177" s="33">
        <f t="shared" si="2"/>
        <v>3</v>
      </c>
      <c r="C177" s="33"/>
      <c r="D177" s="34" t="s">
        <v>38</v>
      </c>
      <c r="E177" s="12" t="s">
        <v>38</v>
      </c>
      <c r="F177" s="45" t="s">
        <v>38</v>
      </c>
      <c r="G177" s="7"/>
    </row>
    <row r="178">
      <c r="A178" s="32" t="str">
        <f>HYPERLINK("https://uva.onlinejudge.org/index.php?option=com_onlinejudge&amp;Itemid=8&amp;page=show_problem&amp;problem=961","[UVa 10020] Minimal Coverage")</f>
        <v>[UVa 10020] Minimal Coverage</v>
      </c>
      <c r="B178" s="33">
        <f t="shared" si="2"/>
        <v>3</v>
      </c>
      <c r="C178" s="33"/>
      <c r="D178" s="34" t="s">
        <v>38</v>
      </c>
      <c r="E178" s="12" t="s">
        <v>38</v>
      </c>
      <c r="F178" s="45" t="s">
        <v>38</v>
      </c>
      <c r="G178" s="7"/>
    </row>
    <row r="179">
      <c r="A179" s="32" t="str">
        <f>HYPERLINK("https://uva.onlinejudge.org/index.php?option=onlinejudge&amp;page=show_problem&amp;problem=1281","[UVa 10340] All in All")</f>
        <v>[UVa 10340] All in All</v>
      </c>
      <c r="B179" s="33">
        <f t="shared" si="2"/>
        <v>3</v>
      </c>
      <c r="C179" s="33"/>
      <c r="D179" s="34" t="s">
        <v>38</v>
      </c>
      <c r="E179" s="35" t="s">
        <v>38</v>
      </c>
      <c r="F179" s="38" t="s">
        <v>38</v>
      </c>
      <c r="G179" s="37"/>
    </row>
    <row r="180">
      <c r="A180" s="32" t="str">
        <f>HYPERLINK("https://uva.onlinejudge.org/index.php?option=onlinejudge&amp;page=show_problem&amp;problem=1381","[UVa 10440] Ferry Loading II")</f>
        <v>[UVa 10440] Ferry Loading II</v>
      </c>
      <c r="B180" s="33">
        <f t="shared" si="2"/>
        <v>3</v>
      </c>
      <c r="C180" s="33"/>
      <c r="D180" s="34" t="s">
        <v>38</v>
      </c>
      <c r="E180" s="35" t="s">
        <v>38</v>
      </c>
      <c r="F180" s="38" t="s">
        <v>38</v>
      </c>
      <c r="G180" s="37"/>
    </row>
    <row r="181">
      <c r="A181" s="32" t="str">
        <f>HYPERLINK("https://uva.onlinejudge.org/index.php?option=com_onlinejudge&amp;Itemid=8&amp;page=show_problem&amp;problem=1611","[UVa 10670] Work Reduction")</f>
        <v>[UVa 10670] Work Reduction</v>
      </c>
      <c r="B181" s="33">
        <f t="shared" si="2"/>
        <v>3</v>
      </c>
      <c r="C181" s="33"/>
      <c r="D181" s="34" t="s">
        <v>38</v>
      </c>
      <c r="E181" s="12" t="s">
        <v>38</v>
      </c>
      <c r="F181" s="38" t="s">
        <v>38</v>
      </c>
      <c r="G181" s="7"/>
    </row>
    <row r="182">
      <c r="A182" s="32" t="str">
        <f>HYPERLINK("https://uva.onlinejudge.org/index.php?option=com_onlinejudge&amp;Itemid=8&amp;page=show_problem&amp;problem=1704","[UVa 10763] Foreign Exchange")</f>
        <v>[UVa 10763] Foreign Exchange</v>
      </c>
      <c r="B182" s="33">
        <f t="shared" si="2"/>
        <v>3</v>
      </c>
      <c r="C182" s="33"/>
      <c r="D182" s="34" t="s">
        <v>38</v>
      </c>
      <c r="E182" s="35" t="s">
        <v>38</v>
      </c>
      <c r="F182" s="38" t="s">
        <v>38</v>
      </c>
      <c r="G182" s="37"/>
    </row>
    <row r="183">
      <c r="A183" s="32" t="str">
        <f>HYPERLINK("https://uva.onlinejudge.org/index.php?option=com_onlinejudge&amp;Itemid=8&amp;page=show_problem&amp;problem=1995","[UVa 11054] Wine Trading in Gergovia")</f>
        <v>[UVa 11054] Wine Trading in Gergovia</v>
      </c>
      <c r="B183" s="33">
        <f t="shared" si="2"/>
        <v>3</v>
      </c>
      <c r="C183" s="33"/>
      <c r="D183" s="34" t="s">
        <v>38</v>
      </c>
      <c r="E183" s="35" t="s">
        <v>38</v>
      </c>
      <c r="F183" s="45" t="s">
        <v>38</v>
      </c>
      <c r="G183" s="37"/>
    </row>
    <row r="184">
      <c r="A184" s="32" t="str">
        <f>HYPERLINK("https://uva.onlinejudge.org/index.php?option=com_onlinejudge&amp;Itemid=8&amp;page=show_problem&amp;problem=2267","[UVa 11292] Dragon of Loowater")</f>
        <v>[UVa 11292] Dragon of Loowater</v>
      </c>
      <c r="B184" s="33">
        <f t="shared" si="2"/>
        <v>3</v>
      </c>
      <c r="C184" s="33"/>
      <c r="D184" s="34" t="s">
        <v>38</v>
      </c>
      <c r="E184" s="35" t="s">
        <v>38</v>
      </c>
      <c r="F184" s="38" t="s">
        <v>38</v>
      </c>
      <c r="G184" s="37"/>
    </row>
    <row r="185">
      <c r="A185" s="32" t="str">
        <f>HYPERLINK("https://uva.onlinejudge.org/index.php?option=onlinejudge&amp;page=show_problem&amp;problem=2354","[UVa 11369] Shopaholic")</f>
        <v>[UVa 11369] Shopaholic</v>
      </c>
      <c r="B185" s="33">
        <f t="shared" si="2"/>
        <v>3</v>
      </c>
      <c r="C185" s="33"/>
      <c r="D185" s="34" t="s">
        <v>38</v>
      </c>
      <c r="E185" s="35" t="s">
        <v>38</v>
      </c>
      <c r="F185" s="38" t="s">
        <v>38</v>
      </c>
      <c r="G185" s="37"/>
    </row>
    <row r="186">
      <c r="A186" s="32" t="str">
        <f>HYPERLINK("https://icpcarchive.ecs.baylor.edu/index.php?option=com_onlinejudge&amp;Itemid=8&amp;page=show_problem&amp;problem=4801","[LA 6789] Superstitious Socks")</f>
        <v>[LA 6789] Superstitious Socks</v>
      </c>
      <c r="B186" s="33">
        <f t="shared" si="2"/>
        <v>3</v>
      </c>
      <c r="C186" s="33"/>
      <c r="D186" s="34" t="s">
        <v>38</v>
      </c>
      <c r="E186" s="47" t="s">
        <v>38</v>
      </c>
      <c r="F186" s="38" t="s">
        <v>38</v>
      </c>
      <c r="G186" s="7"/>
    </row>
    <row r="187">
      <c r="A187" s="32" t="str">
        <f>HYPERLINK("https://icpcarchive.ecs.baylor.edu/index.php?option=com_onlinejudge&amp;Itemid=8&amp;page=show_problem&amp;problem=4840","[LA 6828] Help Cupid")</f>
        <v>[LA 6828] Help Cupid</v>
      </c>
      <c r="B187" s="33">
        <f t="shared" si="2"/>
        <v>3</v>
      </c>
      <c r="C187" s="33"/>
      <c r="D187" s="34" t="s">
        <v>38</v>
      </c>
      <c r="E187" s="12" t="s">
        <v>38</v>
      </c>
      <c r="F187" s="45" t="s">
        <v>38</v>
      </c>
      <c r="G187" s="7"/>
    </row>
    <row r="188">
      <c r="A188" s="32" t="str">
        <f>HYPERLINK("https://icpcarchive.ecs.baylor.edu/index.php?option=com_onlinejudge&amp;Itemid=8&amp;page=show_problem&amp;problem=4841","[LA 6829] Intrepid Climber")</f>
        <v>[LA 6829] Intrepid Climber</v>
      </c>
      <c r="B188" s="33">
        <f t="shared" si="2"/>
        <v>1</v>
      </c>
      <c r="C188" s="33"/>
      <c r="D188" s="34" t="s">
        <v>38</v>
      </c>
      <c r="E188" s="12"/>
      <c r="F188" s="7"/>
      <c r="G188" s="7"/>
    </row>
    <row r="189">
      <c r="A189" s="32" t="str">
        <f>HYPERLINK("https://icpcarchive.ecs.baylor.edu/index.php?option=com_onlinejudge&amp;Itemid=8&amp;category=672&amp;page=show_problem&amp;problem=4867","[LA 6855] Banks")</f>
        <v>[LA 6855] Banks</v>
      </c>
      <c r="B189" s="33">
        <f t="shared" si="2"/>
        <v>3</v>
      </c>
      <c r="C189" s="33"/>
      <c r="D189" s="34" t="s">
        <v>38</v>
      </c>
      <c r="E189" s="12" t="s">
        <v>38</v>
      </c>
      <c r="F189" s="45" t="s">
        <v>38</v>
      </c>
      <c r="G189" s="7"/>
    </row>
    <row r="190">
      <c r="A190" s="32" t="str">
        <f>HYPERLINK("https://icpcarchive.ecs.baylor.edu/index.php?option=com_onlinejudge&amp;Itemid=8&amp;page=show_problem&amp;problem=4952","[LA 6940] Burrito King")</f>
        <v>[LA 6940] Burrito King</v>
      </c>
      <c r="B190" s="33">
        <f t="shared" si="2"/>
        <v>1</v>
      </c>
      <c r="C190" s="33"/>
      <c r="D190" s="50" t="s">
        <v>38</v>
      </c>
      <c r="E190" s="12"/>
      <c r="F190" s="7"/>
      <c r="G190" s="7"/>
    </row>
    <row r="191">
      <c r="A191" s="32" t="str">
        <f>HYPERLINK("https://icpcarchive.ecs.baylor.edu/index.php?option=com_onlinejudge&amp;Itemid=8&amp;page=show_problem&amp;problem=4969","[LA 6957] Hyacinth")</f>
        <v>[LA 6957] Hyacinth</v>
      </c>
      <c r="B191" s="33">
        <f t="shared" si="2"/>
        <v>3</v>
      </c>
      <c r="C191" s="33"/>
      <c r="D191" s="34" t="s">
        <v>38</v>
      </c>
      <c r="E191" s="47" t="s">
        <v>38</v>
      </c>
      <c r="F191" s="38" t="s">
        <v>38</v>
      </c>
      <c r="G191" s="7"/>
    </row>
    <row r="192">
      <c r="A192" s="32" t="str">
        <f>HYPERLINK("https://icpcarchive.ecs.baylor.edu/index.php?option=com_onlinejudge&amp;Itemid=8&amp;page=show_problem&amp;problem=4991","[LA 6979] Known Notation")</f>
        <v>[LA 6979] Known Notation</v>
      </c>
      <c r="B192" s="33">
        <f t="shared" si="2"/>
        <v>2</v>
      </c>
      <c r="C192" s="33"/>
      <c r="D192" s="34" t="s">
        <v>38</v>
      </c>
      <c r="E192" s="12"/>
      <c r="F192" s="45" t="s">
        <v>38</v>
      </c>
      <c r="G192" s="7"/>
    </row>
    <row r="193">
      <c r="A193" s="32" t="str">
        <f>HYPERLINK("http://lightoj.com/volume_showproblem.php?problem=1016","[LOJ 1016] Brush (II)")</f>
        <v>[LOJ 1016] Brush (II)</v>
      </c>
      <c r="B193" s="33">
        <f t="shared" si="2"/>
        <v>3</v>
      </c>
      <c r="C193" s="33"/>
      <c r="D193" s="34" t="s">
        <v>38</v>
      </c>
      <c r="E193" s="12" t="s">
        <v>38</v>
      </c>
      <c r="F193" s="45" t="s">
        <v>38</v>
      </c>
      <c r="G193" s="7"/>
    </row>
    <row r="194">
      <c r="A194" s="32" t="str">
        <f>HYPERLINK("http://lightoj.com/volume_showproblem.php?problem=1166","[LOJ 1166] Old Sorting")</f>
        <v>[LOJ 1166] Old Sorting</v>
      </c>
      <c r="B194" s="33">
        <f t="shared" si="2"/>
        <v>3</v>
      </c>
      <c r="C194" s="33"/>
      <c r="D194" s="34" t="s">
        <v>38</v>
      </c>
      <c r="E194" s="35" t="s">
        <v>38</v>
      </c>
      <c r="F194" s="38" t="s">
        <v>38</v>
      </c>
      <c r="G194" s="37"/>
    </row>
    <row r="195">
      <c r="A195" s="32" t="str">
        <f>HYPERLINK("http://lightoj.com/volume_showproblem.php?problem=1198","[LOJ 1198] Karate Competition")</f>
        <v>[LOJ 1198] Karate Competition</v>
      </c>
      <c r="B195" s="33">
        <f t="shared" si="2"/>
        <v>3</v>
      </c>
      <c r="C195" s="33"/>
      <c r="D195" s="34" t="s">
        <v>38</v>
      </c>
      <c r="E195" s="35" t="s">
        <v>38</v>
      </c>
      <c r="F195" s="45" t="s">
        <v>38</v>
      </c>
      <c r="G195" s="37"/>
    </row>
    <row r="196">
      <c r="A196" s="32" t="str">
        <f>HYPERLINK("http://lightoj.com/volume_showproblem.php?problem=1219","[LOJ 1219] Mafia")</f>
        <v>[LOJ 1219] Mafia</v>
      </c>
      <c r="B196" s="33">
        <f t="shared" si="2"/>
        <v>3</v>
      </c>
      <c r="C196" s="33"/>
      <c r="D196" s="34" t="s">
        <v>38</v>
      </c>
      <c r="E196" s="47" t="s">
        <v>38</v>
      </c>
      <c r="F196" s="38" t="s">
        <v>38</v>
      </c>
      <c r="G196" s="39"/>
    </row>
    <row r="197">
      <c r="A197" s="32" t="str">
        <f>HYPERLINK("http://lightoj.com/volume_showproblem.php?problem=1301","[LOJ 1301] Monitoring Processes")</f>
        <v>[LOJ 1301] Monitoring Processes</v>
      </c>
      <c r="B197" s="33">
        <f t="shared" si="2"/>
        <v>3</v>
      </c>
      <c r="C197" s="33"/>
      <c r="D197" s="34" t="s">
        <v>38</v>
      </c>
      <c r="E197" s="47" t="s">
        <v>38</v>
      </c>
      <c r="F197" s="38" t="s">
        <v>38</v>
      </c>
      <c r="G197" s="7"/>
    </row>
    <row r="198">
      <c r="A198" s="32" t="str">
        <f>HYPERLINK("http://lightoj.com/volume_showproblem.php?problem=1328","[LOJ 1328] A Gift from the Setter")</f>
        <v>[LOJ 1328] A Gift from the Setter</v>
      </c>
      <c r="B198" s="33">
        <f t="shared" si="2"/>
        <v>3</v>
      </c>
      <c r="C198" s="33"/>
      <c r="D198" s="34" t="s">
        <v>38</v>
      </c>
      <c r="E198" s="12" t="s">
        <v>38</v>
      </c>
      <c r="F198" s="45" t="s">
        <v>38</v>
      </c>
      <c r="G198" s="7"/>
    </row>
    <row r="199">
      <c r="A199" s="32" t="str">
        <f>HYPERLINK("http://lightoj.com/volume_showproblem.php?problem=1363","[LOJ 1363] Binary Matrix (II)")</f>
        <v>[LOJ 1363] Binary Matrix (II)</v>
      </c>
      <c r="B199" s="33">
        <f t="shared" si="2"/>
        <v>1</v>
      </c>
      <c r="C199" s="33"/>
      <c r="D199" s="50" t="s">
        <v>38</v>
      </c>
      <c r="E199" s="12"/>
      <c r="F199" s="7"/>
      <c r="G199" s="7"/>
    </row>
    <row r="200">
      <c r="A200" s="32" t="str">
        <f>HYPERLINK("http://lightoj.com/volume_showproblem.php?problem=1374","[LOJ 1374] Confusion in the Problemset")</f>
        <v>[LOJ 1374] Confusion in the Problemset</v>
      </c>
      <c r="B200" s="33">
        <f t="shared" si="2"/>
        <v>3</v>
      </c>
      <c r="C200" s="33"/>
      <c r="D200" s="34" t="s">
        <v>38</v>
      </c>
      <c r="E200" s="12" t="s">
        <v>38</v>
      </c>
      <c r="F200" s="45" t="s">
        <v>38</v>
      </c>
      <c r="G200" s="7"/>
    </row>
    <row r="201">
      <c r="A201" s="32" t="str">
        <f>HYPERLINK("http://lightoj.com/volume_showproblem.php?problem=1389","[LOJ 1389] Scarecrow")</f>
        <v>[LOJ 1389] Scarecrow</v>
      </c>
      <c r="B201" s="33">
        <f t="shared" si="2"/>
        <v>3</v>
      </c>
      <c r="C201" s="33"/>
      <c r="D201" s="34" t="s">
        <v>38</v>
      </c>
      <c r="E201" s="35" t="s">
        <v>38</v>
      </c>
      <c r="F201" s="45" t="s">
        <v>38</v>
      </c>
      <c r="G201" s="37"/>
    </row>
    <row r="202">
      <c r="A202" s="32" t="str">
        <f>HYPERLINK("http://lightoj.com/volume_showproblem.php?problem=1396","[LOJ 1396] Palindromic Numbers (III)")</f>
        <v>[LOJ 1396] Palindromic Numbers (III)</v>
      </c>
      <c r="B202" s="33">
        <f t="shared" si="2"/>
        <v>3</v>
      </c>
      <c r="C202" s="33"/>
      <c r="D202" s="34" t="s">
        <v>38</v>
      </c>
      <c r="E202" s="47" t="s">
        <v>38</v>
      </c>
      <c r="F202" s="38" t="s">
        <v>38</v>
      </c>
      <c r="G202" s="39"/>
    </row>
    <row r="203">
      <c r="A203" s="32" t="str">
        <f>HYPERLINK("http://lightoj.com/volume_showproblem.php?problem=1425","[LOJ 1425] The Monkey and the Oiled Bamboo")</f>
        <v>[LOJ 1425] The Monkey and the Oiled Bamboo</v>
      </c>
      <c r="B203" s="33">
        <f t="shared" si="2"/>
        <v>3</v>
      </c>
      <c r="C203" s="33"/>
      <c r="D203" s="34" t="s">
        <v>38</v>
      </c>
      <c r="E203" s="12" t="s">
        <v>38</v>
      </c>
      <c r="F203" s="45" t="s">
        <v>38</v>
      </c>
      <c r="G203" s="7"/>
    </row>
    <row r="204">
      <c r="A204" s="32" t="str">
        <f>HYPERLINK("https://uva.onlinejudge.org/index.php?option=com_onlinejudge&amp;Itemid=8&amp;page=show_problem&amp;problem=96","[UVa 160] Factors and Factorials")</f>
        <v>[UVa 160] Factors and Factorials</v>
      </c>
      <c r="B204" s="33">
        <f t="shared" si="2"/>
        <v>3</v>
      </c>
      <c r="C204" s="33"/>
      <c r="D204" s="34" t="s">
        <v>38</v>
      </c>
      <c r="E204" s="35" t="s">
        <v>38</v>
      </c>
      <c r="F204" s="45" t="s">
        <v>38</v>
      </c>
      <c r="G204" s="37"/>
    </row>
    <row r="205">
      <c r="A205" s="32" t="str">
        <f>HYPERLINK("https://uva.onlinejudge.org/index.php?option=com_onlinejudge&amp;Itemid=8&amp;page=show_problem&amp;problem=230","[UVa 294] Divisors")</f>
        <v>[UVa 294] Divisors</v>
      </c>
      <c r="B205" s="33">
        <f t="shared" si="2"/>
        <v>3</v>
      </c>
      <c r="C205" s="33"/>
      <c r="D205" s="34" t="s">
        <v>38</v>
      </c>
      <c r="E205" s="35" t="s">
        <v>38</v>
      </c>
      <c r="F205" s="38" t="s">
        <v>38</v>
      </c>
      <c r="G205" s="37"/>
    </row>
    <row r="206">
      <c r="A206" s="32" t="str">
        <f>HYPERLINK("https://uva.onlinejudge.org/index.php?option=com_onlinejudge&amp;Itemid=8&amp;page=show_problem&amp;problem=347","[UVa 406] Prime Cuts")</f>
        <v>[UVa 406] Prime Cuts</v>
      </c>
      <c r="B206" s="33">
        <f t="shared" si="2"/>
        <v>3</v>
      </c>
      <c r="C206" s="33"/>
      <c r="D206" s="34" t="s">
        <v>38</v>
      </c>
      <c r="E206" s="35" t="s">
        <v>38</v>
      </c>
      <c r="F206" s="38" t="s">
        <v>38</v>
      </c>
      <c r="G206" s="37"/>
    </row>
    <row r="207">
      <c r="A207" s="32" t="str">
        <f>HYPERLINK("https://uva.onlinejudge.org/index.php?option=onlinejudge&amp;page=show_problem&amp;problem=353","[UVa 412] Pi")</f>
        <v>[UVa 412] Pi</v>
      </c>
      <c r="B207" s="33">
        <f t="shared" si="2"/>
        <v>3</v>
      </c>
      <c r="C207" s="33"/>
      <c r="D207" s="34" t="s">
        <v>38</v>
      </c>
      <c r="E207" s="35" t="s">
        <v>38</v>
      </c>
      <c r="F207" s="45" t="s">
        <v>38</v>
      </c>
      <c r="G207" s="37"/>
    </row>
    <row r="208">
      <c r="A208" s="32" t="str">
        <f>HYPERLINK("https://uva.onlinejudge.org/index.php?option=com_onlinejudge&amp;Itemid=8&amp;page=show_problem&amp;problem=457","[UVa 516] Prime Land")</f>
        <v>[UVa 516] Prime Land</v>
      </c>
      <c r="B208" s="33">
        <f t="shared" si="2"/>
        <v>3</v>
      </c>
      <c r="C208" s="33"/>
      <c r="D208" s="34" t="s">
        <v>38</v>
      </c>
      <c r="E208" s="35" t="s">
        <v>38</v>
      </c>
      <c r="F208" s="45" t="s">
        <v>38</v>
      </c>
      <c r="G208" s="37"/>
    </row>
    <row r="209">
      <c r="A209" s="32" t="str">
        <f>HYPERLINK("https://uva.onlinejudge.org/index.php?option=onlinejudge&amp;page=show_problem&amp;problem=484","[UVa 543] Goldbach's Conjecture")</f>
        <v>[UVa 543] Goldbach's Conjecture</v>
      </c>
      <c r="B209" s="33">
        <f t="shared" si="2"/>
        <v>3</v>
      </c>
      <c r="C209" s="33"/>
      <c r="D209" s="34" t="s">
        <v>38</v>
      </c>
      <c r="E209" s="35" t="s">
        <v>38</v>
      </c>
      <c r="F209" s="38" t="s">
        <v>38</v>
      </c>
      <c r="G209" s="37"/>
    </row>
    <row r="210">
      <c r="A210" s="32" t="str">
        <f>HYPERLINK("https://uva.onlinejudge.org/index.php?option=com_onlinejudge&amp;Itemid=8&amp;category=24&amp;page=show_problem&amp;problem=524","[UVa 583] Prime Factors")</f>
        <v>[UVa 583] Prime Factors</v>
      </c>
      <c r="B210" s="33">
        <f t="shared" si="2"/>
        <v>3</v>
      </c>
      <c r="C210" s="33"/>
      <c r="D210" s="34" t="s">
        <v>38</v>
      </c>
      <c r="E210" s="35" t="s">
        <v>38</v>
      </c>
      <c r="F210" s="38" t="s">
        <v>38</v>
      </c>
      <c r="G210" s="37"/>
    </row>
    <row r="211">
      <c r="A211" s="32" t="str">
        <f>HYPERLINK("https://uva.onlinejudge.org/index.php?option=onlinejudge&amp;page=show_problem&amp;problem=627","[UVa 686] Goldbach's Conjecture (II)")</f>
        <v>[UVa 686] Goldbach's Conjecture (II)</v>
      </c>
      <c r="B211" s="33">
        <f t="shared" si="2"/>
        <v>3</v>
      </c>
      <c r="C211" s="33"/>
      <c r="D211" s="34" t="s">
        <v>38</v>
      </c>
      <c r="E211" s="35" t="s">
        <v>38</v>
      </c>
      <c r="F211" s="38" t="s">
        <v>38</v>
      </c>
      <c r="G211" s="37"/>
    </row>
    <row r="212">
      <c r="A212" s="32" t="str">
        <f>HYPERLINK("https://uva.onlinejudge.org/index.php?option=com_onlinejudge&amp;Itemid=8&amp;page=show_problem&amp;problem=825","[UVa 884] Factorial Factors")</f>
        <v>[UVa 884] Factorial Factors</v>
      </c>
      <c r="B212" s="33">
        <f t="shared" si="2"/>
        <v>3</v>
      </c>
      <c r="C212" s="33"/>
      <c r="D212" s="34" t="s">
        <v>38</v>
      </c>
      <c r="E212" s="35" t="s">
        <v>38</v>
      </c>
      <c r="F212" s="38" t="s">
        <v>38</v>
      </c>
      <c r="G212" s="37"/>
    </row>
    <row r="213">
      <c r="A213" s="32" t="str">
        <f>HYPERLINK("https://uva.onlinejudge.org/index.php?option=com_onlinejudge&amp;Itemid=8&amp;page=show_problem&amp;problem=1002","[UVa 10061] How Many Zero's and How Many Digits")</f>
        <v>[UVa 10061] How Many Zero's and How Many Digits</v>
      </c>
      <c r="B213" s="33">
        <f t="shared" si="2"/>
        <v>3</v>
      </c>
      <c r="C213" s="33"/>
      <c r="D213" s="34" t="s">
        <v>38</v>
      </c>
      <c r="E213" s="12" t="s">
        <v>38</v>
      </c>
      <c r="F213" s="45" t="s">
        <v>38</v>
      </c>
      <c r="G213" s="7"/>
    </row>
    <row r="214">
      <c r="A214" s="32" t="str">
        <f>HYPERLINK("https://uva.onlinejudge.org/index.php?option=com_onlinejudge&amp;Itemid=8&amp;page=show_problem&amp;problem=1080","[UVa 10139] Factovisors")</f>
        <v>[UVa 10139] Factovisors</v>
      </c>
      <c r="B214" s="33">
        <f t="shared" si="2"/>
        <v>3</v>
      </c>
      <c r="C214" s="33"/>
      <c r="D214" s="34" t="s">
        <v>38</v>
      </c>
      <c r="E214" s="35" t="s">
        <v>38</v>
      </c>
      <c r="F214" s="38" t="s">
        <v>38</v>
      </c>
      <c r="G214" s="37"/>
    </row>
    <row r="215">
      <c r="A215" s="32" t="str">
        <f>HYPERLINK("https://uva.onlinejudge.org/index.php?option=onlinejudge&amp;page=show_problem&amp;problem=1081","[UVa 10140] Prime Distance")</f>
        <v>[UVa 10140] Prime Distance</v>
      </c>
      <c r="B215" s="33">
        <f t="shared" si="2"/>
        <v>3</v>
      </c>
      <c r="C215" s="33"/>
      <c r="D215" s="34" t="s">
        <v>38</v>
      </c>
      <c r="E215" s="12" t="s">
        <v>38</v>
      </c>
      <c r="F215" s="38" t="s">
        <v>38</v>
      </c>
      <c r="G215" s="7"/>
    </row>
    <row r="216">
      <c r="A216" s="32" t="str">
        <f>HYPERLINK("https://uva.onlinejudge.org/index.php?option=onlinejudge&amp;page=show_problem&amp;problem=1109","[UVa 10168] Summation of Four Primes")</f>
        <v>[UVa 10168] Summation of Four Primes</v>
      </c>
      <c r="B216" s="33">
        <f t="shared" si="2"/>
        <v>3</v>
      </c>
      <c r="C216" s="33"/>
      <c r="D216" s="34" t="s">
        <v>38</v>
      </c>
      <c r="E216" s="12" t="s">
        <v>38</v>
      </c>
      <c r="F216" s="38" t="s">
        <v>38</v>
      </c>
      <c r="G216" s="7"/>
    </row>
    <row r="217">
      <c r="A217" s="32" t="str">
        <f>HYPERLINK("https://uva.onlinejudge.org/index.php?option=onlinejudge&amp;page=show_problem&amp;problem=1120","[UVa 10179] Irreducable Basic Fractions")</f>
        <v>[UVa 10179] Irreducable Basic Fractions</v>
      </c>
      <c r="B217" s="33">
        <f t="shared" si="2"/>
        <v>3</v>
      </c>
      <c r="C217" s="33"/>
      <c r="D217" s="34" t="s">
        <v>38</v>
      </c>
      <c r="E217" s="35" t="s">
        <v>38</v>
      </c>
      <c r="F217" s="45" t="s">
        <v>38</v>
      </c>
      <c r="G217" s="37"/>
    </row>
    <row r="218">
      <c r="A218" s="32" t="str">
        <f>HYPERLINK("https://uva.onlinejudge.org/index.php?option=onlinejudge&amp;page=show_problem&amp;problem=1153","[UVa 10212] The Last Non-zero Digit")</f>
        <v>[UVa 10212] The Last Non-zero Digit</v>
      </c>
      <c r="B218" s="33">
        <f t="shared" si="2"/>
        <v>3</v>
      </c>
      <c r="C218" s="33"/>
      <c r="D218" s="34" t="s">
        <v>38</v>
      </c>
      <c r="E218" s="12" t="s">
        <v>38</v>
      </c>
      <c r="F218" s="45" t="s">
        <v>38</v>
      </c>
      <c r="G218" s="7"/>
    </row>
    <row r="219">
      <c r="A219" s="32" t="str">
        <f>HYPERLINK("https://uva.onlinejudge.org/index.php?option=onlinejudge&amp;page=show_problem&amp;problem=1240","[UVa 10299] Relatives")</f>
        <v>[UVa 10299] Relatives</v>
      </c>
      <c r="B219" s="33">
        <f t="shared" si="2"/>
        <v>3</v>
      </c>
      <c r="C219" s="33"/>
      <c r="D219" s="34" t="s">
        <v>38</v>
      </c>
      <c r="E219" s="35" t="s">
        <v>38</v>
      </c>
      <c r="F219" s="38" t="s">
        <v>38</v>
      </c>
      <c r="G219" s="37"/>
    </row>
    <row r="220">
      <c r="A220" s="32" t="str">
        <f>HYPERLINK("https://uva.onlinejudge.org/index.php?option=onlinejudge&amp;page=show_problem&amp;problem=1252","[UVa 10311] Goldbach and Euler")</f>
        <v>[UVa 10311] Goldbach and Euler</v>
      </c>
      <c r="B220" s="33">
        <f t="shared" si="2"/>
        <v>3</v>
      </c>
      <c r="C220" s="33"/>
      <c r="D220" s="34" t="s">
        <v>38</v>
      </c>
      <c r="E220" s="12" t="s">
        <v>38</v>
      </c>
      <c r="F220" s="45" t="s">
        <v>38</v>
      </c>
      <c r="G220" s="7"/>
    </row>
    <row r="221">
      <c r="A221" s="32" t="str">
        <f>HYPERLINK("https://uva.onlinejudge.org/index.php?option=onlinejudge&amp;page=show_problem&amp;problem=1333","[UVa 10392] Factoring Large Numbers")</f>
        <v>[UVa 10392] Factoring Large Numbers</v>
      </c>
      <c r="B221" s="33">
        <f t="shared" si="2"/>
        <v>3</v>
      </c>
      <c r="C221" s="33"/>
      <c r="D221" s="34" t="s">
        <v>38</v>
      </c>
      <c r="E221" s="12" t="s">
        <v>38</v>
      </c>
      <c r="F221" s="45" t="s">
        <v>38</v>
      </c>
      <c r="G221" s="7"/>
    </row>
    <row r="222">
      <c r="A222" s="32" t="str">
        <f>HYPERLINK("https://uva.onlinejudge.org/index.php?option=onlinejudge&amp;page=show_problem&amp;problem=1335","[UVa 10394] Twin Primes")</f>
        <v>[UVa 10394] Twin Primes</v>
      </c>
      <c r="B222" s="33">
        <f t="shared" si="2"/>
        <v>3</v>
      </c>
      <c r="C222" s="33"/>
      <c r="D222" s="34" t="s">
        <v>38</v>
      </c>
      <c r="E222" s="35" t="s">
        <v>38</v>
      </c>
      <c r="F222" s="38" t="s">
        <v>38</v>
      </c>
      <c r="G222" s="37"/>
    </row>
    <row r="223">
      <c r="A223" s="32" t="str">
        <f>HYPERLINK("https://uva.onlinejudge.org/index.php?option=onlinejudge&amp;page=show_problem&amp;problem=1348","[UVa 10407] Simple Division")</f>
        <v>[UVa 10407] Simple Division</v>
      </c>
      <c r="B223" s="33">
        <f t="shared" si="2"/>
        <v>3</v>
      </c>
      <c r="C223" s="33"/>
      <c r="D223" s="34" t="s">
        <v>38</v>
      </c>
      <c r="E223" s="12" t="s">
        <v>38</v>
      </c>
      <c r="F223" s="38" t="s">
        <v>38</v>
      </c>
      <c r="G223" s="7"/>
    </row>
    <row r="224">
      <c r="A224" s="32" t="str">
        <f>HYPERLINK("https://uva.onlinejudge.org/index.php?option=onlinejudge&amp;page=show_problem&amp;problem=1425","[UVa 10484] Divisibility of Factors")</f>
        <v>[UVa 10484] Divisibility of Factors</v>
      </c>
      <c r="B224" s="33">
        <f t="shared" si="2"/>
        <v>3</v>
      </c>
      <c r="C224" s="33"/>
      <c r="D224" s="34" t="s">
        <v>38</v>
      </c>
      <c r="E224" s="12" t="s">
        <v>38</v>
      </c>
      <c r="F224" s="45" t="s">
        <v>38</v>
      </c>
      <c r="G224" s="7"/>
    </row>
    <row r="225">
      <c r="A225" s="32" t="str">
        <f>HYPERLINK("https://uva.onlinejudge.org/index.php?option=onlinejudge&amp;page=show_problem&amp;problem=1474","[UVa 10533] Digit Primes")</f>
        <v>[UVa 10533] Digit Primes</v>
      </c>
      <c r="B225" s="33">
        <f t="shared" si="2"/>
        <v>3</v>
      </c>
      <c r="C225" s="33"/>
      <c r="D225" s="34" t="s">
        <v>38</v>
      </c>
      <c r="E225" s="35" t="s">
        <v>38</v>
      </c>
      <c r="F225" s="38" t="s">
        <v>38</v>
      </c>
      <c r="G225" s="37"/>
    </row>
    <row r="226">
      <c r="A226" s="32" t="str">
        <f>HYPERLINK("https://uva.onlinejudge.org/index.php?option=onlinejudge&amp;page=show_problem&amp;problem=1480","[UVa 10539] Almost Prime Numbers")</f>
        <v>[UVa 10539] Almost Prime Numbers</v>
      </c>
      <c r="B226" s="33">
        <f t="shared" si="2"/>
        <v>3</v>
      </c>
      <c r="C226" s="33"/>
      <c r="D226" s="34" t="s">
        <v>38</v>
      </c>
      <c r="E226" s="35" t="s">
        <v>38</v>
      </c>
      <c r="F226" s="38" t="s">
        <v>38</v>
      </c>
      <c r="G226" s="37"/>
    </row>
    <row r="227">
      <c r="A227" s="32" t="str">
        <f>HYPERLINK("https://uva.onlinejudge.org/index.php?option=com_onlinejudge&amp;Itemid=8&amp;page=show_problem&amp;problem=1591","[UVa 10650] Determinate Prime")</f>
        <v>[UVa 10650] Determinate Prime</v>
      </c>
      <c r="B227" s="33">
        <f t="shared" si="2"/>
        <v>3</v>
      </c>
      <c r="C227" s="33"/>
      <c r="D227" s="34" t="s">
        <v>38</v>
      </c>
      <c r="E227" s="35" t="s">
        <v>38</v>
      </c>
      <c r="F227" s="45" t="s">
        <v>38</v>
      </c>
      <c r="G227" s="37"/>
    </row>
    <row r="228">
      <c r="A228" s="32" t="str">
        <f>HYPERLINK("https://uva.onlinejudge.org/index.php?option=com_onlinejudge&amp;Itemid=8&amp;page=show_problem&amp;problem=1621","[UVa 10680] LCM")</f>
        <v>[UVa 10680] LCM</v>
      </c>
      <c r="B228" s="33">
        <f t="shared" si="2"/>
        <v>3</v>
      </c>
      <c r="C228" s="33"/>
      <c r="D228" s="34" t="s">
        <v>38</v>
      </c>
      <c r="E228" s="12" t="s">
        <v>38</v>
      </c>
      <c r="F228" s="38" t="s">
        <v>38</v>
      </c>
      <c r="G228" s="7"/>
    </row>
    <row r="229">
      <c r="A229" s="32" t="str">
        <f>HYPERLINK("https://uva.onlinejudge.org/index.php?option=com_onlinejudge&amp;Itemid=8&amp;page=show_problem&amp;problem=1640","[UVa 10699] Count the Factors")</f>
        <v>[UVa 10699] Count the Factors</v>
      </c>
      <c r="B229" s="33">
        <f t="shared" si="2"/>
        <v>3</v>
      </c>
      <c r="C229" s="33"/>
      <c r="D229" s="34" t="s">
        <v>38</v>
      </c>
      <c r="E229" s="35" t="s">
        <v>38</v>
      </c>
      <c r="F229" s="38" t="s">
        <v>38</v>
      </c>
      <c r="G229" s="37"/>
    </row>
    <row r="230">
      <c r="A230" s="32" t="str">
        <f>HYPERLINK("https://uva.onlinejudge.org/index.php?option=com_onlinejudge&amp;Itemid=8&amp;page=show_problem&amp;problem=1679","[UVa 10738] Riemann vs Mertens")</f>
        <v>[UVa 10738] Riemann vs Mertens</v>
      </c>
      <c r="B230" s="33">
        <f t="shared" si="2"/>
        <v>3</v>
      </c>
      <c r="C230" s="33"/>
      <c r="D230" s="34" t="s">
        <v>38</v>
      </c>
      <c r="E230" s="12" t="s">
        <v>38</v>
      </c>
      <c r="F230" s="45" t="s">
        <v>38</v>
      </c>
      <c r="G230" s="7"/>
    </row>
    <row r="231">
      <c r="A231" s="32" t="str">
        <f>HYPERLINK("https://uva.onlinejudge.org/index.php?option=com_onlinejudge&amp;Itemid=8&amp;page=show_problem&amp;problem=1683","[UVa 10742] The New Rule in Euphomia")</f>
        <v>[UVa 10742] The New Rule in Euphomia</v>
      </c>
      <c r="B231" s="33">
        <f t="shared" si="2"/>
        <v>3</v>
      </c>
      <c r="C231" s="33"/>
      <c r="D231" s="34" t="s">
        <v>38</v>
      </c>
      <c r="E231" s="12" t="s">
        <v>38</v>
      </c>
      <c r="F231" s="45" t="s">
        <v>38</v>
      </c>
      <c r="G231" s="7"/>
    </row>
    <row r="232">
      <c r="A232" s="32" t="str">
        <f>HYPERLINK("https://uva.onlinejudge.org/index.php?option=com_onlinejudge&amp;Itemid=8&amp;page=show_problem&amp;problem=1721","[UVa 10780] Again Prime? No Time")</f>
        <v>[UVa 10780] Again Prime? No Time</v>
      </c>
      <c r="B232" s="33">
        <f t="shared" si="2"/>
        <v>3</v>
      </c>
      <c r="C232" s="33"/>
      <c r="D232" s="34" t="s">
        <v>38</v>
      </c>
      <c r="E232" s="12" t="s">
        <v>38</v>
      </c>
      <c r="F232" s="45" t="s">
        <v>38</v>
      </c>
      <c r="G232" s="7"/>
    </row>
    <row r="233">
      <c r="A233" s="32" t="str">
        <f>HYPERLINK("https://uva.onlinejudge.org/index.php?option=com_onlinejudge&amp;Itemid=8&amp;page=show_problem&amp;problem=1730","[UVa 10789] Prime Frequency")</f>
        <v>[UVa 10789] Prime Frequency</v>
      </c>
      <c r="B233" s="33">
        <f t="shared" si="2"/>
        <v>3</v>
      </c>
      <c r="C233" s="33"/>
      <c r="D233" s="34" t="s">
        <v>38</v>
      </c>
      <c r="E233" s="35" t="s">
        <v>38</v>
      </c>
      <c r="F233" s="38" t="s">
        <v>38</v>
      </c>
      <c r="G233" s="37"/>
    </row>
    <row r="234">
      <c r="A234" s="32" t="str">
        <f>HYPERLINK("https://uva.onlinejudge.org/index.php?option=onlinejudge&amp;page=show_problem&amp;problem=1732","[UVa 10791] Minimum Sum LCM")</f>
        <v>[UVa 10791] Minimum Sum LCM</v>
      </c>
      <c r="B234" s="33">
        <f t="shared" si="2"/>
        <v>3</v>
      </c>
      <c r="C234" s="33"/>
      <c r="D234" s="34" t="s">
        <v>38</v>
      </c>
      <c r="E234" s="12" t="s">
        <v>38</v>
      </c>
      <c r="F234" s="45" t="s">
        <v>38</v>
      </c>
      <c r="G234" s="7"/>
    </row>
    <row r="235">
      <c r="A235" s="32" t="str">
        <f>HYPERLINK("https://uva.onlinejudge.org/index.php?option=com_onlinejudge&amp;Itemid=8&amp;page=show_problem&amp;problem=1761","[UVa 10820] Send a Table")</f>
        <v>[UVa 10820] Send a Table</v>
      </c>
      <c r="B235" s="33">
        <f t="shared" si="2"/>
        <v>3</v>
      </c>
      <c r="C235" s="33"/>
      <c r="D235" s="34" t="s">
        <v>38</v>
      </c>
      <c r="E235" s="12" t="s">
        <v>38</v>
      </c>
      <c r="F235" s="45" t="s">
        <v>38</v>
      </c>
      <c r="G235" s="7"/>
    </row>
    <row r="236">
      <c r="A236" s="32" t="str">
        <f>HYPERLINK("https://uva.onlinejudge.org/index.php?option=onlinejudge&amp;page=show_problem&amp;problem=1771","[UVa 10830] A New Function")</f>
        <v>[UVa 10830] A New Function</v>
      </c>
      <c r="B236" s="33">
        <f t="shared" si="2"/>
        <v>3</v>
      </c>
      <c r="C236" s="33"/>
      <c r="D236" s="34" t="s">
        <v>38</v>
      </c>
      <c r="E236" s="12" t="s">
        <v>38</v>
      </c>
      <c r="F236" s="38" t="s">
        <v>38</v>
      </c>
      <c r="G236" s="7"/>
    </row>
    <row r="237">
      <c r="A237" s="32" t="str">
        <f>HYPERLINK("https://uva.onlinejudge.org/index.php?option=onlinejudge&amp;page=show_problem&amp;problem=1797","[UVa 10856] Recover Factorial")</f>
        <v>[UVa 10856] Recover Factorial</v>
      </c>
      <c r="B237" s="33">
        <f t="shared" si="2"/>
        <v>3</v>
      </c>
      <c r="C237" s="33"/>
      <c r="D237" s="34" t="s">
        <v>38</v>
      </c>
      <c r="E237" s="12" t="s">
        <v>38</v>
      </c>
      <c r="F237" s="45" t="s">
        <v>38</v>
      </c>
      <c r="G237" s="7"/>
    </row>
    <row r="238">
      <c r="A238" s="32" t="str">
        <f>HYPERLINK("https://uva.onlinejudge.org/index.php?option=onlinejudge&amp;page=show_problem&amp;problem=1799","[UVa 10858] Unique Factorization")</f>
        <v>[UVa 10858] Unique Factorization</v>
      </c>
      <c r="B238" s="33">
        <f t="shared" si="2"/>
        <v>3</v>
      </c>
      <c r="C238" s="33"/>
      <c r="D238" s="34" t="s">
        <v>38</v>
      </c>
      <c r="E238" s="12" t="s">
        <v>38</v>
      </c>
      <c r="F238" s="38" t="s">
        <v>38</v>
      </c>
      <c r="G238" s="7"/>
    </row>
    <row r="239">
      <c r="A239" s="32" t="str">
        <f>HYPERLINK("https://uva.onlinejudge.org/index.php?option=onlinejudge&amp;page=show_problem&amp;problem=1833","[UVa 10892] LCM Cardinality")</f>
        <v>[UVa 10892] LCM Cardinality</v>
      </c>
      <c r="B239" s="33">
        <f t="shared" si="2"/>
        <v>3</v>
      </c>
      <c r="C239" s="33"/>
      <c r="D239" s="34" t="s">
        <v>38</v>
      </c>
      <c r="E239" s="12" t="s">
        <v>38</v>
      </c>
      <c r="F239" s="38" t="s">
        <v>38</v>
      </c>
      <c r="G239" s="7"/>
    </row>
    <row r="240">
      <c r="A240" s="32" t="str">
        <f>HYPERLINK("https://uva.onlinejudge.org/index.php?option=onlinejudge&amp;page=show_problem&amp;problem=1855","[UVa 10914] Abundance and Perfect Numbers")</f>
        <v>[UVa 10914] Abundance and Perfect Numbers</v>
      </c>
      <c r="B240" s="33">
        <f t="shared" si="2"/>
        <v>3</v>
      </c>
      <c r="C240" s="33"/>
      <c r="D240" s="34" t="s">
        <v>38</v>
      </c>
      <c r="E240" s="12" t="s">
        <v>38</v>
      </c>
      <c r="F240" s="38" t="s">
        <v>38</v>
      </c>
      <c r="G240" s="7"/>
    </row>
    <row r="241">
      <c r="A241" s="32" t="str">
        <f>HYPERLINK("https://uva.onlinejudge.org/index.php?option=com_onlinejudge&amp;Itemid=8&amp;page=show_problem&amp;problem=1897","[UVa 10956] Prime Suspects")</f>
        <v>[UVa 10956] Prime Suspects</v>
      </c>
      <c r="B241" s="33">
        <f t="shared" si="2"/>
        <v>3</v>
      </c>
      <c r="C241" s="33"/>
      <c r="D241" s="34" t="s">
        <v>38</v>
      </c>
      <c r="E241" s="47" t="s">
        <v>38</v>
      </c>
      <c r="F241" s="38" t="s">
        <v>38</v>
      </c>
      <c r="G241" s="7"/>
    </row>
    <row r="242">
      <c r="A242" s="32" t="str">
        <f>HYPERLINK("https://uva.onlinejudge.org/index.php?option=onlinejudge&amp;page=show_problem&amp;problem=1931","[UVa 10990] Another New Function")</f>
        <v>[UVa 10990] Another New Function</v>
      </c>
      <c r="B242" s="33">
        <f t="shared" si="2"/>
        <v>3</v>
      </c>
      <c r="C242" s="33"/>
      <c r="D242" s="34" t="s">
        <v>38</v>
      </c>
      <c r="E242" s="12" t="s">
        <v>38</v>
      </c>
      <c r="F242" s="38" t="s">
        <v>38</v>
      </c>
      <c r="G242" s="39"/>
    </row>
    <row r="243">
      <c r="A243" s="32" t="str">
        <f>HYPERLINK("https://icpcarchive.ecs.baylor.edu/index.php?option=com_onlinejudge&amp;Itemid=8&amp;page=show_problem&amp;problem=195","[LA 2194] The Luncheon")</f>
        <v>[LA 2194] The Luncheon</v>
      </c>
      <c r="B243" s="33">
        <f t="shared" si="2"/>
        <v>1</v>
      </c>
      <c r="C243" s="33"/>
      <c r="D243" s="50" t="s">
        <v>38</v>
      </c>
      <c r="E243" s="12"/>
      <c r="F243" s="7"/>
      <c r="G243" s="7"/>
    </row>
    <row r="244">
      <c r="A244" s="32" t="str">
        <f>HYPERLINK("https://icpcarchive.ecs.baylor.edu/index.php?option=com_onlinejudge&amp;Itemid=8&amp;page=show_problem&amp;problem=196","[LA 2195] Counting Zeroes")</f>
        <v>[LA 2195] Counting Zeroes</v>
      </c>
      <c r="B244" s="33">
        <f t="shared" si="2"/>
        <v>3</v>
      </c>
      <c r="C244" s="33"/>
      <c r="D244" s="34" t="s">
        <v>38</v>
      </c>
      <c r="E244" s="47" t="s">
        <v>38</v>
      </c>
      <c r="F244" s="38" t="s">
        <v>38</v>
      </c>
      <c r="G244" s="7"/>
    </row>
    <row r="245">
      <c r="A245" s="32" t="str">
        <f>HYPERLINK("https://icpcarchive.ecs.baylor.edu/index.php?option=onlinejudge&amp;page=show_problem&amp;problem=954","[LA 2953] Sum of Factorials")</f>
        <v>[LA 2953] Sum of Factorials</v>
      </c>
      <c r="B245" s="33">
        <f t="shared" si="2"/>
        <v>3</v>
      </c>
      <c r="C245" s="33"/>
      <c r="D245" s="34" t="s">
        <v>38</v>
      </c>
      <c r="E245" s="35" t="s">
        <v>38</v>
      </c>
      <c r="F245" s="45" t="s">
        <v>38</v>
      </c>
      <c r="G245" s="37"/>
    </row>
    <row r="246">
      <c r="A246" s="32" t="str">
        <f>HYPERLINK("https://icpcarchive.ecs.baylor.edu/index.php?option=com_onlinejudge&amp;Itemid=8&amp;page=show_problem&amp;problem=956","[LA 2955] Vivian's Problem")</f>
        <v>[LA 2955] Vivian's Problem</v>
      </c>
      <c r="B246" s="33">
        <f t="shared" si="2"/>
        <v>1</v>
      </c>
      <c r="C246" s="33"/>
      <c r="D246" s="50" t="s">
        <v>38</v>
      </c>
      <c r="E246" s="12"/>
      <c r="F246" s="7"/>
      <c r="G246" s="7"/>
    </row>
    <row r="247">
      <c r="A247" s="32" t="str">
        <f>HYPERLINK("https://icpcarchive.ecs.baylor.edu/index.php?option=com_onlinejudge&amp;Itemid=8&amp;page=show_problem&amp;problem=1173","[LA 3172] Period of an Infinite Binary Expansion")</f>
        <v>[LA 3172] Period of an Infinite Binary Expansion</v>
      </c>
      <c r="B247" s="33">
        <f t="shared" si="2"/>
        <v>0</v>
      </c>
      <c r="C247" s="33"/>
      <c r="D247" s="51"/>
      <c r="E247" s="12"/>
      <c r="F247" s="7"/>
      <c r="G247" s="7"/>
    </row>
    <row r="248">
      <c r="A248" s="32" t="str">
        <f>HYPERLINK("https://icpcarchive.ecs.baylor.edu/index.php?option=com_onlinejudge&amp;Itemid=8&amp;page=show_problem&amp;problem=1400","[LA 3399] Sum of Consecutive Prime Numbers")</f>
        <v>[LA 3399] Sum of Consecutive Prime Numbers</v>
      </c>
      <c r="B248" s="33">
        <f t="shared" si="2"/>
        <v>3</v>
      </c>
      <c r="C248" s="33"/>
      <c r="D248" s="34" t="s">
        <v>38</v>
      </c>
      <c r="E248" s="35" t="s">
        <v>38</v>
      </c>
      <c r="F248" s="45" t="s">
        <v>38</v>
      </c>
      <c r="G248" s="37"/>
    </row>
    <row r="249">
      <c r="A249" s="32" t="str">
        <f>HYPERLINK("https://icpcarchive.ecs.baylor.edu/index.php?option=onlinejudge&amp;page=show_problem&amp;problem=1905","[LA 3904] Tile Code")</f>
        <v>[LA 3904] Tile Code</v>
      </c>
      <c r="B249" s="33">
        <f t="shared" si="2"/>
        <v>3</v>
      </c>
      <c r="C249" s="33"/>
      <c r="D249" s="34" t="s">
        <v>38</v>
      </c>
      <c r="E249" s="47" t="s">
        <v>38</v>
      </c>
      <c r="F249" s="38" t="s">
        <v>38</v>
      </c>
      <c r="G249" s="39"/>
    </row>
    <row r="250">
      <c r="A250" s="32" t="str">
        <f>HYPERLINK("https://icpcarchive.ecs.baylor.edu/index.php?option=com_onlinejudge&amp;Itemid=8&amp;page=show_problem&amp;problem=1998","[LA 3997] Numerical Surprises")</f>
        <v>[LA 3997] Numerical Surprises</v>
      </c>
      <c r="B250" s="33">
        <f t="shared" si="2"/>
        <v>3</v>
      </c>
      <c r="C250" s="33"/>
      <c r="D250" s="34" t="s">
        <v>38</v>
      </c>
      <c r="E250" s="35" t="s">
        <v>38</v>
      </c>
      <c r="F250" s="45" t="s">
        <v>38</v>
      </c>
      <c r="G250" s="37"/>
    </row>
    <row r="251">
      <c r="A251" s="32" t="str">
        <f>HYPERLINK("https://icpcarchive.ecs.baylor.edu/index.php?option=com_onlinejudge&amp;Itemid=8&amp;page=show_problem&amp;problem=2105","[LA 4104] MODEX")</f>
        <v>[LA 4104] MODEX</v>
      </c>
      <c r="B251" s="33">
        <f t="shared" si="2"/>
        <v>3</v>
      </c>
      <c r="C251" s="33"/>
      <c r="D251" s="34" t="s">
        <v>38</v>
      </c>
      <c r="E251" s="35" t="s">
        <v>38</v>
      </c>
      <c r="F251" s="45" t="s">
        <v>38</v>
      </c>
      <c r="G251" s="37"/>
    </row>
    <row r="252">
      <c r="A252" s="32" t="str">
        <f>HYPERLINK("https://icpcarchive.ecs.baylor.edu/index.php?option=com_onlinejudge&amp;Itemid=8&amp;category=25&amp;page=show_problem&amp;problem=2204","[LA 4203] Puzzles of Triangles")</f>
        <v>[LA 4203] Puzzles of Triangles</v>
      </c>
      <c r="B252" s="33">
        <f t="shared" si="2"/>
        <v>0</v>
      </c>
      <c r="C252" s="33"/>
      <c r="D252" s="51"/>
      <c r="E252" s="12"/>
      <c r="F252" s="7"/>
      <c r="G252" s="37"/>
    </row>
    <row r="253">
      <c r="A253" s="32" t="str">
        <f>HYPERLINK("https://icpcarchive.ecs.baylor.edu/index.php?option=com_onlinejudge&amp;Itemid=8&amp;category=313&amp;page=show_problem&amp;problem=2210","[LA 4209] Stopping Doom's Day")</f>
        <v>[LA 4209] Stopping Doom's Day</v>
      </c>
      <c r="B253" s="33">
        <f t="shared" si="2"/>
        <v>0</v>
      </c>
      <c r="C253" s="33"/>
      <c r="D253" s="51"/>
      <c r="E253" s="12"/>
      <c r="F253" s="7"/>
      <c r="G253" s="7"/>
    </row>
    <row r="254">
      <c r="A254" s="32" t="str">
        <f>HYPERLINK("https://icpcarchive.ecs.baylor.edu/index.php?option=com_onlinejudge&amp;Itemid=8&amp;category=25&amp;page=show_problem&amp;problem=2271","[LA 4270] Discrete Square Roots")</f>
        <v>[LA 4270] Discrete Square Roots</v>
      </c>
      <c r="B254" s="33">
        <f t="shared" si="2"/>
        <v>0</v>
      </c>
      <c r="C254" s="33"/>
      <c r="D254" s="51"/>
      <c r="E254" s="12"/>
      <c r="F254" s="7"/>
      <c r="G254" s="7"/>
    </row>
    <row r="255">
      <c r="A255" s="32" t="str">
        <f>HYPERLINK("https://icpcarchive.ecs.baylor.edu/index.php?option=com_onlinejudge&amp;Itemid=8&amp;page=show_problem&amp;problem=2341","[LA 4340] Find Terrorists")</f>
        <v>[LA 4340] Find Terrorists</v>
      </c>
      <c r="B255" s="33">
        <f t="shared" si="2"/>
        <v>3</v>
      </c>
      <c r="C255" s="33"/>
      <c r="D255" s="34" t="s">
        <v>38</v>
      </c>
      <c r="E255" s="12" t="s">
        <v>38</v>
      </c>
      <c r="F255" s="45" t="s">
        <v>38</v>
      </c>
      <c r="G255" s="7"/>
    </row>
    <row r="256">
      <c r="A256" s="32" t="str">
        <f>HYPERLINK("https://icpcarchive.ecs.baylor.edu/index.php?option=com_onlinejudge&amp;Itemid=8&amp;page=show_problem&amp;problem=2716","[LA 4715] Rating Hazard")</f>
        <v>[LA 4715] Rating Hazard</v>
      </c>
      <c r="B256" s="33">
        <f t="shared" si="2"/>
        <v>0</v>
      </c>
      <c r="C256" s="33"/>
      <c r="D256" s="51"/>
      <c r="E256" s="12"/>
      <c r="F256" s="7"/>
      <c r="G256" s="7"/>
    </row>
    <row r="257">
      <c r="A257" s="32" t="str">
        <f>HYPERLINK("https://icpcarchive.ecs.baylor.edu/index.php?option=com_onlinejudge&amp;Itemid=8&amp;page=show_problem&amp;problem=2722","[LA 4721] Nowhere Money")</f>
        <v>[LA 4721] Nowhere Money</v>
      </c>
      <c r="B257" s="33">
        <f t="shared" si="2"/>
        <v>3</v>
      </c>
      <c r="C257" s="33"/>
      <c r="D257" s="34" t="s">
        <v>38</v>
      </c>
      <c r="E257" s="12" t="s">
        <v>38</v>
      </c>
      <c r="F257" s="45" t="s">
        <v>38</v>
      </c>
      <c r="G257" s="7"/>
    </row>
    <row r="258">
      <c r="A258" s="32" t="str">
        <f>HYPERLINK("https://uva.onlinejudge.org/index.php?option=com_onlinejudge&amp;Itemid=8&amp;page=show_problem&amp;problem=280","[UVa 344] Roman Digititis")</f>
        <v>[UVa 344] Roman Digititis</v>
      </c>
      <c r="B258" s="33">
        <f t="shared" si="2"/>
        <v>3</v>
      </c>
      <c r="C258" s="33"/>
      <c r="D258" s="34" t="s">
        <v>38</v>
      </c>
      <c r="E258" s="12" t="s">
        <v>38</v>
      </c>
      <c r="F258" s="45" t="s">
        <v>38</v>
      </c>
      <c r="G258" s="7"/>
    </row>
    <row r="259">
      <c r="A259" s="32" t="str">
        <f>HYPERLINK("https://uva.onlinejudge.org/index.php?option=com_onlinejudge&amp;Itemid=8&amp;page=show_problem&amp;problem=313","[UVa 377] Cowculations")</f>
        <v>[UVa 377] Cowculations</v>
      </c>
      <c r="B259" s="33">
        <f t="shared" si="2"/>
        <v>3</v>
      </c>
      <c r="C259" s="33"/>
      <c r="D259" s="34" t="s">
        <v>38</v>
      </c>
      <c r="E259" s="47" t="s">
        <v>38</v>
      </c>
      <c r="F259" s="45" t="s">
        <v>38</v>
      </c>
      <c r="G259" s="7"/>
    </row>
    <row r="260">
      <c r="A260" s="32" t="str">
        <f>HYPERLINK("https://uva.onlinejudge.org/index.php?option=com_onlinejudge&amp;Itemid=8&amp;page=show_problem&amp;problem=1287","[UVa 10346] Peter's Smoke")</f>
        <v>[UVa 10346] Peter's Smoke</v>
      </c>
      <c r="B260" s="33">
        <f t="shared" si="2"/>
        <v>3</v>
      </c>
      <c r="C260" s="33"/>
      <c r="D260" s="34" t="s">
        <v>38</v>
      </c>
      <c r="E260" s="12" t="s">
        <v>38</v>
      </c>
      <c r="F260" s="45" t="s">
        <v>38</v>
      </c>
      <c r="G260" s="7"/>
    </row>
    <row r="261">
      <c r="A261" s="32" t="str">
        <f>HYPERLINK("https://uva.onlinejudge.org/index.php?option=onlinejudge&amp;page=show_problem&amp;problem=1881","[UVa 10940] Throwing Cards Away II")</f>
        <v>[UVa 10940] Throwing Cards Away II</v>
      </c>
      <c r="B261" s="33">
        <f t="shared" si="2"/>
        <v>3</v>
      </c>
      <c r="C261" s="33"/>
      <c r="D261" s="34" t="s">
        <v>38</v>
      </c>
      <c r="E261" s="12" t="s">
        <v>38</v>
      </c>
      <c r="F261" s="38" t="s">
        <v>38</v>
      </c>
      <c r="G261" s="7"/>
    </row>
    <row r="262">
      <c r="A262" s="32" t="str">
        <f>HYPERLINK("https://uva.onlinejudge.org/index.php?option=onlinejudge&amp;page=show_problem&amp;problem=2071","[UVa 11130] Billiard Bounces")</f>
        <v>[UVa 11130] Billiard Bounces</v>
      </c>
      <c r="B262" s="33">
        <f t="shared" si="2"/>
        <v>0</v>
      </c>
      <c r="C262" s="33"/>
      <c r="D262" s="34" t="s">
        <v>129</v>
      </c>
      <c r="E262" s="12"/>
      <c r="F262" s="7"/>
      <c r="G262" s="7"/>
    </row>
    <row r="263">
      <c r="A263" s="32" t="str">
        <f>HYPERLINK("https://uva.onlinejudge.org/index.php?option=onlinejudge&amp;page=show_problem&amp;problem=2172","[UVa 11231] Black and White Painting")</f>
        <v>[UVa 11231] Black and White Painting</v>
      </c>
      <c r="B263" s="33">
        <f t="shared" si="2"/>
        <v>3</v>
      </c>
      <c r="C263" s="33"/>
      <c r="D263" s="34" t="s">
        <v>38</v>
      </c>
      <c r="E263" s="12" t="s">
        <v>38</v>
      </c>
      <c r="F263" s="45" t="s">
        <v>38</v>
      </c>
      <c r="G263" s="7"/>
    </row>
    <row r="264">
      <c r="A264" s="32" t="str">
        <f>HYPERLINK("https://uva.onlinejudge.org/index.php?option=onlinejudge&amp;page=show_problem&amp;problem=2288","[UVa 11313] Gourmet Games")</f>
        <v>[UVa 11313] Gourmet Games</v>
      </c>
      <c r="B264" s="33">
        <f t="shared" si="2"/>
        <v>3</v>
      </c>
      <c r="C264" s="33"/>
      <c r="D264" s="34" t="s">
        <v>38</v>
      </c>
      <c r="E264" s="12" t="s">
        <v>38</v>
      </c>
      <c r="F264" s="45" t="s">
        <v>38</v>
      </c>
      <c r="G264" s="7"/>
    </row>
    <row r="265">
      <c r="A265" s="32" t="str">
        <f>HYPERLINK("https://uva.onlinejudge.org/index.php?option=onlinejudge&amp;page=show_problem&amp;problem=2423","[UVa 11428] Cubes")</f>
        <v>[UVa 11428] Cubes</v>
      </c>
      <c r="B265" s="33">
        <f t="shared" si="2"/>
        <v>3</v>
      </c>
      <c r="C265" s="33"/>
      <c r="D265" s="34" t="s">
        <v>38</v>
      </c>
      <c r="E265" s="12" t="s">
        <v>38</v>
      </c>
      <c r="F265" s="45" t="s">
        <v>38</v>
      </c>
      <c r="G265" s="7"/>
    </row>
    <row r="266">
      <c r="A266" s="32" t="str">
        <f>HYPERLINK("https://uva.onlinejudge.org/index.php?option=com_onlinejudge&amp;Itemid=8&amp;page=show_problem&amp;problem=2823","[UVa 11723] Numbering Roads")</f>
        <v>[UVa 11723] Numbering Roads</v>
      </c>
      <c r="B266" s="33">
        <f t="shared" si="2"/>
        <v>3</v>
      </c>
      <c r="C266" s="33"/>
      <c r="D266" s="34" t="s">
        <v>38</v>
      </c>
      <c r="E266" s="12" t="s">
        <v>38</v>
      </c>
      <c r="F266" s="45" t="s">
        <v>38</v>
      </c>
      <c r="G266" s="7"/>
    </row>
    <row r="267">
      <c r="A267" s="32" t="str">
        <f>HYPERLINK("https://uva.onlinejudge.org/index.php?option=com_onlinejudge&amp;Itemid=8&amp;page=show_problem&amp;problem=2905","[UVa 11805] Bafana Bafana")</f>
        <v>[UVa 11805] Bafana Bafana</v>
      </c>
      <c r="B267" s="33">
        <f t="shared" si="2"/>
        <v>3</v>
      </c>
      <c r="C267" s="33"/>
      <c r="D267" s="34" t="s">
        <v>38</v>
      </c>
      <c r="E267" s="35" t="s">
        <v>38</v>
      </c>
      <c r="F267" s="45" t="s">
        <v>38</v>
      </c>
      <c r="G267" s="7"/>
    </row>
    <row r="268">
      <c r="A268" s="32" t="str">
        <f>HYPERLINK("https://uva.onlinejudge.org/index.php?option=com_onlinejudge&amp;Itemid=8&amp;page=show_problem&amp;problem=838","[UVa 897] Anagramatic Primes")</f>
        <v>[UVa 897] Anagramatic Primes</v>
      </c>
      <c r="B268" s="33">
        <f t="shared" si="2"/>
        <v>3</v>
      </c>
      <c r="C268" s="33"/>
      <c r="D268" s="34" t="s">
        <v>38</v>
      </c>
      <c r="E268" s="12" t="s">
        <v>38</v>
      </c>
      <c r="F268" s="45" t="s">
        <v>38</v>
      </c>
      <c r="G268" s="7"/>
    </row>
    <row r="269">
      <c r="A269" s="32" t="str">
        <f>HYPERLINK("https://uva.onlinejudge.org/index.php?option=onlinejudge&amp;page=show_problem&amp;problem=855","[UVa 914] Jumping Champions")</f>
        <v>[UVa 914] Jumping Champions</v>
      </c>
      <c r="B269" s="33">
        <f t="shared" si="2"/>
        <v>3</v>
      </c>
      <c r="C269" s="33"/>
      <c r="D269" s="34" t="s">
        <v>38</v>
      </c>
      <c r="E269" s="12" t="s">
        <v>38</v>
      </c>
      <c r="F269" s="45" t="s">
        <v>38</v>
      </c>
      <c r="G269" s="39"/>
    </row>
    <row r="270">
      <c r="A270" s="32" t="str">
        <f>HYPERLINK("https://uva.onlinejudge.org/index.php?option=onlinejudge&amp;page=show_problem&amp;problem=934","[UVa 993] Product of Digits")</f>
        <v>[UVa 993] Product of Digits</v>
      </c>
      <c r="B270" s="33">
        <f t="shared" si="2"/>
        <v>3</v>
      </c>
      <c r="C270" s="33"/>
      <c r="D270" s="34" t="s">
        <v>38</v>
      </c>
      <c r="E270" s="12" t="s">
        <v>38</v>
      </c>
      <c r="F270" s="45" t="s">
        <v>38</v>
      </c>
      <c r="G270" s="7"/>
    </row>
    <row r="271">
      <c r="A271" s="32" t="str">
        <f>HYPERLINK("https://uva.onlinejudge.org/index.php?option=onlinejudge&amp;page=show_problem&amp;problem=947","[UVa 10006] Carmichael Numbers")</f>
        <v>[UVa 10006] Carmichael Numbers</v>
      </c>
      <c r="B271" s="33">
        <f t="shared" si="2"/>
        <v>3</v>
      </c>
      <c r="C271" s="33"/>
      <c r="D271" s="34" t="s">
        <v>38</v>
      </c>
      <c r="E271" s="12" t="s">
        <v>38</v>
      </c>
      <c r="F271" s="45" t="s">
        <v>38</v>
      </c>
      <c r="G271" s="7"/>
    </row>
    <row r="272">
      <c r="A272" s="32" t="str">
        <f>HYPERLINK("https://uva.onlinejudge.org/index.php?option=onlinejudge&amp;page=show_problem&amp;problem=983","[UVa 10042] Smith Numbers")</f>
        <v>[UVa 10042] Smith Numbers</v>
      </c>
      <c r="B272" s="33">
        <f t="shared" si="2"/>
        <v>3</v>
      </c>
      <c r="C272" s="33"/>
      <c r="D272" s="34" t="s">
        <v>38</v>
      </c>
      <c r="E272" s="12" t="s">
        <v>38</v>
      </c>
      <c r="F272" s="45" t="s">
        <v>38</v>
      </c>
      <c r="G272" s="7"/>
    </row>
    <row r="273">
      <c r="A273" s="32" t="str">
        <f>HYPERLINK("https://uva.onlinejudge.org/index.php?option=onlinejudge&amp;page=show_problem&amp;problem=1141","[UVa 10200] Prime Time")</f>
        <v>[UVa 10200] Prime Time</v>
      </c>
      <c r="B273" s="33">
        <f t="shared" si="2"/>
        <v>3</v>
      </c>
      <c r="C273" s="33"/>
      <c r="D273" s="34" t="s">
        <v>38</v>
      </c>
      <c r="E273" s="12" t="s">
        <v>38</v>
      </c>
      <c r="F273" s="45" t="s">
        <v>38</v>
      </c>
      <c r="G273" s="7"/>
    </row>
    <row r="274">
      <c r="A274" s="32" t="str">
        <f>HYPERLINK("https://uva.onlinejudge.org/index.php?option=com_onlinejudge&amp;Itemid=8&amp;page=show_problem&amp;problem=1176","[UVa 10235] Simply Emirp")</f>
        <v>[UVa 10235] Simply Emirp</v>
      </c>
      <c r="B274" s="33">
        <f t="shared" si="2"/>
        <v>3</v>
      </c>
      <c r="C274" s="33"/>
      <c r="D274" s="34" t="s">
        <v>38</v>
      </c>
      <c r="E274" s="12" t="s">
        <v>38</v>
      </c>
      <c r="F274" s="45" t="s">
        <v>38</v>
      </c>
      <c r="G274" s="7"/>
    </row>
    <row r="275">
      <c r="A275" s="32" t="str">
        <f>HYPERLINK("https://uva.onlinejudge.org/index.php?option=com_onlinejudge&amp;Itemid=8&amp;page=show_problem&amp;problem=1578","[UVa 10637] Coprimes")</f>
        <v>[UVa 10637] Coprimes</v>
      </c>
      <c r="B275" s="33">
        <f t="shared" si="2"/>
        <v>3</v>
      </c>
      <c r="C275" s="33"/>
      <c r="D275" s="34" t="s">
        <v>38</v>
      </c>
      <c r="E275" s="47" t="s">
        <v>38</v>
      </c>
      <c r="F275" s="45" t="s">
        <v>38</v>
      </c>
      <c r="G275" s="7"/>
    </row>
    <row r="276">
      <c r="A276" s="32" t="str">
        <f>HYPERLINK("https://uva.onlinejudge.org/index.php?option=onlinejudge&amp;page=show_problem&amp;problem=1793","[UVa 10852] Less Prime")</f>
        <v>[UVa 10852] Less Prime</v>
      </c>
      <c r="B276" s="33">
        <f t="shared" si="2"/>
        <v>3</v>
      </c>
      <c r="C276" s="33"/>
      <c r="D276" s="34" t="s">
        <v>38</v>
      </c>
      <c r="E276" s="12" t="s">
        <v>38</v>
      </c>
      <c r="F276" s="45" t="s">
        <v>38</v>
      </c>
      <c r="G276" s="7"/>
    </row>
    <row r="277">
      <c r="A277" s="32" t="str">
        <f>HYPERLINK("https://uva.onlinejudge.org/index.php?option=com_onlinejudge&amp;Itemid=8&amp;page=show_problem&amp;problem=1865","[UVa 10924] Prime Words")</f>
        <v>[UVa 10924] Prime Words</v>
      </c>
      <c r="B277" s="33">
        <f t="shared" si="2"/>
        <v>3</v>
      </c>
      <c r="C277" s="33"/>
      <c r="D277" s="34" t="s">
        <v>38</v>
      </c>
      <c r="E277" s="12" t="s">
        <v>38</v>
      </c>
      <c r="F277" s="45" t="s">
        <v>38</v>
      </c>
      <c r="G277" s="7"/>
    </row>
    <row r="278">
      <c r="A278" s="32" t="str">
        <f>HYPERLINK("https://uva.onlinejudge.org/index.php?option=onlinejudge&amp;page=show_problem&amp;problem=1889","[UVa 10948] The Primary Problem")</f>
        <v>[UVa 10948] The Primary Problem</v>
      </c>
      <c r="B278" s="33">
        <f t="shared" si="2"/>
        <v>3</v>
      </c>
      <c r="C278" s="33"/>
      <c r="D278" s="34" t="s">
        <v>38</v>
      </c>
      <c r="E278" s="12" t="s">
        <v>38</v>
      </c>
      <c r="F278" s="45" t="s">
        <v>38</v>
      </c>
      <c r="G278" s="7"/>
    </row>
    <row r="279">
      <c r="A279" s="32" t="str">
        <f>HYPERLINK("https://uva.onlinejudge.org/index.php?option=onlinejudge&amp;page=show_problem&amp;problem=2262","[UVa 11287] Pseudoprime Numbers")</f>
        <v>[UVa 11287] Pseudoprime Numbers</v>
      </c>
      <c r="B279" s="33">
        <f t="shared" si="2"/>
        <v>3</v>
      </c>
      <c r="C279" s="33"/>
      <c r="D279" s="34" t="s">
        <v>38</v>
      </c>
      <c r="E279" s="12" t="s">
        <v>38</v>
      </c>
      <c r="F279" s="45" t="s">
        <v>38</v>
      </c>
      <c r="G279" s="7"/>
    </row>
    <row r="280">
      <c r="A280" s="32" t="str">
        <f>HYPERLINK("https://uva.onlinejudge.org/index.php?option=com_onlinejudge&amp;Itemid=8&amp;page=show_problem&amp;problem=2403","[UVa 11408] Count DePrimes")</f>
        <v>[UVa 11408] Count DePrimes</v>
      </c>
      <c r="B280" s="33">
        <f t="shared" si="2"/>
        <v>3</v>
      </c>
      <c r="C280" s="33"/>
      <c r="D280" s="34" t="s">
        <v>38</v>
      </c>
      <c r="E280" s="12" t="s">
        <v>38</v>
      </c>
      <c r="F280" s="45" t="s">
        <v>38</v>
      </c>
      <c r="G280" s="7"/>
    </row>
    <row r="281">
      <c r="A281" s="32" t="str">
        <f>HYPERLINK("https://uva.onlinejudge.org/index.php?option=onlinejudge&amp;page=show_problem&amp;problem=2461","[UVa 11466] Largest Prime Divisors")</f>
        <v>[UVa 11466] Largest Prime Divisors</v>
      </c>
      <c r="B281" s="33">
        <f t="shared" si="2"/>
        <v>3</v>
      </c>
      <c r="C281" s="33"/>
      <c r="D281" s="34" t="s">
        <v>38</v>
      </c>
      <c r="E281" s="12" t="s">
        <v>38</v>
      </c>
      <c r="F281" s="45" t="s">
        <v>38</v>
      </c>
      <c r="G281" s="7"/>
    </row>
    <row r="282">
      <c r="A282" s="32" t="str">
        <f>HYPERLINK("https://uva.onlinejudge.org/index.php?option=com_onlinejudge&amp;Itemid=8&amp;page=show_problem&amp;problem=268","[UVa 332] Rational Numbers from Repeating Fractions")</f>
        <v>[UVa 332] Rational Numbers from Repeating Fractions</v>
      </c>
      <c r="B282" s="33">
        <f t="shared" si="2"/>
        <v>3</v>
      </c>
      <c r="C282" s="33"/>
      <c r="D282" s="34" t="s">
        <v>38</v>
      </c>
      <c r="E282" s="12" t="s">
        <v>38</v>
      </c>
      <c r="F282" s="45" t="s">
        <v>38</v>
      </c>
      <c r="G282" s="39"/>
    </row>
    <row r="283">
      <c r="A283" s="32" t="str">
        <f>HYPERLINK("https://uva.onlinejudge.org/index.php?option=onlinejudge&amp;page=show_problem&amp;problem=471","[UVa 530] Binomial Showdown")</f>
        <v>[UVa 530] Binomial Showdown</v>
      </c>
      <c r="B283" s="33">
        <f t="shared" si="2"/>
        <v>3</v>
      </c>
      <c r="C283" s="33"/>
      <c r="D283" s="34" t="s">
        <v>38</v>
      </c>
      <c r="E283" s="12" t="s">
        <v>38</v>
      </c>
      <c r="F283" s="45" t="s">
        <v>38</v>
      </c>
      <c r="G283" s="7"/>
    </row>
    <row r="284">
      <c r="A284" s="32" t="str">
        <f>HYPERLINK("https://uva.onlinejudge.org/index.php?option=com_onlinejudge&amp;Itemid=8&amp;page=show_problem&amp;problem=1134","[UVa 10193] All You Need is Love")</f>
        <v>[UVa 10193] All You Need is Love</v>
      </c>
      <c r="B284" s="33">
        <f t="shared" si="2"/>
        <v>3</v>
      </c>
      <c r="C284" s="33"/>
      <c r="D284" s="34" t="s">
        <v>38</v>
      </c>
      <c r="E284" s="12" t="s">
        <v>38</v>
      </c>
      <c r="F284" s="45" t="s">
        <v>38</v>
      </c>
      <c r="G284" s="7"/>
    </row>
    <row r="285">
      <c r="A285" s="32" t="str">
        <f>HYPERLINK("https://uva.onlinejudge.org/index.php?option=onlinejudge&amp;page=show_problem&amp;problem=1658","[UVa 10717] Mint")</f>
        <v>[UVa 10717] Mint</v>
      </c>
      <c r="B285" s="33">
        <f t="shared" si="2"/>
        <v>3</v>
      </c>
      <c r="C285" s="33"/>
      <c r="D285" s="34" t="s">
        <v>38</v>
      </c>
      <c r="E285" s="12" t="s">
        <v>38</v>
      </c>
      <c r="F285" s="45" t="s">
        <v>38</v>
      </c>
      <c r="G285" s="7"/>
    </row>
    <row r="286">
      <c r="A286" s="32" t="str">
        <f>HYPERLINK("https://uva.onlinejudge.org/index.php?option=com_onlinejudge&amp;Itemid=8&amp;page=show_problem&amp;problem=2383","[UVa 11388] GCD LCM")</f>
        <v>[UVa 11388] GCD LCM</v>
      </c>
      <c r="B286" s="33">
        <f t="shared" si="2"/>
        <v>3</v>
      </c>
      <c r="C286" s="33"/>
      <c r="D286" s="34" t="s">
        <v>38</v>
      </c>
      <c r="E286" s="12" t="s">
        <v>38</v>
      </c>
      <c r="F286" s="45" t="s">
        <v>38</v>
      </c>
      <c r="G286" s="7"/>
    </row>
    <row r="287">
      <c r="A287" s="32" t="str">
        <f>HYPERLINK("https://uva.onlinejudge.org/index.php?option=com_onlinejudge&amp;Itemid=8&amp;page=show_problem&amp;problem=2412","[UVa 11417] GCD")</f>
        <v>[UVa 11417] GCD</v>
      </c>
      <c r="B287" s="33">
        <f t="shared" si="2"/>
        <v>3</v>
      </c>
      <c r="C287" s="33"/>
      <c r="D287" s="34" t="s">
        <v>38</v>
      </c>
      <c r="E287" s="12" t="s">
        <v>38</v>
      </c>
      <c r="F287" s="45" t="s">
        <v>38</v>
      </c>
      <c r="G287" s="7"/>
    </row>
    <row r="288">
      <c r="A288" s="32" t="str">
        <f>HYPERLINK("https://uva.onlinejudge.org/index.php?option=onlinejudge&amp;page=show_problem&amp;problem=2005","[UVa 11064] Number Theory")</f>
        <v>[UVa 11064] Number Theory</v>
      </c>
      <c r="B288" s="33">
        <f t="shared" si="2"/>
        <v>3</v>
      </c>
      <c r="C288" s="33"/>
      <c r="D288" s="34" t="s">
        <v>38</v>
      </c>
      <c r="E288" s="12" t="s">
        <v>38</v>
      </c>
      <c r="F288" s="45" t="s">
        <v>38</v>
      </c>
      <c r="G288" s="7"/>
    </row>
    <row r="289">
      <c r="A289" s="32" t="str">
        <f>HYPERLINK("https://uva.onlinejudge.org/index.php?option=com_onlinejudge&amp;Itemid=8&amp;page=show_problem&amp;problem=2302","[UVa 11327] Enumerating Rational Numbers")</f>
        <v>[UVa 11327] Enumerating Rational Numbers</v>
      </c>
      <c r="B289" s="33">
        <f t="shared" si="2"/>
        <v>3</v>
      </c>
      <c r="C289" s="33"/>
      <c r="D289" s="34" t="s">
        <v>38</v>
      </c>
      <c r="E289" s="12" t="s">
        <v>38</v>
      </c>
      <c r="F289" s="45" t="s">
        <v>38</v>
      </c>
      <c r="G289" s="39"/>
    </row>
    <row r="290">
      <c r="A290" s="32" t="str">
        <f>HYPERLINK("https://uva.onlinejudge.org/index.php?option=com_onlinejudge&amp;Itemid=8&amp;page=show_problem&amp;problem=659","[UVa 718] Skyscrapper Floors")</f>
        <v>[UVa 718] Skyscrapper Floors</v>
      </c>
      <c r="B290" s="33">
        <f t="shared" si="2"/>
        <v>2</v>
      </c>
      <c r="C290" s="33"/>
      <c r="D290" s="34" t="s">
        <v>38</v>
      </c>
      <c r="E290" s="12"/>
      <c r="F290" s="39" t="s">
        <v>38</v>
      </c>
      <c r="G290" s="7"/>
    </row>
    <row r="291">
      <c r="A291" s="32" t="str">
        <f>HYPERLINK("https://uva.onlinejudge.org/index.php?option=onlinejudge&amp;page=show_problem&amp;problem=1031","[UVa 10090] Marbles")</f>
        <v>[UVa 10090] Marbles</v>
      </c>
      <c r="B291" s="33">
        <f t="shared" si="2"/>
        <v>3</v>
      </c>
      <c r="C291" s="33"/>
      <c r="D291" s="34" t="s">
        <v>38</v>
      </c>
      <c r="E291" s="47" t="s">
        <v>38</v>
      </c>
      <c r="F291" s="45" t="s">
        <v>38</v>
      </c>
      <c r="G291" s="7"/>
    </row>
    <row r="292">
      <c r="A292" s="32" t="str">
        <f>HYPERLINK("https://uva.onlinejudge.org/index.php?option=com_onlinejudge&amp;Itemid=8&amp;page=show_problem&amp;problem=1045","[UVa 10104] Euclid Problem")</f>
        <v>[UVa 10104] Euclid Problem</v>
      </c>
      <c r="B292" s="33">
        <f t="shared" si="2"/>
        <v>3</v>
      </c>
      <c r="C292" s="33"/>
      <c r="D292" s="34" t="s">
        <v>38</v>
      </c>
      <c r="E292" s="12" t="s">
        <v>38</v>
      </c>
      <c r="F292" s="45" t="s">
        <v>38</v>
      </c>
      <c r="G292" s="7"/>
    </row>
    <row r="293">
      <c r="A293" s="32" t="str">
        <f>HYPERLINK("https://uva.onlinejudge.org/index.php?option=com_onlinejudge&amp;Itemid=8&amp;page=show_problem&amp;problem=310","[UVa 374] Big Mod")</f>
        <v>[UVa 374] Big Mod</v>
      </c>
      <c r="B293" s="33">
        <f t="shared" si="2"/>
        <v>3</v>
      </c>
      <c r="C293" s="33"/>
      <c r="D293" s="34" t="s">
        <v>38</v>
      </c>
      <c r="E293" s="12" t="s">
        <v>38</v>
      </c>
      <c r="F293" s="45" t="s">
        <v>38</v>
      </c>
      <c r="G293" s="7"/>
    </row>
    <row r="294">
      <c r="A294" s="32" t="str">
        <f>HYPERLINK("https://uva.onlinejudge.org/index.php?option=onlinejudge&amp;page=show_problem&amp;problem=543","[UVa 602] What Day Is It?")</f>
        <v>[UVa 602] What Day Is It?</v>
      </c>
      <c r="B294" s="33">
        <f t="shared" si="2"/>
        <v>3</v>
      </c>
      <c r="C294" s="33"/>
      <c r="D294" s="34" t="s">
        <v>38</v>
      </c>
      <c r="E294" s="47" t="s">
        <v>38</v>
      </c>
      <c r="F294" s="38" t="s">
        <v>38</v>
      </c>
      <c r="G294" s="7"/>
    </row>
    <row r="295">
      <c r="A295" s="32" t="str">
        <f>HYPERLINK("https://uva.onlinejudge.org/index.php?option=onlinejudge&amp;page=show_problem&amp;problem=1115","[UVa 10174] Couple-Bachelor-Spinster Numbers")</f>
        <v>[UVa 10174] Couple-Bachelor-Spinster Numbers</v>
      </c>
      <c r="B295" s="33">
        <f t="shared" si="2"/>
        <v>3</v>
      </c>
      <c r="C295" s="33"/>
      <c r="D295" s="34" t="s">
        <v>38</v>
      </c>
      <c r="E295" s="12" t="s">
        <v>38</v>
      </c>
      <c r="F295" s="45" t="s">
        <v>38</v>
      </c>
      <c r="G295" s="7"/>
    </row>
    <row r="296">
      <c r="A296" s="32" t="str">
        <f>HYPERLINK("https://uva.onlinejudge.org/index.php?option=onlinejudge&amp;page=show_problem&amp;problem=1117","[UVa 10176] Ocean Deap! Make It Shallow!!")</f>
        <v>[UVa 10176] Ocean Deap! Make It Shallow!!</v>
      </c>
      <c r="B296" s="33">
        <f t="shared" si="2"/>
        <v>3</v>
      </c>
      <c r="C296" s="33"/>
      <c r="D296" s="34" t="s">
        <v>38</v>
      </c>
      <c r="E296" s="12" t="s">
        <v>38</v>
      </c>
      <c r="F296" s="45" t="s">
        <v>38</v>
      </c>
      <c r="G296" s="7"/>
    </row>
    <row r="297">
      <c r="A297" s="32" t="str">
        <f>HYPERLINK("https://uva.onlinejudge.org/index.php?option=onlinejudge&amp;page=show_problem&amp;problem=1430","[UVa 10489] Boxes of Chocolates")</f>
        <v>[UVa 10489] Boxes of Chocolates</v>
      </c>
      <c r="B297" s="33">
        <f t="shared" si="2"/>
        <v>3</v>
      </c>
      <c r="C297" s="33"/>
      <c r="D297" s="34" t="s">
        <v>38</v>
      </c>
      <c r="E297" s="12" t="s">
        <v>38</v>
      </c>
      <c r="F297" s="45" t="s">
        <v>38</v>
      </c>
      <c r="G297" s="7"/>
    </row>
    <row r="298">
      <c r="A298" s="32" t="str">
        <f>HYPERLINK("https://uva.onlinejudge.org/index.php?option=com_onlinejudge&amp;Itemid=8&amp;page=show_problem&amp;problem=436","[UVa 495] Fibonacci Freeze")</f>
        <v>[UVa 495] Fibonacci Freeze</v>
      </c>
      <c r="B298" s="33">
        <f t="shared" si="2"/>
        <v>3</v>
      </c>
      <c r="C298" s="33"/>
      <c r="D298" s="34" t="s">
        <v>38</v>
      </c>
      <c r="E298" s="12" t="s">
        <v>38</v>
      </c>
      <c r="F298" s="45" t="s">
        <v>38</v>
      </c>
      <c r="G298" s="7"/>
    </row>
    <row r="299">
      <c r="A299" s="32" t="str">
        <f>HYPERLINK("https://uva.onlinejudge.org/index.php?option=com_onlinejudge&amp;Itemid=8&amp;page=show_problem&amp;problem=704","[UVa 763] Fibinary Numbers")</f>
        <v>[UVa 763] Fibinary Numbers</v>
      </c>
      <c r="B299" s="33">
        <f t="shared" si="2"/>
        <v>3</v>
      </c>
      <c r="C299" s="33"/>
      <c r="D299" s="34" t="s">
        <v>38</v>
      </c>
      <c r="E299" s="12" t="s">
        <v>38</v>
      </c>
      <c r="F299" s="45" t="s">
        <v>38</v>
      </c>
      <c r="G299" s="7"/>
    </row>
    <row r="300">
      <c r="A300" s="32" t="str">
        <f>HYPERLINK("https://uva.onlinejudge.org/index.php?option=com_onlinejudge&amp;Itemid=8&amp;page=show_problem&amp;problem=841","[UVa 900] Brick Wall Patterns")</f>
        <v>[UVa 900] Brick Wall Patterns</v>
      </c>
      <c r="B300" s="33">
        <f t="shared" si="2"/>
        <v>3</v>
      </c>
      <c r="C300" s="33"/>
      <c r="D300" s="34" t="s">
        <v>38</v>
      </c>
      <c r="E300" s="12" t="s">
        <v>38</v>
      </c>
      <c r="F300" s="45" t="s">
        <v>38</v>
      </c>
      <c r="G300" s="7"/>
    </row>
    <row r="301">
      <c r="A301" s="32" t="str">
        <f>HYPERLINK("https://uva.onlinejudge.org/index.php?option=onlinejudge&amp;page=show_problem&amp;problem=889","[UVa 948] Fibonaccimal Base")</f>
        <v>[UVa 948] Fibonaccimal Base</v>
      </c>
      <c r="B301" s="33">
        <f t="shared" si="2"/>
        <v>3</v>
      </c>
      <c r="C301" s="33"/>
      <c r="D301" s="34" t="s">
        <v>38</v>
      </c>
      <c r="E301" s="12" t="s">
        <v>38</v>
      </c>
      <c r="F301" s="45" t="s">
        <v>38</v>
      </c>
      <c r="G301" s="7"/>
    </row>
    <row r="302">
      <c r="A302" s="32" t="str">
        <f>HYPERLINK("https://uva.onlinejudge.org/index.php?option=onlinejudge&amp;page=show_problem&amp;problem=1124","[UVa 10183] How Many Fibs?")</f>
        <v>[UVa 10183] How Many Fibs?</v>
      </c>
      <c r="B302" s="33">
        <f t="shared" si="2"/>
        <v>3</v>
      </c>
      <c r="C302" s="33"/>
      <c r="D302" s="34" t="s">
        <v>38</v>
      </c>
      <c r="E302" s="12" t="s">
        <v>38</v>
      </c>
      <c r="F302" s="45" t="s">
        <v>38</v>
      </c>
      <c r="G302" s="7"/>
    </row>
    <row r="303">
      <c r="A303" s="32" t="str">
        <f>HYPERLINK("https://uva.onlinejudge.org/index.php?option=onlinejudge&amp;page=show_problem&amp;problem=1170","[UVa 10229] Modular Fibonacci")</f>
        <v>[UVa 10229] Modular Fibonacci</v>
      </c>
      <c r="B303" s="33">
        <f t="shared" si="2"/>
        <v>3</v>
      </c>
      <c r="C303" s="33"/>
      <c r="D303" s="34" t="s">
        <v>38</v>
      </c>
      <c r="E303" s="47" t="s">
        <v>38</v>
      </c>
      <c r="F303" s="45" t="s">
        <v>38</v>
      </c>
      <c r="G303" s="7"/>
    </row>
    <row r="304">
      <c r="A304" s="32" t="str">
        <f>HYPERLINK("https://uva.onlinejudge.org/index.php?option=onlinejudge&amp;page=show_problem&amp;problem=1275","[UVa 10334] Ray Through Glasses")</f>
        <v>[UVa 10334] Ray Through Glasses</v>
      </c>
      <c r="B304" s="33">
        <f t="shared" si="2"/>
        <v>3</v>
      </c>
      <c r="C304" s="33"/>
      <c r="D304" s="34" t="s">
        <v>38</v>
      </c>
      <c r="E304" s="12" t="s">
        <v>38</v>
      </c>
      <c r="F304" s="45" t="s">
        <v>38</v>
      </c>
      <c r="G304" s="7"/>
    </row>
    <row r="305">
      <c r="A305" s="32" t="str">
        <f>HYPERLINK("https://uva.onlinejudge.org/index.php?option=com_onlinejudge&amp;Itemid=8&amp;page=show_problem&amp;problem=1391","[UVa 10450] World Cup Noise")</f>
        <v>[UVa 10450] World Cup Noise</v>
      </c>
      <c r="B305" s="33">
        <f t="shared" si="2"/>
        <v>3</v>
      </c>
      <c r="C305" s="33"/>
      <c r="D305" s="34" t="s">
        <v>38</v>
      </c>
      <c r="E305" s="12" t="s">
        <v>38</v>
      </c>
      <c r="F305" s="45" t="s">
        <v>38</v>
      </c>
      <c r="G305" s="7"/>
    </row>
    <row r="306">
      <c r="A306" s="32" t="str">
        <f>HYPERLINK("https://uva.onlinejudge.org/index.php?option=com_onlinejudge&amp;Itemid=8&amp;page=show_problem&amp;problem=1438","[UVa 10497] Sweet Child Make Trouble")</f>
        <v>[UVa 10497] Sweet Child Make Trouble</v>
      </c>
      <c r="B306" s="33">
        <f t="shared" si="2"/>
        <v>3</v>
      </c>
      <c r="C306" s="33"/>
      <c r="D306" s="34" t="s">
        <v>38</v>
      </c>
      <c r="E306" s="12" t="s">
        <v>38</v>
      </c>
      <c r="F306" s="45" t="s">
        <v>38</v>
      </c>
      <c r="G306" s="7"/>
    </row>
    <row r="307">
      <c r="A307" s="32" t="str">
        <f>HYPERLINK("https://uva.onlinejudge.org/index.php?option=onlinejudge&amp;page=show_problem&amp;problem=1520","[UVa 10579] Fibonacci Numbers")</f>
        <v>[UVa 10579] Fibonacci Numbers</v>
      </c>
      <c r="B307" s="33">
        <f t="shared" si="2"/>
        <v>3</v>
      </c>
      <c r="C307" s="33"/>
      <c r="D307" s="34" t="s">
        <v>38</v>
      </c>
      <c r="E307" s="12" t="s">
        <v>38</v>
      </c>
      <c r="F307" s="45" t="s">
        <v>38</v>
      </c>
      <c r="G307" s="7"/>
    </row>
    <row r="308">
      <c r="A308" s="32" t="str">
        <f>HYPERLINK("https://uva.onlinejudge.org/index.php?option=com_onlinejudge&amp;Itemid=8&amp;page=show_problem&amp;problem=1803","[UVa 10862] Connect the Cable Wires")</f>
        <v>[UVa 10862] Connect the Cable Wires</v>
      </c>
      <c r="B308" s="33">
        <f t="shared" si="2"/>
        <v>3</v>
      </c>
      <c r="C308" s="33"/>
      <c r="D308" s="34" t="s">
        <v>38</v>
      </c>
      <c r="E308" s="12" t="s">
        <v>38</v>
      </c>
      <c r="F308" s="45" t="s">
        <v>38</v>
      </c>
      <c r="G308" s="7"/>
    </row>
    <row r="309">
      <c r="A309" s="32" t="str">
        <f>HYPERLINK("https://uva.onlinejudge.org/index.php?option=onlinejudge&amp;page=show_problem&amp;problem=1941","[UVa 11000] Bee")</f>
        <v>[UVa 11000] Bee</v>
      </c>
      <c r="B309" s="33">
        <f t="shared" si="2"/>
        <v>3</v>
      </c>
      <c r="C309" s="33"/>
      <c r="D309" s="34" t="s">
        <v>38</v>
      </c>
      <c r="E309" s="12" t="s">
        <v>38</v>
      </c>
      <c r="F309" s="45" t="s">
        <v>38</v>
      </c>
      <c r="G309" s="7"/>
    </row>
    <row r="310">
      <c r="A310" s="32" t="str">
        <f>HYPERLINK("https://uva.onlinejudge.org/index.php?option=onlinejudge&amp;page=show_problem&amp;problem=2102","[UVa 11161] Help My Brother (II)")</f>
        <v>[UVa 11161] Help My Brother (II)</v>
      </c>
      <c r="B310" s="33">
        <f t="shared" si="2"/>
        <v>3</v>
      </c>
      <c r="C310" s="33"/>
      <c r="D310" s="34" t="s">
        <v>38</v>
      </c>
      <c r="E310" s="12" t="s">
        <v>38</v>
      </c>
      <c r="F310" s="45" t="s">
        <v>38</v>
      </c>
      <c r="G310" s="7"/>
    </row>
    <row r="311">
      <c r="A311" s="32" t="str">
        <f>HYPERLINK("https://uva.onlinejudge.org/index.php?option=com_onlinejudge&amp;Itemid=8&amp;page=show_problem&amp;problem=2880","[UVa 11780] Miles 2 KM")</f>
        <v>[UVa 11780] Miles 2 KM</v>
      </c>
      <c r="B311" s="33">
        <f t="shared" si="2"/>
        <v>3</v>
      </c>
      <c r="C311" s="33"/>
      <c r="D311" s="34" t="s">
        <v>38</v>
      </c>
      <c r="E311" s="12" t="s">
        <v>38</v>
      </c>
      <c r="F311" s="45" t="s">
        <v>38</v>
      </c>
      <c r="G311" s="7"/>
    </row>
    <row r="312">
      <c r="A312" s="32" t="str">
        <f>HYPERLINK("https://uva.onlinejudge.org/index.php?option=com_onlinejudge&amp;Itemid=8&amp;page=show_problem&amp;problem=260","[UVa 324] Factorial Frequencies")</f>
        <v>[UVa 324] Factorial Frequencies</v>
      </c>
      <c r="B312" s="33">
        <f t="shared" si="2"/>
        <v>3</v>
      </c>
      <c r="C312" s="33"/>
      <c r="D312" s="34" t="s">
        <v>38</v>
      </c>
      <c r="E312" s="12" t="s">
        <v>38</v>
      </c>
      <c r="F312" s="45" t="s">
        <v>38</v>
      </c>
      <c r="G312" s="7"/>
    </row>
    <row r="313">
      <c r="A313" s="32" t="str">
        <f>HYPERLINK("https://uva.onlinejudge.org/index.php?option=com_onlinejudge&amp;Itemid=8&amp;page=show_problem&amp;problem=509","[UVa 568] Just the Facts")</f>
        <v>[UVa 568] Just the Facts</v>
      </c>
      <c r="B313" s="33">
        <f t="shared" si="2"/>
        <v>3</v>
      </c>
      <c r="C313" s="33"/>
      <c r="D313" s="34" t="s">
        <v>38</v>
      </c>
      <c r="E313" s="12" t="s">
        <v>38</v>
      </c>
      <c r="F313" s="45" t="s">
        <v>38</v>
      </c>
      <c r="G313" s="7"/>
    </row>
    <row r="314">
      <c r="A314" s="32" t="str">
        <f>HYPERLINK("https://uva.onlinejudge.org/index.php?option=onlinejudge&amp;page=show_problem&amp;problem=564","[UVa 623] 500!")</f>
        <v>[UVa 623] 500!</v>
      </c>
      <c r="B314" s="33">
        <f t="shared" si="2"/>
        <v>3</v>
      </c>
      <c r="C314" s="33"/>
      <c r="D314" s="34" t="s">
        <v>38</v>
      </c>
      <c r="E314" s="12" t="s">
        <v>38</v>
      </c>
      <c r="F314" s="45" t="s">
        <v>38</v>
      </c>
      <c r="G314" s="7"/>
    </row>
    <row r="315">
      <c r="A315" s="32" t="str">
        <f>HYPERLINK("https://uva.onlinejudge.org/index.php?option=onlinejudge&amp;page=show_problem&amp;problem=1161","[UVa 10220] I Love Big Numbers!")</f>
        <v>[UVa 10220] I Love Big Numbers!</v>
      </c>
      <c r="B315" s="33">
        <f t="shared" si="2"/>
        <v>3</v>
      </c>
      <c r="C315" s="33"/>
      <c r="D315" s="34" t="s">
        <v>38</v>
      </c>
      <c r="E315" s="12" t="s">
        <v>38</v>
      </c>
      <c r="F315" s="45" t="s">
        <v>38</v>
      </c>
      <c r="G315" s="7"/>
    </row>
    <row r="316">
      <c r="A316" s="32" t="str">
        <f>HYPERLINK("https://uva.onlinejudge.org/index.php?option=onlinejudge&amp;page=show_problem&amp;problem=1264","[UVa 10323] Factorial! You Must be Kidding")</f>
        <v>[UVa 10323] Factorial! You Must be Kidding</v>
      </c>
      <c r="B316" s="33">
        <f t="shared" si="2"/>
        <v>3</v>
      </c>
      <c r="C316" s="33"/>
      <c r="D316" s="34" t="s">
        <v>38</v>
      </c>
      <c r="E316" s="12" t="s">
        <v>38</v>
      </c>
      <c r="F316" s="45" t="s">
        <v>38</v>
      </c>
      <c r="G316" s="7"/>
    </row>
    <row r="317">
      <c r="A317" s="32" t="str">
        <f>HYPERLINK("https://uva.onlinejudge.org/index.php?option=com_onlinejudge&amp;Itemid=8&amp;page=show_problem&amp;problem=2322","[UVa 11347] Multifactorials")</f>
        <v>[UVa 11347] Multifactorials</v>
      </c>
      <c r="B317" s="33">
        <f t="shared" si="2"/>
        <v>3</v>
      </c>
      <c r="C317" s="33"/>
      <c r="D317" s="34" t="s">
        <v>38</v>
      </c>
      <c r="E317" s="12" t="s">
        <v>38</v>
      </c>
      <c r="F317" s="45" t="s">
        <v>38</v>
      </c>
      <c r="G317" s="7"/>
    </row>
    <row r="318">
      <c r="A318" s="32" t="str">
        <f>HYPERLINK("https://uva.onlinejudge.org/index.php?option=com_onlinejudge&amp;Itemid=8&amp;page=show_problem&amp;problem=2410","[UVa 11415] Count the Factorials")</f>
        <v>[UVa 11415] Count the Factorials</v>
      </c>
      <c r="B318" s="33">
        <f t="shared" si="2"/>
        <v>3</v>
      </c>
      <c r="C318" s="33"/>
      <c r="D318" s="34" t="s">
        <v>38</v>
      </c>
      <c r="E318" s="12" t="s">
        <v>38</v>
      </c>
      <c r="F318" s="45" t="s">
        <v>38</v>
      </c>
      <c r="G318" s="7"/>
    </row>
    <row r="319">
      <c r="A319" s="32" t="str">
        <f>HYPERLINK("https://uva.onlinejudge.org/index.php?option=com_onlinejudge&amp;Itemid=8&amp;page=show_problem&amp;problem=279","[UVa 343] What Base is This?")</f>
        <v>[UVa 343] What Base is This?</v>
      </c>
      <c r="B319" s="33">
        <f t="shared" si="2"/>
        <v>3</v>
      </c>
      <c r="C319" s="33"/>
      <c r="D319" s="34" t="s">
        <v>38</v>
      </c>
      <c r="E319" s="12" t="s">
        <v>38</v>
      </c>
      <c r="F319" s="45" t="s">
        <v>38</v>
      </c>
      <c r="G319" s="7"/>
    </row>
    <row r="320">
      <c r="A320" s="32" t="str">
        <f>HYPERLINK("https://uva.onlinejudge.org/index.php?option=com_onlinejudge&amp;Itemid=8&amp;page=show_problem&amp;problem=291","[UVa 355] The Bases are Loaded")</f>
        <v>[UVa 355] The Bases are Loaded</v>
      </c>
      <c r="B320" s="33">
        <f t="shared" si="2"/>
        <v>3</v>
      </c>
      <c r="C320" s="33"/>
      <c r="D320" s="34" t="s">
        <v>38</v>
      </c>
      <c r="E320" s="12" t="s">
        <v>38</v>
      </c>
      <c r="F320" s="45" t="s">
        <v>38</v>
      </c>
      <c r="G320" s="7"/>
    </row>
    <row r="321">
      <c r="A321" s="32" t="str">
        <f>HYPERLINK("https://uva.onlinejudge.org/index.php?option=com_onlinejudge&amp;Itemid=8&amp;page=show_problem&amp;problem=325","[UVa 389] Basically Speaking")</f>
        <v>[UVa 389] Basically Speaking</v>
      </c>
      <c r="B321" s="33">
        <f t="shared" si="2"/>
        <v>3</v>
      </c>
      <c r="C321" s="33"/>
      <c r="D321" s="34" t="s">
        <v>38</v>
      </c>
      <c r="E321" s="12" t="s">
        <v>38</v>
      </c>
      <c r="F321" s="45" t="s">
        <v>38</v>
      </c>
      <c r="G321" s="7"/>
    </row>
    <row r="322">
      <c r="A322" s="32" t="str">
        <f>HYPERLINK("https://uva.onlinejudge.org/index.php?option=com_onlinejudge&amp;Itemid=8&amp;page=show_problem&amp;problem=365","[UVa 424] Integer Inquiry")</f>
        <v>[UVa 424] Integer Inquiry</v>
      </c>
      <c r="B322" s="33">
        <f t="shared" si="2"/>
        <v>3</v>
      </c>
      <c r="C322" s="33"/>
      <c r="D322" s="34" t="s">
        <v>38</v>
      </c>
      <c r="E322" s="12" t="s">
        <v>38</v>
      </c>
      <c r="F322" s="45" t="s">
        <v>38</v>
      </c>
      <c r="G322" s="7"/>
    </row>
    <row r="323">
      <c r="A323" s="32" t="str">
        <f>HYPERLINK("https://uva.onlinejudge.org/index.php?option=com_onlinejudge&amp;Itemid=8&amp;page=show_problem&amp;problem=387","[UVa 446] Kibbles 'n' Bits 'n' Bits 'n' Bits")</f>
        <v>[UVa 446] Kibbles 'n' Bits 'n' Bits 'n' Bits</v>
      </c>
      <c r="B323" s="33">
        <f t="shared" si="2"/>
        <v>3</v>
      </c>
      <c r="C323" s="33"/>
      <c r="D323" s="34" t="s">
        <v>38</v>
      </c>
      <c r="E323" s="12" t="s">
        <v>38</v>
      </c>
      <c r="F323" s="45" t="s">
        <v>38</v>
      </c>
      <c r="G323" s="7"/>
    </row>
    <row r="324">
      <c r="A324" s="32" t="str">
        <f>HYPERLINK("https://uva.onlinejudge.org/index.php?option=onlinejudge&amp;page=show_problem&amp;problem=577","[UVa 636] Squares (III)")</f>
        <v>[UVa 636] Squares (III)</v>
      </c>
      <c r="B324" s="33">
        <f t="shared" si="2"/>
        <v>3</v>
      </c>
      <c r="C324" s="33"/>
      <c r="D324" s="34" t="s">
        <v>38</v>
      </c>
      <c r="E324" s="12" t="s">
        <v>38</v>
      </c>
      <c r="F324" s="45" t="s">
        <v>38</v>
      </c>
      <c r="G324" s="7"/>
    </row>
    <row r="325">
      <c r="A325" s="32" t="str">
        <f>HYPERLINK("https://uva.onlinejudge.org/index.php?option=onlinejudge&amp;page=show_problem&amp;problem=1024","[UVa 10083] Division")</f>
        <v>[UVa 10083] Division</v>
      </c>
      <c r="B325" s="33">
        <f t="shared" si="2"/>
        <v>3</v>
      </c>
      <c r="C325" s="33"/>
      <c r="D325" s="34" t="s">
        <v>38</v>
      </c>
      <c r="E325" s="47" t="s">
        <v>38</v>
      </c>
      <c r="F325" s="38" t="s">
        <v>38</v>
      </c>
      <c r="G325" s="7"/>
    </row>
    <row r="326">
      <c r="A326" s="32" t="str">
        <f>HYPERLINK("https://uva.onlinejudge.org/index.php?option=com_onlinejudge&amp;Itemid=8&amp;page=show_problem&amp;problem=1492","[UVa 10551] Basic Remains")</f>
        <v>[UVa 10551] Basic Remains</v>
      </c>
      <c r="B326" s="33">
        <f t="shared" si="2"/>
        <v>3</v>
      </c>
      <c r="C326" s="33"/>
      <c r="D326" s="34" t="s">
        <v>38</v>
      </c>
      <c r="E326" s="12" t="s">
        <v>38</v>
      </c>
      <c r="F326" s="38" t="s">
        <v>38</v>
      </c>
      <c r="G326" s="7"/>
    </row>
    <row r="327">
      <c r="A327" s="32" t="str">
        <f>HYPERLINK("https://uva.onlinejudge.org/index.php?option=com_onlinejudge&amp;Itemid=8&amp;page=show_problem&amp;problem=1755","[UVa 10814] Simplifying Fractions")</f>
        <v>[UVa 10814] Simplifying Fractions</v>
      </c>
      <c r="B327" s="33">
        <f t="shared" si="2"/>
        <v>3</v>
      </c>
      <c r="C327" s="33"/>
      <c r="D327" s="34" t="s">
        <v>38</v>
      </c>
      <c r="E327" s="47" t="s">
        <v>38</v>
      </c>
      <c r="F327" s="38" t="s">
        <v>38</v>
      </c>
      <c r="G327" s="7"/>
    </row>
    <row r="328">
      <c r="A328" s="32" t="str">
        <f>HYPERLINK("https://uva.onlinejudge.org/index.php?option=com_onlinejudge&amp;Itemid=8&amp;page=show_problem&amp;problem=1047","[UVa 10106] Product")</f>
        <v>[UVa 10106] Product</v>
      </c>
      <c r="B328" s="33">
        <f t="shared" si="2"/>
        <v>3</v>
      </c>
      <c r="C328" s="33"/>
      <c r="D328" s="34" t="s">
        <v>38</v>
      </c>
      <c r="E328" s="12" t="s">
        <v>38</v>
      </c>
      <c r="F328" s="38" t="s">
        <v>38</v>
      </c>
      <c r="G328" s="7"/>
    </row>
    <row r="329">
      <c r="A329" s="32" t="str">
        <f>HYPERLINK("https://uva.onlinejudge.org/index.php?option=com_onlinejudge&amp;Itemid=8&amp;page=show_problem&amp;problem=1414","[UVa 10473] Simple Base Conversion")</f>
        <v>[UVa 10473] Simple Base Conversion</v>
      </c>
      <c r="B329" s="33">
        <f t="shared" si="2"/>
        <v>3</v>
      </c>
      <c r="C329" s="52"/>
      <c r="D329" s="34" t="s">
        <v>38</v>
      </c>
      <c r="E329" s="12" t="s">
        <v>38</v>
      </c>
      <c r="F329" s="38" t="s">
        <v>38</v>
      </c>
      <c r="G329" s="7"/>
    </row>
    <row r="330">
      <c r="A330" s="32" t="str">
        <f>HYPERLINK("https://uva.onlinejudge.org/index.php?option=onlinejudge&amp;page=show_problem&amp;problem=1464","[UVa 10523] Very Easy!!!")</f>
        <v>[UVa 10523] Very Easy!!!</v>
      </c>
      <c r="B330" s="33">
        <f t="shared" si="2"/>
        <v>3</v>
      </c>
      <c r="C330" s="52"/>
      <c r="D330" s="34" t="s">
        <v>38</v>
      </c>
      <c r="E330" s="12" t="s">
        <v>38</v>
      </c>
      <c r="F330" s="38" t="s">
        <v>38</v>
      </c>
      <c r="G330" s="7"/>
    </row>
    <row r="331">
      <c r="A331" s="32" t="str">
        <f>HYPERLINK("https://uva.onlinejudge.org/index.php?option=onlinejudge&amp;page=show_problem&amp;problem=1866","[UVa 10925] Krakovia")</f>
        <v>[UVa 10925] Krakovia</v>
      </c>
      <c r="B331" s="33">
        <f t="shared" si="2"/>
        <v>3</v>
      </c>
      <c r="C331" s="52"/>
      <c r="D331" s="34" t="s">
        <v>38</v>
      </c>
      <c r="E331" s="12" t="s">
        <v>38</v>
      </c>
      <c r="F331" s="38" t="s">
        <v>38</v>
      </c>
      <c r="G331" s="7"/>
    </row>
    <row r="332">
      <c r="A332" s="32" t="str">
        <f>HYPERLINK("https://uva.onlinejudge.org/index.php?option=com_onlinejudge&amp;Itemid=8&amp;page=show_problem&amp;problem=262","[UVa 326] Extrapolation Using a Difference Table")</f>
        <v>[UVa 326] Extrapolation Using a Difference Table</v>
      </c>
      <c r="B332" s="33">
        <f t="shared" si="2"/>
        <v>3</v>
      </c>
      <c r="C332" s="52"/>
      <c r="D332" s="34" t="s">
        <v>38</v>
      </c>
      <c r="E332" s="47" t="s">
        <v>38</v>
      </c>
      <c r="F332" s="38" t="s">
        <v>38</v>
      </c>
      <c r="G332" s="7"/>
    </row>
    <row r="333">
      <c r="A333" s="32" t="str">
        <f>HYPERLINK("https://uva.onlinejudge.org/index.php?option=onlinejudge&amp;page=show_problem&amp;problem=305","[UVa 369] Combinations")</f>
        <v>[UVa 369] Combinations</v>
      </c>
      <c r="B333" s="33">
        <f t="shared" si="2"/>
        <v>3</v>
      </c>
      <c r="C333" s="52"/>
      <c r="D333" s="34" t="s">
        <v>38</v>
      </c>
      <c r="E333" s="12" t="s">
        <v>38</v>
      </c>
      <c r="F333" s="38" t="s">
        <v>38</v>
      </c>
      <c r="G333" s="7"/>
    </row>
    <row r="334">
      <c r="A334" s="32" t="str">
        <f>HYPERLINK("https://uva.onlinejudge.org/index.php?option=com_onlinejudge&amp;Itemid=8&amp;page=show_problem&amp;problem=932","[UVa 991] Safe Salutations")</f>
        <v>[UVa 991] Safe Salutations</v>
      </c>
      <c r="B334" s="33">
        <f t="shared" si="2"/>
        <v>3</v>
      </c>
      <c r="C334" s="52"/>
      <c r="D334" s="34" t="s">
        <v>38</v>
      </c>
      <c r="E334" s="12" t="s">
        <v>38</v>
      </c>
      <c r="F334" s="38" t="s">
        <v>38</v>
      </c>
      <c r="G334" s="7"/>
    </row>
    <row r="335">
      <c r="A335" s="32" t="str">
        <f>HYPERLINK("https://uva.onlinejudge.org/index.php?option=onlinejudge&amp;page=show_problem&amp;problem=948","[UVa 10007] Count the Trees")</f>
        <v>[UVa 10007] Count the Trees</v>
      </c>
      <c r="B335" s="33">
        <f t="shared" si="2"/>
        <v>3</v>
      </c>
      <c r="C335" s="52"/>
      <c r="D335" s="34" t="s">
        <v>38</v>
      </c>
      <c r="E335" s="47" t="s">
        <v>38</v>
      </c>
      <c r="F335" s="38" t="s">
        <v>38</v>
      </c>
      <c r="G335" s="7"/>
    </row>
    <row r="336">
      <c r="A336" s="32" t="str">
        <f>HYPERLINK("https://uva.onlinejudge.org/index.php?option=onlinejudge&amp;page=show_problem&amp;problem=1160","[UVa 10219] Find the Ways!")</f>
        <v>[UVa 10219] Find the Ways!</v>
      </c>
      <c r="B336" s="33">
        <f t="shared" si="2"/>
        <v>3</v>
      </c>
      <c r="C336" s="52"/>
      <c r="D336" s="34" t="s">
        <v>38</v>
      </c>
      <c r="E336" s="12" t="s">
        <v>38</v>
      </c>
      <c r="F336" s="38" t="s">
        <v>38</v>
      </c>
      <c r="G336" s="7"/>
    </row>
    <row r="337">
      <c r="A337" s="32" t="str">
        <f>HYPERLINK("https://uva.onlinejudge.org/index.php?option=onlinejudge&amp;page=show_problem&amp;problem=1244","[UVa 10303] How Many Trees")</f>
        <v>[UVa 10303] How Many Trees</v>
      </c>
      <c r="B337" s="33">
        <f t="shared" si="2"/>
        <v>3</v>
      </c>
      <c r="C337" s="52"/>
      <c r="D337" s="34" t="s">
        <v>38</v>
      </c>
      <c r="E337" s="47" t="s">
        <v>38</v>
      </c>
      <c r="F337" s="38" t="s">
        <v>38</v>
      </c>
      <c r="G337" s="7"/>
    </row>
    <row r="338">
      <c r="A338" s="32" t="str">
        <f>HYPERLINK("https://uva.onlinejudge.org/index.php?option=onlinejudge&amp;page=show_problem&amp;problem=1316","[UVa 10375] Choose and Divide")</f>
        <v>[UVa 10375] Choose and Divide</v>
      </c>
      <c r="B338" s="33">
        <f t="shared" si="2"/>
        <v>3</v>
      </c>
      <c r="C338" s="52"/>
      <c r="D338" s="34" t="s">
        <v>38</v>
      </c>
      <c r="E338" s="47" t="s">
        <v>38</v>
      </c>
      <c r="F338" s="38" t="s">
        <v>38</v>
      </c>
      <c r="G338" s="7"/>
    </row>
    <row r="339">
      <c r="A339" s="32" t="str">
        <f>HYPERLINK("https://uva.onlinejudge.org/index.php?option=onlinejudge&amp;page=show_problem&amp;problem=1725","[UVa 10784] Diagonal")</f>
        <v>[UVa 10784] Diagonal</v>
      </c>
      <c r="B339" s="33">
        <f t="shared" si="2"/>
        <v>3</v>
      </c>
      <c r="C339" s="52"/>
      <c r="D339" s="34" t="s">
        <v>38</v>
      </c>
      <c r="E339" s="12" t="s">
        <v>38</v>
      </c>
      <c r="F339" s="38" t="s">
        <v>38</v>
      </c>
      <c r="G339" s="7"/>
    </row>
    <row r="340">
      <c r="A340" s="32" t="str">
        <f>HYPERLINK("https://uva.onlinejudge.org/index.php?option=onlinejudge&amp;page=show_problem&amp;problem=1731","[UVa 10790] How Many Points of Intersection")</f>
        <v>[UVa 10790] How Many Points of Intersection</v>
      </c>
      <c r="B340" s="33">
        <f t="shared" si="2"/>
        <v>3</v>
      </c>
      <c r="C340" s="52"/>
      <c r="D340" s="34" t="s">
        <v>38</v>
      </c>
      <c r="E340" s="47" t="s">
        <v>38</v>
      </c>
      <c r="F340" s="38" t="s">
        <v>38</v>
      </c>
      <c r="G340" s="7"/>
    </row>
    <row r="341">
      <c r="A341" s="32" t="str">
        <f>HYPERLINK("https://uva.onlinejudge.org/index.php?option=com_onlinejudge&amp;Itemid=8&amp;page=show_problem&amp;problem=1859","[UVa 10918] Tri Tiling")</f>
        <v>[UVa 10918] Tri Tiling</v>
      </c>
      <c r="B341" s="33">
        <f t="shared" si="2"/>
        <v>3</v>
      </c>
      <c r="C341" s="52"/>
      <c r="D341" s="34" t="s">
        <v>38</v>
      </c>
      <c r="E341" s="47" t="s">
        <v>38</v>
      </c>
      <c r="F341" s="38" t="s">
        <v>38</v>
      </c>
      <c r="G341" s="7"/>
    </row>
    <row r="342">
      <c r="A342" s="32" t="str">
        <f>HYPERLINK("https://uva.onlinejudge.org/index.php?option=com_onlinejudge&amp;Itemid=8&amp;page=show_problem&amp;problem=2010","[UVa 11069] A Graph Problem")</f>
        <v>[UVa 11069] A Graph Problem</v>
      </c>
      <c r="B342" s="33">
        <f t="shared" si="2"/>
        <v>3</v>
      </c>
      <c r="C342" s="52"/>
      <c r="D342" s="34" t="s">
        <v>38</v>
      </c>
      <c r="E342" s="47" t="s">
        <v>38</v>
      </c>
      <c r="F342" s="38" t="s">
        <v>38</v>
      </c>
      <c r="G342" s="7"/>
    </row>
    <row r="343">
      <c r="A343" s="32" t="str">
        <f>HYPERLINK("https://uva.onlinejudge.org/index.php?option=onlinejudge&amp;page=show_problem&amp;problem=2056","[UVa 11115] Uncle Jack")</f>
        <v>[UVa 11115] Uncle Jack</v>
      </c>
      <c r="B343" s="33">
        <f t="shared" si="2"/>
        <v>3</v>
      </c>
      <c r="C343" s="52"/>
      <c r="D343" s="34" t="s">
        <v>38</v>
      </c>
      <c r="E343" s="12" t="s">
        <v>38</v>
      </c>
      <c r="F343" s="38" t="s">
        <v>38</v>
      </c>
      <c r="G343" s="7"/>
    </row>
    <row r="344">
      <c r="A344" s="32" t="str">
        <f>HYPERLINK("https://uva.onlinejudge.org/index.php?option=onlinejudge&amp;page=show_problem&amp;problem=2145","[UVa 11204] Musical Instruments")</f>
        <v>[UVa 11204] Musical Instruments</v>
      </c>
      <c r="B344" s="33">
        <f t="shared" si="2"/>
        <v>3</v>
      </c>
      <c r="C344" s="52"/>
      <c r="D344" s="34" t="s">
        <v>38</v>
      </c>
      <c r="E344" s="47" t="s">
        <v>38</v>
      </c>
      <c r="F344" s="53" t="s">
        <v>38</v>
      </c>
      <c r="G344" s="7"/>
    </row>
    <row r="345">
      <c r="A345" s="32" t="str">
        <f>HYPERLINK("https://uva.onlinejudge.org/index.php?option=onlinejudge&amp;page=show_problem&amp;problem=2285","[UVa 11310] Delivery Debacle")</f>
        <v>[UVa 11310] Delivery Debacle</v>
      </c>
      <c r="B345" s="33">
        <f t="shared" si="2"/>
        <v>3</v>
      </c>
      <c r="C345" s="52"/>
      <c r="D345" s="34" t="s">
        <v>38</v>
      </c>
      <c r="E345" s="47" t="s">
        <v>38</v>
      </c>
      <c r="F345" s="53" t="s">
        <v>38</v>
      </c>
      <c r="G345" s="7"/>
    </row>
    <row r="346">
      <c r="A346" s="32" t="str">
        <f>HYPERLINK("https://uva.onlinejudge.org/index.php?option=com_onlinejudge&amp;Itemid=8&amp;page=show_problem&amp;problem=2396","[UVa 11401] Triangle Counting")</f>
        <v>[UVa 11401] Triangle Counting</v>
      </c>
      <c r="B346" s="33">
        <f t="shared" si="2"/>
        <v>3</v>
      </c>
      <c r="C346" s="52"/>
      <c r="D346" s="34" t="s">
        <v>38</v>
      </c>
      <c r="E346" s="12" t="s">
        <v>38</v>
      </c>
      <c r="F346" s="38" t="s">
        <v>38</v>
      </c>
      <c r="G346" s="7"/>
    </row>
    <row r="347">
      <c r="A347" s="32" t="str">
        <f>HYPERLINK("https://uva.onlinejudge.org/index.php?option=onlinejudge&amp;page=show_problem&amp;problem=2549","[UVa 11554] Hapless Hedonism")</f>
        <v>[UVa 11554] Hapless Hedonism</v>
      </c>
      <c r="B347" s="33">
        <f t="shared" si="2"/>
        <v>3</v>
      </c>
      <c r="C347" s="52"/>
      <c r="D347" s="34" t="s">
        <v>38</v>
      </c>
      <c r="E347" s="12" t="s">
        <v>38</v>
      </c>
      <c r="F347" s="38" t="s">
        <v>38</v>
      </c>
      <c r="G347" s="7"/>
    </row>
    <row r="348">
      <c r="A348" s="32" t="str">
        <f>HYPERLINK("https://uva.onlinejudge.org/index.php?option=onlinejudge&amp;page=show_problem&amp;problem=286","[UVa 350] Pseudo-random Numbers")</f>
        <v>[UVa 350] Pseudo-random Numbers</v>
      </c>
      <c r="B348" s="33">
        <f t="shared" si="2"/>
        <v>3</v>
      </c>
      <c r="C348" s="52"/>
      <c r="D348" s="34" t="s">
        <v>38</v>
      </c>
      <c r="E348" s="12" t="s">
        <v>38</v>
      </c>
      <c r="F348" s="38" t="s">
        <v>38</v>
      </c>
      <c r="G348" s="7"/>
    </row>
    <row r="349">
      <c r="A349" s="32" t="str">
        <f>HYPERLINK("https://uva.onlinejudge.org/index.php?option=onlinejudge&amp;page=show_problem&amp;problem=349","[UVa 408] Uniform Generator")</f>
        <v>[UVa 408] Uniform Generator</v>
      </c>
      <c r="B349" s="33">
        <f t="shared" si="2"/>
        <v>3</v>
      </c>
      <c r="C349" s="52"/>
      <c r="D349" s="34" t="s">
        <v>38</v>
      </c>
      <c r="E349" s="12" t="s">
        <v>38</v>
      </c>
      <c r="F349" s="38" t="s">
        <v>38</v>
      </c>
      <c r="G349" s="7"/>
    </row>
    <row r="350">
      <c r="A350" s="32" t="str">
        <f>HYPERLINK("https://uva.onlinejudge.org/index.php?option=onlinejudge&amp;page=show_problem&amp;problem=885","[UVa 944] Happy Numbers")</f>
        <v>[UVa 944] Happy Numbers</v>
      </c>
      <c r="B350" s="33">
        <f t="shared" si="2"/>
        <v>3</v>
      </c>
      <c r="C350" s="52"/>
      <c r="D350" s="34" t="s">
        <v>38</v>
      </c>
      <c r="E350" s="12" t="s">
        <v>38</v>
      </c>
      <c r="F350" s="38" t="s">
        <v>38</v>
      </c>
      <c r="G350" s="7"/>
    </row>
    <row r="351">
      <c r="A351" s="32" t="str">
        <f>HYPERLINK("https://uva.onlinejudge.org/index.php?option=onlinejudge&amp;page=show_problem&amp;problem=1532","[UVa 10591] Happy Number")</f>
        <v>[UVa 10591] Happy Number</v>
      </c>
      <c r="B351" s="33">
        <f t="shared" si="2"/>
        <v>3</v>
      </c>
      <c r="C351" s="52"/>
      <c r="D351" s="34" t="s">
        <v>38</v>
      </c>
      <c r="E351" s="12" t="s">
        <v>38</v>
      </c>
      <c r="F351" s="38" t="s">
        <v>38</v>
      </c>
      <c r="G351" s="7"/>
    </row>
    <row r="352">
      <c r="A352" s="32" t="str">
        <f>HYPERLINK("https://uva.onlinejudge.org/index.php?option=onlinejudge&amp;page=show_problem&amp;problem=1977","[UVa 11036] Eventually Periodic Sequence")</f>
        <v>[UVa 11036] Eventually Periodic Sequence</v>
      </c>
      <c r="B352" s="33">
        <f t="shared" si="2"/>
        <v>3</v>
      </c>
      <c r="C352" s="52"/>
      <c r="D352" s="34" t="s">
        <v>38</v>
      </c>
      <c r="E352" s="47" t="s">
        <v>38</v>
      </c>
      <c r="F352" s="38" t="s">
        <v>38</v>
      </c>
      <c r="G352" s="7"/>
    </row>
    <row r="353">
      <c r="A353" s="32" t="str">
        <f>HYPERLINK("https://uva.onlinejudge.org/index.php?option=onlinejudge&amp;page=show_problem&amp;problem=1994","[UVa 11053] Flavius Josephus Reloaded")</f>
        <v>[UVa 11053] Flavius Josephus Reloaded</v>
      </c>
      <c r="B353" s="33">
        <f t="shared" si="2"/>
        <v>3</v>
      </c>
      <c r="C353" s="52"/>
      <c r="D353" s="34" t="s">
        <v>38</v>
      </c>
      <c r="E353" s="47" t="s">
        <v>38</v>
      </c>
      <c r="F353" s="38" t="s">
        <v>38</v>
      </c>
      <c r="G353" s="7"/>
    </row>
    <row r="354">
      <c r="A354" s="32" t="str">
        <f>HYPERLINK("https://uva.onlinejudge.org/index.php?option=onlinejudge&amp;page=show_problem&amp;problem=2544","[UVa 11549] Calculator Conundrum")</f>
        <v>[UVa 11549] Calculator Conundrum</v>
      </c>
      <c r="B354" s="33">
        <f t="shared" si="2"/>
        <v>3</v>
      </c>
      <c r="C354" s="52"/>
      <c r="D354" s="34" t="s">
        <v>38</v>
      </c>
      <c r="E354" s="47" t="s">
        <v>38</v>
      </c>
      <c r="F354" s="38" t="s">
        <v>38</v>
      </c>
      <c r="G354" s="7"/>
    </row>
    <row r="355">
      <c r="A355" s="32" t="str">
        <f>HYPERLINK("https://uva.onlinejudge.org/index.php?option=onlinejudge&amp;page=show_problem&amp;problem=354","[UVa 413] Up and Down Sequences")</f>
        <v>[UVa 413] Up and Down Sequences</v>
      </c>
      <c r="B355" s="33">
        <f t="shared" si="2"/>
        <v>3</v>
      </c>
      <c r="C355" s="52"/>
      <c r="D355" s="34" t="s">
        <v>38</v>
      </c>
      <c r="E355" s="47" t="s">
        <v>38</v>
      </c>
      <c r="F355" s="38" t="s">
        <v>38</v>
      </c>
      <c r="G355" s="7"/>
    </row>
    <row r="356">
      <c r="A356" s="32" t="str">
        <f>HYPERLINK("https://uva.onlinejudge.org/index.php?option=onlinejudge&amp;page=show_problem&amp;problem=635","[UVa 694] The Colatz Sequence")</f>
        <v>[UVa 694] The Colatz Sequence</v>
      </c>
      <c r="B356" s="33">
        <f t="shared" si="2"/>
        <v>3</v>
      </c>
      <c r="C356" s="52"/>
      <c r="D356" s="34" t="s">
        <v>38</v>
      </c>
      <c r="E356" s="12" t="s">
        <v>38</v>
      </c>
      <c r="F356" s="38" t="s">
        <v>38</v>
      </c>
      <c r="G356" s="7"/>
    </row>
    <row r="357">
      <c r="A357" s="32" t="str">
        <f>HYPERLINK("https://uva.onlinejudge.org/index.php?option=onlinejudge&amp;page=show_problem&amp;problem=1349","[UVa 10408] Farey Sequences")</f>
        <v>[UVa 10408] Farey Sequences</v>
      </c>
      <c r="B357" s="33">
        <f t="shared" si="2"/>
        <v>3</v>
      </c>
      <c r="C357" s="52"/>
      <c r="D357" s="34" t="s">
        <v>38</v>
      </c>
      <c r="E357" s="47" t="s">
        <v>38</v>
      </c>
      <c r="F357" s="38" t="s">
        <v>38</v>
      </c>
      <c r="G357" s="7"/>
    </row>
    <row r="358">
      <c r="A358" s="32" t="str">
        <f>HYPERLINK("https://uva.onlinejudge.org/index.php?option=onlinejudge&amp;page=show_problem&amp;problem=1871","[UVa 10930] A-Sequence")</f>
        <v>[UVa 10930] A-Sequence</v>
      </c>
      <c r="B358" s="33">
        <f t="shared" si="2"/>
        <v>3</v>
      </c>
      <c r="C358" s="52"/>
      <c r="D358" s="34" t="s">
        <v>38</v>
      </c>
      <c r="E358" s="12" t="s">
        <v>38</v>
      </c>
      <c r="F358" s="38" t="s">
        <v>38</v>
      </c>
      <c r="G358" s="7"/>
    </row>
    <row r="359">
      <c r="A359" s="32" t="str">
        <f>HYPERLINK("https://uva.onlinejudge.org/index.php?option=com_onlinejudge&amp;Itemid=8&amp;page=show_problem&amp;problem=2004","[UVa 11063] B2 Sequence")</f>
        <v>[UVa 11063] B2 Sequence</v>
      </c>
      <c r="B359" s="33">
        <f t="shared" si="2"/>
        <v>3</v>
      </c>
      <c r="C359" s="52"/>
      <c r="D359" s="34" t="s">
        <v>38</v>
      </c>
      <c r="E359" s="12" t="s">
        <v>38</v>
      </c>
      <c r="F359" s="38" t="s">
        <v>38</v>
      </c>
      <c r="G359" s="7"/>
    </row>
    <row r="360">
      <c r="A360" s="32" t="str">
        <f>HYPERLINK("https://uva.onlinejudge.org/index.php?option=onlinejudge&amp;page=show_problem&amp;problem=72","[UVa 136] Ugly Numbers")</f>
        <v>[UVa 136] Ugly Numbers</v>
      </c>
      <c r="B360" s="33">
        <f t="shared" si="2"/>
        <v>3</v>
      </c>
      <c r="C360" s="52"/>
      <c r="D360" s="34" t="s">
        <v>38</v>
      </c>
      <c r="E360" s="12" t="s">
        <v>38</v>
      </c>
      <c r="F360" s="38" t="s">
        <v>38</v>
      </c>
      <c r="G360" s="7"/>
    </row>
    <row r="361">
      <c r="A361" s="32" t="str">
        <f>HYPERLINK("https://uva.onlinejudge.org/index.php?option=com_onlinejudge&amp;Itemid=8&amp;page=show_problem&amp;problem=74","[UVa 138] Street Numbers")</f>
        <v>[UVa 138] Street Numbers</v>
      </c>
      <c r="B361" s="33">
        <f t="shared" si="2"/>
        <v>3</v>
      </c>
      <c r="C361" s="52"/>
      <c r="D361" s="34" t="s">
        <v>38</v>
      </c>
      <c r="E361" s="47" t="s">
        <v>38</v>
      </c>
      <c r="F361" s="38" t="s">
        <v>38</v>
      </c>
      <c r="G361" s="7"/>
    </row>
    <row r="362">
      <c r="A362" s="32" t="str">
        <f>HYPERLINK("https://uva.onlinejudge.org/index.php?option=onlinejudge&amp;page=show_problem&amp;problem=384","[UVa 443] Humble Numbers")</f>
        <v>[UVa 443] Humble Numbers</v>
      </c>
      <c r="B362" s="33">
        <f t="shared" si="2"/>
        <v>3</v>
      </c>
      <c r="C362" s="52"/>
      <c r="D362" s="34" t="s">
        <v>38</v>
      </c>
      <c r="E362" s="12" t="s">
        <v>38</v>
      </c>
      <c r="F362" s="38" t="s">
        <v>38</v>
      </c>
      <c r="G362" s="7"/>
    </row>
    <row r="363">
      <c r="A363" s="32" t="str">
        <f>HYPERLINK("https://uva.onlinejudge.org/index.php?option=com_onlinejudge&amp;Itemid=8&amp;page=show_problem&amp;problem=581","[UVa 640] Self Numbers")</f>
        <v>[UVa 640] Self Numbers</v>
      </c>
      <c r="B363" s="33">
        <f t="shared" si="2"/>
        <v>3</v>
      </c>
      <c r="C363" s="52"/>
      <c r="D363" s="34" t="s">
        <v>38</v>
      </c>
      <c r="E363" s="47" t="s">
        <v>38</v>
      </c>
      <c r="F363" s="38" t="s">
        <v>38</v>
      </c>
      <c r="G363" s="7"/>
    </row>
    <row r="364">
      <c r="A364" s="32" t="str">
        <f>HYPERLINK("https://uva.onlinejudge.org/index.php?option=onlinejudge&amp;page=show_problem&amp;problem=903","[UVa 962] Taxicab Numbers")</f>
        <v>[UVa 962] Taxicab Numbers</v>
      </c>
      <c r="B364" s="33">
        <f t="shared" si="2"/>
        <v>3</v>
      </c>
      <c r="C364" s="52"/>
      <c r="D364" s="34" t="s">
        <v>38</v>
      </c>
      <c r="E364" s="47" t="s">
        <v>38</v>
      </c>
      <c r="F364" s="38" t="s">
        <v>38</v>
      </c>
      <c r="G364" s="7"/>
    </row>
    <row r="365">
      <c r="A365" s="32" t="str">
        <f>HYPERLINK("https://uva.onlinejudge.org/index.php?option=com_onlinejudge&amp;Itemid=8&amp;page=show_problem&amp;problem=915","[UVa 974] Kaprekar Numbers")</f>
        <v>[UVa 974] Kaprekar Numbers</v>
      </c>
      <c r="B365" s="33">
        <f t="shared" si="2"/>
        <v>3</v>
      </c>
      <c r="C365" s="52"/>
      <c r="D365" s="34" t="s">
        <v>38</v>
      </c>
      <c r="E365" s="12" t="s">
        <v>38</v>
      </c>
      <c r="F365" s="38" t="s">
        <v>38</v>
      </c>
      <c r="G365" s="7"/>
    </row>
    <row r="366">
      <c r="A366" s="32" t="str">
        <f>HYPERLINK("https://uva.onlinejudge.org/index.php?option=com_onlinejudge&amp;Itemid=8&amp;page=show_problem&amp;problem=1042","[UVa 10101] Bangla Numbers")</f>
        <v>[UVa 10101] Bangla Numbers</v>
      </c>
      <c r="B366" s="33">
        <f t="shared" si="2"/>
        <v>3</v>
      </c>
      <c r="C366" s="52"/>
      <c r="D366" s="34" t="s">
        <v>38</v>
      </c>
      <c r="E366" s="12" t="s">
        <v>38</v>
      </c>
      <c r="F366" s="38" t="s">
        <v>38</v>
      </c>
      <c r="G366" s="7"/>
    </row>
    <row r="367">
      <c r="A367" s="32" t="str">
        <f>HYPERLINK("https://uva.onlinejudge.org/index.php?option=com_onlinejudge&amp;Itemid=8&amp;page=show_problem&amp;problem=985","[UVa 10044] Erdos Numbers")</f>
        <v>[UVa 10044] Erdos Numbers</v>
      </c>
      <c r="B367" s="33">
        <f t="shared" si="2"/>
        <v>3</v>
      </c>
      <c r="C367" s="52"/>
      <c r="D367" s="34" t="s">
        <v>38</v>
      </c>
      <c r="E367" s="47" t="s">
        <v>38</v>
      </c>
      <c r="F367" s="38" t="s">
        <v>38</v>
      </c>
      <c r="G367" s="7"/>
    </row>
    <row r="368">
      <c r="A368" s="32" t="str">
        <f>HYPERLINK("https://uva.onlinejudge.org/index.php?option=onlinejudge&amp;page=show_problem&amp;problem=2456","[UVa 11461] Square Numbers")</f>
        <v>[UVa 11461] Square Numbers</v>
      </c>
      <c r="B368" s="33">
        <f t="shared" si="2"/>
        <v>3</v>
      </c>
      <c r="C368" s="52"/>
      <c r="D368" s="34" t="s">
        <v>38</v>
      </c>
      <c r="E368" s="12" t="s">
        <v>38</v>
      </c>
      <c r="F368" s="38" t="s">
        <v>38</v>
      </c>
      <c r="G368" s="7"/>
    </row>
    <row r="369">
      <c r="A369" s="32" t="str">
        <f>HYPERLINK("https://uva.onlinejudge.org/index.php?option=onlinejudge&amp;page=show_problem&amp;problem=2467","[UVa 11472] Beautiful Numbers")</f>
        <v>[UVa 11472] Beautiful Numbers</v>
      </c>
      <c r="B369" s="33">
        <f t="shared" si="2"/>
        <v>3</v>
      </c>
      <c r="C369" s="52"/>
      <c r="D369" s="34" t="s">
        <v>38</v>
      </c>
      <c r="E369" s="34" t="s">
        <v>38</v>
      </c>
      <c r="F369" s="38" t="s">
        <v>38</v>
      </c>
      <c r="G369" s="37"/>
    </row>
    <row r="370">
      <c r="A370" s="32" t="str">
        <f>HYPERLINK("https://uva.onlinejudge.org/index.php?option=onlinejudge&amp;page=show_problem&amp;problem=415","[UVa 474] Heads / Tails Probability")</f>
        <v>[UVa 474] Heads / Tails Probability</v>
      </c>
      <c r="B370" s="33">
        <f t="shared" si="2"/>
        <v>3</v>
      </c>
      <c r="C370" s="52"/>
      <c r="D370" s="34" t="s">
        <v>38</v>
      </c>
      <c r="E370" s="47" t="s">
        <v>38</v>
      </c>
      <c r="F370" s="38" t="s">
        <v>38</v>
      </c>
      <c r="G370" s="7"/>
    </row>
    <row r="371">
      <c r="A371" s="32" t="str">
        <f>HYPERLINK("https://uva.onlinejudge.org/index.php?option=onlinejudge&amp;page=show_problem&amp;problem=483","[UVa 542] France 98")</f>
        <v>[UVa 542] France 98</v>
      </c>
      <c r="B371" s="33">
        <f t="shared" si="2"/>
        <v>3</v>
      </c>
      <c r="C371" s="52"/>
      <c r="D371" s="34" t="s">
        <v>38</v>
      </c>
      <c r="E371" s="47" t="s">
        <v>38</v>
      </c>
      <c r="F371" s="38" t="s">
        <v>38</v>
      </c>
      <c r="G371" s="7"/>
    </row>
    <row r="372">
      <c r="A372" s="32" t="str">
        <f>HYPERLINK("https://uva.onlinejudge.org/index.php?option=com_onlinejudge&amp;Itemid=8&amp;page=show_problem&amp;problem=997","[UVa 10056] What is the Probability")</f>
        <v>[UVa 10056] What is the Probability</v>
      </c>
      <c r="B372" s="33">
        <f t="shared" si="2"/>
        <v>3</v>
      </c>
      <c r="C372" s="52"/>
      <c r="D372" s="34" t="s">
        <v>38</v>
      </c>
      <c r="E372" s="47" t="s">
        <v>38</v>
      </c>
      <c r="F372" s="38" t="s">
        <v>38</v>
      </c>
      <c r="G372" s="7"/>
    </row>
    <row r="373">
      <c r="A373" s="32" t="str">
        <f>HYPERLINK("https://uva.onlinejudge.org/index.php?option=onlinejudge&amp;page=show_problem&amp;problem=1432","[UVa 10491] Cows and Cars")</f>
        <v>[UVa 10491] Cows and Cars</v>
      </c>
      <c r="B373" s="33">
        <f t="shared" si="2"/>
        <v>3</v>
      </c>
      <c r="C373" s="52"/>
      <c r="D373" s="34" t="s">
        <v>38</v>
      </c>
      <c r="E373" s="47" t="s">
        <v>38</v>
      </c>
      <c r="F373" s="45" t="s">
        <v>38</v>
      </c>
      <c r="G373" s="7"/>
    </row>
    <row r="374">
      <c r="A374" s="32" t="str">
        <f>HYPERLINK("https://uva.onlinejudge.org/index.php?option=com_onlinejudge&amp;Itemid=8&amp;page=show_problem&amp;problem=2117","[UVa 11176] Winning Streak")</f>
        <v>[UVa 11176] Winning Streak</v>
      </c>
      <c r="B374" s="33">
        <f t="shared" si="2"/>
        <v>3</v>
      </c>
      <c r="C374" s="52"/>
      <c r="D374" s="34" t="s">
        <v>38</v>
      </c>
      <c r="E374" s="47" t="s">
        <v>38</v>
      </c>
      <c r="F374" s="54" t="s">
        <v>38</v>
      </c>
      <c r="G374" s="7"/>
    </row>
    <row r="375">
      <c r="A375" s="32" t="str">
        <f>HYPERLINK("https://uva.onlinejudge.org/index.php?option=com_onlinejudge&amp;Itemid=8&amp;page=show_problem&amp;problem=2122","[UVa 11181] Probabiity | Given")</f>
        <v>[UVa 11181] Probabiity | Given</v>
      </c>
      <c r="B375" s="33">
        <f t="shared" si="2"/>
        <v>3</v>
      </c>
      <c r="C375" s="52"/>
      <c r="D375" s="34" t="s">
        <v>38</v>
      </c>
      <c r="E375" s="47" t="s">
        <v>38</v>
      </c>
      <c r="F375" s="38" t="s">
        <v>38</v>
      </c>
      <c r="G375" s="7"/>
    </row>
    <row r="376">
      <c r="A376" s="32" t="str">
        <f>HYPERLINK("https://uva.onlinejudge.org/index.php?option=onlinejudge&amp;page=show_problem&amp;problem=2495","[UVa 11500] Vampires")</f>
        <v>[UVa 11500] Vampires</v>
      </c>
      <c r="B376" s="33">
        <f t="shared" si="2"/>
        <v>3</v>
      </c>
      <c r="C376" s="52"/>
      <c r="D376" s="34" t="s">
        <v>38</v>
      </c>
      <c r="E376" s="47" t="s">
        <v>38</v>
      </c>
      <c r="F376" s="38" t="s">
        <v>38</v>
      </c>
      <c r="G376" s="7"/>
    </row>
    <row r="377">
      <c r="A377" s="32" t="str">
        <f>HYPERLINK("https://uva.onlinejudge.org/index.php?option=onlinejudge&amp;page=show_problem&amp;problem=1030","[UVa 10089] Repackaging")</f>
        <v>[UVa 10089] Repackaging</v>
      </c>
      <c r="B377" s="33">
        <f t="shared" si="2"/>
        <v>0</v>
      </c>
      <c r="C377" s="52"/>
      <c r="D377" s="34" t="s">
        <v>132</v>
      </c>
      <c r="E377" s="12"/>
      <c r="F377" s="7"/>
      <c r="G377" s="7"/>
    </row>
    <row r="378">
      <c r="A378" s="32" t="str">
        <f>HYPERLINK("https://uva.onlinejudge.org/index.php?option=com_onlinejudge&amp;Itemid=8&amp;page=show_problem&amp;problem=1050","[UVa 10109] Solving Systems of Linear Equation")</f>
        <v>[UVa 10109] Solving Systems of Linear Equation</v>
      </c>
      <c r="B378" s="33">
        <f t="shared" si="2"/>
        <v>1</v>
      </c>
      <c r="C378" s="52"/>
      <c r="D378" s="34" t="s">
        <v>38</v>
      </c>
      <c r="E378" s="12"/>
      <c r="F378" s="7"/>
      <c r="G378" s="7"/>
    </row>
    <row r="379">
      <c r="A379" s="32" t="str">
        <f>HYPERLINK("https://uva.onlinejudge.org/index.php?option=onlinejudge&amp;page=show_problem&amp;problem=1250","[UVa 10309] Turn the Lights Off")</f>
        <v>[UVa 10309] Turn the Lights Off</v>
      </c>
      <c r="B379" s="33">
        <f t="shared" si="2"/>
        <v>1</v>
      </c>
      <c r="C379" s="52"/>
      <c r="D379" s="34" t="s">
        <v>38</v>
      </c>
      <c r="E379" s="12"/>
      <c r="F379" s="7"/>
      <c r="G379" s="7"/>
    </row>
    <row r="380">
      <c r="A380" s="32" t="str">
        <f>HYPERLINK("https://uva.onlinejudge.org/index.php?option=onlinejudge&amp;page=show_problem&amp;problem=697","[UVa 756] Biorhythms")</f>
        <v>[UVa 756] Biorhythms</v>
      </c>
      <c r="B380" s="33">
        <f t="shared" si="2"/>
        <v>2</v>
      </c>
      <c r="C380" s="52"/>
      <c r="D380" s="34" t="s">
        <v>38</v>
      </c>
      <c r="E380" s="12"/>
      <c r="F380" s="39" t="s">
        <v>38</v>
      </c>
      <c r="G380" s="7"/>
    </row>
    <row r="381">
      <c r="A381" s="32" t="str">
        <f>HYPERLINK("https://uva.onlinejudge.org/index.php?option=com_onlinejudge&amp;Itemid=8&amp;page=show_problem&amp;problem=936","[UVa 995] Super Divisible Numbers")</f>
        <v>[UVa 995] Super Divisible Numbers</v>
      </c>
      <c r="B381" s="33">
        <f t="shared" si="2"/>
        <v>3</v>
      </c>
      <c r="C381" s="52"/>
      <c r="D381" s="34" t="s">
        <v>38</v>
      </c>
      <c r="E381" s="47" t="s">
        <v>38</v>
      </c>
      <c r="F381" s="39" t="s">
        <v>38</v>
      </c>
      <c r="G381" s="7"/>
    </row>
    <row r="382">
      <c r="A382" s="32" t="str">
        <f>HYPERLINK("https://uva.onlinejudge.org/index.php?option=onlinejudge&amp;page=show_problem&amp;problem=1123","[UVa 10182] Bee Maja")</f>
        <v>[UVa 10182] Bee Maja</v>
      </c>
      <c r="B382" s="33">
        <f t="shared" si="2"/>
        <v>1</v>
      </c>
      <c r="C382" s="52"/>
      <c r="D382" s="34" t="s">
        <v>38</v>
      </c>
      <c r="E382" s="12"/>
      <c r="F382" s="7"/>
      <c r="G382" s="7"/>
    </row>
    <row r="383">
      <c r="A383" s="32" t="str">
        <f>HYPERLINK("https://icpcarchive.ecs.baylor.edu/index.php?option=onlinejudge&amp;page=show_problem&amp;problem=4835","[LA 6823] Counting Substhreengs")</f>
        <v>[LA 6823] Counting Substhreengs</v>
      </c>
      <c r="B383" s="33">
        <f t="shared" si="2"/>
        <v>3</v>
      </c>
      <c r="C383" s="52"/>
      <c r="D383" s="34" t="s">
        <v>38</v>
      </c>
      <c r="E383" s="47" t="s">
        <v>38</v>
      </c>
      <c r="F383" s="38" t="s">
        <v>38</v>
      </c>
      <c r="G383" s="39"/>
    </row>
    <row r="384">
      <c r="A384" s="32" t="str">
        <f>HYPERLINK("https://icpcarchive.ecs.baylor.edu/index.php?option=com_onlinejudge&amp;Itemid=8&amp;page=show_problem&amp;problem=4961","[LA 6949] Knockout Racing")</f>
        <v>[LA 6949] Knockout Racing</v>
      </c>
      <c r="B384" s="33">
        <f t="shared" si="2"/>
        <v>3</v>
      </c>
      <c r="C384" s="52"/>
      <c r="D384" s="34" t="s">
        <v>38</v>
      </c>
      <c r="E384" s="47" t="s">
        <v>38</v>
      </c>
      <c r="F384" s="38" t="s">
        <v>38</v>
      </c>
      <c r="G384" s="7"/>
    </row>
    <row r="385">
      <c r="A385" s="32" t="str">
        <f>HYPERLINK("https://icpcarchive.ecs.baylor.edu/index.php?option=onlinejudge&amp;page=show_problem&amp;problem=4989","[LA 6977] Information Entropy")</f>
        <v>[LA 6977] Information Entropy</v>
      </c>
      <c r="B385" s="33">
        <f t="shared" si="2"/>
        <v>1</v>
      </c>
      <c r="C385" s="52"/>
      <c r="D385" s="50" t="s">
        <v>38</v>
      </c>
      <c r="E385" s="12"/>
      <c r="F385" s="7"/>
      <c r="G385" s="7"/>
    </row>
    <row r="386">
      <c r="A386" s="32" t="str">
        <f>HYPERLINK("https://icpcarchive.ecs.baylor.edu/index.php?option=com_onlinejudge&amp;Itemid=8&amp;category=673&amp;page=show_problem&amp;problem=4994","[LA 6982] Dhoni's Bowlers")</f>
        <v>[LA 6982] Dhoni's Bowlers</v>
      </c>
      <c r="B386" s="33">
        <f t="shared" si="2"/>
        <v>1</v>
      </c>
      <c r="C386" s="52"/>
      <c r="D386" s="50" t="s">
        <v>38</v>
      </c>
      <c r="E386" s="12"/>
      <c r="F386" s="7"/>
      <c r="G386" s="7"/>
    </row>
    <row r="387">
      <c r="A387" s="32" t="str">
        <f>HYPERLINK("https://icpcarchive.ecs.baylor.edu/index.php?option=com_onlinejudge&amp;Itemid=8&amp;category=673&amp;page=show_problem&amp;problem=5000","[LA 6988] Gabba Sprint")</f>
        <v>[LA 6988] Gabba Sprint</v>
      </c>
      <c r="B387" s="33">
        <f t="shared" si="2"/>
        <v>1</v>
      </c>
      <c r="C387" s="52"/>
      <c r="D387" s="50" t="s">
        <v>38</v>
      </c>
      <c r="E387" s="12"/>
      <c r="F387" s="7"/>
      <c r="G387" s="7"/>
    </row>
    <row r="388">
      <c r="A388" s="32" t="str">
        <f>HYPERLINK("https://icpcarchive.ecs.baylor.edu/index.php?option=onlinejudge&amp;page=show_problem&amp;problem=5047","[LA 7035] Built with Qinghuain and Ari Factor")</f>
        <v>[LA 7035] Built with Qinghuain and Ari Factor</v>
      </c>
      <c r="B388" s="33">
        <f t="shared" si="2"/>
        <v>1</v>
      </c>
      <c r="C388" s="52"/>
      <c r="D388" s="50" t="s">
        <v>38</v>
      </c>
      <c r="E388" s="12"/>
      <c r="F388" s="7"/>
      <c r="G388" s="7"/>
    </row>
    <row r="389">
      <c r="A389" s="32" t="str">
        <f>HYPERLINK("https://icpcarchive.ecs.baylor.edu/index.php?option=com_onlinejudge&amp;Itemid=8&amp;page=show_problem&amp;problem=4855","[LA 6843] Volume Control")</f>
        <v>[LA 6843] Volume Control</v>
      </c>
      <c r="B389" s="33">
        <f t="shared" si="2"/>
        <v>3</v>
      </c>
      <c r="C389" s="52"/>
      <c r="D389" s="34" t="s">
        <v>38</v>
      </c>
      <c r="E389" s="47" t="s">
        <v>38</v>
      </c>
      <c r="F389" s="39" t="s">
        <v>38</v>
      </c>
      <c r="G389" s="7"/>
    </row>
    <row r="390">
      <c r="A390" s="32" t="str">
        <f>HYPERLINK("https://icpcarchive.ecs.baylor.edu/index.php?option=com_onlinejudge&amp;Itemid=8&amp;page=show_problem&amp;problem=4856","[LA 6844] Combination")</f>
        <v>[LA 6844] Combination</v>
      </c>
      <c r="B390" s="33">
        <f t="shared" si="2"/>
        <v>0</v>
      </c>
      <c r="C390" s="52"/>
      <c r="D390" s="34" t="s">
        <v>133</v>
      </c>
      <c r="E390" s="12"/>
      <c r="F390" s="7"/>
      <c r="G390" s="7"/>
    </row>
    <row r="391">
      <c r="A391" s="32" t="str">
        <f>HYPERLINK("https://icpcarchive.ecs.baylor.edu/index.php?option=com_onlinejudge&amp;Itemid=8&amp;page=show_problem&amp;problem=4859","[LA 6847] Zeroes")</f>
        <v>[LA 6847] Zeroes</v>
      </c>
      <c r="B391" s="33">
        <f t="shared" si="2"/>
        <v>3</v>
      </c>
      <c r="C391" s="52"/>
      <c r="D391" s="34" t="s">
        <v>38</v>
      </c>
      <c r="E391" s="47" t="s">
        <v>38</v>
      </c>
      <c r="F391" s="39" t="s">
        <v>38</v>
      </c>
      <c r="G391" s="7"/>
    </row>
    <row r="392">
      <c r="A392" s="32" t="str">
        <f>HYPERLINK("https://icpcarchive.ecs.baylor.edu/index.php?option=com_onlinejudge&amp;Itemid=8&amp;page=show_problem&amp;problem=4870","[LA 6858] Frame")</f>
        <v>[LA 6858] Frame</v>
      </c>
      <c r="B392" s="33">
        <f t="shared" si="2"/>
        <v>1</v>
      </c>
      <c r="C392" s="52"/>
      <c r="D392" s="50" t="s">
        <v>38</v>
      </c>
      <c r="E392" s="12"/>
      <c r="F392" s="7"/>
      <c r="G392" s="7"/>
    </row>
    <row r="393">
      <c r="A393" s="32" t="str">
        <f>HYPERLINK("https://icpcarchive.ecs.baylor.edu/index.php?option=com_onlinejudge&amp;Itemid=8&amp;page=show_problem&amp;problem=4874","[LA 6862] Triples")</f>
        <v>[LA 6862] Triples</v>
      </c>
      <c r="B393" s="33">
        <f t="shared" si="2"/>
        <v>1</v>
      </c>
      <c r="C393" s="52"/>
      <c r="D393" s="50" t="s">
        <v>38</v>
      </c>
      <c r="E393" s="12"/>
      <c r="F393" s="7"/>
      <c r="G393" s="7"/>
    </row>
    <row r="394">
      <c r="A394" s="32" t="str">
        <f>HYPERLINK("https://icpcarchive.ecs.baylor.edu/index.php?option=com_onlinejudge&amp;Itemid=8&amp;page=show_problem&amp;problem=4921","[LA 6909] Kevin's Problem")</f>
        <v>[LA 6909] Kevin's Problem</v>
      </c>
      <c r="B394" s="33">
        <f t="shared" si="2"/>
        <v>0</v>
      </c>
      <c r="C394" s="52"/>
      <c r="D394" s="34"/>
      <c r="E394" s="12"/>
      <c r="F394" s="7"/>
      <c r="G394" s="7"/>
    </row>
    <row r="395">
      <c r="A395" s="32" t="str">
        <f>HYPERLINK("https://icpcarchive.ecs.baylor.edu/index.php?option=com_onlinejudge&amp;Itemid=8&amp;page=show_problem&amp;problem=4930","[LA 6918] And Or")</f>
        <v>[LA 6918] And Or</v>
      </c>
      <c r="B395" s="33">
        <f t="shared" si="2"/>
        <v>1</v>
      </c>
      <c r="C395" s="52"/>
      <c r="D395" s="50" t="s">
        <v>38</v>
      </c>
      <c r="E395" s="12"/>
      <c r="F395" s="7"/>
      <c r="G395" s="7"/>
    </row>
    <row r="396">
      <c r="A396" s="32" t="str">
        <f>HYPERLINK("https://icpcarchive.ecs.baylor.edu/index.php?option=com_onlinejudge&amp;Itemid=8&amp;category=640&amp;page=show_problem&amp;problem=4933","[LA 6921] Refraction")</f>
        <v>[LA 6921] Refraction</v>
      </c>
      <c r="B396" s="33">
        <f t="shared" si="2"/>
        <v>0</v>
      </c>
      <c r="C396" s="52"/>
      <c r="D396" s="34"/>
      <c r="E396" s="12"/>
      <c r="F396" s="7"/>
      <c r="G396" s="7"/>
    </row>
    <row r="397">
      <c r="A397" s="32" t="str">
        <f>HYPERLINK("https://icpcarchive.ecs.baylor.edu/index.php?option=com_onlinejudge&amp;Itemid=8&amp;page=show_problem&amp;problem=4941","[LA 6929] Sums")</f>
        <v>[LA 6929] Sums</v>
      </c>
      <c r="B397" s="33">
        <f t="shared" si="2"/>
        <v>3</v>
      </c>
      <c r="C397" s="52"/>
      <c r="D397" s="34" t="s">
        <v>38</v>
      </c>
      <c r="E397" s="47" t="s">
        <v>38</v>
      </c>
      <c r="F397" s="39" t="s">
        <v>38</v>
      </c>
      <c r="G397" s="7"/>
    </row>
    <row r="398">
      <c r="A398" s="32" t="str">
        <f>HYPERLINK("https://icpcarchive.ecs.baylor.edu/index.php?option=com_onlinejudge&amp;Itemid=8&amp;page=show_problem&amp;problem=4981","[LA 6969] Average Score")</f>
        <v>[LA 6969] Average Score</v>
      </c>
      <c r="B398" s="33">
        <f t="shared" si="2"/>
        <v>1</v>
      </c>
      <c r="C398" s="52"/>
      <c r="D398" s="50" t="s">
        <v>38</v>
      </c>
      <c r="E398" s="12"/>
      <c r="F398" s="7"/>
      <c r="G398" s="7"/>
    </row>
    <row r="399">
      <c r="A399" s="32" t="str">
        <f>HYPERLINK("https://icpcarchive.ecs.baylor.edu/index.php?option=com_onlinejudge&amp;Itemid=8&amp;page=show_problem&amp;problem=5052","[LA 7040] Color")</f>
        <v>[LA 7040] Color</v>
      </c>
      <c r="B399" s="33">
        <f t="shared" si="2"/>
        <v>2</v>
      </c>
      <c r="C399" s="52"/>
      <c r="D399" s="34" t="s">
        <v>38</v>
      </c>
      <c r="E399" s="12"/>
      <c r="F399" s="39" t="s">
        <v>38</v>
      </c>
      <c r="G399" s="7"/>
    </row>
    <row r="400">
      <c r="A400" s="32" t="str">
        <f>HYPERLINK("https://icpcarchive.ecs.baylor.edu/index.php?option=com_onlinejudge&amp;Itemid=8&amp;page=show_problem&amp;problem=5057","[LA 7045] Last Defence")</f>
        <v>[LA 7045] Last Defence</v>
      </c>
      <c r="B400" s="33">
        <f t="shared" si="2"/>
        <v>0</v>
      </c>
      <c r="C400" s="52"/>
      <c r="D400" s="34"/>
      <c r="E400" s="12"/>
      <c r="F400" s="7"/>
      <c r="G400" s="7"/>
    </row>
    <row r="401">
      <c r="A401" s="32" t="str">
        <f>HYPERLINK("https://icpcarchive.ecs.baylor.edu/index.php?option=com_onlinejudge&amp;Itemid=8&amp;page=show_problem&amp;problem=5159","[LA 7147] World Cup")</f>
        <v>[LA 7147] World Cup</v>
      </c>
      <c r="B401" s="33">
        <f t="shared" si="2"/>
        <v>0</v>
      </c>
      <c r="C401" s="52"/>
      <c r="D401" s="34"/>
      <c r="E401" s="12"/>
      <c r="F401" s="7"/>
      <c r="G401" s="7"/>
    </row>
    <row r="402">
      <c r="A402" s="32" t="str">
        <f>HYPERLINK("https://icpcarchive.ecs.baylor.edu/index.php?option=com_onlinejudge&amp;Itemid=8&amp;category=633&amp;page=show_problem&amp;problem=5175","[LA 7163] Game of Peace")</f>
        <v>[LA 7163] Game of Peace</v>
      </c>
      <c r="B402" s="33">
        <f t="shared" si="2"/>
        <v>0</v>
      </c>
      <c r="C402" s="52"/>
      <c r="D402" s="34"/>
      <c r="E402" s="12"/>
      <c r="F402" s="7"/>
      <c r="G402" s="7"/>
    </row>
    <row r="403">
      <c r="A403" s="32" t="str">
        <f>HYPERLINK("https://icpcarchive.ecs.baylor.edu/index.php?option=com_onlinejudge&amp;Itemid=8&amp;page=show_problem&amp;problem=5181","[LA 7169] Special Christmass Tree")</f>
        <v>[LA 7169] Special Christmass Tree</v>
      </c>
      <c r="B403" s="33">
        <f t="shared" si="2"/>
        <v>0</v>
      </c>
      <c r="C403" s="52"/>
      <c r="D403" s="34"/>
      <c r="E403" s="12"/>
      <c r="F403" s="7"/>
      <c r="G403" s="7"/>
    </row>
    <row r="404">
      <c r="A404" s="32" t="str">
        <f>HYPERLINK("https://icpcarchive.ecs.baylor.edu/index.php?option=com_onlinejudge&amp;Itemid=8&amp;page=show_problem&amp;problem=4837","[LA 6825] Even Distribution")</f>
        <v>[LA 6825] Even Distribution</v>
      </c>
      <c r="B404" s="33">
        <f t="shared" si="2"/>
        <v>0</v>
      </c>
      <c r="C404" s="52"/>
      <c r="D404" s="34"/>
      <c r="E404" s="12"/>
      <c r="F404" s="7"/>
      <c r="G404" s="7"/>
    </row>
    <row r="405">
      <c r="A405" s="32" t="str">
        <f>HYPERLINK("https://icpcarchive.ecs.baylor.edu/index.php?option=com_onlinejudge&amp;Itemid=8&amp;category=643&amp;page=show_problem&amp;problem=4928","[LA 6916] Punching Robot")</f>
        <v>[LA 6916] Punching Robot</v>
      </c>
      <c r="B405" s="33">
        <f t="shared" si="2"/>
        <v>0</v>
      </c>
      <c r="C405" s="52"/>
      <c r="D405" s="34"/>
      <c r="E405" s="12"/>
      <c r="F405" s="7"/>
      <c r="G405" s="7"/>
    </row>
    <row r="406">
      <c r="A406" s="32" t="str">
        <f>HYPERLINK("https://icpcarchive.ecs.baylor.edu/index.php?option=com_onlinejudge&amp;Itemid=8&amp;category=640&amp;page=show_problem&amp;problem=4931","[LA 6919] A Game for Kids")</f>
        <v>[LA 6919] A Game for Kids</v>
      </c>
      <c r="B406" s="33">
        <f t="shared" si="2"/>
        <v>0</v>
      </c>
      <c r="C406" s="52"/>
      <c r="D406" s="34"/>
      <c r="E406" s="12"/>
      <c r="F406" s="7"/>
      <c r="G406" s="7"/>
    </row>
    <row r="407">
      <c r="A407" s="32" t="str">
        <f>HYPERLINK("https://icpcarchive.ecs.baylor.edu/index.php?option=com_onlinejudge&amp;Itemid=8&amp;category=636&amp;page=show_problem&amp;problem=5060","[LA 7048] Coprime")</f>
        <v>[LA 7048] Coprime</v>
      </c>
      <c r="B407" s="33">
        <f t="shared" si="2"/>
        <v>0</v>
      </c>
      <c r="C407" s="52"/>
      <c r="D407" s="34"/>
      <c r="E407" s="12"/>
      <c r="F407" s="7"/>
      <c r="G407" s="7"/>
    </row>
    <row r="408">
      <c r="A408" s="32" t="str">
        <f>HYPERLINK("https://icpcarchive.ecs.baylor.edu/index.php?option=com_onlinejudge&amp;Itemid=8&amp;category=638&amp;page=show_problem&amp;problem=5072","[LA 7060] Collision")</f>
        <v>[LA 7060] Collision</v>
      </c>
      <c r="B408" s="33">
        <f t="shared" si="2"/>
        <v>0</v>
      </c>
      <c r="C408" s="52"/>
      <c r="D408" s="34"/>
      <c r="E408" s="12"/>
      <c r="F408" s="7"/>
      <c r="G408" s="7"/>
    </row>
    <row r="409">
      <c r="A409" s="32" t="str">
        <f>HYPERLINK("https://uva.onlinejudge.org/index.php?option=com_onlinejudge&amp;Itemid=8&amp;page=show_problem&amp;problem=2629","[UVa 11582] Colossal Fibonacci Numbers!")</f>
        <v>[UVa 11582] Colossal Fibonacci Numbers!</v>
      </c>
      <c r="B409" s="33">
        <f t="shared" si="2"/>
        <v>3</v>
      </c>
      <c r="C409" s="52"/>
      <c r="D409" s="34" t="s">
        <v>38</v>
      </c>
      <c r="E409" s="47" t="s">
        <v>38</v>
      </c>
      <c r="F409" s="38" t="s">
        <v>38</v>
      </c>
      <c r="G409" s="39"/>
    </row>
    <row r="410">
      <c r="A410" s="32" t="str">
        <f>HYPERLINK("https://uva.onlinejudge.org/index.php?option=com_onlinejudge&amp;Itemid=8&amp;page=show_problem&amp;problem=3321","[UVa 12169] Disgruntled Judge")</f>
        <v>[UVa 12169] Disgruntled Judge</v>
      </c>
      <c r="B410" s="33">
        <f t="shared" si="2"/>
        <v>3</v>
      </c>
      <c r="C410" s="52"/>
      <c r="D410" s="34" t="s">
        <v>38</v>
      </c>
      <c r="E410" s="47" t="s">
        <v>38</v>
      </c>
      <c r="F410" s="39" t="s">
        <v>38</v>
      </c>
      <c r="G410" s="7"/>
    </row>
    <row r="411">
      <c r="A411" s="32" t="str">
        <f>HYPERLINK("https://uva.onlinejudge.org/index.php?option=com_onlinejudge&amp;Itemid=8&amp;page=show_problem&amp;problem=4454","[UVa 12716] GCD XOR")</f>
        <v>[UVa 12716] GCD XOR</v>
      </c>
      <c r="B411" s="33">
        <f t="shared" si="2"/>
        <v>3</v>
      </c>
      <c r="C411" s="52"/>
      <c r="D411" s="34" t="s">
        <v>38</v>
      </c>
      <c r="E411" s="47" t="s">
        <v>38</v>
      </c>
      <c r="F411" s="45" t="s">
        <v>38</v>
      </c>
      <c r="G411" s="7"/>
    </row>
    <row r="412">
      <c r="A412" s="32" t="str">
        <f>HYPERLINK("https://uva.onlinejudge.org/index.php?option=com_onlinejudge&amp;Itemid=8&amp;page=show_problem&amp;problem=4510","[UVa 1635] Irrelevant Elements")</f>
        <v>[UVa 1635] Irrelevant Elements</v>
      </c>
      <c r="B412" s="33">
        <f t="shared" si="2"/>
        <v>0</v>
      </c>
      <c r="C412" s="52"/>
      <c r="D412" s="34" t="s">
        <v>129</v>
      </c>
      <c r="E412" s="12"/>
      <c r="F412" s="7"/>
      <c r="G412" s="7"/>
    </row>
    <row r="413">
      <c r="A413" s="32" t="str">
        <f>HYPERLINK("https://uva.onlinejudge.org/index.php?option=com_onlinejudge&amp;Itemid=8&amp;page=show_problem&amp;problem=3703","[UVa 1262] Password")</f>
        <v>[UVa 1262] Password</v>
      </c>
      <c r="B413" s="33">
        <f t="shared" si="2"/>
        <v>3</v>
      </c>
      <c r="C413" s="52"/>
      <c r="D413" s="34" t="s">
        <v>38</v>
      </c>
      <c r="E413" s="47" t="s">
        <v>38</v>
      </c>
      <c r="F413" s="38" t="s">
        <v>38</v>
      </c>
      <c r="G413" s="39"/>
    </row>
    <row r="414">
      <c r="A414" s="32" t="str">
        <f>HYPERLINK("https://uva.onlinejudge.org/index.php?option=com_onlinejudge&amp;Itemid=8&amp;page=show_problem&amp;problem=4511","[UVa 1636] Headshot")</f>
        <v>[UVa 1636] Headshot</v>
      </c>
      <c r="B414" s="33">
        <f t="shared" si="2"/>
        <v>3</v>
      </c>
      <c r="C414" s="52"/>
      <c r="D414" s="34" t="s">
        <v>38</v>
      </c>
      <c r="E414" s="34" t="s">
        <v>38</v>
      </c>
      <c r="F414" s="45" t="s">
        <v>38</v>
      </c>
      <c r="G414" s="7"/>
    </row>
    <row r="415">
      <c r="A415" s="32" t="str">
        <f>HYPERLINK("https://uva.onlinejudge.org/index.php?option=onlinejudge&amp;page=show_problem&amp;problem=521","[UVa 580] Critical Mass")</f>
        <v>[UVa 580] Critical Mass</v>
      </c>
      <c r="B415" s="33">
        <f t="shared" si="2"/>
        <v>3</v>
      </c>
      <c r="C415" s="52"/>
      <c r="D415" s="34" t="s">
        <v>38</v>
      </c>
      <c r="E415" s="47" t="s">
        <v>38</v>
      </c>
      <c r="F415" s="38" t="s">
        <v>38</v>
      </c>
      <c r="G415" s="39"/>
    </row>
    <row r="416">
      <c r="A416" s="32" t="str">
        <f>HYPERLINK("https://uva.onlinejudge.org/index.php?option=com_onlinejudge&amp;Itemid=8&amp;category=242&amp;page=show_problem&amp;problem=3185","[UVa 12034] Race")</f>
        <v>[UVa 12034] Race</v>
      </c>
      <c r="B416" s="33">
        <f t="shared" si="2"/>
        <v>3</v>
      </c>
      <c r="C416" s="52"/>
      <c r="D416" s="34" t="s">
        <v>38</v>
      </c>
      <c r="E416" s="47" t="s">
        <v>38</v>
      </c>
      <c r="F416" s="45" t="s">
        <v>38</v>
      </c>
      <c r="G416" s="7"/>
    </row>
    <row r="417">
      <c r="A417" s="32" t="str">
        <f>HYPERLINK("https://uva.onlinejudge.org/index.php?option=com_onlinejudge&amp;Itemid=8&amp;category=825&amp;page=show_problem&amp;problem=4513","[UVa 1638] Pole Arrangement")</f>
        <v>[UVa 1638] Pole Arrangement</v>
      </c>
      <c r="B417" s="33">
        <f t="shared" si="2"/>
        <v>1</v>
      </c>
      <c r="C417" s="52"/>
      <c r="D417" s="34" t="s">
        <v>38</v>
      </c>
      <c r="E417" s="12"/>
      <c r="F417" s="7"/>
      <c r="G417" s="7"/>
    </row>
    <row r="418">
      <c r="A418" s="32" t="str">
        <f>HYPERLINK("https://uva.onlinejudge.org/index.php?option=com_onlinejudge&amp;Itemid=8&amp;category=825&amp;page=show_problem&amp;problem=4514","[UVa 1639] Candy")</f>
        <v>[UVa 1639] Candy</v>
      </c>
      <c r="B418" s="33">
        <f t="shared" si="2"/>
        <v>1</v>
      </c>
      <c r="C418" s="52"/>
      <c r="D418" s="34" t="s">
        <v>38</v>
      </c>
      <c r="E418" s="12"/>
      <c r="F418" s="7"/>
      <c r="G418" s="7"/>
    </row>
    <row r="419">
      <c r="A419" s="32" t="str">
        <f>HYPERLINK("https://uva.onlinejudge.org/index.php?option=com_onlinejudge&amp;Itemid=8&amp;page=show_problem&amp;problem=1229","[UVa 10288] Coupons")</f>
        <v>[UVa 10288] Coupons</v>
      </c>
      <c r="B419" s="33">
        <f t="shared" si="2"/>
        <v>1</v>
      </c>
      <c r="C419" s="52"/>
      <c r="D419" s="34" t="s">
        <v>38</v>
      </c>
      <c r="E419" s="12"/>
      <c r="F419" s="7"/>
      <c r="G419" s="7"/>
    </row>
    <row r="420">
      <c r="A420" s="32" t="str">
        <f>HYPERLINK("https://uva.onlinejudge.org/index.php?option=onlinejudge&amp;page=show_problem&amp;problem=2321","[UVa 11346] Probability")</f>
        <v>[UVa 11346] Probability</v>
      </c>
      <c r="B420" s="33">
        <f t="shared" si="2"/>
        <v>0</v>
      </c>
      <c r="C420" s="52"/>
      <c r="D420" s="34" t="s">
        <v>134</v>
      </c>
      <c r="E420" s="12"/>
      <c r="F420" s="7"/>
      <c r="G420" s="7"/>
    </row>
    <row r="421">
      <c r="A421" s="32" t="str">
        <f>HYPERLINK("https://uva.onlinejudge.org/index.php?option=onlinejudge&amp;page=show_problem&amp;problem=1841","[UVa 10900] So You Want to be a 2^n-aire?")</f>
        <v>[UVa 10900] So You Want to be a 2^n-aire?</v>
      </c>
      <c r="B421" s="33">
        <f t="shared" si="2"/>
        <v>0</v>
      </c>
      <c r="C421" s="52"/>
      <c r="D421" s="34" t="s">
        <v>135</v>
      </c>
      <c r="E421" s="12"/>
      <c r="F421" s="7"/>
      <c r="G421" s="7"/>
    </row>
    <row r="422">
      <c r="A422" s="32" t="str">
        <f>HYPERLINK("https://uva.onlinejudge.org/index.php?option=onlinejudge&amp;Itemid=8&amp;page=show_problem&amp;problem=3122","[UVa 11971] Polygon")</f>
        <v>[UVa 11971] Polygon</v>
      </c>
      <c r="B422" s="33">
        <f t="shared" si="2"/>
        <v>1</v>
      </c>
      <c r="C422" s="52"/>
      <c r="D422" s="34" t="s">
        <v>38</v>
      </c>
      <c r="E422" s="12"/>
      <c r="F422" s="7"/>
      <c r="G422" s="7"/>
    </row>
    <row r="423">
      <c r="A423" s="32" t="str">
        <f>HYPERLINK("https://uva.onlinejudge.org/index.php?option=com_onlinejudge&amp;Itemid=8&amp;page=show_problem&amp;problem=4515","[UVa 1640] The Counting Problem")</f>
        <v>[UVa 1640] The Counting Problem</v>
      </c>
      <c r="B423" s="33">
        <f t="shared" si="2"/>
        <v>3</v>
      </c>
      <c r="C423" s="52"/>
      <c r="D423" s="34" t="s">
        <v>38</v>
      </c>
      <c r="E423" s="47" t="s">
        <v>38</v>
      </c>
      <c r="F423" s="39" t="s">
        <v>38</v>
      </c>
      <c r="G423" s="7"/>
    </row>
    <row r="424">
      <c r="A424" s="32" t="str">
        <f>HYPERLINK("https://uva.onlinejudge.org/index.php?option=com_onlinejudge&amp;Itemid=8&amp;page=show_problem&amp;problem=1154","[UVa 10213] How Many Pieces of Land?")</f>
        <v>[UVa 10213] How Many Pieces of Land?</v>
      </c>
      <c r="B424" s="33">
        <f t="shared" si="2"/>
        <v>3</v>
      </c>
      <c r="C424" s="52"/>
      <c r="D424" s="34" t="s">
        <v>38</v>
      </c>
      <c r="E424" s="47" t="s">
        <v>38</v>
      </c>
      <c r="F424" s="38" t="s">
        <v>38</v>
      </c>
      <c r="G424" s="39"/>
    </row>
    <row r="425">
      <c r="A425" s="32" t="str">
        <f>HYPERLINK("https://uva.onlinejudge.org/index.php?option=com_onlinejudge&amp;Itemid=8&amp;page=show_problem&amp;problem=4109","[UVa 1363] Joseph's Problem")</f>
        <v>[UVa 1363] Joseph's Problem</v>
      </c>
      <c r="B425" s="33">
        <f t="shared" si="2"/>
        <v>1</v>
      </c>
      <c r="C425" s="52"/>
      <c r="D425" s="34" t="s">
        <v>38</v>
      </c>
      <c r="E425" s="12"/>
      <c r="F425" s="7"/>
      <c r="G425" s="7"/>
    </row>
    <row r="426">
      <c r="A426" s="32" t="str">
        <f>HYPERLINK("https://uva.onlinejudge.org/index.php?option=onlinejudge&amp;page=show_problem&amp;problem=2435","[UVa 11440] Help Tomisu")</f>
        <v>[UVa 11440] Help Tomisu</v>
      </c>
      <c r="B426" s="33">
        <f t="shared" si="2"/>
        <v>0</v>
      </c>
      <c r="C426" s="52"/>
      <c r="D426" s="34" t="s">
        <v>136</v>
      </c>
      <c r="E426" s="12"/>
      <c r="F426" s="7"/>
      <c r="G426" s="7"/>
    </row>
    <row r="427">
      <c r="A427" s="32" t="str">
        <f>HYPERLINK("https://uva.onlinejudge.org/index.php?option=onlinejudge&amp;page=show_problem&amp;problem=1155","[UVa 10214] Trees in a wood")</f>
        <v>[UVa 10214] Trees in a wood</v>
      </c>
      <c r="B427" s="33">
        <f t="shared" si="2"/>
        <v>0</v>
      </c>
      <c r="C427" s="52"/>
      <c r="D427" s="34"/>
      <c r="E427" s="12"/>
      <c r="F427" s="7"/>
      <c r="G427" s="7"/>
    </row>
    <row r="428">
      <c r="A428" s="32" t="str">
        <f>HYPERLINK("https://uva.onlinejudge.org/index.php?option=com_onlinejudge&amp;Itemid=8&amp;category=446&amp;page=show_problem&amp;problem=4139","[UVa 1393] Highways")</f>
        <v>[UVa 1393] Highways</v>
      </c>
      <c r="B428" s="33">
        <f t="shared" si="2"/>
        <v>0</v>
      </c>
      <c r="C428" s="52"/>
      <c r="D428" s="34"/>
      <c r="E428" s="12"/>
      <c r="F428" s="7"/>
      <c r="G428" s="7"/>
    </row>
    <row r="429">
      <c r="A429" s="32" t="str">
        <f>HYPERLINK("https://uva.onlinejudge.org/index.php?option=com_onlinejudge&amp;Itemid=8&amp;page=show_problem&amp;problem=4517","[UVa 1642] Magical GCD")</f>
        <v>[UVa 1642] Magical GCD</v>
      </c>
      <c r="B429" s="33">
        <f t="shared" si="2"/>
        <v>0</v>
      </c>
      <c r="C429" s="52"/>
      <c r="D429" s="34"/>
      <c r="E429" s="12"/>
      <c r="F429" s="7"/>
      <c r="G429" s="7"/>
    </row>
    <row r="430">
      <c r="A430" s="32" t="str">
        <f>HYPERLINK("https://uva.onlinejudge.org/index.php?option=com_onlinejudge&amp;Itemid=8&amp;page=show_problem&amp;problem=1809","[UVa 10868] Bungee Jumping")</f>
        <v>[UVa 10868] Bungee Jumping</v>
      </c>
      <c r="B430" s="33">
        <f t="shared" si="2"/>
        <v>3</v>
      </c>
      <c r="C430" s="52"/>
      <c r="D430" s="34" t="s">
        <v>38</v>
      </c>
      <c r="E430" s="47" t="s">
        <v>38</v>
      </c>
      <c r="F430" s="39" t="s">
        <v>38</v>
      </c>
      <c r="G430" s="7"/>
    </row>
    <row r="431">
      <c r="A431" s="32" t="str">
        <f>HYPERLINK("http://www.lightoj.com/volume_showproblem.php?problem=1278","[LOJ 1278] Sum of Consecutive Integers")</f>
        <v>[LOJ 1278] Sum of Consecutive Integers</v>
      </c>
      <c r="B431" s="33">
        <f t="shared" si="2"/>
        <v>3</v>
      </c>
      <c r="C431" s="52"/>
      <c r="D431" s="34" t="s">
        <v>38</v>
      </c>
      <c r="E431" s="47" t="s">
        <v>38</v>
      </c>
      <c r="F431" s="38" t="s">
        <v>38</v>
      </c>
      <c r="G431" s="39"/>
    </row>
    <row r="432">
      <c r="A432" s="32" t="str">
        <f>HYPERLINK("http://www.lightoj.com/volume_showproblem.php?problem=1282","[LOJ 1282] Leading and Trailing")</f>
        <v>[LOJ 1282] Leading and Trailing</v>
      </c>
      <c r="B432" s="33">
        <f t="shared" si="2"/>
        <v>3</v>
      </c>
      <c r="C432" s="52"/>
      <c r="D432" s="34" t="s">
        <v>38</v>
      </c>
      <c r="E432" s="47" t="s">
        <v>38</v>
      </c>
      <c r="F432" s="38" t="s">
        <v>38</v>
      </c>
      <c r="G432" s="39"/>
    </row>
    <row r="433">
      <c r="A433" s="32" t="str">
        <f>HYPERLINK("http://lightoj.com/volume_showproblem.php?problem=1289","[LOJ 1289] LCM from 1 to n")</f>
        <v>[LOJ 1289] LCM from 1 to n</v>
      </c>
      <c r="B433" s="33">
        <f t="shared" si="2"/>
        <v>3</v>
      </c>
      <c r="C433" s="52"/>
      <c r="D433" s="34" t="s">
        <v>38</v>
      </c>
      <c r="E433" s="47" t="s">
        <v>38</v>
      </c>
      <c r="F433" s="38" t="s">
        <v>38</v>
      </c>
      <c r="G433" s="39"/>
    </row>
    <row r="434">
      <c r="A434" s="32" t="str">
        <f>HYPERLINK("http://lightoj.com/volume_showproblem.php?problem=1236","[LOJ 1236] Pairs Forming LCM")</f>
        <v>[LOJ 1236] Pairs Forming LCM</v>
      </c>
      <c r="B434" s="33">
        <f t="shared" si="2"/>
        <v>3</v>
      </c>
      <c r="C434" s="52"/>
      <c r="D434" s="34" t="s">
        <v>38</v>
      </c>
      <c r="E434" s="47" t="s">
        <v>38</v>
      </c>
      <c r="F434" s="38" t="s">
        <v>38</v>
      </c>
      <c r="G434" s="39"/>
    </row>
    <row r="435">
      <c r="A435" s="32" t="str">
        <f>HYPERLINK("http://lightoj.com/volume_showproblem.php?problem=1027","[LOJ 1027] A Dangerous Maze")</f>
        <v>[LOJ 1027] A Dangerous Maze</v>
      </c>
      <c r="B435" s="33">
        <f t="shared" si="2"/>
        <v>3</v>
      </c>
      <c r="C435" s="52"/>
      <c r="D435" s="34" t="s">
        <v>38</v>
      </c>
      <c r="E435" s="47" t="s">
        <v>38</v>
      </c>
      <c r="F435" s="38" t="s">
        <v>38</v>
      </c>
      <c r="G435" s="39"/>
    </row>
    <row r="436">
      <c r="A436" s="32" t="str">
        <f>HYPERLINK("http://lightoj.com/volume_showproblem.php?problem=1030","[LOJ 1030] Discovering Gold")</f>
        <v>[LOJ 1030] Discovering Gold</v>
      </c>
      <c r="B436" s="33">
        <f t="shared" si="2"/>
        <v>3</v>
      </c>
      <c r="C436" s="52"/>
      <c r="D436" s="34" t="s">
        <v>38</v>
      </c>
      <c r="E436" s="47" t="s">
        <v>38</v>
      </c>
      <c r="F436" s="38" t="s">
        <v>38</v>
      </c>
      <c r="G436" s="39"/>
    </row>
    <row r="437">
      <c r="A437" s="32" t="str">
        <f>HYPERLINK("http://lightoj.com/volume_showproblem.php?problem=1284","[LOJ 1284] Lights Inside 3D Grid")</f>
        <v>[LOJ 1284] Lights Inside 3D Grid</v>
      </c>
      <c r="B437" s="33">
        <f t="shared" si="2"/>
        <v>0</v>
      </c>
      <c r="C437" s="52"/>
      <c r="D437" s="34"/>
      <c r="E437" s="12"/>
      <c r="F437" s="7"/>
      <c r="G437" s="7"/>
    </row>
    <row r="438">
      <c r="A438" s="32" t="str">
        <f>HYPERLINK("https://uva.onlinejudge.org/index.php?option=com_onlinejudge&amp;Itemid=8&amp;page=show_problem&amp;problem=4523","[UVa 1648] Business Center")</f>
        <v>[UVa 1648] Business Center</v>
      </c>
      <c r="B438" s="33">
        <f t="shared" si="2"/>
        <v>3</v>
      </c>
      <c r="C438" s="52"/>
      <c r="D438" s="34" t="s">
        <v>38</v>
      </c>
      <c r="E438" s="47" t="s">
        <v>38</v>
      </c>
      <c r="F438" s="38" t="s">
        <v>38</v>
      </c>
      <c r="G438" s="39"/>
    </row>
    <row r="439">
      <c r="A439" s="32" t="str">
        <f>HYPERLINK("http://lightoj.com/volume_showproblem.php?problem=1014","[LOJ 1014] Ifter Party")</f>
        <v>[LOJ 1014] Ifter Party</v>
      </c>
      <c r="B439" s="33">
        <f t="shared" si="2"/>
        <v>3</v>
      </c>
      <c r="C439" s="52"/>
      <c r="D439" s="34" t="s">
        <v>38</v>
      </c>
      <c r="E439" s="47" t="s">
        <v>38</v>
      </c>
      <c r="F439" s="38" t="s">
        <v>38</v>
      </c>
      <c r="G439" s="39"/>
    </row>
    <row r="440">
      <c r="A440" s="32" t="str">
        <f>HYPERLINK("http://lightoj.com/volume_showproblem.php?problem=1035","[LOJ 1035] Intelligent Factorial Factorization")</f>
        <v>[LOJ 1035] Intelligent Factorial Factorization</v>
      </c>
      <c r="B440" s="33">
        <f t="shared" si="2"/>
        <v>3</v>
      </c>
      <c r="C440" s="52"/>
      <c r="D440" s="34" t="s">
        <v>38</v>
      </c>
      <c r="E440" s="47" t="s">
        <v>38</v>
      </c>
      <c r="F440" s="38" t="s">
        <v>38</v>
      </c>
      <c r="G440" s="39"/>
    </row>
    <row r="441">
      <c r="A441" s="32" t="str">
        <f>HYPERLINK("http://www.lightoj.com/volume_showproblem.php?problem=1067","[LOJ 1067] Combinations")</f>
        <v>[LOJ 1067] Combinations</v>
      </c>
      <c r="B441" s="33">
        <f t="shared" si="2"/>
        <v>3</v>
      </c>
      <c r="C441" s="52"/>
      <c r="D441" s="34" t="s">
        <v>38</v>
      </c>
      <c r="E441" s="47" t="s">
        <v>38</v>
      </c>
      <c r="F441" s="38" t="s">
        <v>38</v>
      </c>
      <c r="G441" s="7"/>
    </row>
    <row r="442">
      <c r="A442" s="32" t="str">
        <f>HYPERLINK("http://www.lightoj.com/volume_showproblem.php?problem=1090","[LOJ 1090] Trailing Zeroes (II)")</f>
        <v>[LOJ 1090] Trailing Zeroes (II)</v>
      </c>
      <c r="B442" s="33">
        <f t="shared" si="2"/>
        <v>3</v>
      </c>
      <c r="C442" s="52"/>
      <c r="D442" s="34" t="s">
        <v>38</v>
      </c>
      <c r="E442" s="47" t="s">
        <v>38</v>
      </c>
      <c r="F442" s="38" t="s">
        <v>38</v>
      </c>
      <c r="G442" s="39"/>
    </row>
    <row r="443">
      <c r="A443" s="32" t="str">
        <f>HYPERLINK("http://www.lightoj.com/volume_showproblem.php?problem=1007","[LOJ 1007] Mathematically Hard")</f>
        <v>[LOJ 1007] Mathematically Hard</v>
      </c>
      <c r="B443" s="33">
        <f t="shared" si="2"/>
        <v>3</v>
      </c>
      <c r="C443" s="52"/>
      <c r="D443" s="34" t="s">
        <v>38</v>
      </c>
      <c r="E443" s="47" t="s">
        <v>38</v>
      </c>
      <c r="F443" s="38" t="s">
        <v>38</v>
      </c>
      <c r="G443" s="7"/>
    </row>
    <row r="444">
      <c r="A444" s="32" t="str">
        <f>HYPERLINK("http://www.lightoj.com/volume_showproblem.php?problem=1028","[LOJ 1028] Trailing Zeroes (I)")</f>
        <v>[LOJ 1028] Trailing Zeroes (I)</v>
      </c>
      <c r="B444" s="33">
        <f t="shared" si="2"/>
        <v>3</v>
      </c>
      <c r="C444" s="52"/>
      <c r="D444" s="34" t="s">
        <v>38</v>
      </c>
      <c r="E444" s="47" t="s">
        <v>38</v>
      </c>
      <c r="F444" s="38" t="s">
        <v>38</v>
      </c>
      <c r="G444" s="39"/>
    </row>
    <row r="445">
      <c r="A445" s="32" t="str">
        <f>HYPERLINK("http://www.lightoj.com/volume_showproblem.php?problem=1054","[LOJ 1054] Efficient Pseudo Code")</f>
        <v>[LOJ 1054] Efficient Pseudo Code</v>
      </c>
      <c r="B445" s="33">
        <f t="shared" si="2"/>
        <v>3</v>
      </c>
      <c r="C445" s="52"/>
      <c r="D445" s="34" t="s">
        <v>38</v>
      </c>
      <c r="E445" s="47" t="s">
        <v>38</v>
      </c>
      <c r="F445" s="38" t="s">
        <v>38</v>
      </c>
      <c r="G445" s="7"/>
    </row>
    <row r="446">
      <c r="A446" s="32" t="str">
        <f>HYPERLINK("http://www.lightoj.com/volume_showproblem.php?problem=1077","[LOJ 1077] How Many Points?")</f>
        <v>[LOJ 1077] How Many Points?</v>
      </c>
      <c r="B446" s="33">
        <f t="shared" si="2"/>
        <v>3</v>
      </c>
      <c r="C446" s="52"/>
      <c r="D446" s="34" t="s">
        <v>38</v>
      </c>
      <c r="E446" s="47" t="s">
        <v>38</v>
      </c>
      <c r="F446" s="38" t="s">
        <v>38</v>
      </c>
      <c r="G446" s="7"/>
    </row>
    <row r="447">
      <c r="A447" s="32" t="str">
        <f>HYPERLINK("http://www.lightoj.com/volume_showproblem.php?problem=1163","[LOJ 1163] Bank Robbery")</f>
        <v>[LOJ 1163] Bank Robbery</v>
      </c>
      <c r="B447" s="33">
        <f t="shared" si="2"/>
        <v>3</v>
      </c>
      <c r="C447" s="52"/>
      <c r="D447" s="34" t="s">
        <v>38</v>
      </c>
      <c r="E447" s="47" t="s">
        <v>38</v>
      </c>
      <c r="F447" s="38" t="s">
        <v>38</v>
      </c>
      <c r="G447" s="7"/>
    </row>
    <row r="448">
      <c r="A448" s="32" t="str">
        <f>HYPERLINK("https://uva.onlinejudge.org/index.php?option=onlinejudge&amp;page=show_problem&amp;problem=1981","[UVa 11040] Add Bricks in the Wall")</f>
        <v>[UVa 11040] Add Bricks in the Wall</v>
      </c>
      <c r="B448" s="33">
        <f t="shared" si="2"/>
        <v>3</v>
      </c>
      <c r="C448" s="52"/>
      <c r="D448" s="34" t="s">
        <v>38</v>
      </c>
      <c r="E448" s="47" t="s">
        <v>38</v>
      </c>
      <c r="F448" s="38" t="s">
        <v>38</v>
      </c>
      <c r="G448" s="7"/>
    </row>
    <row r="449">
      <c r="A449" s="32" t="str">
        <f>HYPERLINK("https://uva.onlinejudge.org/index.php?option=onlinejudge&amp;page=show_problem&amp;problem=1563","[UVa 10622] Perfect Pth Powers")</f>
        <v>[UVa 10622] Perfect Pth Powers</v>
      </c>
      <c r="B449" s="33">
        <f t="shared" si="2"/>
        <v>3</v>
      </c>
      <c r="C449" s="52"/>
      <c r="D449" s="34" t="s">
        <v>38</v>
      </c>
      <c r="E449" s="47" t="s">
        <v>38</v>
      </c>
      <c r="F449" s="38" t="s">
        <v>38</v>
      </c>
      <c r="G449" s="7"/>
    </row>
    <row r="450">
      <c r="A450" s="32" t="str">
        <f>HYPERLINK("https://uva.onlinejudge.org/index.php?option=com_onlinejudge&amp;Itemid=8&amp;page=show_problem&amp;problem=1827","[UVa 10886] Standard Deviation")</f>
        <v>[UVa 10886] Standard Deviation</v>
      </c>
      <c r="B450" s="33">
        <f t="shared" si="2"/>
        <v>3</v>
      </c>
      <c r="C450" s="52"/>
      <c r="D450" s="34" t="s">
        <v>38</v>
      </c>
      <c r="E450" s="47" t="s">
        <v>38</v>
      </c>
      <c r="F450" s="39" t="s">
        <v>38</v>
      </c>
      <c r="G450" s="7"/>
    </row>
    <row r="451">
      <c r="A451" s="32" t="str">
        <f>HYPERLINK("https://uva.onlinejudge.org/index.php?option=com_onlinejudge&amp;Itemid=8&amp;page=show_problem&amp;problem=2203","[UVa 11246] K-multiple Free Set")</f>
        <v>[UVa 11246] K-multiple Free Set</v>
      </c>
      <c r="B451" s="33">
        <f t="shared" si="2"/>
        <v>3</v>
      </c>
      <c r="C451" s="52"/>
      <c r="D451" s="34" t="s">
        <v>38</v>
      </c>
      <c r="E451" s="47" t="s">
        <v>38</v>
      </c>
      <c r="F451" s="38" t="s">
        <v>38</v>
      </c>
      <c r="G451" s="7"/>
    </row>
    <row r="452">
      <c r="A452" s="32" t="str">
        <f>HYPERLINK("https://uva.onlinejudge.org/index.php?option=com_onlinejudge&amp;Itemid=8&amp;page=show_problem&amp;problem=2278","[UVa 11303] Permutation")</f>
        <v>[UVa 11303] Permutation</v>
      </c>
      <c r="B452" s="33">
        <f t="shared" si="2"/>
        <v>0</v>
      </c>
      <c r="C452" s="52"/>
      <c r="D452" s="34" t="s">
        <v>137</v>
      </c>
      <c r="E452" s="12"/>
      <c r="F452" s="7"/>
      <c r="G452" s="7"/>
    </row>
    <row r="453">
      <c r="A453" s="32" t="str">
        <f>HYPERLINK("http://www.lightoj.com/volume_showproblem.php?problem=1024","[LOJ 1024] Eid")</f>
        <v>[LOJ 1024] Eid</v>
      </c>
      <c r="B453" s="33">
        <f t="shared" si="2"/>
        <v>3</v>
      </c>
      <c r="C453" s="52"/>
      <c r="D453" s="34" t="s">
        <v>38</v>
      </c>
      <c r="E453" s="47" t="s">
        <v>38</v>
      </c>
      <c r="F453" s="38" t="s">
        <v>38</v>
      </c>
      <c r="G453" s="7"/>
    </row>
    <row r="454">
      <c r="A454" s="32" t="str">
        <f>HYPERLINK("http://www.lightoj.com/volume_showproblem.php?problem=1197","[LOJ 1197] Help Hanzo")</f>
        <v>[LOJ 1197] Help Hanzo</v>
      </c>
      <c r="B454" s="33">
        <f t="shared" si="2"/>
        <v>3</v>
      </c>
      <c r="C454" s="52"/>
      <c r="D454" s="34" t="s">
        <v>38</v>
      </c>
      <c r="E454" s="47" t="s">
        <v>38</v>
      </c>
      <c r="F454" s="38" t="s">
        <v>38</v>
      </c>
      <c r="G454" s="39"/>
    </row>
    <row r="455">
      <c r="A455" s="32" t="str">
        <f>HYPERLINK("http://www.lightoj.com/volume_showproblem.php?problem=1333","[LOJ 1333] Grid Coloring")</f>
        <v>[LOJ 1333] Grid Coloring</v>
      </c>
      <c r="B455" s="33">
        <f t="shared" si="2"/>
        <v>3</v>
      </c>
      <c r="C455" s="52"/>
      <c r="D455" s="34" t="s">
        <v>38</v>
      </c>
      <c r="E455" s="47" t="s">
        <v>38</v>
      </c>
      <c r="F455" s="38" t="s">
        <v>38</v>
      </c>
      <c r="G455" s="7"/>
    </row>
    <row r="456">
      <c r="A456" s="32" t="str">
        <f>HYPERLINK("http://www.lightoj.com/volume_showproblem.php?problem=1340","[LOJ 1340] Story of Tomisu Ghost")</f>
        <v>[LOJ 1340] Story of Tomisu Ghost</v>
      </c>
      <c r="B456" s="33">
        <f t="shared" si="2"/>
        <v>3</v>
      </c>
      <c r="C456" s="52"/>
      <c r="D456" s="34" t="s">
        <v>38</v>
      </c>
      <c r="E456" s="47" t="s">
        <v>38</v>
      </c>
      <c r="F456" s="38" t="s">
        <v>38</v>
      </c>
      <c r="G456" s="7"/>
    </row>
    <row r="457">
      <c r="A457" s="32" t="str">
        <f>HYPERLINK("http://lightoj.com/volume_showproblem.php?problem=1038","[LOJ 1038] Race to 1 Again")</f>
        <v>[LOJ 1038] Race to 1 Again</v>
      </c>
      <c r="B457" s="33">
        <f t="shared" si="2"/>
        <v>3</v>
      </c>
      <c r="C457" s="52"/>
      <c r="D457" s="34" t="s">
        <v>38</v>
      </c>
      <c r="E457" s="47" t="s">
        <v>38</v>
      </c>
      <c r="F457" s="38" t="s">
        <v>38</v>
      </c>
      <c r="G457" s="39"/>
    </row>
    <row r="458">
      <c r="A458" s="32" t="str">
        <f>HYPERLINK("http://lightoj.com/volume_showproblem.php?problem=1151","[LOJ 1151] Snakes and Ladders")</f>
        <v>[LOJ 1151] Snakes and Ladders</v>
      </c>
      <c r="B458" s="33">
        <f t="shared" si="2"/>
        <v>1</v>
      </c>
      <c r="C458" s="52"/>
      <c r="D458" s="34" t="s">
        <v>38</v>
      </c>
      <c r="E458" s="12"/>
      <c r="F458" s="7"/>
      <c r="G458" s="7"/>
    </row>
    <row r="459">
      <c r="A459" s="32" t="str">
        <f>HYPERLINK("http://lightoj.com/volume_showproblem.php?problem=1256","[LOJ 1256] Word Puzzle")</f>
        <v>[LOJ 1256] Word Puzzle</v>
      </c>
      <c r="B459" s="33">
        <f t="shared" si="2"/>
        <v>1</v>
      </c>
      <c r="C459" s="52"/>
      <c r="D459" s="34" t="s">
        <v>38</v>
      </c>
      <c r="E459" s="12"/>
      <c r="F459" s="7"/>
      <c r="G459" s="7"/>
    </row>
    <row r="460">
      <c r="A460" s="32" t="str">
        <f>HYPERLINK("https://uva.onlinejudge.org/index.php?option=com_onlinejudge&amp;Itemid=8&amp;page=show_problem&amp;problem=4519","[UVa 1644] Prime Gap")</f>
        <v>[UVa 1644] Prime Gap</v>
      </c>
      <c r="B460" s="33">
        <f t="shared" si="2"/>
        <v>3</v>
      </c>
      <c r="C460" s="52"/>
      <c r="D460" s="34" t="s">
        <v>38</v>
      </c>
      <c r="E460" s="47" t="s">
        <v>38</v>
      </c>
      <c r="F460" s="38" t="s">
        <v>38</v>
      </c>
      <c r="G460" s="39"/>
    </row>
    <row r="461">
      <c r="A461" s="32" t="str">
        <f>HYPERLINK("https://uva.onlinejudge.org/index.php?option=com_onlinejudge&amp;Itemid=8&amp;page=show_problem&amp;problem=4521","[UVa 1646] Edge Case")</f>
        <v>[UVa 1646] Edge Case</v>
      </c>
      <c r="B461" s="33">
        <f t="shared" si="2"/>
        <v>3</v>
      </c>
      <c r="C461" s="52"/>
      <c r="D461" s="34" t="s">
        <v>38</v>
      </c>
      <c r="E461" s="47" t="s">
        <v>38</v>
      </c>
      <c r="F461" s="38" t="s">
        <v>38</v>
      </c>
      <c r="G461" s="7"/>
    </row>
    <row r="462">
      <c r="A462" s="32" t="str">
        <f>HYPERLINK("https://uva.onlinejudge.org/index.php?option=com_onlinejudge&amp;Itemid=8&amp;page=show_problem&amp;problem=4522","[UVa 1647] Computer Transformation")</f>
        <v>[UVa 1647] Computer Transformation</v>
      </c>
      <c r="B462" s="33">
        <f t="shared" si="2"/>
        <v>3</v>
      </c>
      <c r="C462" s="52"/>
      <c r="D462" s="34" t="s">
        <v>38</v>
      </c>
      <c r="E462" s="47" t="s">
        <v>38</v>
      </c>
      <c r="F462" s="38" t="s">
        <v>38</v>
      </c>
      <c r="G462" s="7"/>
    </row>
    <row r="463">
      <c r="A463" s="32" t="str">
        <f>HYPERLINK("https://uva.onlinejudge.org/index.php?option=onlinejudge&amp;page=show_problem&amp;problem=2107","[UVa 11166] Power Signs")</f>
        <v>[UVa 11166] Power Signs</v>
      </c>
      <c r="B463" s="33">
        <f t="shared" si="2"/>
        <v>0</v>
      </c>
      <c r="C463" s="52"/>
      <c r="D463" s="34" t="s">
        <v>138</v>
      </c>
      <c r="E463" s="12"/>
      <c r="F463" s="7"/>
      <c r="G463" s="7"/>
    </row>
    <row r="464">
      <c r="A464" s="32" t="str">
        <f>HYPERLINK("https://uva.onlinejudge.org/index.php?option=com_onlinejudge&amp;Itemid=8&amp;page=show_problem&amp;problem=4530","[UVa 1655] Exam")</f>
        <v>[UVa 1655] Exam</v>
      </c>
      <c r="B464" s="33">
        <f t="shared" si="2"/>
        <v>0</v>
      </c>
      <c r="C464" s="52"/>
      <c r="D464" s="34" t="s">
        <v>138</v>
      </c>
      <c r="E464" s="12"/>
      <c r="F464" s="37"/>
      <c r="G464" s="7"/>
    </row>
    <row r="465">
      <c r="A465" s="32" t="str">
        <f>HYPERLINK("http://www.lightoj.com/volume_showproblem.php?problem=1213","[LOJ 1213] Fantasy of a Summation")</f>
        <v>[LOJ 1213] Fantasy of a Summation</v>
      </c>
      <c r="B465" s="33">
        <f t="shared" si="2"/>
        <v>3</v>
      </c>
      <c r="C465" s="52"/>
      <c r="D465" s="34" t="s">
        <v>38</v>
      </c>
      <c r="E465" s="47" t="s">
        <v>38</v>
      </c>
      <c r="F465" s="38" t="s">
        <v>38</v>
      </c>
      <c r="G465" s="39"/>
    </row>
    <row r="466">
      <c r="A466" s="32" t="str">
        <f>HYPERLINK("http://www.lightoj.com/volume_showproblem.php?problem=1259","[LOJ 1259] Goldbach's Conjecture")</f>
        <v>[LOJ 1259] Goldbach's Conjecture</v>
      </c>
      <c r="B466" s="33">
        <f t="shared" si="2"/>
        <v>3</v>
      </c>
      <c r="C466" s="52"/>
      <c r="D466" s="34" t="s">
        <v>38</v>
      </c>
      <c r="E466" s="47" t="s">
        <v>38</v>
      </c>
      <c r="F466" s="38" t="s">
        <v>38</v>
      </c>
      <c r="G466" s="39"/>
    </row>
    <row r="467">
      <c r="A467" s="32" t="str">
        <f>HYPERLINK("http://www.lightoj.com/volume_showproblem.php?problem=1336","[LOJ 1336] Sigma Function")</f>
        <v>[LOJ 1336] Sigma Function</v>
      </c>
      <c r="B467" s="33">
        <f t="shared" si="2"/>
        <v>3</v>
      </c>
      <c r="C467" s="52"/>
      <c r="D467" s="34" t="s">
        <v>38</v>
      </c>
      <c r="E467" s="47" t="s">
        <v>38</v>
      </c>
      <c r="F467" s="38" t="s">
        <v>38</v>
      </c>
      <c r="G467" s="39"/>
    </row>
    <row r="468">
      <c r="A468" s="32" t="str">
        <f>HYPERLINK("http://www.lightoj.com/volume_showproblem.php?problem=1370","[LOJ 1370] Bi-Shoe &amp; Phi-Shoe")</f>
        <v>[LOJ 1370] Bi-Shoe &amp; Phi-Shoe</v>
      </c>
      <c r="B468" s="33">
        <f t="shared" si="2"/>
        <v>3</v>
      </c>
      <c r="C468" s="52"/>
      <c r="D468" s="34" t="s">
        <v>38</v>
      </c>
      <c r="E468" s="47" t="s">
        <v>38</v>
      </c>
      <c r="F468" s="38" t="s">
        <v>38</v>
      </c>
      <c r="G468" s="7"/>
    </row>
    <row r="469">
      <c r="A469" s="32" t="str">
        <f>HYPERLINK("http://lightoj.com/volume_showproblem.php?problem=1104","[LOJ 1104] Birthday Paradox")</f>
        <v>[LOJ 1104] Birthday Paradox</v>
      </c>
      <c r="B469" s="33">
        <f t="shared" si="2"/>
        <v>3</v>
      </c>
      <c r="C469" s="52"/>
      <c r="D469" s="34" t="s">
        <v>38</v>
      </c>
      <c r="E469" s="47" t="s">
        <v>38</v>
      </c>
      <c r="F469" s="38" t="s">
        <v>38</v>
      </c>
      <c r="G469" s="39"/>
    </row>
    <row r="470">
      <c r="A470" s="32" t="str">
        <f>HYPERLINK("http://lightoj.com/volume_showproblem.php?problem=1248","[LOJ 1248] Dice (III)")</f>
        <v>[LOJ 1248] Dice (III)</v>
      </c>
      <c r="B470" s="33">
        <f t="shared" si="2"/>
        <v>3</v>
      </c>
      <c r="C470" s="52"/>
      <c r="D470" s="34" t="s">
        <v>38</v>
      </c>
      <c r="E470" s="47" t="s">
        <v>38</v>
      </c>
      <c r="F470" s="38" t="s">
        <v>38</v>
      </c>
      <c r="G470" s="39"/>
    </row>
    <row r="471">
      <c r="A471" s="32" t="str">
        <f>HYPERLINK("http://lightoj.com/volume_showproblem.php?problem=1058","[LOJ 1058] Parallelogram Counting")</f>
        <v>[LOJ 1058] Parallelogram Counting</v>
      </c>
      <c r="B471" s="33">
        <f t="shared" si="2"/>
        <v>1</v>
      </c>
      <c r="C471" s="52"/>
      <c r="D471" s="34" t="s">
        <v>38</v>
      </c>
      <c r="E471" s="12"/>
      <c r="F471" s="7"/>
      <c r="G471" s="7"/>
    </row>
    <row r="472">
      <c r="A472" s="32" t="str">
        <f>HYPERLINK("https://uva.onlinejudge.org/index.php?option=onlinejudge&amp;page=show_problem&amp;problem=749","[UVa 808] Bee Breeding")</f>
        <v>[UVa 808] Bee Breeding</v>
      </c>
      <c r="B472" s="33">
        <f t="shared" si="2"/>
        <v>0</v>
      </c>
      <c r="C472" s="52"/>
      <c r="D472" s="34" t="s">
        <v>139</v>
      </c>
      <c r="E472" s="12"/>
      <c r="F472" s="7"/>
      <c r="G472" s="7"/>
    </row>
    <row r="473">
      <c r="A473" s="32" t="str">
        <f>HYPERLINK("https://uva.onlinejudge.org/index.php?option=onlinejudge&amp;page=show_problem&amp;problem=2521","[UVa 11526] H(n)")</f>
        <v>[UVa 11526] H(n)</v>
      </c>
      <c r="B473" s="33">
        <f t="shared" si="2"/>
        <v>3</v>
      </c>
      <c r="C473" s="52"/>
      <c r="D473" s="34" t="s">
        <v>38</v>
      </c>
      <c r="E473" s="47" t="s">
        <v>38</v>
      </c>
      <c r="F473" s="38" t="s">
        <v>38</v>
      </c>
      <c r="G473" s="39"/>
    </row>
    <row r="474">
      <c r="A474" s="32" t="str">
        <f>HYPERLINK("https://uva.onlinejudge.org/index.php?option=com_onlinejudge&amp;Itemid=8&amp;category=825&amp;page=show_problem&amp;problem=4524","[UVa 1649] Binomial Coefficients")</f>
        <v>[UVa 1649] Binomial Coefficients</v>
      </c>
      <c r="B474" s="33">
        <f t="shared" si="2"/>
        <v>0</v>
      </c>
      <c r="C474" s="52"/>
      <c r="D474" s="34" t="s">
        <v>129</v>
      </c>
      <c r="E474" s="12"/>
      <c r="F474" s="7"/>
      <c r="G474" s="7"/>
    </row>
    <row r="475">
      <c r="A475" s="32" t="str">
        <f>HYPERLINK("https://uva.onlinejudge.org/index.php?option=com_onlinejudge&amp;Itemid=8&amp;page=show_problem&amp;problem=1420","[UVa 10479] The Hendrie Sequence")</f>
        <v>[UVa 10479] The Hendrie Sequence</v>
      </c>
      <c r="B475" s="33">
        <f t="shared" si="2"/>
        <v>0</v>
      </c>
      <c r="C475" s="52"/>
      <c r="D475" s="34" t="s">
        <v>138</v>
      </c>
      <c r="E475" s="12"/>
      <c r="F475" s="7"/>
      <c r="G475" s="7"/>
    </row>
    <row r="476">
      <c r="A476" s="32" t="str">
        <f>HYPERLINK("https://uva.onlinejudge.org/index.php?option=com_onlinejudge&amp;Itemid=8&amp;category=441&amp;page=show_problem&amp;problem=3965","[UVa 12520] Square Garden")</f>
        <v>[UVa 12520] Square Garden</v>
      </c>
      <c r="B476" s="33">
        <f t="shared" si="2"/>
        <v>0</v>
      </c>
      <c r="C476" s="52"/>
      <c r="D476" s="34" t="s">
        <v>129</v>
      </c>
      <c r="E476" s="12"/>
      <c r="F476" s="7"/>
      <c r="G476" s="7"/>
    </row>
    <row r="477">
      <c r="A477" s="32" t="str">
        <f>HYPERLINK("https://uva.onlinejudge.org/index.php?option=com_onlinejudge&amp;Itemid=8&amp;category=825&amp;page=show_problem&amp;problem=4527","[UVa 1652] Fibonacci System")</f>
        <v>[UVa 1652] Fibonacci System</v>
      </c>
      <c r="B477" s="33">
        <f t="shared" si="2"/>
        <v>0</v>
      </c>
      <c r="C477" s="52"/>
      <c r="D477" s="34"/>
      <c r="E477" s="12"/>
      <c r="F477" s="7"/>
      <c r="G477" s="7"/>
    </row>
    <row r="478">
      <c r="A478" s="32" t="str">
        <f>HYPERLINK("https://uva.onlinejudge.org/index.php?option=com_onlinejudge&amp;Itemid=8&amp;page=show_problem&amp;problem=1917","[UVa 10976] Fractions Again?!")</f>
        <v>[UVa 10976] Fractions Again?!</v>
      </c>
      <c r="B478" s="33">
        <f t="shared" si="2"/>
        <v>3</v>
      </c>
      <c r="C478" s="52"/>
      <c r="D478" s="34" t="s">
        <v>38</v>
      </c>
      <c r="E478" s="47" t="s">
        <v>38</v>
      </c>
      <c r="F478" s="38" t="s">
        <v>38</v>
      </c>
      <c r="G478" s="39"/>
    </row>
    <row r="479">
      <c r="A479" s="32" t="str">
        <f>HYPERLINK("http://www.lightoj.com/volume_showproblem.php?problem=1298","[LOJ 1298] One Theorem, One Year")</f>
        <v>[LOJ 1298] One Theorem, One Year</v>
      </c>
      <c r="B479" s="33">
        <f t="shared" si="2"/>
        <v>3</v>
      </c>
      <c r="C479" s="52"/>
      <c r="D479" s="34" t="s">
        <v>38</v>
      </c>
      <c r="E479" s="47" t="s">
        <v>38</v>
      </c>
      <c r="F479" s="39" t="s">
        <v>38</v>
      </c>
      <c r="G479" s="7"/>
    </row>
    <row r="480">
      <c r="A480" s="32" t="str">
        <f>HYPERLINK("http://www.lightoj.com/volume_showproblem.php?problem=1161","[LOJ 1161] Extreme GCD")</f>
        <v>[LOJ 1161] Extreme GCD</v>
      </c>
      <c r="B480" s="33">
        <f t="shared" si="2"/>
        <v>3</v>
      </c>
      <c r="C480" s="52"/>
      <c r="D480" s="34" t="s">
        <v>38</v>
      </c>
      <c r="E480" s="47" t="s">
        <v>38</v>
      </c>
      <c r="F480" s="39" t="s">
        <v>38</v>
      </c>
      <c r="G480" s="7"/>
    </row>
    <row r="481">
      <c r="A481" s="32" t="str">
        <f>HYPERLINK("https://uva.onlinejudge.org/index.php?option=onlinejudge&amp;page=show_problem&amp;problem=2046","[UVa 11105] Semi-prime H-numbers")</f>
        <v>[UVa 11105] Semi-prime H-numbers</v>
      </c>
      <c r="B481" s="33">
        <f t="shared" si="2"/>
        <v>3</v>
      </c>
      <c r="C481" s="52"/>
      <c r="D481" s="34" t="s">
        <v>38</v>
      </c>
      <c r="E481" s="47" t="s">
        <v>38</v>
      </c>
      <c r="F481" s="55" t="s">
        <v>38</v>
      </c>
      <c r="G481" s="7"/>
    </row>
    <row r="482">
      <c r="A482" s="32" t="str">
        <f>HYPERLINK("https://uva.onlinejudge.org/index.php?option=onlinejudge&amp;page=show_problem&amp;problem=1581","[UVa 10640] Planes around the World")</f>
        <v>[UVa 10640] Planes around the World</v>
      </c>
      <c r="B482" s="33">
        <f t="shared" si="2"/>
        <v>0</v>
      </c>
      <c r="C482" s="52"/>
      <c r="D482" s="34"/>
      <c r="E482" s="12"/>
      <c r="F482" s="7"/>
      <c r="G482" s="7"/>
    </row>
    <row r="483">
      <c r="A483" s="32" t="str">
        <f>HYPERLINK("https://uva.onlinejudge.org/index.php?option=com_onlinejudge&amp;Itemid=8&amp;category=9&amp;page=show_problem&amp;problem=707","[UVa 766] Sum of Powers")</f>
        <v>[UVa 766] Sum of Powers</v>
      </c>
      <c r="B483" s="33">
        <f t="shared" si="2"/>
        <v>0</v>
      </c>
      <c r="C483" s="52"/>
      <c r="D483" s="34"/>
      <c r="E483" s="12"/>
      <c r="F483" s="7"/>
      <c r="G483" s="7"/>
    </row>
    <row r="484">
      <c r="A484" s="32" t="str">
        <f>HYPERLINK("https://uva.onlinejudge.org/index.php?option=com_onlinejudge&amp;Itemid=8&amp;page=show_problem&amp;problem=4035","[UVa 12590] Guards (II)")</f>
        <v>[UVa 12590] Guards (II)</v>
      </c>
      <c r="B484" s="33">
        <f t="shared" si="2"/>
        <v>0</v>
      </c>
      <c r="C484" s="52"/>
      <c r="D484" s="34"/>
      <c r="E484" s="12"/>
      <c r="F484" s="7"/>
      <c r="G484" s="7"/>
    </row>
    <row r="485">
      <c r="A485" s="32" t="str">
        <f>HYPERLINK("https://uva.onlinejudge.org/index.php?option=com_onlinejudge&amp;Itemid=8&amp;page=show_problem&amp;problem=2995","[UVa 11895] Honorary Tickets")</f>
        <v>[UVa 11895] Honorary Tickets</v>
      </c>
      <c r="B485" s="33">
        <f t="shared" si="2"/>
        <v>0</v>
      </c>
      <c r="C485" s="52"/>
      <c r="D485" s="34"/>
      <c r="E485" s="12"/>
      <c r="F485" s="7"/>
      <c r="G485" s="7"/>
    </row>
    <row r="486">
      <c r="A486" s="32" t="str">
        <f>HYPERLINK("http://www.lightoj.com/volume_showproblem.php?problem=1234","[LOJ 1234] Harmonic Number")</f>
        <v>[LOJ 1234] Harmonic Number</v>
      </c>
      <c r="B486" s="33">
        <f t="shared" si="2"/>
        <v>3</v>
      </c>
      <c r="C486" s="52"/>
      <c r="D486" s="34" t="s">
        <v>38</v>
      </c>
      <c r="E486" s="47" t="s">
        <v>38</v>
      </c>
      <c r="F486" s="38" t="s">
        <v>38</v>
      </c>
      <c r="G486" s="39"/>
    </row>
    <row r="487">
      <c r="A487" s="32" t="str">
        <f>HYPERLINK("http://www.lightoj.com/volume_showproblem.php?problem=1318","[LOJ 1318] Strange Game")</f>
        <v>[LOJ 1318] Strange Game</v>
      </c>
      <c r="B487" s="33">
        <f t="shared" si="2"/>
        <v>0</v>
      </c>
      <c r="C487" s="52"/>
      <c r="D487" s="34"/>
      <c r="E487" s="12"/>
      <c r="F487" s="7"/>
      <c r="G487" s="7"/>
    </row>
    <row r="488">
      <c r="A488" s="32" t="str">
        <f>HYPERLINK("https://uva.onlinejudge.org/index.php?option=onlinejudge&amp;page=show_problem&amp;problem=423","[UVa 482] Permutation Arrays")</f>
        <v>[UVa 482] Permutation Arrays</v>
      </c>
      <c r="B488" s="33">
        <f t="shared" si="2"/>
        <v>3</v>
      </c>
      <c r="C488" s="52"/>
      <c r="D488" s="34" t="s">
        <v>38</v>
      </c>
      <c r="E488" s="47" t="s">
        <v>38</v>
      </c>
      <c r="F488" s="38" t="s">
        <v>38</v>
      </c>
      <c r="G488" s="39"/>
    </row>
    <row r="489">
      <c r="A489" s="32" t="str">
        <f>HYPERLINK("https://uva.onlinejudge.org/index.php?option=com_onlinejudge&amp;Itemid=8&amp;page=show_problem&amp;problem=535","[UVa 594] One Two Three Little Endians")</f>
        <v>[UVa 594] One Two Three Little Endians</v>
      </c>
      <c r="B489" s="33">
        <f t="shared" si="2"/>
        <v>3</v>
      </c>
      <c r="C489" s="52"/>
      <c r="D489" s="34" t="s">
        <v>38</v>
      </c>
      <c r="E489" s="47" t="s">
        <v>38</v>
      </c>
      <c r="F489" s="38" t="s">
        <v>38</v>
      </c>
      <c r="G489" s="39"/>
    </row>
    <row r="490">
      <c r="A490" s="32" t="str">
        <f>HYPERLINK("https://uva.onlinejudge.org/index.php?option=com_onlinejudge&amp;Itemid=8&amp;page=show_problem&amp;problem=82","[UVa 146] ID Codes")</f>
        <v>[UVa 146] ID Codes</v>
      </c>
      <c r="B490" s="33">
        <f t="shared" si="2"/>
        <v>3</v>
      </c>
      <c r="C490" s="52"/>
      <c r="D490" s="34" t="s">
        <v>38</v>
      </c>
      <c r="E490" s="47" t="s">
        <v>38</v>
      </c>
      <c r="F490" s="38" t="s">
        <v>38</v>
      </c>
      <c r="G490" s="39"/>
    </row>
    <row r="491">
      <c r="A491" s="32" t="str">
        <f>HYPERLINK("https://uva.onlinejudge.org/index.php?option=com_onlinejudge&amp;Itemid=8&amp;page=show_problem&amp;problem=1135","[UVa 10194] Football a.k.a Soccer")</f>
        <v>[UVa 10194] Football a.k.a Soccer</v>
      </c>
      <c r="B491" s="33">
        <f t="shared" si="2"/>
        <v>3</v>
      </c>
      <c r="C491" s="52"/>
      <c r="D491" s="34" t="s">
        <v>38</v>
      </c>
      <c r="E491" s="47" t="s">
        <v>38</v>
      </c>
      <c r="F491" s="38" t="s">
        <v>38</v>
      </c>
      <c r="G491" s="39"/>
    </row>
    <row r="492">
      <c r="A492" s="32" t="str">
        <f>HYPERLINK("https://uva.onlinejudge.org/index.php?option=com_onlinejudge&amp;Itemid=8&amp;page=show_problem&amp;problem=1199","[UVa 10258] Contest Scoreboard")</f>
        <v>[UVa 10258] Contest Scoreboard</v>
      </c>
      <c r="B492" s="33">
        <f t="shared" si="2"/>
        <v>3</v>
      </c>
      <c r="C492" s="52"/>
      <c r="D492" s="34" t="s">
        <v>38</v>
      </c>
      <c r="E492" s="47" t="s">
        <v>38</v>
      </c>
      <c r="F492" s="38" t="s">
        <v>38</v>
      </c>
      <c r="G492" s="39"/>
    </row>
    <row r="493">
      <c r="A493" s="32" t="str">
        <f>HYPERLINK("https://uva.onlinejudge.org/index.php?option=onlinejudge&amp;Itemid=8&amp;page=show_problem&amp;problem=235","[UVa 299] Train Swapping")</f>
        <v>[UVa 299] Train Swapping</v>
      </c>
      <c r="B493" s="33">
        <f t="shared" si="2"/>
        <v>3</v>
      </c>
      <c r="C493" s="52"/>
      <c r="D493" s="34" t="s">
        <v>38</v>
      </c>
      <c r="E493" s="47" t="s">
        <v>38</v>
      </c>
      <c r="F493" s="38" t="s">
        <v>38</v>
      </c>
      <c r="G493" s="39"/>
    </row>
    <row r="494">
      <c r="A494" s="32" t="str">
        <f>HYPERLINK("https://uva.onlinejudge.org/index.php?option=com_onlinejudge&amp;Itemid=8&amp;page=show_problem&amp;problem=553","[UVa 612] DNA Sorting")</f>
        <v>[UVa 612] DNA Sorting</v>
      </c>
      <c r="B494" s="33">
        <f t="shared" si="2"/>
        <v>3</v>
      </c>
      <c r="C494" s="52"/>
      <c r="D494" s="34" t="s">
        <v>38</v>
      </c>
      <c r="E494" s="47" t="s">
        <v>38</v>
      </c>
      <c r="F494" s="38" t="s">
        <v>38</v>
      </c>
      <c r="G494" s="39"/>
    </row>
    <row r="495">
      <c r="A495" s="32" t="str">
        <f>HYPERLINK("https://uva.onlinejudge.org/index.php?option=com_onlinejudge&amp;Itemid=8&amp;page=show_problem&amp;problem=1751","[UVa 10810] Ultra Quicksort")</f>
        <v>[UVa 10810] Ultra Quicksort</v>
      </c>
      <c r="B495" s="33">
        <f t="shared" si="2"/>
        <v>3</v>
      </c>
      <c r="C495" s="52"/>
      <c r="D495" s="34" t="s">
        <v>38</v>
      </c>
      <c r="E495" s="47" t="s">
        <v>38</v>
      </c>
      <c r="F495" s="38" t="s">
        <v>38</v>
      </c>
      <c r="G495" s="39"/>
    </row>
    <row r="496">
      <c r="A496" s="32" t="str">
        <f>HYPERLINK("https://uva.onlinejudge.org/index.php?option=onlinejudge&amp;page=show_problem&amp;problem=2457","[UVa 11462] Age Sort")</f>
        <v>[UVa 11462] Age Sort</v>
      </c>
      <c r="B496" s="33">
        <f t="shared" si="2"/>
        <v>3</v>
      </c>
      <c r="C496" s="52"/>
      <c r="D496" s="34" t="s">
        <v>38</v>
      </c>
      <c r="E496" s="47" t="s">
        <v>38</v>
      </c>
      <c r="F496" s="38" t="s">
        <v>38</v>
      </c>
      <c r="G496" s="39"/>
    </row>
    <row r="497">
      <c r="A497" s="32" t="str">
        <f>HYPERLINK("https://uva.onlinejudge.org/index.php?option=onlinejudge&amp;page=show_problem&amp;problem=2490","[UVa 11495] Bubbles and Buckets")</f>
        <v>[UVa 11495] Bubbles and Buckets</v>
      </c>
      <c r="B497" s="33">
        <f t="shared" si="2"/>
        <v>3</v>
      </c>
      <c r="C497" s="52"/>
      <c r="D497" s="34" t="s">
        <v>38</v>
      </c>
      <c r="E497" s="47" t="s">
        <v>38</v>
      </c>
      <c r="F497" s="38" t="s">
        <v>38</v>
      </c>
      <c r="G497" s="39"/>
    </row>
    <row r="498">
      <c r="A498" s="32" t="str">
        <f>HYPERLINK("https://uva.onlinejudge.org/index.php?option=onlinejudge&amp;page=show_problem&amp;problem=63","[UVa 127] ""Accordian"" Patience")</f>
        <v>[UVa 127] "Accordian" Patience</v>
      </c>
      <c r="B498" s="33">
        <f t="shared" si="2"/>
        <v>3</v>
      </c>
      <c r="C498" s="52"/>
      <c r="D498" s="34" t="s">
        <v>38</v>
      </c>
      <c r="E498" s="47" t="s">
        <v>38</v>
      </c>
      <c r="F498" s="38" t="s">
        <v>38</v>
      </c>
      <c r="G498" s="7"/>
    </row>
    <row r="499">
      <c r="A499" s="32" t="str">
        <f>HYPERLINK("https://uva.onlinejudge.org/index.php?option=com_onlinejudge&amp;Itemid=8&amp;page=show_problem&amp;problem=455","[UVa 514] Rails")</f>
        <v>[UVa 514] Rails</v>
      </c>
      <c r="B499" s="33">
        <f t="shared" si="2"/>
        <v>3</v>
      </c>
      <c r="C499" s="52"/>
      <c r="D499" s="34" t="s">
        <v>38</v>
      </c>
      <c r="E499" s="47" t="s">
        <v>38</v>
      </c>
      <c r="F499" s="38" t="s">
        <v>38</v>
      </c>
      <c r="G499" s="7"/>
    </row>
    <row r="500">
      <c r="A500" s="32" t="str">
        <f>HYPERLINK("https://uva.onlinejudge.org/index.php?option=com_onlinejudge&amp;Itemid=8&amp;page=show_problem&amp;problem=614","[UVa 673] Parentheses Balance")</f>
        <v>[UVa 673] Parentheses Balance</v>
      </c>
      <c r="B500" s="33">
        <f t="shared" si="2"/>
        <v>3</v>
      </c>
      <c r="C500" s="52"/>
      <c r="D500" s="34" t="s">
        <v>38</v>
      </c>
      <c r="E500" s="47" t="s">
        <v>38</v>
      </c>
      <c r="F500" s="38" t="s">
        <v>38</v>
      </c>
      <c r="G500" s="39"/>
    </row>
    <row r="501">
      <c r="A501" s="32" t="str">
        <f>HYPERLINK("https://uva.onlinejudge.org/index.php?option=com_onlinejudge&amp;Itemid=8&amp;page=show_problem&amp;problem=668","[UVa 727] Equation")</f>
        <v>[UVa 727] Equation</v>
      </c>
      <c r="B501" s="33">
        <f t="shared" si="2"/>
        <v>3</v>
      </c>
      <c r="C501" s="52"/>
      <c r="D501" s="34" t="s">
        <v>38</v>
      </c>
      <c r="E501" s="47" t="s">
        <v>38</v>
      </c>
      <c r="F501" s="38" t="s">
        <v>38</v>
      </c>
      <c r="G501" s="39"/>
    </row>
    <row r="502">
      <c r="A502" s="32" t="str">
        <f>HYPERLINK("https://uva.onlinejudge.org/index.php?option=onlinejudge&amp;page=show_problem&amp;problem=1842","[UVa 10901] Ferry Loading III")</f>
        <v>[UVa 10901] Ferry Loading III</v>
      </c>
      <c r="B502" s="33">
        <f t="shared" si="2"/>
        <v>3</v>
      </c>
      <c r="C502" s="52"/>
      <c r="D502" s="34" t="s">
        <v>38</v>
      </c>
      <c r="E502" s="47" t="s">
        <v>38</v>
      </c>
      <c r="F502" s="38" t="s">
        <v>38</v>
      </c>
      <c r="G502" s="7"/>
    </row>
    <row r="503">
      <c r="A503" s="32" t="str">
        <f>HYPERLINK("https://uva.onlinejudge.org/index.php?option=onlinejudge&amp;page=show_problem&amp;problem=1975","[UVa 11034] Ferry Loading IV")</f>
        <v>[UVa 11034] Ferry Loading IV</v>
      </c>
      <c r="B503" s="33">
        <f t="shared" si="2"/>
        <v>3</v>
      </c>
      <c r="C503" s="52"/>
      <c r="D503" s="34" t="s">
        <v>38</v>
      </c>
      <c r="E503" s="47" t="s">
        <v>38</v>
      </c>
      <c r="F503" s="38" t="s">
        <v>38</v>
      </c>
      <c r="G503" s="7"/>
    </row>
    <row r="504">
      <c r="A504" s="32" t="str">
        <f>HYPERLINK("https://uva.onlinejudge.org/index.php?option=onlinejudge&amp;page=show_problem&amp;problem=1167","[UVa 10226] Hardwood Species")</f>
        <v>[UVa 10226] Hardwood Species</v>
      </c>
      <c r="B504" s="33">
        <f t="shared" si="2"/>
        <v>3</v>
      </c>
      <c r="C504" s="52"/>
      <c r="D504" s="34" t="s">
        <v>38</v>
      </c>
      <c r="E504" s="47" t="s">
        <v>38</v>
      </c>
      <c r="F504" s="38" t="s">
        <v>38</v>
      </c>
      <c r="G504" s="39"/>
    </row>
    <row r="505">
      <c r="A505" s="32" t="str">
        <f>HYPERLINK("https://uva.onlinejudge.org/index.php?option=onlinejudge&amp;page=show_problem&amp;problem=2180","[UVa 11239] Open Source")</f>
        <v>[UVa 11239] Open Source</v>
      </c>
      <c r="B505" s="33">
        <f t="shared" si="2"/>
        <v>3</v>
      </c>
      <c r="C505" s="52"/>
      <c r="D505" s="34" t="s">
        <v>38</v>
      </c>
      <c r="E505" s="47" t="s">
        <v>38</v>
      </c>
      <c r="F505" s="38" t="s">
        <v>38</v>
      </c>
      <c r="G505" s="7"/>
    </row>
    <row r="506">
      <c r="A506" s="32" t="str">
        <f>HYPERLINK("https://uva.onlinejudge.org/index.php?option=com_onlinejudge&amp;Itemid=8&amp;page=show_problem&amp;problem=2283","[UVa 11308] Bankrupt Baker")</f>
        <v>[UVa 11308] Bankrupt Baker</v>
      </c>
      <c r="B506" s="33">
        <f t="shared" si="2"/>
        <v>3</v>
      </c>
      <c r="C506" s="52"/>
      <c r="D506" s="34" t="s">
        <v>38</v>
      </c>
      <c r="E506" s="47" t="s">
        <v>38</v>
      </c>
      <c r="F506" s="38" t="s">
        <v>38</v>
      </c>
      <c r="G506" s="7"/>
    </row>
    <row r="507">
      <c r="A507" s="32" t="str">
        <f>HYPERLINK("https://uva.onlinejudge.org/index.php?option=com_onlinejudge&amp;Itemid=8&amp;page=show_problem&amp;problem=2077","[UVa 11136] Hoax or What")</f>
        <v>[UVa 11136] Hoax or What</v>
      </c>
      <c r="B507" s="33">
        <f t="shared" si="2"/>
        <v>3</v>
      </c>
      <c r="C507" s="52"/>
      <c r="D507" s="34" t="s">
        <v>38</v>
      </c>
      <c r="E507" s="47" t="s">
        <v>38</v>
      </c>
      <c r="F507" s="38" t="s">
        <v>38</v>
      </c>
      <c r="G507" s="7"/>
    </row>
    <row r="508">
      <c r="A508" s="32" t="str">
        <f>HYPERLINK("https://icpcarchive.ecs.baylor.edu/index.php?option=onlinejudge&amp;page=show_problem&amp;problem=1136","[LA 3135] Argus")</f>
        <v>[LA 3135] Argus</v>
      </c>
      <c r="B508" s="33">
        <f t="shared" si="2"/>
        <v>3</v>
      </c>
      <c r="C508" s="52"/>
      <c r="D508" s="34" t="s">
        <v>38</v>
      </c>
      <c r="E508" s="34" t="s">
        <v>38</v>
      </c>
      <c r="F508" s="38" t="s">
        <v>38</v>
      </c>
      <c r="G508" s="7"/>
    </row>
    <row r="509">
      <c r="A509" s="32" t="str">
        <f>HYPERLINK("https://uva.onlinejudge.org/index.php?option=com_onlinejudge&amp;Itemid=8&amp;page=show_problem&amp;problem=400","[UVa 459] Graph Connectivity")</f>
        <v>[UVa 459] Graph Connectivity</v>
      </c>
      <c r="B509" s="33">
        <f t="shared" si="2"/>
        <v>3</v>
      </c>
      <c r="C509" s="52"/>
      <c r="D509" s="34" t="s">
        <v>38</v>
      </c>
      <c r="E509" s="47" t="s">
        <v>38</v>
      </c>
      <c r="F509" s="38" t="s">
        <v>38</v>
      </c>
      <c r="G509" s="39"/>
    </row>
    <row r="510">
      <c r="A510" s="32" t="str">
        <f>HYPERLINK("https://uva.onlinejudge.org/index.php?option=com_onlinejudge&amp;Itemid=8&amp;page=show_problem&amp;problem=734","[UVa 793] Network Connections")</f>
        <v>[UVa 793] Network Connections</v>
      </c>
      <c r="B510" s="33">
        <f t="shared" si="2"/>
        <v>3</v>
      </c>
      <c r="C510" s="52"/>
      <c r="D510" s="34" t="s">
        <v>38</v>
      </c>
      <c r="E510" s="47" t="s">
        <v>38</v>
      </c>
      <c r="F510" s="38" t="s">
        <v>38</v>
      </c>
      <c r="G510" s="39"/>
    </row>
    <row r="511">
      <c r="A511" s="32" t="str">
        <f>HYPERLINK("https://uva.onlinejudge.org/index.php?option=onlinejudge&amp;page=show_problem&amp;problem=853","[UVa 912] Live from Mars")</f>
        <v>[UVa 912] Live from Mars</v>
      </c>
      <c r="B511" s="33">
        <f t="shared" si="2"/>
        <v>3</v>
      </c>
      <c r="C511" s="52"/>
      <c r="D511" s="34" t="s">
        <v>38</v>
      </c>
      <c r="E511" s="47" t="s">
        <v>38</v>
      </c>
      <c r="F511" s="38" t="s">
        <v>38</v>
      </c>
      <c r="G511" s="7"/>
    </row>
    <row r="512">
      <c r="A512" s="32" t="str">
        <f>HYPERLINK("https://uva.onlinejudge.org/index.php?option=com_onlinejudge&amp;Itemid=8&amp;page=show_problem&amp;problem=1099","[UVa 10158] War")</f>
        <v>[UVa 10158] War</v>
      </c>
      <c r="B512" s="33">
        <f t="shared" si="2"/>
        <v>3</v>
      </c>
      <c r="C512" s="52"/>
      <c r="D512" s="34" t="s">
        <v>38</v>
      </c>
      <c r="E512" s="47" t="s">
        <v>38</v>
      </c>
      <c r="F512" s="38" t="s">
        <v>38</v>
      </c>
      <c r="G512" s="7"/>
    </row>
    <row r="513">
      <c r="A513" s="32" t="str">
        <f>HYPERLINK("https://uva.onlinejudge.org/index.php?option=onlinejudge&amp;page=show_problem&amp;problem=1242","[UVa 10301] Rings and Glue")</f>
        <v>[UVa 10301] Rings and Glue</v>
      </c>
      <c r="B513" s="33">
        <f t="shared" si="2"/>
        <v>3</v>
      </c>
      <c r="C513" s="52"/>
      <c r="D513" s="34" t="s">
        <v>38</v>
      </c>
      <c r="E513" s="47" t="s">
        <v>38</v>
      </c>
      <c r="F513" s="38" t="s">
        <v>38</v>
      </c>
      <c r="G513" s="7"/>
    </row>
    <row r="514">
      <c r="A514" s="32" t="str">
        <f>HYPERLINK("https://uva.onlinejudge.org/index.php?option=com_onlinejudge&amp;Itemid=8&amp;page=show_problem&amp;problem=1446","[UVa 10505] Montesco vs Capuleto")</f>
        <v>[UVa 10505] Montesco vs Capuleto</v>
      </c>
      <c r="B514" s="33">
        <f t="shared" si="2"/>
        <v>3</v>
      </c>
      <c r="C514" s="52"/>
      <c r="D514" s="34" t="s">
        <v>38</v>
      </c>
      <c r="E514" s="47" t="s">
        <v>38</v>
      </c>
      <c r="F514" s="38" t="s">
        <v>38</v>
      </c>
      <c r="G514" s="7"/>
    </row>
    <row r="515">
      <c r="A515" s="32" t="str">
        <f>HYPERLINK("https://uva.onlinejudge.org/index.php?option=onlinejudge&amp;page=show_problem&amp;problem=1524","[UVa 10583] Ubiquitous Religions")</f>
        <v>[UVa 10583] Ubiquitous Religions</v>
      </c>
      <c r="B515" s="33">
        <f t="shared" si="2"/>
        <v>3</v>
      </c>
      <c r="C515" s="52"/>
      <c r="D515" s="34" t="s">
        <v>38</v>
      </c>
      <c r="E515" s="47" t="s">
        <v>38</v>
      </c>
      <c r="F515" s="38" t="s">
        <v>38</v>
      </c>
      <c r="G515" s="39"/>
    </row>
    <row r="516">
      <c r="A516" s="32" t="str">
        <f>HYPERLINK("https://uva.onlinejudge.org/index.php?option=com_onlinejudge&amp;Itemid=8&amp;page=show_problem&amp;problem=1549","[UVa 10608] Friends")</f>
        <v>[UVa 10608] Friends</v>
      </c>
      <c r="B516" s="33">
        <f t="shared" si="2"/>
        <v>3</v>
      </c>
      <c r="C516" s="52"/>
      <c r="D516" s="34" t="s">
        <v>38</v>
      </c>
      <c r="E516" s="47" t="s">
        <v>38</v>
      </c>
      <c r="F516" s="38" t="s">
        <v>38</v>
      </c>
      <c r="G516" s="39"/>
    </row>
    <row r="517">
      <c r="A517" s="32" t="str">
        <f>HYPERLINK("https://uva.onlinejudge.org/index.php?option=onlinejudge&amp;page=show_problem&amp;problem=2498","[UVa 11503] Virtual Friends")</f>
        <v>[UVa 11503] Virtual Friends</v>
      </c>
      <c r="B517" s="33">
        <f t="shared" si="2"/>
        <v>3</v>
      </c>
      <c r="C517" s="52"/>
      <c r="D517" s="34" t="s">
        <v>38</v>
      </c>
      <c r="E517" s="47" t="s">
        <v>38</v>
      </c>
      <c r="F517" s="38" t="s">
        <v>38</v>
      </c>
      <c r="G517" s="39"/>
    </row>
    <row r="518">
      <c r="A518" s="32" t="str">
        <f>HYPERLINK("https://uva.onlinejudge.org/index.php?option=onlinejudge&amp;page=show_problem&amp;problem=2176","[UVa 11235] Frequent Values")</f>
        <v>[UVa 11235] Frequent Values</v>
      </c>
      <c r="B518" s="33">
        <f t="shared" si="2"/>
        <v>3</v>
      </c>
      <c r="C518" s="52"/>
      <c r="D518" s="34" t="s">
        <v>38</v>
      </c>
      <c r="E518" s="47" t="s">
        <v>38</v>
      </c>
      <c r="F518" s="38" t="s">
        <v>38</v>
      </c>
      <c r="G518" s="39"/>
    </row>
    <row r="519">
      <c r="A519" s="32" t="str">
        <f>HYPERLINK("https://uva.onlinejudge.org/index.php?option=com_onlinejudge&amp;Itemid=8&amp;page=show_problem&amp;problem=2272","[UVa 11297] Census")</f>
        <v>[UVa 11297] Census</v>
      </c>
      <c r="B519" s="33">
        <f t="shared" si="2"/>
        <v>3</v>
      </c>
      <c r="C519" s="52"/>
      <c r="D519" s="34" t="s">
        <v>38</v>
      </c>
      <c r="E519" s="47" t="s">
        <v>38</v>
      </c>
      <c r="F519" s="38" t="s">
        <v>38</v>
      </c>
      <c r="G519" s="7"/>
    </row>
    <row r="520">
      <c r="A520" s="32" t="str">
        <f>HYPERLINK("https://uva.onlinejudge.org/index.php?option=com_onlinejudge&amp;Itemid=8&amp;page=show_problem&amp;problem=2397","[UVa 11402] Ahoy, Pirates!")</f>
        <v>[UVa 11402] Ahoy, Pirates!</v>
      </c>
      <c r="B520" s="33">
        <f t="shared" si="2"/>
        <v>3</v>
      </c>
      <c r="C520" s="52"/>
      <c r="D520" s="34" t="s">
        <v>38</v>
      </c>
      <c r="E520" s="56" t="s">
        <v>38</v>
      </c>
      <c r="F520" s="39" t="s">
        <v>38</v>
      </c>
      <c r="G520" s="7"/>
    </row>
    <row r="521">
      <c r="A521" s="32" t="str">
        <f>HYPERLINK("https://icpcarchive.ecs.baylor.edu/index.php?option=com_onlinejudge&amp;Itemid=8&amp;page=show_problem&amp;problem=192","[LA 2191] Potentiometers")</f>
        <v>[LA 2191] Potentiometers</v>
      </c>
      <c r="B521" s="33">
        <f t="shared" si="2"/>
        <v>3</v>
      </c>
      <c r="C521" s="52"/>
      <c r="D521" s="34" t="s">
        <v>38</v>
      </c>
      <c r="E521" s="47" t="s">
        <v>38</v>
      </c>
      <c r="F521" s="38" t="s">
        <v>38</v>
      </c>
      <c r="G521" s="39"/>
    </row>
    <row r="522">
      <c r="A522" s="32" t="str">
        <f>HYPERLINK("https://icpcarchive.ecs.baylor.edu/index.php?option=com_onlinejudge&amp;Itemid=8&amp;page=show_problem&amp;problem=1295","[LA 3294] The Ultimate Bamboo Eater")</f>
        <v>[LA 3294] The Ultimate Bamboo Eater</v>
      </c>
      <c r="B522" s="33">
        <f t="shared" si="2"/>
        <v>0</v>
      </c>
      <c r="C522" s="52"/>
      <c r="D522" s="57" t="s">
        <v>140</v>
      </c>
      <c r="E522" s="12"/>
      <c r="F522" s="37"/>
      <c r="G522" s="7"/>
    </row>
    <row r="523">
      <c r="A523" s="32" t="str">
        <f>HYPERLINK("https://icpcarchive.ecs.baylor.edu/index.php?option=com_onlinejudge&amp;Itemid=8&amp;page=show_problem&amp;problem=2109","[LA 4108] Skyline")</f>
        <v>[LA 4108] Skyline</v>
      </c>
      <c r="B523" s="33">
        <f t="shared" si="2"/>
        <v>3</v>
      </c>
      <c r="C523" s="52"/>
      <c r="D523" s="34" t="s">
        <v>38</v>
      </c>
      <c r="E523" s="56" t="s">
        <v>38</v>
      </c>
      <c r="F523" s="39" t="s">
        <v>38</v>
      </c>
      <c r="G523" s="7"/>
    </row>
    <row r="524">
      <c r="A524" s="32" t="str">
        <f>HYPERLINK("http://lightoj.com/volume_showproblem.php?problem=1212","[LOJ 1212] Double Ended Queue")</f>
        <v>[LOJ 1212] Double Ended Queue</v>
      </c>
      <c r="B524" s="33">
        <f t="shared" si="2"/>
        <v>3</v>
      </c>
      <c r="C524" s="52"/>
      <c r="D524" s="34" t="s">
        <v>38</v>
      </c>
      <c r="E524" s="47" t="s">
        <v>38</v>
      </c>
      <c r="F524" s="38" t="s">
        <v>38</v>
      </c>
      <c r="G524" s="39"/>
    </row>
    <row r="525">
      <c r="A525" s="32" t="str">
        <f>HYPERLINK("http://lightoj.com/volume_showproblem.php?problem=1303","[LOJ 1303] Ferris Wheel")</f>
        <v>[LOJ 1303] Ferris Wheel</v>
      </c>
      <c r="B525" s="33">
        <f t="shared" si="2"/>
        <v>3</v>
      </c>
      <c r="C525" s="52"/>
      <c r="D525" s="34" t="s">
        <v>38</v>
      </c>
      <c r="E525" s="47" t="s">
        <v>38</v>
      </c>
      <c r="F525" s="38" t="s">
        <v>38</v>
      </c>
      <c r="G525" s="39"/>
    </row>
    <row r="526">
      <c r="A526" s="32" t="str">
        <f>HYPERLINK("http://lightoj.com/volume_showproblem.php?problem=1087","[LOJ 1087] Diablo")</f>
        <v>[LOJ 1087] Diablo</v>
      </c>
      <c r="B526" s="33">
        <f t="shared" si="2"/>
        <v>3</v>
      </c>
      <c r="C526" s="52"/>
      <c r="D526" s="34" t="s">
        <v>38</v>
      </c>
      <c r="E526" s="47" t="s">
        <v>38</v>
      </c>
      <c r="F526" s="38" t="s">
        <v>38</v>
      </c>
      <c r="G526" s="39"/>
    </row>
    <row r="527">
      <c r="A527" s="32" t="str">
        <f>HYPERLINK("http://lightoj.com/volume_showproblem.php?problem=1097","[LOJ 1097] Lucky Number")</f>
        <v>[LOJ 1097] Lucky Number</v>
      </c>
      <c r="B527" s="33">
        <f t="shared" si="2"/>
        <v>2</v>
      </c>
      <c r="C527" s="52"/>
      <c r="D527" s="34" t="s">
        <v>38</v>
      </c>
      <c r="E527" s="12"/>
      <c r="F527" s="39" t="s">
        <v>38</v>
      </c>
      <c r="G527" s="7"/>
    </row>
    <row r="528">
      <c r="A528" s="32" t="str">
        <f>HYPERLINK("http://lightoj.com/volume_showproblem.php?problem=1293","[LOJ 1293] Document Analyzer")</f>
        <v>[LOJ 1293] Document Analyzer</v>
      </c>
      <c r="B528" s="33">
        <f t="shared" si="2"/>
        <v>2</v>
      </c>
      <c r="C528" s="52"/>
      <c r="D528" s="34" t="s">
        <v>38</v>
      </c>
      <c r="E528" s="12"/>
      <c r="F528" s="34" t="s">
        <v>38</v>
      </c>
      <c r="G528" s="7"/>
    </row>
    <row r="529">
      <c r="A529" s="32" t="str">
        <f>HYPERLINK("http://www.spoj.com/problems/INVCNT/","[SPOJ INVCNT] Inversion Count")</f>
        <v>[SPOJ INVCNT] Inversion Count</v>
      </c>
      <c r="B529" s="33">
        <f t="shared" si="2"/>
        <v>3</v>
      </c>
      <c r="C529" s="52"/>
      <c r="D529" s="34" t="s">
        <v>38</v>
      </c>
      <c r="E529" s="34" t="s">
        <v>38</v>
      </c>
      <c r="F529" s="38" t="s">
        <v>38</v>
      </c>
      <c r="G529" s="39"/>
    </row>
    <row r="530">
      <c r="A530" s="32" t="str">
        <f>HYPERLINK("http://lightoj.com/volume_showproblem.php?problem=1080","[LOJ 1080] Binary Simulation")</f>
        <v>[LOJ 1080] Binary Simulation</v>
      </c>
      <c r="B530" s="33">
        <f t="shared" si="2"/>
        <v>3</v>
      </c>
      <c r="C530" s="52"/>
      <c r="D530" s="34" t="s">
        <v>38</v>
      </c>
      <c r="E530" s="34" t="s">
        <v>38</v>
      </c>
      <c r="F530" s="38" t="s">
        <v>38</v>
      </c>
      <c r="G530" s="39"/>
    </row>
    <row r="531">
      <c r="A531" s="32" t="str">
        <f>HYPERLINK("http://lightoj.com/volume_showproblem.php?problem=1085","[LOJ 1085] All Possible Increasing Subsequences")</f>
        <v>[LOJ 1085] All Possible Increasing Subsequences</v>
      </c>
      <c r="B531" s="33">
        <f t="shared" si="2"/>
        <v>3</v>
      </c>
      <c r="C531" s="52"/>
      <c r="D531" s="34" t="s">
        <v>38</v>
      </c>
      <c r="E531" s="47" t="s">
        <v>38</v>
      </c>
      <c r="F531" s="38" t="s">
        <v>38</v>
      </c>
      <c r="G531" s="39"/>
    </row>
    <row r="532">
      <c r="A532" s="32" t="str">
        <f>HYPERLINK("http://lightoj.com/volume_showproblem.php?problem=1112","[LOJ 1112] Curious Robinhood")</f>
        <v>[LOJ 1112] Curious Robinhood</v>
      </c>
      <c r="B532" s="33">
        <f t="shared" si="2"/>
        <v>3</v>
      </c>
      <c r="C532" s="52"/>
      <c r="D532" s="34" t="s">
        <v>38</v>
      </c>
      <c r="E532" s="47" t="s">
        <v>38</v>
      </c>
      <c r="F532" s="38" t="s">
        <v>38</v>
      </c>
      <c r="G532" s="7"/>
    </row>
    <row r="533">
      <c r="A533" s="32" t="str">
        <f>HYPERLINK("http://lightoj.com/volume_showproblem.php?problem=1266","[LOJ 1266] Point in Rectangle")</f>
        <v>[LOJ 1266] Point in Rectangle</v>
      </c>
      <c r="B533" s="33">
        <f t="shared" si="2"/>
        <v>3</v>
      </c>
      <c r="C533" s="52"/>
      <c r="D533" s="34" t="s">
        <v>38</v>
      </c>
      <c r="E533" s="47" t="s">
        <v>38</v>
      </c>
      <c r="F533" s="38" t="s">
        <v>38</v>
      </c>
      <c r="G533" s="7"/>
    </row>
    <row r="534">
      <c r="A534" s="32" t="str">
        <f>HYPERLINK("http://lightoj.com/volume_showproblem.php?problem=1343","[LOJ 1343] Aladdin and the Black Stones")</f>
        <v>[LOJ 1343] Aladdin and the Black Stones</v>
      </c>
      <c r="B534" s="33">
        <f t="shared" si="2"/>
        <v>0</v>
      </c>
      <c r="C534" s="52"/>
      <c r="D534" s="51"/>
      <c r="E534" s="12"/>
      <c r="F534" s="7"/>
      <c r="G534" s="7"/>
    </row>
    <row r="535">
      <c r="A535" s="32" t="str">
        <f>HYPERLINK("http://lightoj.com/volume_showproblem.php?problem=1348","[LOJ 1348] Aladdin and the Return Journey")</f>
        <v>[LOJ 1348] Aladdin and the Return Journey</v>
      </c>
      <c r="B535" s="33">
        <f t="shared" si="2"/>
        <v>2</v>
      </c>
      <c r="C535" s="52"/>
      <c r="D535" s="34" t="s">
        <v>38</v>
      </c>
      <c r="E535" s="12"/>
      <c r="F535" s="39" t="s">
        <v>38</v>
      </c>
      <c r="G535" s="7"/>
    </row>
    <row r="536">
      <c r="A536" s="32" t="str">
        <f>HYPERLINK("http://lightoj.com/volume_showproblem.php?problem=1372","[LOJ 1372] Hexagonal Bamboo Fort")</f>
        <v>[LOJ 1372] Hexagonal Bamboo Fort</v>
      </c>
      <c r="B536" s="33">
        <f t="shared" si="2"/>
        <v>0</v>
      </c>
      <c r="C536" s="52"/>
      <c r="D536" s="51"/>
      <c r="E536" s="12"/>
      <c r="F536" s="7"/>
      <c r="G536" s="7"/>
    </row>
    <row r="537">
      <c r="A537" s="32" t="str">
        <f>HYPERLINK("http://lightoj.com/volume_showproblem.php?problem=1402","[LOJ 1402] Line Chart")</f>
        <v>[LOJ 1402] Line Chart</v>
      </c>
      <c r="B537" s="33">
        <f t="shared" si="2"/>
        <v>0</v>
      </c>
      <c r="C537" s="52"/>
      <c r="D537" s="51"/>
      <c r="E537" s="12"/>
      <c r="F537" s="7"/>
      <c r="G537" s="7"/>
    </row>
    <row r="538">
      <c r="A538" s="32" t="str">
        <f>HYPERLINK("http://lightoj.com/volume_showproblem.php?problem=1426","[LOJ 1426] Blind Escape")</f>
        <v>[LOJ 1426] Blind Escape</v>
      </c>
      <c r="B538" s="33">
        <f t="shared" si="2"/>
        <v>0</v>
      </c>
      <c r="C538" s="52"/>
      <c r="D538" s="51"/>
      <c r="E538" s="12"/>
      <c r="F538" s="7"/>
      <c r="G538" s="7"/>
    </row>
    <row r="539">
      <c r="A539" s="32" t="str">
        <f>HYPERLINK("http://lightoj.com/volume_showproblem.php?problem=1423","[LOJ 1423] Olympic Swimming")</f>
        <v>[LOJ 1423] Olympic Swimming</v>
      </c>
      <c r="B539" s="33">
        <f t="shared" si="2"/>
        <v>0</v>
      </c>
      <c r="C539" s="52"/>
      <c r="D539" s="51"/>
      <c r="E539" s="12"/>
      <c r="F539" s="7"/>
      <c r="G539" s="7"/>
    </row>
    <row r="540">
      <c r="A540" s="32" t="str">
        <f>HYPERLINK("http://lightoj.com/volume_showproblem.php?problem=1082","[LOJ 1082] Array Queries")</f>
        <v>[LOJ 1082] Array Queries</v>
      </c>
      <c r="B540" s="33">
        <f t="shared" si="2"/>
        <v>3</v>
      </c>
      <c r="C540" s="52"/>
      <c r="D540" s="34" t="s">
        <v>38</v>
      </c>
      <c r="E540" s="47" t="s">
        <v>38</v>
      </c>
      <c r="F540" s="38" t="s">
        <v>38</v>
      </c>
      <c r="G540" s="39"/>
    </row>
    <row r="541">
      <c r="A541" s="32" t="str">
        <f>HYPERLINK("http://lightoj.com/volume_showproblem.php?problem=1083","[LOJ 1083] Histogram")</f>
        <v>[LOJ 1083] Histogram</v>
      </c>
      <c r="B541" s="33">
        <f t="shared" si="2"/>
        <v>3</v>
      </c>
      <c r="C541" s="52"/>
      <c r="D541" s="34" t="s">
        <v>38</v>
      </c>
      <c r="E541" s="47" t="s">
        <v>38</v>
      </c>
      <c r="F541" s="39" t="s">
        <v>38</v>
      </c>
      <c r="G541" s="7"/>
    </row>
    <row r="542">
      <c r="A542" s="32" t="str">
        <f>HYPERLINK("http://lightoj.com/volume_showproblem.php?problem=1089","[LOJ 1089] Points in Segments (II)")</f>
        <v>[LOJ 1089] Points in Segments (II)</v>
      </c>
      <c r="B542" s="33">
        <f t="shared" si="2"/>
        <v>3</v>
      </c>
      <c r="C542" s="52"/>
      <c r="D542" s="34" t="s">
        <v>38</v>
      </c>
      <c r="E542" s="47" t="s">
        <v>38</v>
      </c>
      <c r="F542" s="38" t="s">
        <v>38</v>
      </c>
      <c r="G542" s="39"/>
    </row>
    <row r="543">
      <c r="A543" s="32" t="str">
        <f>HYPERLINK("http://lightoj.com/volume_showproblem.php?problem=1093","[LOJ 1093] Ghajini")</f>
        <v>[LOJ 1093] Ghajini</v>
      </c>
      <c r="B543" s="33">
        <f t="shared" si="2"/>
        <v>3</v>
      </c>
      <c r="C543" s="52"/>
      <c r="D543" s="34" t="s">
        <v>38</v>
      </c>
      <c r="E543" s="47" t="s">
        <v>38</v>
      </c>
      <c r="F543" s="38" t="s">
        <v>38</v>
      </c>
      <c r="G543" s="7"/>
    </row>
    <row r="544">
      <c r="A544" s="32" t="str">
        <f>HYPERLINK("http://lightoj.com/volume_showproblem.php?problem=1103","[LOJ 1103] Castle Walls")</f>
        <v>[LOJ 1103] Castle Walls</v>
      </c>
      <c r="B544" s="33">
        <f t="shared" si="2"/>
        <v>0</v>
      </c>
      <c r="C544" s="52"/>
      <c r="D544" s="51"/>
      <c r="E544" s="12"/>
      <c r="F544" s="37"/>
      <c r="G544" s="7"/>
    </row>
    <row r="545">
      <c r="A545" s="32" t="str">
        <f>HYPERLINK("http://lightoj.com/volume_showproblem.php?problem=1120","[LOJ 1120] Rectangle Union")</f>
        <v>[LOJ 1120] Rectangle Union</v>
      </c>
      <c r="B545" s="33">
        <f t="shared" si="2"/>
        <v>0</v>
      </c>
      <c r="C545" s="52"/>
      <c r="D545" s="34" t="s">
        <v>129</v>
      </c>
      <c r="E545" s="12"/>
      <c r="F545" s="37"/>
      <c r="G545" s="7"/>
    </row>
    <row r="546">
      <c r="A546" s="32" t="str">
        <f>HYPERLINK("http://lightoj.com/volume_showproblem.php?problem=1135","[LOJ 1135] Count the Multiples of 3")</f>
        <v>[LOJ 1135] Count the Multiples of 3</v>
      </c>
      <c r="B546" s="33">
        <f t="shared" si="2"/>
        <v>3</v>
      </c>
      <c r="C546" s="52"/>
      <c r="D546" s="34" t="s">
        <v>38</v>
      </c>
      <c r="E546" s="47" t="s">
        <v>38</v>
      </c>
      <c r="F546" s="38" t="s">
        <v>38</v>
      </c>
      <c r="G546" s="39"/>
    </row>
    <row r="547">
      <c r="A547" s="32" t="str">
        <f>HYPERLINK("http://lightoj.com/volume_showproblem.php?problem=1164","[LOJ 1164] Horrible Queries")</f>
        <v>[LOJ 1164] Horrible Queries</v>
      </c>
      <c r="B547" s="33">
        <f t="shared" si="2"/>
        <v>3</v>
      </c>
      <c r="C547" s="52"/>
      <c r="D547" s="34" t="s">
        <v>38</v>
      </c>
      <c r="E547" s="47" t="s">
        <v>38</v>
      </c>
      <c r="F547" s="38" t="s">
        <v>38</v>
      </c>
      <c r="G547" s="7"/>
    </row>
    <row r="548">
      <c r="A548" s="32" t="str">
        <f>HYPERLINK("http://lightoj.com/volume_showproblem.php?problem=1183","[LOJ 1183] Computing Fast Average")</f>
        <v>[LOJ 1183] Computing Fast Average</v>
      </c>
      <c r="B548" s="33">
        <f t="shared" si="2"/>
        <v>3</v>
      </c>
      <c r="C548" s="52"/>
      <c r="D548" s="34" t="s">
        <v>38</v>
      </c>
      <c r="E548" s="47" t="s">
        <v>38</v>
      </c>
      <c r="F548" s="38" t="s">
        <v>38</v>
      </c>
      <c r="G548" s="7"/>
    </row>
    <row r="549">
      <c r="A549" s="32" t="str">
        <f>HYPERLINK("http://lightoj.com/volume_showproblem.php?problem=1187","[LOJ 1187] Lining Up Students")</f>
        <v>[LOJ 1187] Lining Up Students</v>
      </c>
      <c r="B549" s="33">
        <f t="shared" si="2"/>
        <v>2</v>
      </c>
      <c r="C549" s="52"/>
      <c r="D549" s="34" t="s">
        <v>38</v>
      </c>
      <c r="E549" s="12"/>
      <c r="F549" s="39" t="s">
        <v>38</v>
      </c>
      <c r="G549" s="7"/>
    </row>
    <row r="550">
      <c r="A550" s="32" t="str">
        <f>HYPERLINK("http://lightoj.com/volume_showproblem.php?problem=1188","[LOJ 1188] Fast Queries")</f>
        <v>[LOJ 1188] Fast Queries</v>
      </c>
      <c r="B550" s="33">
        <f t="shared" si="2"/>
        <v>2</v>
      </c>
      <c r="C550" s="52"/>
      <c r="D550" s="34" t="s">
        <v>38</v>
      </c>
      <c r="E550" s="12"/>
      <c r="F550" s="58" t="s">
        <v>38</v>
      </c>
      <c r="G550" s="7"/>
    </row>
    <row r="551">
      <c r="A551" s="32" t="str">
        <f>HYPERLINK("http://lightoj.com/volume_showproblem.php?problem=1204","[LOJ 1204] Weird Advertisement")</f>
        <v>[LOJ 1204] Weird Advertisement</v>
      </c>
      <c r="B551" s="33">
        <f t="shared" si="2"/>
        <v>0</v>
      </c>
      <c r="C551" s="52"/>
      <c r="D551" s="51"/>
      <c r="E551" s="12"/>
      <c r="F551" s="37"/>
      <c r="G551" s="7"/>
    </row>
    <row r="552">
      <c r="A552" s="32" t="str">
        <f>HYPERLINK("http://lightoj.com/volume_showproblem.php?problem=1207","[LOJ 1207] Posters for Election")</f>
        <v>[LOJ 1207] Posters for Election</v>
      </c>
      <c r="B552" s="33">
        <f t="shared" si="2"/>
        <v>3</v>
      </c>
      <c r="C552" s="52"/>
      <c r="D552" s="34" t="s">
        <v>38</v>
      </c>
      <c r="E552" s="56" t="s">
        <v>38</v>
      </c>
      <c r="F552" s="39" t="s">
        <v>38</v>
      </c>
      <c r="G552" s="7"/>
    </row>
    <row r="553">
      <c r="A553" s="32" t="str">
        <f>HYPERLINK("http://lightoj.com/volume_showproblem.php?problem=1339","[LOJ 1339] Strongest Community")</f>
        <v>[LOJ 1339] Strongest Community</v>
      </c>
      <c r="B553" s="33">
        <f t="shared" si="2"/>
        <v>3</v>
      </c>
      <c r="C553" s="52"/>
      <c r="D553" s="59" t="s">
        <v>38</v>
      </c>
      <c r="E553" s="47" t="s">
        <v>38</v>
      </c>
      <c r="F553" s="38" t="s">
        <v>38</v>
      </c>
      <c r="G553" s="7"/>
    </row>
    <row r="554">
      <c r="A554" s="32" t="str">
        <f>HYPERLINK("http://lightoj.com/volume_showproblem.php?problem=1411","[LOJ 1411] Rip Van Winkle's Code")</f>
        <v>[LOJ 1411] Rip Van Winkle's Code</v>
      </c>
      <c r="B554" s="33">
        <f t="shared" si="2"/>
        <v>3</v>
      </c>
      <c r="C554" s="52"/>
      <c r="D554" s="50" t="s">
        <v>38</v>
      </c>
      <c r="E554" s="56" t="s">
        <v>38</v>
      </c>
      <c r="F554" s="58" t="s">
        <v>38</v>
      </c>
      <c r="G554" s="7"/>
    </row>
    <row r="555">
      <c r="A555" s="32" t="str">
        <f>HYPERLINK("http://lightoj.com/volume_showproblem.php?problem=1415","[LOJ 1415] Save the Trees")</f>
        <v>[LOJ 1415] Save the Trees</v>
      </c>
      <c r="B555" s="33">
        <f t="shared" si="2"/>
        <v>0</v>
      </c>
      <c r="C555" s="52"/>
      <c r="D555" s="51"/>
      <c r="E555" s="12"/>
      <c r="F555" s="37"/>
      <c r="G555" s="7"/>
    </row>
    <row r="556">
      <c r="A556" s="32" t="str">
        <f>HYPERLINK("http://lightoj.com/volume_showproblem.php?problem=1424","[LOJ 1424] New Land")</f>
        <v>[LOJ 1424] New Land</v>
      </c>
      <c r="B556" s="33">
        <f t="shared" si="2"/>
        <v>3</v>
      </c>
      <c r="C556" s="52"/>
      <c r="D556" s="34" t="s">
        <v>38</v>
      </c>
      <c r="E556" s="56" t="s">
        <v>38</v>
      </c>
      <c r="F556" s="39" t="s">
        <v>38</v>
      </c>
      <c r="G556" s="7"/>
    </row>
    <row r="557">
      <c r="A557" s="32" t="str">
        <f>HYPERLINK("http://lightoj.com/volume_showproblem.php?problem=1081","[LOJ 1081] Square Queries")</f>
        <v>[LOJ 1081] Square Queries</v>
      </c>
      <c r="B557" s="33">
        <f t="shared" si="2"/>
        <v>3</v>
      </c>
      <c r="C557" s="52"/>
      <c r="D557" s="34" t="s">
        <v>38</v>
      </c>
      <c r="E557" s="56" t="s">
        <v>38</v>
      </c>
      <c r="F557" s="60" t="s">
        <v>38</v>
      </c>
      <c r="G557" s="7"/>
    </row>
    <row r="558">
      <c r="A558" s="32" t="str">
        <f>HYPERLINK("http://lightoj.com/volume_showproblem.php?problem=1101","[LOJ 1101] A Secret Mission")</f>
        <v>[LOJ 1101] A Secret Mission</v>
      </c>
      <c r="B558" s="33">
        <f t="shared" si="2"/>
        <v>2</v>
      </c>
      <c r="C558" s="52"/>
      <c r="D558" s="34" t="s">
        <v>38</v>
      </c>
      <c r="E558" s="12"/>
      <c r="F558" s="61" t="s">
        <v>38</v>
      </c>
      <c r="G558" s="7"/>
    </row>
    <row r="559">
      <c r="A559" s="32" t="str">
        <f>HYPERLINK("http://lightoj.com/volume_showproblem.php?problem=1128","[LOJ 1128] Greatest Parent")</f>
        <v>[LOJ 1128] Greatest Parent</v>
      </c>
      <c r="B559" s="33">
        <f t="shared" si="2"/>
        <v>2</v>
      </c>
      <c r="C559" s="52"/>
      <c r="D559" s="34" t="s">
        <v>38</v>
      </c>
      <c r="E559" s="12"/>
      <c r="F559" s="61" t="s">
        <v>38</v>
      </c>
      <c r="G559" s="7"/>
    </row>
    <row r="560">
      <c r="A560" s="32" t="str">
        <f>HYPERLINK("http://lightoj.com/volume_showproblem.php?problem=1162","[LOJ 1162] Min Max Roads")</f>
        <v>[LOJ 1162] Min Max Roads</v>
      </c>
      <c r="B560" s="33">
        <f t="shared" si="2"/>
        <v>2</v>
      </c>
      <c r="C560" s="52"/>
      <c r="D560" s="34" t="s">
        <v>38</v>
      </c>
      <c r="E560" s="12"/>
      <c r="F560" s="61" t="s">
        <v>38</v>
      </c>
      <c r="G560" s="7"/>
    </row>
    <row r="561">
      <c r="A561" s="32" t="str">
        <f>HYPERLINK("http://lightoj.com/volume_showproblem.php?problem=1359","[LOJ 1359] Sabotaging Contest")</f>
        <v>[LOJ 1359] Sabotaging Contest</v>
      </c>
      <c r="B561" s="33">
        <f t="shared" si="2"/>
        <v>0</v>
      </c>
      <c r="C561" s="52"/>
      <c r="D561" s="51"/>
      <c r="E561" s="12"/>
      <c r="F561" s="7"/>
      <c r="G561" s="7"/>
    </row>
    <row r="562">
      <c r="A562" s="32" t="str">
        <f>HYPERLINK("http://lightoj.com/volume_showproblem.php?problem=1267","[LOJ 1267] Points in Rectangle (II)")</f>
        <v>[LOJ 1267] Points in Rectangle (II)</v>
      </c>
      <c r="B562" s="33">
        <f t="shared" si="2"/>
        <v>0</v>
      </c>
      <c r="C562" s="52"/>
      <c r="D562" s="51"/>
      <c r="E562" s="12"/>
      <c r="F562" s="7"/>
      <c r="G562" s="7"/>
    </row>
    <row r="563">
      <c r="A563" s="32" t="str">
        <f>HYPERLINK("http://lightoj.com/volume_showproblem.php?problem=1114","[LOJ 1114] Easily Readable")</f>
        <v>[LOJ 1114] Easily Readable</v>
      </c>
      <c r="B563" s="33">
        <f t="shared" si="2"/>
        <v>3</v>
      </c>
      <c r="C563" s="52"/>
      <c r="D563" s="34" t="s">
        <v>38</v>
      </c>
      <c r="E563" s="47" t="s">
        <v>38</v>
      </c>
      <c r="F563" s="38" t="s">
        <v>38</v>
      </c>
      <c r="G563" s="7"/>
    </row>
    <row r="564">
      <c r="A564" s="32" t="str">
        <f>HYPERLINK("http://lightoj.com/volume_showproblem.php?problem=1129","[LOJ 1129] Consistency Checker")</f>
        <v>[LOJ 1129] Consistency Checker</v>
      </c>
      <c r="B564" s="33">
        <f t="shared" si="2"/>
        <v>3</v>
      </c>
      <c r="C564" s="52"/>
      <c r="D564" s="34" t="s">
        <v>38</v>
      </c>
      <c r="E564" s="47" t="s">
        <v>38</v>
      </c>
      <c r="F564" s="38" t="s">
        <v>38</v>
      </c>
      <c r="G564" s="7"/>
    </row>
    <row r="565">
      <c r="A565" s="32" t="str">
        <f>HYPERLINK("http://lightoj.com/volume_showproblem.php?problem=1224","[LOJ 1224] DNA Prefix")</f>
        <v>[LOJ 1224] DNA Prefix</v>
      </c>
      <c r="B565" s="33">
        <f t="shared" si="2"/>
        <v>3</v>
      </c>
      <c r="C565" s="52"/>
      <c r="D565" s="34" t="s">
        <v>38</v>
      </c>
      <c r="E565" s="47" t="s">
        <v>38</v>
      </c>
      <c r="F565" s="38" t="s">
        <v>38</v>
      </c>
      <c r="G565" s="7"/>
    </row>
    <row r="566">
      <c r="A566" s="32" t="str">
        <f>HYPERLINK("http://lightoj.com/volume_showproblem.php?problem=1269","[LOJ 1269] Consecutive Sum")</f>
        <v>[LOJ 1269] Consecutive Sum</v>
      </c>
      <c r="B566" s="33">
        <f t="shared" si="2"/>
        <v>3</v>
      </c>
      <c r="C566" s="52"/>
      <c r="D566" s="34" t="s">
        <v>38</v>
      </c>
      <c r="E566" s="47" t="s">
        <v>38</v>
      </c>
      <c r="F566" s="38" t="s">
        <v>38</v>
      </c>
      <c r="G566" s="7"/>
    </row>
    <row r="567">
      <c r="A567" s="32" t="str">
        <f>HYPERLINK("http://www.spoj.com/problems/SUBXOR/","[SPOJ SUBXOR] SubXor")</f>
        <v>[SPOJ SUBXOR] SubXor</v>
      </c>
      <c r="B567" s="33">
        <f t="shared" si="2"/>
        <v>1</v>
      </c>
      <c r="C567" s="52"/>
      <c r="D567" s="34" t="s">
        <v>38</v>
      </c>
      <c r="E567" s="12"/>
      <c r="F567" s="7"/>
      <c r="G567" s="7"/>
    </row>
    <row r="568">
      <c r="A568" s="32" t="str">
        <f>HYPERLINK("https://icpcarchive.ecs.baylor.edu/index.php?option=com_onlinejudge&amp;Itemid=8&amp;category=345&amp;page=show_problem&amp;problem=2683","[LA 4682] XOR Sum")</f>
        <v>[LA 4682] XOR Sum</v>
      </c>
      <c r="B568" s="33">
        <f t="shared" si="2"/>
        <v>3</v>
      </c>
      <c r="C568" s="52"/>
      <c r="D568" s="34" t="s">
        <v>38</v>
      </c>
      <c r="E568" s="47" t="s">
        <v>38</v>
      </c>
      <c r="F568" s="38" t="s">
        <v>38</v>
      </c>
      <c r="G568" s="7"/>
    </row>
    <row r="569">
      <c r="A569" s="32" t="str">
        <f>HYPERLINK("https://icpcarchive.ecs.baylor.edu/index.php?option=com_onlinejudge&amp;Itemid=8&amp;page=show_problem&amp;problem=4842","[LA 6830] Journey through the Kingdom")</f>
        <v>[LA 6830] Journey through the Kingdom</v>
      </c>
      <c r="B569" s="33">
        <f t="shared" si="2"/>
        <v>0</v>
      </c>
      <c r="C569" s="52"/>
      <c r="D569" s="34" t="s">
        <v>129</v>
      </c>
      <c r="E569" s="12"/>
      <c r="F569" s="7"/>
      <c r="G569" s="7"/>
    </row>
    <row r="570">
      <c r="A570" s="32" t="str">
        <f>HYPERLINK("https://icpcarchive.ecs.baylor.edu/index.php?option=com_onlinejudge&amp;Itemid=8&amp;page=show_problem&amp;problem=4850","[LA 6838] Flipping Parentheses")</f>
        <v>[LA 6838] Flipping Parentheses</v>
      </c>
      <c r="B570" s="33">
        <f t="shared" si="2"/>
        <v>0</v>
      </c>
      <c r="C570" s="52"/>
      <c r="D570" s="34" t="s">
        <v>129</v>
      </c>
      <c r="E570" s="12"/>
      <c r="F570" s="7"/>
      <c r="G570" s="7"/>
    </row>
    <row r="571">
      <c r="A571" s="32" t="str">
        <f>HYPERLINK("https://icpcarchive.ecs.baylor.edu/index.php?option=com_onlinejudge&amp;Itemid=8&amp;category=673&amp;page=show_problem&amp;problem=4912","[LA 6900] Road Repair")</f>
        <v>[LA 6900] Road Repair</v>
      </c>
      <c r="B571" s="33">
        <f t="shared" si="2"/>
        <v>0</v>
      </c>
      <c r="C571" s="52"/>
      <c r="D571" s="34" t="s">
        <v>129</v>
      </c>
      <c r="E571" s="12"/>
      <c r="F571" s="7"/>
      <c r="G571" s="7"/>
    </row>
    <row r="572">
      <c r="A572" s="32" t="str">
        <f>HYPERLINK("https://uva.onlinejudge.org/index.php?option=com_onlinejudge&amp;Itemid=8&amp;page=show_problem&amp;problem=146","[UVa 210] Concurrency Simulator")</f>
        <v>[UVa 210] Concurrency Simulator</v>
      </c>
      <c r="B572" s="33">
        <f t="shared" si="2"/>
        <v>0</v>
      </c>
      <c r="C572" s="52"/>
      <c r="D572" s="34" t="s">
        <v>141</v>
      </c>
      <c r="E572" s="12"/>
      <c r="F572" s="7"/>
      <c r="G572" s="7"/>
    </row>
    <row r="573">
      <c r="A573" s="32" t="str">
        <f>HYPERLINK("https://uva.onlinejudge.org/index.php?option=onlinejudge&amp;page=show_problem&amp;problem=383","[UVa 442] Matrix Chain Multiplication")</f>
        <v>[UVa 442] Matrix Chain Multiplication</v>
      </c>
      <c r="B573" s="33">
        <f t="shared" si="2"/>
        <v>3</v>
      </c>
      <c r="C573" s="52"/>
      <c r="D573" s="34" t="s">
        <v>38</v>
      </c>
      <c r="E573" s="47" t="s">
        <v>38</v>
      </c>
      <c r="F573" s="38" t="s">
        <v>38</v>
      </c>
      <c r="G573" s="7"/>
    </row>
    <row r="574">
      <c r="A574" s="32" t="str">
        <f>HYPERLINK("https://uva.onlinejudge.org/index.php?option=com_onlinejudge&amp;Itemid=8&amp;page=show_problem&amp;problem=3139","[UVa 11988] Broken Keyboard (a.k.a. Beiju Text)")</f>
        <v>[UVa 11988] Broken Keyboard (a.k.a. Beiju Text)</v>
      </c>
      <c r="B574" s="33">
        <f t="shared" si="2"/>
        <v>3</v>
      </c>
      <c r="C574" s="52"/>
      <c r="D574" s="34" t="s">
        <v>38</v>
      </c>
      <c r="E574" s="47" t="s">
        <v>38</v>
      </c>
      <c r="F574" s="38" t="s">
        <v>38</v>
      </c>
      <c r="G574" s="7"/>
    </row>
    <row r="575">
      <c r="A575" s="32" t="str">
        <f>HYPERLINK("https://uva.onlinejudge.org/index.php?option=com_onlinejudge&amp;Itemid=8&amp;page=show_problem&amp;problem=4395","[UVa 12657] Boxes in a Line")</f>
        <v>[UVa 12657] Boxes in a Line</v>
      </c>
      <c r="B575" s="33">
        <f t="shared" si="2"/>
        <v>3</v>
      </c>
      <c r="C575" s="52"/>
      <c r="D575" s="34" t="s">
        <v>38</v>
      </c>
      <c r="E575" s="47" t="s">
        <v>38</v>
      </c>
      <c r="F575" s="38" t="s">
        <v>38</v>
      </c>
      <c r="G575" s="7"/>
    </row>
    <row r="576">
      <c r="A576" s="32" t="str">
        <f>HYPERLINK("https://uva.onlinejudge.org/index.php?option=com_onlinejudge&amp;Itemid=8&amp;page=show_problem&amp;problem=58","[UVa 122] Trees on the Level")</f>
        <v>[UVa 122] Trees on the Level</v>
      </c>
      <c r="B576" s="33">
        <f t="shared" si="2"/>
        <v>3</v>
      </c>
      <c r="C576" s="52"/>
      <c r="D576" s="34" t="s">
        <v>38</v>
      </c>
      <c r="E576" s="47" t="s">
        <v>38</v>
      </c>
      <c r="F576" s="38" t="s">
        <v>38</v>
      </c>
      <c r="G576" s="7"/>
    </row>
    <row r="577">
      <c r="A577" s="32" t="str">
        <f>HYPERLINK("https://uva.onlinejudge.org/index.php?option=com_onlinejudge&amp;Itemid=8&amp;page=show_problem&amp;problem=489","[UVa 548] Tree")</f>
        <v>[UVa 548] Tree</v>
      </c>
      <c r="B577" s="33">
        <f t="shared" si="2"/>
        <v>3</v>
      </c>
      <c r="C577" s="52"/>
      <c r="D577" s="34" t="s">
        <v>38</v>
      </c>
      <c r="E577" s="47" t="s">
        <v>38</v>
      </c>
      <c r="F577" s="38" t="s">
        <v>38</v>
      </c>
      <c r="G577" s="7"/>
    </row>
    <row r="578">
      <c r="A578" s="32" t="str">
        <f>HYPERLINK("https://uva.onlinejudge.org/index.php?option=com_onlinejudge&amp;Itemid=8&amp;page=show_problem&amp;problem=780","[UVa 839] Not So Mobile")</f>
        <v>[UVa 839] Not So Mobile</v>
      </c>
      <c r="B578" s="33">
        <f t="shared" si="2"/>
        <v>3</v>
      </c>
      <c r="C578" s="52"/>
      <c r="D578" s="34" t="s">
        <v>38</v>
      </c>
      <c r="E578" s="47" t="s">
        <v>38</v>
      </c>
      <c r="F578" s="38" t="s">
        <v>38</v>
      </c>
      <c r="G578" s="7"/>
    </row>
    <row r="579">
      <c r="A579" s="32" t="str">
        <f>HYPERLINK("https://uva.onlinejudge.org/index.php?option=com_onlinejudge&amp;Itemid=8&amp;page=show_problem&amp;problem=640","[UVa 699] The Falling Leaves")</f>
        <v>[UVa 699] The Falling Leaves</v>
      </c>
      <c r="B579" s="33">
        <f t="shared" si="2"/>
        <v>3</v>
      </c>
      <c r="C579" s="52"/>
      <c r="D579" s="34" t="s">
        <v>38</v>
      </c>
      <c r="E579" s="47" t="s">
        <v>38</v>
      </c>
      <c r="F579" s="38" t="s">
        <v>38</v>
      </c>
      <c r="G579" s="7"/>
    </row>
    <row r="580">
      <c r="A580" s="32" t="str">
        <f>HYPERLINK("https://uva.onlinejudge.org/index.php?option=com_onlinejudge&amp;Itemid=8&amp;page=show_problem&amp;problem=233","[UVa 297] Quadtrees")</f>
        <v>[UVa 297] Quadtrees</v>
      </c>
      <c r="B580" s="33">
        <f t="shared" si="2"/>
        <v>3</v>
      </c>
      <c r="C580" s="52"/>
      <c r="D580" s="34" t="s">
        <v>38</v>
      </c>
      <c r="E580" s="47" t="s">
        <v>38</v>
      </c>
      <c r="F580" s="38" t="s">
        <v>38</v>
      </c>
      <c r="G580" s="7"/>
    </row>
    <row r="581">
      <c r="A581" s="32" t="str">
        <f>HYPERLINK("https://uva.onlinejudge.org/index.php?option=com_onlinejudge&amp;Itemid=8&amp;page=show_problem&amp;problem=477","[UVa 536] Tree Recovery")</f>
        <v>[UVa 536] Tree Recovery</v>
      </c>
      <c r="B581" s="33">
        <f t="shared" si="2"/>
        <v>3</v>
      </c>
      <c r="C581" s="52"/>
      <c r="D581" s="34" t="s">
        <v>38</v>
      </c>
      <c r="E581" s="47" t="s">
        <v>38</v>
      </c>
      <c r="F581" s="38" t="s">
        <v>38</v>
      </c>
      <c r="G581" s="7"/>
    </row>
    <row r="582">
      <c r="A582" s="32" t="str">
        <f>HYPERLINK("https://uva.onlinejudge.org/index.php?option=com_onlinejudge&amp;Itemid=8&amp;page=show_problem&amp;problem=182","[UVa 246] 10-20-30")</f>
        <v>[UVa 246] 10-20-30</v>
      </c>
      <c r="B582" s="33">
        <f t="shared" si="2"/>
        <v>2</v>
      </c>
      <c r="C582" s="52"/>
      <c r="D582" s="34" t="s">
        <v>38</v>
      </c>
      <c r="E582" s="12"/>
      <c r="F582" s="38" t="s">
        <v>38</v>
      </c>
      <c r="G582" s="7"/>
    </row>
    <row r="583">
      <c r="A583" s="32" t="str">
        <f>HYPERLINK("https://uva.onlinejudge.org/index.php?option=com_onlinejudge&amp;Itemid=8&amp;page=show_problem&amp;problem=653","[UVA 712] S- Trees")</f>
        <v>[UVA 712] S- Trees</v>
      </c>
      <c r="B583" s="33">
        <f t="shared" si="2"/>
        <v>3</v>
      </c>
      <c r="C583" s="52"/>
      <c r="D583" s="34" t="s">
        <v>38</v>
      </c>
      <c r="E583" s="47" t="s">
        <v>38</v>
      </c>
      <c r="F583" s="38" t="s">
        <v>38</v>
      </c>
      <c r="G583" s="7"/>
    </row>
    <row r="584">
      <c r="A584" s="32" t="str">
        <f>HYPERLINK("https://uva.onlinejudge.org/index.php?option=onlinejudge&amp;page=show_problem&amp;problem=4068","[UVa 1322] Minimizing Maximizer")</f>
        <v>[UVa 1322] Minimizing Maximizer</v>
      </c>
      <c r="B584" s="33">
        <f t="shared" si="2"/>
        <v>0</v>
      </c>
      <c r="C584" s="52"/>
      <c r="D584" s="34" t="s">
        <v>142</v>
      </c>
      <c r="E584" s="12"/>
      <c r="F584" s="7"/>
      <c r="G584" s="7"/>
    </row>
    <row r="585">
      <c r="A585" s="32" t="str">
        <f>HYPERLINK("https://uva.onlinejudge.org/index.php?option=com_onlinejudge&amp;Itemid=8&amp;page=show_problem&amp;problem=1503","[UVa 10562] Undraw the Trees")</f>
        <v>[UVa 10562] Undraw the Trees</v>
      </c>
      <c r="B585" s="33">
        <f t="shared" si="2"/>
        <v>3</v>
      </c>
      <c r="C585" s="52"/>
      <c r="D585" s="34" t="s">
        <v>38</v>
      </c>
      <c r="E585" s="47" t="s">
        <v>38</v>
      </c>
      <c r="F585" s="38" t="s">
        <v>38</v>
      </c>
      <c r="G585" s="7"/>
    </row>
    <row r="586">
      <c r="A586" s="32" t="str">
        <f>HYPERLINK("https://uva.onlinejudge.org/index.php?option=com_onlinejudge&amp;Itemid=8&amp;page=show_problem&amp;problem=747","[UVa 806] Spatial Structures")</f>
        <v>[UVa 806] Spatial Structures</v>
      </c>
      <c r="B586" s="33">
        <f t="shared" si="2"/>
        <v>2</v>
      </c>
      <c r="C586" s="52"/>
      <c r="D586" s="34" t="s">
        <v>38</v>
      </c>
      <c r="E586" s="12"/>
      <c r="F586" s="38" t="s">
        <v>38</v>
      </c>
      <c r="G586" s="7"/>
    </row>
    <row r="587">
      <c r="A587" s="32" t="str">
        <f>HYPERLINK("https://uva.onlinejudge.org/index.php?option=com_onlinejudge&amp;Itemid=8&amp;page=show_problem&amp;problem=4537","[UVa 1662] Bracket Removal")</f>
        <v>[UVa 1662] Bracket Removal</v>
      </c>
      <c r="B587" s="33">
        <f t="shared" si="2"/>
        <v>0</v>
      </c>
      <c r="C587" s="52"/>
      <c r="D587" s="34" t="s">
        <v>129</v>
      </c>
      <c r="E587" s="12"/>
      <c r="F587" s="7"/>
      <c r="G587" s="7"/>
    </row>
    <row r="588">
      <c r="A588" s="32" t="str">
        <f>HYPERLINK("https://uva.onlinejudge.org/index.php?option=com_onlinejudge&amp;Itemid=8&amp;page=show_problem&amp;problem=3318","[UVa 12166] Equilibrium Mobile")</f>
        <v>[UVa 12166] Equilibrium Mobile</v>
      </c>
      <c r="B588" s="33">
        <f t="shared" si="2"/>
        <v>0</v>
      </c>
      <c r="C588" s="52"/>
      <c r="D588" s="34" t="s">
        <v>138</v>
      </c>
      <c r="E588" s="12"/>
      <c r="F588" s="7"/>
      <c r="G588" s="7"/>
    </row>
    <row r="589">
      <c r="A589" s="32" t="str">
        <f>HYPERLINK("https://uva.onlinejudge.org/index.php?option=com_onlinejudge&amp;Itemid=8&amp;page=show_problem&amp;problem=1351","[UVa 10410] Tree Reconstruction")</f>
        <v>[UVa 10410] Tree Reconstruction</v>
      </c>
      <c r="B589" s="33">
        <f t="shared" si="2"/>
        <v>3</v>
      </c>
      <c r="C589" s="52"/>
      <c r="D589" s="59" t="s">
        <v>38</v>
      </c>
      <c r="E589" s="47" t="s">
        <v>38</v>
      </c>
      <c r="F589" s="38" t="s">
        <v>38</v>
      </c>
      <c r="G589" s="7"/>
    </row>
    <row r="590">
      <c r="A590" s="32" t="str">
        <f>HYPERLINK("https://uva.onlinejudge.org/index.php?option=onlinejudge&amp;page=show_problem&amp;problem=2445","[UVa 11450] Wedding Shopping")</f>
        <v>[UVa 11450] Wedding Shopping</v>
      </c>
      <c r="B590" s="33">
        <f t="shared" si="2"/>
        <v>3</v>
      </c>
      <c r="C590" s="52"/>
      <c r="D590" s="34" t="s">
        <v>38</v>
      </c>
      <c r="E590" s="47" t="s">
        <v>38</v>
      </c>
      <c r="F590" s="38" t="s">
        <v>38</v>
      </c>
      <c r="G590" s="39"/>
    </row>
    <row r="591">
      <c r="A591" s="32" t="str">
        <f>HYPERLINK("https://uva.onlinejudge.org/index.php?option=com_onlinejudge&amp;Itemid=8&amp;page=show_problem&amp;problem=944","[UVa 10003] Cutting Sticks")</f>
        <v>[UVa 10003] Cutting Sticks</v>
      </c>
      <c r="B591" s="33">
        <f t="shared" si="2"/>
        <v>3</v>
      </c>
      <c r="C591" s="52"/>
      <c r="D591" s="34" t="s">
        <v>38</v>
      </c>
      <c r="E591" s="47" t="s">
        <v>38</v>
      </c>
      <c r="F591" s="38" t="s">
        <v>38</v>
      </c>
      <c r="G591" s="39"/>
    </row>
    <row r="592">
      <c r="A592" s="32" t="str">
        <f>HYPERLINK("https://uva.onlinejudge.org/index.php?option=onlinejudge&amp;page=show_problem&amp;problem=1852","[UVa 10911] Forming Quiz Teams")</f>
        <v>[UVa 10911] Forming Quiz Teams</v>
      </c>
      <c r="B592" s="33">
        <f t="shared" si="2"/>
        <v>3</v>
      </c>
      <c r="C592" s="52"/>
      <c r="D592" s="34" t="s">
        <v>38</v>
      </c>
      <c r="E592" s="47" t="s">
        <v>38</v>
      </c>
      <c r="F592" s="38" t="s">
        <v>38</v>
      </c>
      <c r="G592" s="39"/>
    </row>
    <row r="593">
      <c r="A593" s="32" t="str">
        <f>HYPERLINK("https://icpcarchive.ecs.baylor.edu/index.php?option=com_onlinejudge&amp;Itemid=8&amp;page=show_problem&amp;problem=2107","[LA 4106] ACORN")</f>
        <v>[LA 4106] ACORN</v>
      </c>
      <c r="B593" s="33">
        <f t="shared" si="2"/>
        <v>3</v>
      </c>
      <c r="C593" s="52"/>
      <c r="D593" s="34" t="s">
        <v>38</v>
      </c>
      <c r="E593" s="47" t="s">
        <v>38</v>
      </c>
      <c r="F593" s="38" t="s">
        <v>38</v>
      </c>
      <c r="G593" s="39"/>
    </row>
    <row r="594">
      <c r="A594" s="32" t="str">
        <f>HYPERLINK("https://icpcarchive.ecs.baylor.edu/index.php?option=com_onlinejudge&amp;Itemid=8&amp;page=show_problem&amp;problem=2144","[LA 4143] Free Parentheses")</f>
        <v>[LA 4143] Free Parentheses</v>
      </c>
      <c r="B594" s="33">
        <f t="shared" si="2"/>
        <v>3</v>
      </c>
      <c r="C594" s="52"/>
      <c r="D594" s="34" t="s">
        <v>38</v>
      </c>
      <c r="E594" s="47" t="s">
        <v>38</v>
      </c>
      <c r="F594" s="38" t="s">
        <v>38</v>
      </c>
      <c r="G594" s="7"/>
    </row>
    <row r="595">
      <c r="A595" s="32" t="str">
        <f>HYPERLINK("https://uva.onlinejudge.org/index.php?option=onlinejudge&amp;Itemid=8&amp;page=show_problem&amp;problem=39","[UVa 103] Stacking Boxes")</f>
        <v>[UVa 103] Stacking Boxes</v>
      </c>
      <c r="B595" s="33">
        <f t="shared" si="2"/>
        <v>3</v>
      </c>
      <c r="C595" s="52"/>
      <c r="D595" s="34" t="s">
        <v>38</v>
      </c>
      <c r="E595" s="47" t="s">
        <v>38</v>
      </c>
      <c r="F595" s="53" t="s">
        <v>38</v>
      </c>
      <c r="G595" s="7"/>
    </row>
    <row r="596">
      <c r="A596" s="32" t="str">
        <f>HYPERLINK("https://uva.onlinejudge.org/index.php?option=com_onlinejudge&amp;Itemid=8&amp;page=show_problem&amp;problem=47","[UVa 111] History Grading")</f>
        <v>[UVa 111] History Grading</v>
      </c>
      <c r="B596" s="33">
        <f t="shared" si="2"/>
        <v>3</v>
      </c>
      <c r="C596" s="52"/>
      <c r="D596" s="34" t="s">
        <v>38</v>
      </c>
      <c r="E596" s="47" t="s">
        <v>38</v>
      </c>
      <c r="F596" s="38" t="s">
        <v>38</v>
      </c>
      <c r="G596" s="39"/>
    </row>
    <row r="597">
      <c r="A597" s="32" t="str">
        <f>HYPERLINK("https://uva.onlinejudge.org/index.php?option=com_onlinejudge&amp;Itemid=8&amp;page=show_problem&amp;problem=167","[UVa 231] Testing the Catcher")</f>
        <v>[UVa 231] Testing the Catcher</v>
      </c>
      <c r="B597" s="33">
        <f t="shared" si="2"/>
        <v>3</v>
      </c>
      <c r="C597" s="52"/>
      <c r="D597" s="34" t="s">
        <v>38</v>
      </c>
      <c r="E597" s="47" t="s">
        <v>38</v>
      </c>
      <c r="F597" s="38" t="s">
        <v>38</v>
      </c>
      <c r="G597" s="7"/>
    </row>
    <row r="598">
      <c r="A598" s="32" t="str">
        <f>HYPERLINK("https://uva.onlinejudge.org/index.php?option=com_onlinejudge&amp;Itemid=8&amp;page=show_problem&amp;problem=422","[UVa 481] What Goes Up?")</f>
        <v>[UVa 481] What Goes Up?</v>
      </c>
      <c r="B598" s="33">
        <f t="shared" si="2"/>
        <v>3</v>
      </c>
      <c r="C598" s="52"/>
      <c r="D598" s="34" t="s">
        <v>38</v>
      </c>
      <c r="E598" s="47" t="s">
        <v>38</v>
      </c>
      <c r="F598" s="38" t="s">
        <v>38</v>
      </c>
      <c r="G598" s="39"/>
    </row>
    <row r="599">
      <c r="A599" s="32" t="str">
        <f>HYPERLINK("https://uva.onlinejudge.org/index.php?option=com_onlinejudge&amp;Itemid=8&amp;page=show_problem&amp;problem=438","[UVa 497] Strategic Defense Initiative")</f>
        <v>[UVa 497] Strategic Defense Initiative</v>
      </c>
      <c r="B599" s="33">
        <f t="shared" si="2"/>
        <v>3</v>
      </c>
      <c r="C599" s="52"/>
      <c r="D599" s="34" t="s">
        <v>38</v>
      </c>
      <c r="E599" s="47" t="s">
        <v>38</v>
      </c>
      <c r="F599" s="38" t="s">
        <v>38</v>
      </c>
      <c r="G599" s="7"/>
    </row>
    <row r="600">
      <c r="A600" s="32" t="str">
        <f>HYPERLINK("https://uva.onlinejudge.org/index.php?option=onlinejudge&amp;page=show_problem&amp;problem=992","[UVa 10051] Tower of Cubes")</f>
        <v>[UVa 10051] Tower of Cubes</v>
      </c>
      <c r="B600" s="33">
        <f t="shared" si="2"/>
        <v>3</v>
      </c>
      <c r="C600" s="52"/>
      <c r="D600" s="34" t="s">
        <v>38</v>
      </c>
      <c r="E600" s="47" t="s">
        <v>38</v>
      </c>
      <c r="F600" s="38" t="s">
        <v>38</v>
      </c>
      <c r="G600" s="7"/>
    </row>
    <row r="601">
      <c r="A601" s="32" t="str">
        <f>HYPERLINK("https://uva.onlinejudge.org/index.php?option=com_onlinejudge&amp;Itemid=8&amp;page=show_problem&amp;problem=1475","[UVa 10534] Wavio Sequence")</f>
        <v>[UVa 10534] Wavio Sequence</v>
      </c>
      <c r="B601" s="33">
        <f t="shared" si="2"/>
        <v>3</v>
      </c>
      <c r="C601" s="52"/>
      <c r="D601" s="34" t="s">
        <v>38</v>
      </c>
      <c r="E601" s="47" t="s">
        <v>38</v>
      </c>
      <c r="F601" s="38" t="s">
        <v>38</v>
      </c>
      <c r="G601" s="7"/>
    </row>
    <row r="602">
      <c r="A602" s="32" t="str">
        <f>HYPERLINK("https://uva.onlinejudge.org/index.php?option=com_onlinejudge&amp;Itemid=8&amp;page=show_problem&amp;problem=2890","[UVa 11790] Murcia's Skyline")</f>
        <v>[UVa 11790] Murcia's Skyline</v>
      </c>
      <c r="B602" s="33">
        <f t="shared" si="2"/>
        <v>3</v>
      </c>
      <c r="C602" s="52"/>
      <c r="D602" s="34" t="s">
        <v>38</v>
      </c>
      <c r="E602" s="47" t="s">
        <v>38</v>
      </c>
      <c r="F602" s="38" t="s">
        <v>38</v>
      </c>
      <c r="G602" s="7"/>
    </row>
    <row r="603">
      <c r="A603" s="32" t="str">
        <f>HYPERLINK("https://uva.onlinejudge.org/index.php?option=onlinejudge&amp;page=show_problem&amp;problem=1944","[UVa 11003] Boxes")</f>
        <v>[UVa 11003] Boxes</v>
      </c>
      <c r="B603" s="33">
        <f t="shared" si="2"/>
        <v>3</v>
      </c>
      <c r="C603" s="52"/>
      <c r="D603" s="34" t="s">
        <v>38</v>
      </c>
      <c r="E603" s="47" t="s">
        <v>38</v>
      </c>
      <c r="F603" s="38" t="s">
        <v>38</v>
      </c>
      <c r="G603" s="7"/>
    </row>
    <row r="604">
      <c r="A604" s="32" t="str">
        <f>HYPERLINK("https://uva.onlinejudge.org/index.php?option=onlinejudge&amp;page=show_problem&amp;problem=2451","[UVa 11456] Trainsorting")</f>
        <v>[UVa 11456] Trainsorting</v>
      </c>
      <c r="B604" s="33">
        <f t="shared" si="2"/>
        <v>3</v>
      </c>
      <c r="C604" s="52"/>
      <c r="D604" s="34" t="s">
        <v>38</v>
      </c>
      <c r="E604" s="47" t="s">
        <v>38</v>
      </c>
      <c r="F604" s="38" t="s">
        <v>38</v>
      </c>
      <c r="G604" s="7"/>
    </row>
    <row r="605">
      <c r="A605" s="32" t="str">
        <f>HYPERLINK("https://icpcarchive.ecs.baylor.edu/index.php?option=com_onlinejudge&amp;Itemid=8&amp;page=show_problem&amp;problem=816","[LA 2815] Tiling Up Blocks")</f>
        <v>[LA 2815] Tiling Up Blocks</v>
      </c>
      <c r="B605" s="33">
        <f t="shared" si="2"/>
        <v>3</v>
      </c>
      <c r="C605" s="52"/>
      <c r="D605" s="34" t="s">
        <v>38</v>
      </c>
      <c r="E605" s="47" t="s">
        <v>38</v>
      </c>
      <c r="F605" s="38" t="s">
        <v>38</v>
      </c>
      <c r="G605" s="7"/>
    </row>
    <row r="606">
      <c r="A606" s="32" t="str">
        <f>HYPERLINK("https://uva.onlinejudge.org/index.php?option=com_onlinejudge&amp;Itemid=8&amp;page=show_problem&amp;problem=83","[UVa 147] Dollars")</f>
        <v>[UVa 147] Dollars</v>
      </c>
      <c r="B606" s="33">
        <f t="shared" si="2"/>
        <v>3</v>
      </c>
      <c r="C606" s="52"/>
      <c r="D606" s="34" t="s">
        <v>38</v>
      </c>
      <c r="E606" s="47" t="s">
        <v>38</v>
      </c>
      <c r="F606" s="38" t="s">
        <v>38</v>
      </c>
      <c r="G606" s="7"/>
    </row>
    <row r="607">
      <c r="A607" s="32" t="str">
        <f>HYPERLINK("https://uva.onlinejudge.org/index.php?option=onlinejudge&amp;page=show_problem&amp;problem=102","[UVa 166] Making Change")</f>
        <v>[UVa 166] Making Change</v>
      </c>
      <c r="B607" s="33">
        <f t="shared" si="2"/>
        <v>3</v>
      </c>
      <c r="C607" s="52"/>
      <c r="D607" s="34" t="s">
        <v>38</v>
      </c>
      <c r="E607" s="47" t="s">
        <v>38</v>
      </c>
      <c r="F607" s="38" t="s">
        <v>38</v>
      </c>
      <c r="G607" s="7"/>
    </row>
    <row r="608">
      <c r="A608" s="32" t="str">
        <f>HYPERLINK("https://uva.onlinejudge.org/index.php?option=onlinejudge&amp;page=show_problem&amp;problem=293","[UVa 357] Let Me Count the Ways")</f>
        <v>[UVa 357] Let Me Count the Ways</v>
      </c>
      <c r="B608" s="33">
        <f t="shared" si="2"/>
        <v>3</v>
      </c>
      <c r="C608" s="52"/>
      <c r="D608" s="34" t="s">
        <v>38</v>
      </c>
      <c r="E608" s="47" t="s">
        <v>38</v>
      </c>
      <c r="F608" s="38" t="s">
        <v>38</v>
      </c>
      <c r="G608" s="7"/>
    </row>
    <row r="609">
      <c r="A609" s="32" t="str">
        <f>HYPERLINK("https://uva.onlinejudge.org/index.php?option=com_onlinejudge&amp;Itemid=8&amp;page=show_problem&amp;problem=615","[UVa 674] Coin Change")</f>
        <v>[UVa 674] Coin Change</v>
      </c>
      <c r="B609" s="33">
        <f t="shared" si="2"/>
        <v>3</v>
      </c>
      <c r="C609" s="52"/>
      <c r="D609" s="34" t="s">
        <v>38</v>
      </c>
      <c r="E609" s="47" t="s">
        <v>38</v>
      </c>
      <c r="F609" s="38" t="s">
        <v>38</v>
      </c>
      <c r="G609" s="7"/>
    </row>
    <row r="610">
      <c r="A610" s="32" t="str">
        <f>HYPERLINK("https://uva.onlinejudge.org/index.php?option=com_onlinejudge&amp;Itemid=8&amp;page=show_problem&amp;problem=1247","[UVa 10306] e-Coins")</f>
        <v>[UVa 10306] e-Coins</v>
      </c>
      <c r="B610" s="33">
        <f t="shared" si="2"/>
        <v>3</v>
      </c>
      <c r="C610" s="52"/>
      <c r="D610" s="34" t="s">
        <v>38</v>
      </c>
      <c r="E610" s="47" t="s">
        <v>38</v>
      </c>
      <c r="F610" s="38" t="s">
        <v>38</v>
      </c>
      <c r="G610" s="7"/>
    </row>
    <row r="611">
      <c r="A611" s="32" t="str">
        <f>HYPERLINK("https://uva.onlinejudge.org/index.php?option=onlinejudge&amp;page=show_problem&amp;problem=1254","[UVa 10313] Pay the Price")</f>
        <v>[UVa 10313] Pay the Price</v>
      </c>
      <c r="B611" s="33">
        <f t="shared" si="2"/>
        <v>3</v>
      </c>
      <c r="C611" s="52"/>
      <c r="D611" s="34" t="s">
        <v>38</v>
      </c>
      <c r="E611" s="47" t="s">
        <v>38</v>
      </c>
      <c r="F611" s="38" t="s">
        <v>38</v>
      </c>
      <c r="G611" s="7"/>
    </row>
    <row r="612">
      <c r="A612" s="32" t="str">
        <f>HYPERLINK("https://uva.onlinejudge.org/index.php?option=onlinejudge&amp;page=show_problem&amp;problem=2078","[UVa 11137] Ingenuous Cubrency")</f>
        <v>[UVa 11137] Ingenuous Cubrency</v>
      </c>
      <c r="B612" s="33">
        <f t="shared" si="2"/>
        <v>3</v>
      </c>
      <c r="C612" s="52"/>
      <c r="D612" s="34" t="s">
        <v>38</v>
      </c>
      <c r="E612" s="47" t="s">
        <v>38</v>
      </c>
      <c r="F612" s="38" t="s">
        <v>38</v>
      </c>
      <c r="G612" s="7"/>
    </row>
    <row r="613">
      <c r="A613" s="32" t="str">
        <f>HYPERLINK("https://uva.onlinejudge.org/index.php?option=onlinejudge&amp;page=show_problem&amp;problem=2512","[UVa 11517] Exact Change")</f>
        <v>[UVa 11517] Exact Change</v>
      </c>
      <c r="B613" s="33">
        <f t="shared" si="2"/>
        <v>3</v>
      </c>
      <c r="C613" s="52"/>
      <c r="D613" s="34" t="s">
        <v>38</v>
      </c>
      <c r="E613" s="47" t="s">
        <v>38</v>
      </c>
      <c r="F613" s="38" t="s">
        <v>38</v>
      </c>
      <c r="G613" s="7"/>
    </row>
    <row r="614">
      <c r="A614" s="32" t="str">
        <f>HYPERLINK("https://uva.onlinejudge.org/index.php?option=com_onlinejudge&amp;Itemid=8&amp;page=show_problem&amp;problem=44","[UVa 108] Maximum Sum")</f>
        <v>[UVa 108] Maximum Sum</v>
      </c>
      <c r="B614" s="33">
        <f t="shared" si="2"/>
        <v>3</v>
      </c>
      <c r="C614" s="52"/>
      <c r="D614" s="34" t="s">
        <v>38</v>
      </c>
      <c r="E614" s="47" t="s">
        <v>38</v>
      </c>
      <c r="F614" s="38" t="s">
        <v>38</v>
      </c>
      <c r="G614" s="7"/>
    </row>
    <row r="615">
      <c r="A615" s="32" t="str">
        <f>HYPERLINK("https://uva.onlinejudge.org/index.php?option=com_onlinejudge&amp;Itemid=8&amp;page=show_problem&amp;problem=777","[UVa 836] Largest Submatrix")</f>
        <v>[UVa 836] Largest Submatrix</v>
      </c>
      <c r="B615" s="33">
        <f t="shared" si="2"/>
        <v>3</v>
      </c>
      <c r="C615" s="52"/>
      <c r="D615" s="34" t="s">
        <v>38</v>
      </c>
      <c r="E615" s="47" t="s">
        <v>38</v>
      </c>
      <c r="F615" s="38" t="s">
        <v>38</v>
      </c>
      <c r="G615" s="7"/>
    </row>
    <row r="616">
      <c r="A616" s="32" t="str">
        <f>HYPERLINK("https://uva.onlinejudge.org/index.php?option=com_onlinejudge&amp;Itemid=8&amp;page=show_problem&amp;problem=1015","[UVa 10074] Take the Land")</f>
        <v>[UVa 10074] Take the Land</v>
      </c>
      <c r="B616" s="33">
        <f t="shared" si="2"/>
        <v>3</v>
      </c>
      <c r="C616" s="52"/>
      <c r="D616" s="34" t="s">
        <v>38</v>
      </c>
      <c r="E616" s="47" t="s">
        <v>38</v>
      </c>
      <c r="F616" s="38" t="s">
        <v>38</v>
      </c>
      <c r="G616" s="7"/>
    </row>
    <row r="617">
      <c r="A617" s="32" t="str">
        <f>HYPERLINK("https://uva.onlinejudge.org/index.php?option=com_onlinejudge&amp;Itemid=8&amp;page=show_problem&amp;problem=1608","[UVa 10667] Largest Block")</f>
        <v>[UVa 10667] Largest Block</v>
      </c>
      <c r="B617" s="33">
        <f t="shared" si="2"/>
        <v>3</v>
      </c>
      <c r="C617" s="52"/>
      <c r="D617" s="34" t="s">
        <v>38</v>
      </c>
      <c r="E617" s="47" t="s">
        <v>38</v>
      </c>
      <c r="F617" s="38" t="s">
        <v>38</v>
      </c>
      <c r="G617" s="7"/>
    </row>
    <row r="618">
      <c r="A618" s="32" t="str">
        <f>HYPERLINK("https://uva.onlinejudge.org/index.php?option=onlinejudge&amp;page=show_problem&amp;problem=1768","[UVa 10827] Maximum Sum on a Torus")</f>
        <v>[UVa 10827] Maximum Sum on a Torus</v>
      </c>
      <c r="B618" s="33">
        <f t="shared" si="2"/>
        <v>3</v>
      </c>
      <c r="C618" s="52"/>
      <c r="D618" s="34" t="s">
        <v>38</v>
      </c>
      <c r="E618" s="47" t="s">
        <v>38</v>
      </c>
      <c r="F618" s="38" t="s">
        <v>38</v>
      </c>
      <c r="G618" s="7"/>
    </row>
    <row r="619">
      <c r="A619" s="32" t="str">
        <f>HYPERLINK("https://uva.onlinejudge.org/index.php?option=onlinejudge&amp;page=show_problem&amp;problem=448","[UVa 507] Jill Rides Again")</f>
        <v>[UVa 507] Jill Rides Again</v>
      </c>
      <c r="B619" s="33">
        <f t="shared" si="2"/>
        <v>3</v>
      </c>
      <c r="C619" s="52"/>
      <c r="D619" s="34" t="s">
        <v>38</v>
      </c>
      <c r="E619" s="47" t="s">
        <v>38</v>
      </c>
      <c r="F619" s="38" t="s">
        <v>38</v>
      </c>
      <c r="G619" s="39"/>
    </row>
    <row r="620">
      <c r="A620" s="32" t="str">
        <f>HYPERLINK("https://uva.onlinejudge.org/index.php?option=com_onlinejudge&amp;Itemid=8&amp;page=show_problem&amp;problem=1625","[UVa 10684] The Jackpot")</f>
        <v>[UVa 10684] The Jackpot</v>
      </c>
      <c r="B620" s="33">
        <f t="shared" si="2"/>
        <v>3</v>
      </c>
      <c r="C620" s="52"/>
      <c r="D620" s="34" t="s">
        <v>38</v>
      </c>
      <c r="E620" s="47" t="s">
        <v>38</v>
      </c>
      <c r="F620" s="38" t="s">
        <v>38</v>
      </c>
      <c r="G620" s="39"/>
    </row>
    <row r="621">
      <c r="A621" s="32" t="str">
        <f>HYPERLINK("https://uva.onlinejudge.org/index.php?option=com_onlinejudge&amp;Itemid=8&amp;page=show_problem&amp;problem=503","[UVa 562] Dividing Coins")</f>
        <v>[UVa 562] Dividing Coins</v>
      </c>
      <c r="B621" s="33">
        <f t="shared" si="2"/>
        <v>3</v>
      </c>
      <c r="C621" s="52"/>
      <c r="D621" s="34" t="s">
        <v>38</v>
      </c>
      <c r="E621" s="47" t="s">
        <v>38</v>
      </c>
      <c r="F621" s="38" t="s">
        <v>38</v>
      </c>
      <c r="G621" s="39"/>
    </row>
    <row r="622">
      <c r="A622" s="32" t="str">
        <f>HYPERLINK("https://uva.onlinejudge.org/index.php?option=onlinejudge&amp;page=show_problem&amp;problem=931","[UVa 990] Diving for Gold")</f>
        <v>[UVa 990] Diving for Gold</v>
      </c>
      <c r="B622" s="33">
        <f t="shared" si="2"/>
        <v>3</v>
      </c>
      <c r="C622" s="52"/>
      <c r="D622" s="34" t="s">
        <v>38</v>
      </c>
      <c r="E622" s="47" t="s">
        <v>38</v>
      </c>
      <c r="F622" s="38" t="s">
        <v>38</v>
      </c>
      <c r="G622" s="39"/>
    </row>
    <row r="623">
      <c r="A623" s="32" t="str">
        <f>HYPERLINK("https://uva.onlinejudge.org/index.php?option=onlinejudge&amp;page=show_problem&amp;problem=1071","[UVa 10130] SuperSale")</f>
        <v>[UVa 10130] SuperSale</v>
      </c>
      <c r="B623" s="33">
        <f t="shared" si="2"/>
        <v>3</v>
      </c>
      <c r="C623" s="52"/>
      <c r="D623" s="34" t="s">
        <v>38</v>
      </c>
      <c r="E623" s="47" t="s">
        <v>38</v>
      </c>
      <c r="F623" s="38" t="s">
        <v>38</v>
      </c>
      <c r="G623" s="39"/>
    </row>
    <row r="624">
      <c r="A624" s="32" t="str">
        <f>HYPERLINK("https://icpcarchive.ecs.baylor.edu/index.php?option=com_onlinejudge&amp;Itemid=8&amp;page=show_problem&amp;problem=1620","[LA 3619] Sum of Different Primes")</f>
        <v>[LA 3619] Sum of Different Primes</v>
      </c>
      <c r="B624" s="33">
        <f t="shared" si="2"/>
        <v>3</v>
      </c>
      <c r="C624" s="52"/>
      <c r="D624" s="34" t="s">
        <v>38</v>
      </c>
      <c r="E624" s="47" t="s">
        <v>38</v>
      </c>
      <c r="F624" s="38" t="s">
        <v>38</v>
      </c>
      <c r="G624" s="39"/>
    </row>
    <row r="625">
      <c r="A625" s="32" t="str">
        <f>HYPERLINK("https://uva.onlinejudge.org/index.php?option=com_onlinejudge&amp;Itemid=8&amp;page=show_problem&amp;problem=1346","[UVa 10405] Longest Common Subsequence")</f>
        <v>[UVa 10405] Longest Common Subsequence</v>
      </c>
      <c r="B625" s="33">
        <f t="shared" si="2"/>
        <v>3</v>
      </c>
      <c r="C625" s="52"/>
      <c r="D625" s="34" t="s">
        <v>38</v>
      </c>
      <c r="E625" s="47" t="s">
        <v>38</v>
      </c>
      <c r="F625" s="38" t="s">
        <v>38</v>
      </c>
      <c r="G625" s="39"/>
    </row>
    <row r="626">
      <c r="A626" s="32" t="str">
        <f>HYPERLINK("https://uva.onlinejudge.org/index.php?option=onlinejudge&amp;page=show_problem&amp;problem=1133","[UVa 10192] Vacation")</f>
        <v>[UVa 10192] Vacation</v>
      </c>
      <c r="B626" s="33">
        <f t="shared" si="2"/>
        <v>3</v>
      </c>
      <c r="C626" s="52"/>
      <c r="D626" s="34" t="s">
        <v>38</v>
      </c>
      <c r="E626" s="47" t="s">
        <v>38</v>
      </c>
      <c r="F626" s="38" t="s">
        <v>38</v>
      </c>
      <c r="G626" s="39"/>
    </row>
    <row r="627">
      <c r="A627" s="32" t="str">
        <f>HYPERLINK("https://uva.onlinejudge.org/index.php?option=onlinejudge&amp;page=show_problem&amp;problem=1041","[UVa 10100] Longest Match")</f>
        <v>[UVa 10100] Longest Match</v>
      </c>
      <c r="B627" s="33">
        <f t="shared" si="2"/>
        <v>3</v>
      </c>
      <c r="C627" s="52"/>
      <c r="D627" s="34" t="s">
        <v>38</v>
      </c>
      <c r="E627" s="47" t="s">
        <v>38</v>
      </c>
      <c r="F627" s="38" t="s">
        <v>38</v>
      </c>
      <c r="G627" s="7"/>
    </row>
    <row r="628">
      <c r="A628" s="32" t="str">
        <f>HYPERLINK("https://uva.onlinejudge.org/index.php?option=com_onlinejudge&amp;Itemid=8&amp;page=show_problem&amp;problem=1007","[UVa 10066] The Twin Towers")</f>
        <v>[UVa 10066] The Twin Towers</v>
      </c>
      <c r="B628" s="33">
        <f t="shared" si="2"/>
        <v>3</v>
      </c>
      <c r="C628" s="52"/>
      <c r="D628" s="34" t="s">
        <v>38</v>
      </c>
      <c r="E628" s="47" t="s">
        <v>38</v>
      </c>
      <c r="F628" s="38" t="s">
        <v>38</v>
      </c>
      <c r="G628" s="7"/>
    </row>
    <row r="629">
      <c r="A629" s="32" t="str">
        <f>HYPERLINK("https://uva.onlinejudge.org/index.php?option=onlinejudge&amp;page=show_problem&amp;problem=472","[UVa 531] Compromise")</f>
        <v>[UVa 531] Compromise</v>
      </c>
      <c r="B629" s="33">
        <f t="shared" si="2"/>
        <v>3</v>
      </c>
      <c r="C629" s="52"/>
      <c r="D629" s="34" t="s">
        <v>38</v>
      </c>
      <c r="E629" s="47" t="s">
        <v>38</v>
      </c>
      <c r="F629" s="38" t="s">
        <v>38</v>
      </c>
      <c r="G629" s="7"/>
    </row>
    <row r="630">
      <c r="A630" s="32" t="str">
        <f>HYPERLINK("https://uva.onlinejudge.org/index.php?option=com_onlinejudge&amp;Itemid=8&amp;page=show_problem&amp;problem=100","[UVa 164] String Computer")</f>
        <v>[UVa 164] String Computer</v>
      </c>
      <c r="B630" s="33">
        <f t="shared" si="2"/>
        <v>3</v>
      </c>
      <c r="C630" s="52"/>
      <c r="D630" s="34" t="s">
        <v>38</v>
      </c>
      <c r="E630" s="47" t="s">
        <v>38</v>
      </c>
      <c r="F630" s="38" t="s">
        <v>38</v>
      </c>
      <c r="G630" s="7"/>
    </row>
    <row r="631">
      <c r="A631" s="32" t="str">
        <f>HYPERLINK("https://uva.onlinejudge.org/index.php?option=com_onlinejudge&amp;Itemid=8&amp;page=show_problem&amp;problem=1680","[UVa 10739] String to Palindrome")</f>
        <v>[UVa 10739] String to Palindrome</v>
      </c>
      <c r="B631" s="33">
        <f t="shared" si="2"/>
        <v>3</v>
      </c>
      <c r="C631" s="52"/>
      <c r="D631" s="34" t="s">
        <v>38</v>
      </c>
      <c r="E631" s="47" t="s">
        <v>38</v>
      </c>
      <c r="F631" s="38" t="s">
        <v>38</v>
      </c>
      <c r="G631" s="7"/>
    </row>
    <row r="632">
      <c r="A632" s="32" t="str">
        <f>HYPERLINK("https://uva.onlinejudge.org/index.php?option=com_onlinejudge&amp;Itemid=8&amp;page=show_problem&amp;problem=2092","[UVa 11151] Longest Palindrome")</f>
        <v>[UVa 11151] Longest Palindrome</v>
      </c>
      <c r="B632" s="33">
        <f t="shared" si="2"/>
        <v>3</v>
      </c>
      <c r="C632" s="52"/>
      <c r="D632" s="34" t="s">
        <v>38</v>
      </c>
      <c r="E632" s="47" t="s">
        <v>38</v>
      </c>
      <c r="F632" s="38" t="s">
        <v>38</v>
      </c>
      <c r="G632" s="7"/>
    </row>
    <row r="633">
      <c r="A633" s="32" t="str">
        <f>HYPERLINK("https://uva.onlinejudge.org/index.php?option=com_onlinejudge&amp;Itemid=8&amp;page=show_problem&amp;problem=52","[UVa 116] Unidirectional TSP")</f>
        <v>[UVa 116] Unidirectional TSP</v>
      </c>
      <c r="B633" s="33">
        <f t="shared" si="2"/>
        <v>3</v>
      </c>
      <c r="C633" s="52"/>
      <c r="D633" s="34" t="s">
        <v>38</v>
      </c>
      <c r="E633" s="47" t="s">
        <v>38</v>
      </c>
      <c r="F633" s="38" t="s">
        <v>38</v>
      </c>
      <c r="G633" s="7"/>
    </row>
    <row r="634">
      <c r="A634" s="32" t="str">
        <f>HYPERLINK("https://uva.onlinejudge.org/index.php?option=onlinejudge&amp;page=show_problem&amp;problem=414","[UVa 473] Raucous Rockers")</f>
        <v>[UVa 473] Raucous Rockers</v>
      </c>
      <c r="B634" s="33">
        <f t="shared" si="2"/>
        <v>3</v>
      </c>
      <c r="C634" s="52"/>
      <c r="D634" s="34" t="s">
        <v>38</v>
      </c>
      <c r="E634" s="47" t="s">
        <v>38</v>
      </c>
      <c r="F634" s="38" t="s">
        <v>38</v>
      </c>
      <c r="G634" s="7"/>
    </row>
    <row r="635">
      <c r="A635" s="32" t="str">
        <f>HYPERLINK("https://uva.onlinejudge.org/index.php?option=onlinejudge&amp;page=show_problem&amp;problem=548","[UVa 607] Scheduling Lectures")</f>
        <v>[UVa 607] Scheduling Lectures</v>
      </c>
      <c r="B635" s="33">
        <f t="shared" si="2"/>
        <v>3</v>
      </c>
      <c r="C635" s="52"/>
      <c r="D635" s="34" t="s">
        <v>38</v>
      </c>
      <c r="E635" s="47" t="s">
        <v>38</v>
      </c>
      <c r="F635" s="38" t="s">
        <v>38</v>
      </c>
      <c r="G635" s="7"/>
    </row>
    <row r="636">
      <c r="A636" s="32" t="str">
        <f>HYPERLINK("https://uva.onlinejudge.org/index.php?option=onlinejudge&amp;page=show_problem&amp;problem=1278","[UVa 10337] Flight Planner")</f>
        <v>[UVa 10337] Flight Planner</v>
      </c>
      <c r="B636" s="33">
        <f t="shared" si="2"/>
        <v>3</v>
      </c>
      <c r="C636" s="52"/>
      <c r="D636" s="34" t="s">
        <v>38</v>
      </c>
      <c r="E636" s="47" t="s">
        <v>38</v>
      </c>
      <c r="F636" s="38" t="s">
        <v>38</v>
      </c>
      <c r="G636" s="7"/>
    </row>
    <row r="637">
      <c r="A637" s="32" t="str">
        <f>HYPERLINK("https://uva.onlinejudge.org/index.php?option=com_onlinejudge&amp;Itemid=8&amp;page=show_problem&amp;problem=1832","[UVa 10891] Game of Sum")</f>
        <v>[UVa 10891] Game of Sum</v>
      </c>
      <c r="B637" s="33">
        <f t="shared" si="2"/>
        <v>3</v>
      </c>
      <c r="C637" s="52"/>
      <c r="D637" s="34" t="s">
        <v>38</v>
      </c>
      <c r="E637" s="47" t="s">
        <v>38</v>
      </c>
      <c r="F637" s="38" t="s">
        <v>38</v>
      </c>
      <c r="G637" s="7"/>
    </row>
    <row r="638">
      <c r="A638" s="32" t="str">
        <f>HYPERLINK("https://uva.onlinejudge.org/index.php?option=com_onlinejudge&amp;Itemid=8&amp;category=247&amp;page=show_problem&amp;problem=3652","[UVa 1211] Atomic Car Race")</f>
        <v>[UVa 1211] Atomic Car Race</v>
      </c>
      <c r="B638" s="33">
        <f t="shared" si="2"/>
        <v>3</v>
      </c>
      <c r="C638" s="52"/>
      <c r="D638" s="34" t="s">
        <v>38</v>
      </c>
      <c r="E638" s="47" t="s">
        <v>38</v>
      </c>
      <c r="F638" s="38" t="s">
        <v>38</v>
      </c>
      <c r="G638" s="7"/>
    </row>
    <row r="639">
      <c r="A639" s="32" t="str">
        <f>HYPERLINK("https://uva.onlinejudge.org/index.php?option=onlinejudge&amp;page=show_problem&amp;problem=1305","[UVa 10364] Square")</f>
        <v>[UVa 10364] Square</v>
      </c>
      <c r="B639" s="33">
        <f t="shared" si="2"/>
        <v>3</v>
      </c>
      <c r="C639" s="52"/>
      <c r="D639" s="34" t="s">
        <v>38</v>
      </c>
      <c r="E639" s="47" t="s">
        <v>38</v>
      </c>
      <c r="F639" s="38" t="s">
        <v>38</v>
      </c>
      <c r="G639" s="7"/>
    </row>
    <row r="640">
      <c r="A640" s="32" t="str">
        <f>HYPERLINK("https://uva.onlinejudge.org/index.php?option=com_onlinejudge&amp;Itemid=8&amp;page=show_problem&amp;problem=1592","[UVa 10651] Pebble Solitaire")</f>
        <v>[UVa 10651] Pebble Solitaire</v>
      </c>
      <c r="B640" s="33">
        <f t="shared" si="2"/>
        <v>3</v>
      </c>
      <c r="C640" s="52"/>
      <c r="D640" s="34" t="s">
        <v>38</v>
      </c>
      <c r="E640" s="47" t="s">
        <v>38</v>
      </c>
      <c r="F640" s="38" t="s">
        <v>38</v>
      </c>
      <c r="G640" s="7"/>
    </row>
    <row r="641">
      <c r="A641" s="32" t="str">
        <f>HYPERLINK("https://uva.onlinejudge.org/index.php?option=onlinejudge&amp;page=show_problem&amp;problem=1849","[UVa 10908] Largest Square")</f>
        <v>[UVa 10908] Largest Square</v>
      </c>
      <c r="B641" s="33">
        <f t="shared" si="2"/>
        <v>3</v>
      </c>
      <c r="C641" s="52"/>
      <c r="D641" s="34" t="s">
        <v>38</v>
      </c>
      <c r="E641" s="47" t="s">
        <v>38</v>
      </c>
      <c r="F641" s="38" t="s">
        <v>38</v>
      </c>
      <c r="G641" s="7"/>
    </row>
    <row r="642">
      <c r="A642" s="32" t="str">
        <f>HYPERLINK("https://uva.onlinejudge.org/index.php?option=com_onlinejudge&amp;Itemid=8&amp;page=show_problem&amp;problem=3645","[UVa 1204] Fun Game")</f>
        <v>[UVa 1204] Fun Game</v>
      </c>
      <c r="B642" s="33">
        <f t="shared" si="2"/>
        <v>1</v>
      </c>
      <c r="C642" s="52"/>
      <c r="D642" s="34" t="s">
        <v>38</v>
      </c>
      <c r="E642" s="12"/>
      <c r="F642" s="37"/>
      <c r="G642" s="7"/>
    </row>
    <row r="643">
      <c r="A643" s="32" t="str">
        <f>HYPERLINK("https://uva.onlinejudge.org/index.php?option=onlinejudge&amp;page=show_problem&amp;problem=531","[UVa 590] Always on the Run")</f>
        <v>[UVa 590] Always on the Run</v>
      </c>
      <c r="B643" s="33">
        <f t="shared" si="2"/>
        <v>3</v>
      </c>
      <c r="C643" s="52"/>
      <c r="D643" s="34" t="s">
        <v>38</v>
      </c>
      <c r="E643" s="47" t="s">
        <v>38</v>
      </c>
      <c r="F643" s="38" t="s">
        <v>38</v>
      </c>
      <c r="G643" s="7"/>
    </row>
    <row r="644">
      <c r="A644" s="32" t="str">
        <f>HYPERLINK("https://uva.onlinejudge.org/index.php?option=com_onlinejudge&amp;Itemid=8&amp;page=show_problem&amp;problem=851","[UVa 910] TV Game")</f>
        <v>[UVa 910] TV Game</v>
      </c>
      <c r="B644" s="33">
        <f t="shared" si="2"/>
        <v>3</v>
      </c>
      <c r="C644" s="52"/>
      <c r="D644" s="34" t="s">
        <v>38</v>
      </c>
      <c r="E644" s="47" t="s">
        <v>38</v>
      </c>
      <c r="F644" s="38" t="s">
        <v>38</v>
      </c>
      <c r="G644" s="7"/>
    </row>
    <row r="645">
      <c r="A645" s="32" t="str">
        <f>HYPERLINK("https://uva.onlinejudge.org/index.php?option=onlinejudge&amp;page=show_problem&amp;problem=1622","[UVa 10681] Teobaldo's Trip")</f>
        <v>[UVa 10681] Teobaldo's Trip</v>
      </c>
      <c r="B645" s="33">
        <f t="shared" si="2"/>
        <v>3</v>
      </c>
      <c r="C645" s="52"/>
      <c r="D645" s="34" t="s">
        <v>38</v>
      </c>
      <c r="E645" s="47" t="s">
        <v>38</v>
      </c>
      <c r="F645" s="38" t="s">
        <v>38</v>
      </c>
      <c r="G645" s="7"/>
    </row>
    <row r="646">
      <c r="A646" s="32" t="str">
        <f>HYPERLINK("https://uva.onlinejudge.org/index.php?option=com_onlinejudge&amp;Itemid=8&amp;page=show_problem&amp;problem=1643","[UVa 10702] Traveling Salesman")</f>
        <v>[UVa 10702] Traveling Salesman</v>
      </c>
      <c r="B646" s="33">
        <f t="shared" si="2"/>
        <v>3</v>
      </c>
      <c r="C646" s="52"/>
      <c r="D646" s="34" t="s">
        <v>38</v>
      </c>
      <c r="E646" s="47" t="s">
        <v>38</v>
      </c>
      <c r="F646" s="38" t="s">
        <v>38</v>
      </c>
      <c r="G646" s="7"/>
    </row>
    <row r="647">
      <c r="A647" s="32" t="str">
        <f>HYPERLINK("https://uva.onlinejudge.org/index.php?option=onlinejudge&amp;page=show_problem&amp;problem=3287","[UVa 12135] Switch Bulbs")</f>
        <v>[UVa 12135] Switch Bulbs</v>
      </c>
      <c r="B647" s="33">
        <f t="shared" si="2"/>
        <v>3</v>
      </c>
      <c r="C647" s="52"/>
      <c r="D647" s="34" t="s">
        <v>38</v>
      </c>
      <c r="E647" s="47" t="s">
        <v>38</v>
      </c>
      <c r="F647" s="38" t="s">
        <v>38</v>
      </c>
      <c r="G647" s="7"/>
    </row>
    <row r="648">
      <c r="A648" s="32" t="str">
        <f>HYPERLINK("https://uva.onlinejudge.org/index.php?option=com_onlinejudge&amp;Itemid=8&amp;page=show_problem&amp;problem=3681","[UVa 1240] ICPC Team Strategy")</f>
        <v>[UVa 1240] ICPC Team Strategy</v>
      </c>
      <c r="B648" s="33">
        <f t="shared" si="2"/>
        <v>3</v>
      </c>
      <c r="C648" s="52"/>
      <c r="D648" s="34" t="s">
        <v>38</v>
      </c>
      <c r="E648" s="47" t="s">
        <v>38</v>
      </c>
      <c r="F648" s="38" t="s">
        <v>38</v>
      </c>
      <c r="G648" s="7"/>
    </row>
    <row r="649">
      <c r="A649" s="32" t="str">
        <f>HYPERLINK("https://uva.onlinejudge.org/index.php?option=com_onlinejudge&amp;Itemid=8&amp;page=show_problem&amp;problem=3685","[UVa 1244] Palindromic Paths")</f>
        <v>[UVa 1244] Palindromic Paths</v>
      </c>
      <c r="B649" s="33">
        <f t="shared" si="2"/>
        <v>1</v>
      </c>
      <c r="C649" s="52"/>
      <c r="D649" s="34" t="s">
        <v>38</v>
      </c>
      <c r="E649" s="12"/>
      <c r="F649" s="37"/>
      <c r="G649" s="7"/>
    </row>
    <row r="650">
      <c r="A650" s="32" t="str">
        <f>HYPERLINK("https://uva.onlinejudge.org/index.php?option=com_onlinejudge&amp;Itemid=8&amp;page=show_problem&amp;problem=3686","[UVa 1245] Pile it Down")</f>
        <v>[UVa 1245] Pile it Down</v>
      </c>
      <c r="B650" s="33">
        <f t="shared" si="2"/>
        <v>1</v>
      </c>
      <c r="C650" s="52"/>
      <c r="D650" s="34" t="s">
        <v>38</v>
      </c>
      <c r="E650" s="12"/>
      <c r="F650" s="37"/>
      <c r="G650" s="7"/>
    </row>
    <row r="651">
      <c r="A651" s="32" t="str">
        <f>HYPERLINK("https://uva.onlinejudge.org/index.php?option=com_onlinejudge&amp;Itemid=8&amp;page=show_problem&amp;problem=3709","[UVa 1268] Clues")</f>
        <v>[UVa 1268] Clues</v>
      </c>
      <c r="B651" s="33">
        <f t="shared" si="2"/>
        <v>0</v>
      </c>
      <c r="C651" s="52"/>
      <c r="D651" s="51"/>
      <c r="E651" s="12"/>
      <c r="F651" s="37"/>
      <c r="G651" s="7"/>
    </row>
    <row r="652">
      <c r="A652" s="32" t="str">
        <f>HYPERLINK("https://uva.onlinejudge.org/index.php?option=com_onlinejudge&amp;Itemid=8&amp;page=show_problem&amp;problem=3689","[UVa 1248] Inventory")</f>
        <v>[UVa 1248] Inventory</v>
      </c>
      <c r="B652" s="33">
        <f t="shared" si="2"/>
        <v>3</v>
      </c>
      <c r="C652" s="52"/>
      <c r="D652" s="34" t="s">
        <v>38</v>
      </c>
      <c r="E652" s="47" t="s">
        <v>38</v>
      </c>
      <c r="F652" s="38" t="s">
        <v>38</v>
      </c>
      <c r="G652" s="7"/>
    </row>
    <row r="653">
      <c r="A653" s="32" t="str">
        <f>HYPERLINK("https://uva.onlinejudge.org/index.php?option=com_onlinejudge&amp;Itemid=8&amp;page=show_problem&amp;problem=3693","[UVa 1252] Twenty Questions")</f>
        <v>[UVa 1252] Twenty Questions</v>
      </c>
      <c r="B653" s="33">
        <f t="shared" si="2"/>
        <v>3</v>
      </c>
      <c r="C653" s="52"/>
      <c r="D653" s="34" t="s">
        <v>38</v>
      </c>
      <c r="E653" s="47" t="s">
        <v>38</v>
      </c>
      <c r="F653" s="38" t="s">
        <v>38</v>
      </c>
      <c r="G653" s="7"/>
    </row>
    <row r="654">
      <c r="A654" s="32" t="str">
        <f>HYPERLINK("https://uva.onlinejudge.org/index.php?option=com_onlinejudge&amp;Itemid=8&amp;page=show_problem&amp;problem=1184","[UVa 10243] Fire! Fire!! Fire!!!")</f>
        <v>[UVa 10243] Fire! Fire!! Fire!!!</v>
      </c>
      <c r="B654" s="33">
        <f t="shared" si="2"/>
        <v>3</v>
      </c>
      <c r="C654" s="52"/>
      <c r="D654" s="34" t="s">
        <v>38</v>
      </c>
      <c r="E654" s="47" t="s">
        <v>38</v>
      </c>
      <c r="F654" s="38" t="s">
        <v>38</v>
      </c>
      <c r="G654" s="7"/>
    </row>
    <row r="655">
      <c r="A655" s="32" t="str">
        <f>HYPERLINK("https://uva.onlinejudge.org/index.php?option=com_onlinejudge&amp;Itemid=8&amp;page=show_problem&amp;problem=2282","[UVa 11307] Alternative Arborescence")</f>
        <v>[UVa 11307] Alternative Arborescence</v>
      </c>
      <c r="B655" s="33">
        <f t="shared" si="2"/>
        <v>3</v>
      </c>
      <c r="C655" s="52"/>
      <c r="D655" s="34" t="s">
        <v>38</v>
      </c>
      <c r="E655" s="47" t="s">
        <v>38</v>
      </c>
      <c r="F655" s="38" t="s">
        <v>38</v>
      </c>
      <c r="G655" s="7"/>
    </row>
    <row r="656">
      <c r="A656" s="32" t="str">
        <f>HYPERLINK("https://uva.onlinejudge.org/index.php?option=com_onlinejudge&amp;Itemid=8&amp;category=247&amp;page=show_problem&amp;problem=3659","[UVa 1218] Perfect Service")</f>
        <v>[UVa 1218] Perfect Service</v>
      </c>
      <c r="B656" s="33">
        <f t="shared" si="2"/>
        <v>1</v>
      </c>
      <c r="C656" s="52"/>
      <c r="D656" s="34" t="s">
        <v>38</v>
      </c>
      <c r="E656" s="12"/>
      <c r="F656" s="37"/>
      <c r="G656" s="7"/>
    </row>
    <row r="657">
      <c r="A657" s="32" t="str">
        <f>HYPERLINK("https://uva.onlinejudge.org/index.php?option=com_onlinejudge&amp;Itemid=8&amp;page=show_problem&amp;problem=3661","[UVa 1220] Party at Hali-Bula")</f>
        <v>[UVa 1220] Party at Hali-Bula</v>
      </c>
      <c r="B657" s="33">
        <f t="shared" si="2"/>
        <v>3</v>
      </c>
      <c r="C657" s="52"/>
      <c r="D657" s="34" t="s">
        <v>38</v>
      </c>
      <c r="E657" s="47" t="s">
        <v>38</v>
      </c>
      <c r="F657" s="38" t="s">
        <v>38</v>
      </c>
      <c r="G657" s="7"/>
    </row>
    <row r="658">
      <c r="A658" s="32" t="str">
        <f>HYPERLINK("https://icpcarchive.ecs.baylor.edu/index.php?option=com_onlinejudge&amp;Itemid=8&amp;category=248&amp;page=show_problem&amp;problem=1798","[LA 3797] Bribing FIPA")</f>
        <v>[LA 3797] Bribing FIPA</v>
      </c>
      <c r="B658" s="33">
        <f t="shared" si="2"/>
        <v>1</v>
      </c>
      <c r="C658" s="52"/>
      <c r="D658" s="34" t="s">
        <v>38</v>
      </c>
      <c r="E658" s="12"/>
      <c r="F658" s="37"/>
      <c r="G658" s="7"/>
    </row>
    <row r="659">
      <c r="A659" s="32" t="str">
        <f>HYPERLINK("https://uva.onlinejudge.org/index.php?option=com_onlinejudge&amp;Itemid=8&amp;page=show_problem&amp;problem=378","[UVa 437] The Tower of Babylon")</f>
        <v>[UVa 437] The Tower of Babylon</v>
      </c>
      <c r="B659" s="33">
        <f t="shared" si="2"/>
        <v>3</v>
      </c>
      <c r="C659" s="52"/>
      <c r="D659" s="34" t="s">
        <v>38</v>
      </c>
      <c r="E659" s="62" t="s">
        <v>38</v>
      </c>
      <c r="F659" s="38" t="s">
        <v>38</v>
      </c>
      <c r="G659" s="7"/>
    </row>
    <row r="660">
      <c r="A660" s="32" t="str">
        <f>HYPERLINK("https://uva.onlinejudge.org/index.php?option=com_onlinejudge&amp;Itemid=8&amp;page=show_problem&amp;problem=4093","[UVa 1347] Tour")</f>
        <v>[UVa 1347] Tour</v>
      </c>
      <c r="B660" s="33">
        <f t="shared" si="2"/>
        <v>1</v>
      </c>
      <c r="C660" s="52"/>
      <c r="D660" s="34" t="s">
        <v>38</v>
      </c>
      <c r="E660" s="12"/>
      <c r="F660" s="37"/>
      <c r="G660" s="7"/>
    </row>
    <row r="661">
      <c r="A661" s="32" t="str">
        <f>HYPERLINK("https://uva.onlinejudge.org/index.php?option=com_onlinejudge&amp;Itemid=8&amp;page=show_problem&amp;problem=3708","[UVa 1267] Network")</f>
        <v>[UVa 1267] Network</v>
      </c>
      <c r="B661" s="33">
        <f t="shared" si="2"/>
        <v>0</v>
      </c>
      <c r="C661" s="52"/>
      <c r="D661" s="34" t="s">
        <v>138</v>
      </c>
      <c r="E661" s="12"/>
      <c r="F661" s="37"/>
      <c r="G661" s="7"/>
    </row>
    <row r="662">
      <c r="A662" s="32" t="str">
        <f>HYPERLINK("https://uva.onlinejudge.org/index.php?option=com_onlinejudge&amp;Itemid=8&amp;page=show_problem&amp;problem=3677","[UVa 1236] Disjoint Paths")</f>
        <v>[UVa 1236] Disjoint Paths</v>
      </c>
      <c r="B662" s="33">
        <f t="shared" si="2"/>
        <v>0</v>
      </c>
      <c r="C662" s="52"/>
      <c r="D662" s="34" t="s">
        <v>129</v>
      </c>
      <c r="E662" s="12"/>
      <c r="F662" s="37"/>
      <c r="G662" s="7"/>
    </row>
    <row r="663">
      <c r="A663" s="32" t="str">
        <f>HYPERLINK("https://uva.onlinejudge.org/index.php?option=com_onlinejudge&amp;Itemid=8&amp;page=show_problem&amp;problem=4008","[UVa 12563] Jin Ge Jin Qu Hao")</f>
        <v>[UVa 12563] Jin Ge Jin Qu Hao</v>
      </c>
      <c r="B663" s="33">
        <f t="shared" si="2"/>
        <v>3</v>
      </c>
      <c r="C663" s="52"/>
      <c r="D663" s="34" t="s">
        <v>38</v>
      </c>
      <c r="E663" s="47" t="s">
        <v>38</v>
      </c>
      <c r="F663" s="38" t="s">
        <v>38</v>
      </c>
      <c r="G663" s="7"/>
    </row>
    <row r="664">
      <c r="A664" s="32" t="str">
        <f>HYPERLINK("https://uva.onlinejudge.org/index.php?option=com_onlinejudge&amp;Itemid=8&amp;page=show_problem&amp;problem=2395","[UVa 11400] Lighting System Design")</f>
        <v>[UVa 11400] Lighting System Design</v>
      </c>
      <c r="B664" s="33">
        <f t="shared" si="2"/>
        <v>3</v>
      </c>
      <c r="C664" s="52"/>
      <c r="D664" s="34" t="s">
        <v>38</v>
      </c>
      <c r="E664" s="47" t="s">
        <v>38</v>
      </c>
      <c r="F664" s="63" t="s">
        <v>38</v>
      </c>
      <c r="G664" s="7"/>
    </row>
    <row r="665">
      <c r="A665" s="32" t="str">
        <f>HYPERLINK("https://uva.onlinejudge.org/index.php?option=com_onlinejudge&amp;Itemid=8&amp;page=show_problem&amp;problem=2631","[UVa 11584] Partitioning by Palindromes")</f>
        <v>[UVa 11584] Partitioning by Palindromes</v>
      </c>
      <c r="B665" s="33">
        <f t="shared" si="2"/>
        <v>3</v>
      </c>
      <c r="C665" s="52"/>
      <c r="D665" s="34" t="s">
        <v>38</v>
      </c>
      <c r="E665" s="47" t="s">
        <v>38</v>
      </c>
      <c r="F665" s="39" t="s">
        <v>38</v>
      </c>
      <c r="G665" s="7"/>
    </row>
    <row r="666">
      <c r="A666" s="32" t="str">
        <f>HYPERLINK("https://uva.onlinejudge.org/index.php?option=com_onlinejudge&amp;Itemid=8&amp;page=show_problem&amp;problem=4500","[UVa 1625] Color Length")</f>
        <v>[UVa 1625] Color Length</v>
      </c>
      <c r="B666" s="33">
        <f t="shared" si="2"/>
        <v>1</v>
      </c>
      <c r="C666" s="52"/>
      <c r="D666" s="34" t="s">
        <v>38</v>
      </c>
      <c r="E666" s="12"/>
      <c r="F666" s="7"/>
      <c r="G666" s="7"/>
    </row>
    <row r="667">
      <c r="A667" s="32" t="str">
        <f>HYPERLINK("https://uva.onlinejudge.org/index.php?option=com_onlinejudge&amp;Itemid=8&amp;page=show_problem&amp;problem=4501","[UVa 1626] Brackets Sequence")</f>
        <v>[UVa 1626] Brackets Sequence</v>
      </c>
      <c r="B667" s="33">
        <f t="shared" si="2"/>
        <v>1</v>
      </c>
      <c r="C667" s="52"/>
      <c r="D667" s="34" t="s">
        <v>38</v>
      </c>
      <c r="E667" s="12"/>
      <c r="F667" s="7"/>
      <c r="G667" s="7"/>
    </row>
    <row r="668">
      <c r="A668" s="32" t="str">
        <f>HYPERLINK("https://uva.onlinejudge.org/index.php?option=com_onlinejudge&amp;Itemid=8&amp;page=show_problem&amp;problem=4077","[UVa 1331] Minimax Triangulation")</f>
        <v>[UVa 1331] Minimax Triangulation</v>
      </c>
      <c r="B668" s="33">
        <f t="shared" si="2"/>
        <v>1</v>
      </c>
      <c r="C668" s="52"/>
      <c r="D668" s="34" t="s">
        <v>38</v>
      </c>
      <c r="E668" s="12"/>
      <c r="F668" s="7"/>
      <c r="G668" s="7"/>
    </row>
    <row r="669">
      <c r="A669" s="32" t="str">
        <f>HYPERLINK("https://uva.onlinejudge.org/index.php?option=com_onlinejudge&amp;Itemid=8&amp;page=show_problem&amp;problem=4158","[UVa 1412] Fund Management")</f>
        <v>[UVa 1412] Fund Management</v>
      </c>
      <c r="B669" s="33">
        <f t="shared" si="2"/>
        <v>0</v>
      </c>
      <c r="C669" s="52"/>
      <c r="D669" s="34" t="s">
        <v>129</v>
      </c>
      <c r="E669" s="12"/>
      <c r="F669" s="7"/>
      <c r="G669" s="7"/>
    </row>
    <row r="670">
      <c r="A670" s="32" t="str">
        <f>HYPERLINK("https://uva.onlinejudge.org/index.php?option=com_onlinejudge&amp;Itemid=8&amp;category=514&amp;page=show_problem&amp;problem=1875","[UVa 10934] Dropping Water Balloons")</f>
        <v>[UVa 10934] Dropping Water Balloons</v>
      </c>
      <c r="B670" s="33">
        <f t="shared" si="2"/>
        <v>3</v>
      </c>
      <c r="C670" s="52"/>
      <c r="D670" s="34" t="s">
        <v>38</v>
      </c>
      <c r="E670" s="47" t="s">
        <v>38</v>
      </c>
      <c r="F670" s="39" t="s">
        <v>38</v>
      </c>
      <c r="G670" s="7"/>
    </row>
    <row r="671">
      <c r="A671" s="32" t="str">
        <f>HYPERLINK("https://uva.onlinejudge.org/index.php?option=com_onlinejudge&amp;Itemid=8&amp;page=show_problem&amp;problem=4082","[UVa 1336] Fixing the Great Wall")</f>
        <v>[UVa 1336] Fixing the Great Wall</v>
      </c>
      <c r="B671" s="33">
        <f t="shared" si="2"/>
        <v>1</v>
      </c>
      <c r="C671" s="52"/>
      <c r="D671" s="34" t="s">
        <v>38</v>
      </c>
      <c r="E671" s="12"/>
      <c r="F671" s="7"/>
      <c r="G671" s="7"/>
    </row>
    <row r="672">
      <c r="A672" s="32" t="str">
        <f>HYPERLINK("https://uva.onlinejudge.org/index.php?option=com_onlinejudge&amp;Itemid=8&amp;page=show_problem&amp;problem=3257","[UVa 12105] Bigger is Better")</f>
        <v>[UVa 12105] Bigger is Better</v>
      </c>
      <c r="B672" s="33">
        <f t="shared" si="2"/>
        <v>3</v>
      </c>
      <c r="C672" s="52"/>
      <c r="D672" s="34" t="s">
        <v>38</v>
      </c>
      <c r="E672" s="47" t="s">
        <v>38</v>
      </c>
      <c r="F672" s="45" t="s">
        <v>38</v>
      </c>
      <c r="G672" s="7"/>
    </row>
    <row r="673">
      <c r="A673" s="32" t="str">
        <f>HYPERLINK("https://uva.onlinejudge.org/index.php?option=com_onlinejudge&amp;Itemid=8&amp;category=242&amp;page=show_problem&amp;problem=3251","[UVa 12099] The Bookcase")</f>
        <v>[UVa 12099] The Bookcase</v>
      </c>
      <c r="B673" s="33">
        <f t="shared" si="2"/>
        <v>0</v>
      </c>
      <c r="C673" s="52"/>
      <c r="D673" s="34" t="s">
        <v>129</v>
      </c>
      <c r="E673" s="12"/>
      <c r="F673" s="7"/>
      <c r="G673" s="7"/>
    </row>
    <row r="674">
      <c r="A674" s="32" t="str">
        <f>HYPERLINK("https://uva.onlinejudge.org/index.php?option=com_onlinejudge&amp;Itemid=8&amp;page=show_problem&amp;problem=3322","[UVa 12170] Easy Climb")</f>
        <v>[UVa 12170] Easy Climb</v>
      </c>
      <c r="B674" s="33">
        <f t="shared" si="2"/>
        <v>0</v>
      </c>
      <c r="C674" s="52"/>
      <c r="D674" s="51"/>
      <c r="E674" s="12"/>
      <c r="F674" s="7"/>
      <c r="G674" s="7"/>
    </row>
    <row r="675">
      <c r="A675" s="32" t="str">
        <f>HYPERLINK("https://uva.onlinejudge.org/index.php?option=com_onlinejudge&amp;Itemid=8&amp;page=show_problem&amp;problem=4126","[UVa 1380] A Scheduling Problem")</f>
        <v>[UVa 1380] A Scheduling Problem</v>
      </c>
      <c r="B675" s="33">
        <f t="shared" si="2"/>
        <v>0</v>
      </c>
      <c r="C675" s="52"/>
      <c r="D675" s="51"/>
      <c r="E675" s="12"/>
      <c r="F675" s="7"/>
      <c r="G675" s="7"/>
    </row>
    <row r="676">
      <c r="A676" s="32" t="str">
        <f>HYPERLINK("https://uva.onlinejudge.org/index.php?option=onlinejudge&amp;page=show_problem&amp;problem=1500","[UVa 10559] Blocks")</f>
        <v>[UVa 10559] Blocks</v>
      </c>
      <c r="B676" s="33">
        <f t="shared" si="2"/>
        <v>3</v>
      </c>
      <c r="C676" s="52"/>
      <c r="D676" s="34" t="s">
        <v>38</v>
      </c>
      <c r="E676" s="56" t="s">
        <v>38</v>
      </c>
      <c r="F676" s="64" t="s">
        <v>38</v>
      </c>
      <c r="G676" s="7"/>
    </row>
    <row r="677">
      <c r="A677" s="32" t="str">
        <f>HYPERLINK("https://uva.onlinejudge.org/index.php?option=com_onlinejudge&amp;Itemid=8&amp;page=show_problem&amp;problem=3669","[UVa 1228] Integer Transmission")</f>
        <v>[UVa 1228] Integer Transmission</v>
      </c>
      <c r="B677" s="33">
        <f t="shared" si="2"/>
        <v>0</v>
      </c>
      <c r="C677" s="52"/>
      <c r="D677" s="51"/>
      <c r="E677" s="12"/>
      <c r="F677" s="7"/>
      <c r="G677" s="7"/>
    </row>
    <row r="678">
      <c r="A678" s="32" t="str">
        <f>HYPERLINK("https://uva.onlinejudge.org/index.php?option=com_onlinejudge&amp;Itemid=8&amp;category=825&amp;page=show_problem&amp;problem=4503","[UVa 1628] Pizza Delivery")</f>
        <v>[UVa 1628] Pizza Delivery</v>
      </c>
      <c r="B678" s="33">
        <f t="shared" si="2"/>
        <v>0</v>
      </c>
      <c r="C678" s="52"/>
      <c r="D678" s="34" t="s">
        <v>138</v>
      </c>
      <c r="E678" s="12"/>
      <c r="F678" s="7"/>
      <c r="G678" s="7"/>
    </row>
    <row r="679">
      <c r="A679" s="32" t="str">
        <f>HYPERLINK("https://uva.onlinejudge.org/index.php?option=com_onlinejudge&amp;Itemid=8&amp;page=show_problem&amp;problem=4525","[UVa 1650] Number String")</f>
        <v>[UVa 1650] Number String</v>
      </c>
      <c r="B679" s="33">
        <f t="shared" si="2"/>
        <v>0</v>
      </c>
      <c r="C679" s="52"/>
      <c r="D679" s="34" t="s">
        <v>129</v>
      </c>
      <c r="E679" s="12"/>
      <c r="F679" s="7"/>
      <c r="G679" s="7"/>
    </row>
    <row r="680">
      <c r="A680" s="32" t="str">
        <f>HYPERLINK("https://uva.onlinejudge.org/index.php?option=com_onlinejudge&amp;Itemid=8&amp;page=show_problem&amp;problem=4318","[UVa 1543] Telescope")</f>
        <v>[UVa 1543] Telescope</v>
      </c>
      <c r="B680" s="33">
        <f t="shared" si="2"/>
        <v>0</v>
      </c>
      <c r="C680" s="52"/>
      <c r="D680" s="51"/>
      <c r="E680" s="12"/>
      <c r="F680" s="7"/>
      <c r="G680" s="7"/>
    </row>
    <row r="681">
      <c r="A681" s="32" t="str">
        <f>HYPERLINK("https://uva.onlinejudge.org/index.php?option=onlinejudge&amp;page=show_problem&amp;problem=4520","[UVa 1645] Count")</f>
        <v>[UVa 1645] Count</v>
      </c>
      <c r="B681" s="33">
        <f t="shared" si="2"/>
        <v>3</v>
      </c>
      <c r="C681" s="52"/>
      <c r="D681" s="34" t="s">
        <v>38</v>
      </c>
      <c r="E681" s="47" t="s">
        <v>38</v>
      </c>
      <c r="F681" s="45" t="s">
        <v>38</v>
      </c>
      <c r="G681" s="7"/>
    </row>
    <row r="682">
      <c r="A682" s="32" t="str">
        <f>HYPERLINK("https://uva.onlinejudge.org/index.php?option=com_onlinejudge&amp;Itemid=8&amp;page=show_problem&amp;problem=3215","[UVa 12063] Zeros and Ones")</f>
        <v>[UVa 12063] Zeros and Ones</v>
      </c>
      <c r="B682" s="33">
        <f t="shared" si="2"/>
        <v>3</v>
      </c>
      <c r="C682" s="52"/>
      <c r="D682" s="34" t="s">
        <v>38</v>
      </c>
      <c r="E682" s="47" t="s">
        <v>38</v>
      </c>
      <c r="F682" s="45" t="s">
        <v>38</v>
      </c>
      <c r="G682" s="7"/>
    </row>
    <row r="683">
      <c r="A683" s="32" t="str">
        <f>HYPERLINK("https://uva.onlinejudge.org/index.php?option=com_onlinejudge&amp;Itemid=8&amp;page=show_problem&amp;problem=1559","[UVa 10618] Tango Tango Insurrection")</f>
        <v>[UVa 10618] Tango Tango Insurrection</v>
      </c>
      <c r="B683" s="33">
        <f t="shared" si="2"/>
        <v>0</v>
      </c>
      <c r="C683" s="52"/>
      <c r="D683" s="34" t="s">
        <v>141</v>
      </c>
      <c r="E683" s="12"/>
      <c r="F683" s="7"/>
      <c r="G683" s="7"/>
    </row>
    <row r="684">
      <c r="A684" s="32" t="str">
        <f>HYPERLINK("https://uva.onlinejudge.org/index.php?option=com_onlinejudge&amp;Itemid=8&amp;page=show_problem&amp;problem=4504","[UVa 1629] Cake Slicing")</f>
        <v>[UVa 1629] Cake Slicing</v>
      </c>
      <c r="B684" s="33">
        <f t="shared" si="2"/>
        <v>1</v>
      </c>
      <c r="C684" s="52"/>
      <c r="D684" s="34" t="s">
        <v>38</v>
      </c>
      <c r="E684" s="12"/>
      <c r="F684" s="7"/>
      <c r="G684" s="7"/>
    </row>
    <row r="685">
      <c r="A685" s="32" t="str">
        <f>HYPERLINK("https://uva.onlinejudge.org/index.php?option=onlinejudge&amp;page=show_problem&amp;problem=178","[UVa 242] Stamps and Envelope Size")</f>
        <v>[UVa 242] Stamps and Envelope Size</v>
      </c>
      <c r="B685" s="33">
        <f t="shared" si="2"/>
        <v>1</v>
      </c>
      <c r="C685" s="52"/>
      <c r="D685" s="34" t="s">
        <v>38</v>
      </c>
      <c r="E685" s="12"/>
      <c r="F685" s="7"/>
      <c r="G685" s="7"/>
    </row>
    <row r="686">
      <c r="A686" s="32" t="str">
        <f>HYPERLINK("https://uva.onlinejudge.org/index.php?option=com_onlinejudge&amp;Itemid=8&amp;page=show_problem&amp;problem=4506","[UVa 1631] Locker")</f>
        <v>[UVa 1631] Locker</v>
      </c>
      <c r="B686" s="33">
        <f t="shared" si="2"/>
        <v>1</v>
      </c>
      <c r="C686" s="52"/>
      <c r="D686" s="34" t="s">
        <v>38</v>
      </c>
      <c r="E686" s="12"/>
      <c r="F686" s="7"/>
      <c r="G686" s="7"/>
    </row>
    <row r="687">
      <c r="A687" s="32" t="str">
        <f>HYPERLINK("https://uva.onlinejudge.org/index.php?option=onlinejudge&amp;page=show_problem&amp;problem=3245","[UVa 12093] Protecting Zonk")</f>
        <v>[UVa 12093] Protecting Zonk</v>
      </c>
      <c r="B687" s="33">
        <f t="shared" si="2"/>
        <v>0</v>
      </c>
      <c r="C687" s="52"/>
      <c r="D687" s="51"/>
      <c r="E687" s="12"/>
      <c r="F687" s="7"/>
      <c r="G687" s="7"/>
    </row>
    <row r="688">
      <c r="A688" s="32" t="str">
        <f>HYPERLINK("https://uva.onlinejudge.org/index.php?option=com_onlinejudge&amp;Itemid=8&amp;page=show_problem&amp;problem=4512","[UVa 1637] Double Patience")</f>
        <v>[UVa 1637] Double Patience</v>
      </c>
      <c r="B688" s="33">
        <f t="shared" si="2"/>
        <v>1</v>
      </c>
      <c r="C688" s="52"/>
      <c r="D688" s="34" t="s">
        <v>38</v>
      </c>
      <c r="E688" s="12"/>
      <c r="F688" s="7"/>
      <c r="G688" s="7"/>
    </row>
    <row r="689">
      <c r="A689" s="32" t="str">
        <f>HYPERLINK("https://uva.onlinejudge.org/index.php?option=com_onlinejudge&amp;Itemid=8&amp;page=show_problem&amp;problem=4136","[UVa 1390] Interconnect")</f>
        <v>[UVa 1390] Interconnect</v>
      </c>
      <c r="B689" s="33">
        <f t="shared" si="2"/>
        <v>1</v>
      </c>
      <c r="C689" s="52"/>
      <c r="D689" s="34" t="s">
        <v>38</v>
      </c>
      <c r="E689" s="12"/>
      <c r="F689" s="7"/>
      <c r="G689" s="7"/>
    </row>
    <row r="690">
      <c r="A690" s="32" t="str">
        <f>HYPERLINK("https://uva.onlinejudge.org/index.php?option=onlinejudge&amp;page=show_problem&amp;problem=1059","[UVa 10118] Free Candies")</f>
        <v>[UVa 10118] Free Candies</v>
      </c>
      <c r="B690" s="33">
        <f t="shared" si="2"/>
        <v>1</v>
      </c>
      <c r="C690" s="52"/>
      <c r="D690" s="34" t="s">
        <v>38</v>
      </c>
      <c r="E690" s="12"/>
      <c r="F690" s="7"/>
      <c r="G690" s="7"/>
    </row>
    <row r="691">
      <c r="A691" s="32" t="str">
        <f>HYPERLINK("https://uva.onlinejudge.org/index.php?option=com_onlinejudge&amp;Itemid=8&amp;page=show_problem&amp;problem=4505","[UVa 1630] Folding")</f>
        <v>[UVa 1630] Folding</v>
      </c>
      <c r="B691" s="33">
        <f t="shared" si="2"/>
        <v>0</v>
      </c>
      <c r="C691" s="52"/>
      <c r="D691" s="34" t="s">
        <v>138</v>
      </c>
      <c r="E691" s="12"/>
      <c r="F691" s="7"/>
      <c r="G691" s="7"/>
    </row>
    <row r="692">
      <c r="A692" s="32" t="str">
        <f>HYPERLINK("https://uva.onlinejudge.org/index.php?option=com_onlinejudge&amp;Itemid=8&amp;page=show_problem&amp;problem=1664","[UVa 10723] Cyborg Genes")</f>
        <v>[UVa 10723] Cyborg Genes</v>
      </c>
      <c r="B692" s="33">
        <f t="shared" si="2"/>
        <v>1</v>
      </c>
      <c r="C692" s="52"/>
      <c r="D692" s="34" t="s">
        <v>38</v>
      </c>
      <c r="E692" s="12"/>
      <c r="F692" s="7"/>
      <c r="G692" s="7"/>
    </row>
    <row r="693">
      <c r="A693" s="32" t="str">
        <f>HYPERLINK("https://uva.onlinejudge.org/index.php?option=com_onlinejudge&amp;Itemid=8&amp;page=show_problem&amp;problem=4508","[UVa 1633] Dyslexic Gollum")</f>
        <v>[UVa 1633] Dyslexic Gollum</v>
      </c>
      <c r="B693" s="33">
        <f t="shared" si="2"/>
        <v>1</v>
      </c>
      <c r="C693" s="52"/>
      <c r="D693" s="34" t="s">
        <v>38</v>
      </c>
      <c r="E693" s="12"/>
      <c r="F693" s="7"/>
      <c r="G693" s="7"/>
    </row>
    <row r="694">
      <c r="A694" s="32" t="str">
        <f>HYPERLINK("https://uva.onlinejudge.org/index.php?option=com_onlinejudge&amp;Itemid=8&amp;page=show_problem&amp;problem=4034","[UVa 12589] Learning Vector")</f>
        <v>[UVa 12589] Learning Vector</v>
      </c>
      <c r="B694" s="33">
        <f t="shared" si="2"/>
        <v>2</v>
      </c>
      <c r="C694" s="52"/>
      <c r="D694" s="34" t="s">
        <v>38</v>
      </c>
      <c r="E694" s="47" t="s">
        <v>38</v>
      </c>
      <c r="F694" s="7"/>
      <c r="G694" s="7"/>
    </row>
    <row r="695">
      <c r="A695" s="32" t="str">
        <f>HYPERLINK("https://uva.onlinejudge.org/index.php?option=com_onlinejudge&amp;Itemid=8&amp;page=show_problem&amp;problem=4117","[UVa 1371] Period")</f>
        <v>[UVa 1371] Period</v>
      </c>
      <c r="B695" s="33">
        <f t="shared" si="2"/>
        <v>1</v>
      </c>
      <c r="C695" s="52"/>
      <c r="D695" s="34" t="s">
        <v>38</v>
      </c>
      <c r="E695" s="12"/>
      <c r="F695" s="7"/>
      <c r="G695" s="7"/>
    </row>
    <row r="696">
      <c r="A696" s="32" t="str">
        <f>HYPERLINK("https://uva.onlinejudge.org/index.php?option=com_onlinejudge&amp;Itemid=8&amp;page=show_problem&amp;problem=4139","[UVa 1393] Highways")</f>
        <v>[UVa 1393] Highways</v>
      </c>
      <c r="B696" s="33">
        <f t="shared" si="2"/>
        <v>0</v>
      </c>
      <c r="C696" s="52"/>
      <c r="D696" s="34" t="s">
        <v>143</v>
      </c>
      <c r="E696" s="12"/>
      <c r="F696" s="7"/>
      <c r="G696" s="7"/>
    </row>
    <row r="697">
      <c r="A697" s="32" t="str">
        <f>HYPERLINK("https://uva.onlinejudge.org/index.php?option=com_onlinejudge&amp;Itemid=8&amp;page=show_problem&amp;problem=4160","[UVa 1414] Hanoi Towers")</f>
        <v>[UVa 1414] Hanoi Towers</v>
      </c>
      <c r="B697" s="33">
        <f t="shared" si="2"/>
        <v>0</v>
      </c>
      <c r="C697" s="52"/>
      <c r="D697" s="34" t="s">
        <v>144</v>
      </c>
      <c r="E697" s="12"/>
      <c r="F697" s="7"/>
      <c r="G697" s="7"/>
    </row>
    <row r="698">
      <c r="A698" s="32" t="str">
        <f>HYPERLINK("https://uva.onlinejudge.org/index.php?option=com_onlinejudge&amp;Itemid=8&amp;page=show_problem&amp;problem=4185","[UVa 1439] Exclusive Access 2")</f>
        <v>[UVa 1439] Exclusive Access 2</v>
      </c>
      <c r="B698" s="33">
        <f t="shared" si="2"/>
        <v>0</v>
      </c>
      <c r="C698" s="52"/>
      <c r="D698" s="34"/>
      <c r="E698" s="12"/>
      <c r="F698" s="7"/>
      <c r="G698" s="7"/>
    </row>
    <row r="699">
      <c r="A699" s="32" t="str">
        <f>HYPERLINK("https://uva.onlinejudge.org/index.php?option=com_onlinejudge&amp;Itemid=8&amp;page=show_problem&amp;problem=4507","[UVa 1632] Alibaba")</f>
        <v>[UVa 1632] Alibaba</v>
      </c>
      <c r="B699" s="33">
        <f t="shared" si="2"/>
        <v>1</v>
      </c>
      <c r="C699" s="52"/>
      <c r="D699" s="34" t="s">
        <v>38</v>
      </c>
      <c r="E699" s="12"/>
      <c r="F699" s="7"/>
      <c r="G699" s="7"/>
    </row>
    <row r="700">
      <c r="A700" s="32" t="str">
        <f>HYPERLINK("https://uva.onlinejudge.org/index.php?option=onlinejudge&amp;page=show_problem&amp;problem=3902","[UVa 1289] Stacking Plates")</f>
        <v>[UVa 1289] Stacking Plates</v>
      </c>
      <c r="B700" s="33">
        <f t="shared" si="2"/>
        <v>0</v>
      </c>
      <c r="C700" s="52"/>
      <c r="D700" s="65" t="s">
        <v>145</v>
      </c>
      <c r="E700" s="12"/>
      <c r="F700" s="6"/>
      <c r="G700" s="7"/>
    </row>
    <row r="701">
      <c r="A701" s="32" t="str">
        <f>HYPERLINK("https://uva.onlinejudge.org/index.php?option=com_onlinejudge&amp;Itemid=8&amp;page=show_problem&amp;problem=4371","[UVa 1579] Matryoshka")</f>
        <v>[UVa 1579] Matryoshka</v>
      </c>
      <c r="B701" s="33">
        <f t="shared" si="2"/>
        <v>0</v>
      </c>
      <c r="C701" s="52"/>
      <c r="D701" s="34" t="s">
        <v>129</v>
      </c>
      <c r="E701" s="12"/>
      <c r="F701" s="7"/>
      <c r="G701" s="7"/>
    </row>
    <row r="702">
      <c r="A702" s="32" t="str">
        <f>HYPERLINK("https://uva.onlinejudge.org/index.php?option=com_onlinejudge&amp;Itemid=8&amp;category=278&amp;page=show_problem&amp;problem=3793","[UVa 12371] Guards")</f>
        <v>[UVa 12371] Guards</v>
      </c>
      <c r="B702" s="33">
        <f t="shared" si="2"/>
        <v>0</v>
      </c>
      <c r="C702" s="52"/>
      <c r="D702" s="51"/>
      <c r="E702" s="12"/>
      <c r="F702" s="7"/>
      <c r="G702" s="7"/>
    </row>
    <row r="703">
      <c r="A703" s="32" t="str">
        <f>HYPERLINK("https://uva.onlinejudge.org/index.php?option=com_onlinejudge&amp;Itemid=8&amp;page=show_problem&amp;problem=4529","[UVa 1654] Pairs of Integers")</f>
        <v>[UVa 1654] Pairs of Integers</v>
      </c>
      <c r="B703" s="33">
        <f t="shared" si="2"/>
        <v>0</v>
      </c>
      <c r="C703" s="52"/>
      <c r="D703" s="51"/>
      <c r="E703" s="12"/>
      <c r="F703" s="7"/>
      <c r="G703" s="7"/>
    </row>
    <row r="704">
      <c r="A704" s="32" t="str">
        <f>HYPERLINK("https://uva.onlinejudge.org/index.php?option=com_onlinejudge&amp;Itemid=8&amp;page=show_problem&amp;problem=4121","[UVa 1375] The Best Name for Your Baby")</f>
        <v>[UVa 1375] The Best Name for Your Baby</v>
      </c>
      <c r="B704" s="33">
        <f t="shared" si="2"/>
        <v>0</v>
      </c>
      <c r="C704" s="52"/>
      <c r="D704" s="51"/>
      <c r="E704" s="12"/>
      <c r="F704" s="7"/>
      <c r="G704" s="7"/>
    </row>
    <row r="705">
      <c r="A705" s="32" t="str">
        <f>HYPERLINK("https://uva.onlinejudge.org/index.php?option=com_onlinejudge&amp;Itemid=8&amp;page=show_problem&amp;problem=1582","[UVa 10641] Barisal Stadium")</f>
        <v>[UVa 10641] Barisal Stadium</v>
      </c>
      <c r="B705" s="33">
        <f t="shared" si="2"/>
        <v>0</v>
      </c>
      <c r="C705" s="52"/>
      <c r="D705" s="51"/>
      <c r="E705" s="12"/>
      <c r="F705" s="7"/>
      <c r="G705" s="7"/>
    </row>
    <row r="706">
      <c r="A706" s="32" t="str">
        <f>HYPERLINK("https://uva.onlinejudge.org/index.php?option=com_onlinejudge&amp;Itemid=8&amp;page=show_problem&amp;problem=4189","[UVa 1443] Garlands")</f>
        <v>[UVa 1443] Garlands</v>
      </c>
      <c r="B706" s="33">
        <f t="shared" si="2"/>
        <v>0</v>
      </c>
      <c r="C706" s="52"/>
      <c r="D706" s="51"/>
      <c r="E706" s="12"/>
      <c r="F706" s="7"/>
      <c r="G706" s="7"/>
    </row>
    <row r="707">
      <c r="A707" s="32" t="str">
        <f>HYPERLINK("https://uva.onlinejudge.org/index.php?option=com_onlinejudge&amp;Itemid=8&amp;page=show_problem&amp;problem=3133","[UVa 11982] Fantasy Cricket")</f>
        <v>[UVa 11982] Fantasy Cricket</v>
      </c>
      <c r="B707" s="33">
        <f t="shared" si="2"/>
        <v>3</v>
      </c>
      <c r="C707" s="52"/>
      <c r="D707" s="34" t="s">
        <v>38</v>
      </c>
      <c r="E707" s="47" t="s">
        <v>38</v>
      </c>
      <c r="F707" s="61" t="s">
        <v>38</v>
      </c>
      <c r="G707" s="7"/>
    </row>
    <row r="708">
      <c r="A708" s="32" t="str">
        <f>HYPERLINK("https://uva.onlinejudge.org/index.php?option=com_onlinejudge&amp;Itemid=8&amp;category=244&amp;page=show_problem&amp;problem=3364","[UVa 12212] Password Remembering")</f>
        <v>[UVa 12212] Password Remembering</v>
      </c>
      <c r="B708" s="33">
        <f t="shared" si="2"/>
        <v>0</v>
      </c>
      <c r="C708" s="52"/>
      <c r="D708" s="51"/>
      <c r="E708" s="12"/>
      <c r="F708" s="7"/>
      <c r="G708" s="7"/>
    </row>
    <row r="709">
      <c r="A709" s="32" t="str">
        <f>HYPERLINK("https://uva.onlinejudge.org/index.php?option=com_onlinejudge&amp;Itemid=8&amp;page=show_problem&amp;problem=4509","[UVa 1634] The Picnic")</f>
        <v>[UVa 1634] The Picnic</v>
      </c>
      <c r="B709" s="33">
        <f t="shared" si="2"/>
        <v>0</v>
      </c>
      <c r="C709" s="52"/>
      <c r="D709" s="51"/>
      <c r="E709" s="12"/>
      <c r="F709" s="7"/>
      <c r="G709" s="7"/>
    </row>
    <row r="710">
      <c r="A710" s="32" t="str">
        <f>HYPERLINK("https://uva.onlinejudge.org/index.php?option=onlinejudge&amp;page=show_problem&amp;problem=1212","[UVa 10271] Chopsticks")</f>
        <v>[UVa 10271] Chopsticks</v>
      </c>
      <c r="B710" s="33">
        <f t="shared" si="2"/>
        <v>3</v>
      </c>
      <c r="C710" s="52"/>
      <c r="D710" s="34" t="s">
        <v>38</v>
      </c>
      <c r="E710" s="47" t="s">
        <v>38</v>
      </c>
      <c r="F710" s="38" t="s">
        <v>38</v>
      </c>
      <c r="G710" s="7"/>
    </row>
    <row r="711">
      <c r="A711" s="32" t="str">
        <f>HYPERLINK("https://uva.onlinejudge.org/index.php?option=com_onlinejudge&amp;Itemid=8&amp;page=show_problem&amp;problem=40","[UVa 104] Arbitrage")</f>
        <v>[UVa 104] Arbitrage</v>
      </c>
      <c r="B711" s="33">
        <f t="shared" si="2"/>
        <v>1</v>
      </c>
      <c r="C711" s="52"/>
      <c r="D711" s="34" t="s">
        <v>38</v>
      </c>
      <c r="E711" s="12"/>
      <c r="F711" s="7"/>
      <c r="G711" s="7"/>
    </row>
    <row r="712">
      <c r="A712" s="32" t="str">
        <f>HYPERLINK("https://uva.onlinejudge.org/index.php?option=onlinejudge&amp;page=show_problem&amp;problem=61","[UVa 125] Numbering Paths")</f>
        <v>[UVa 125] Numbering Paths</v>
      </c>
      <c r="B712" s="33">
        <f t="shared" si="2"/>
        <v>1</v>
      </c>
      <c r="C712" s="52"/>
      <c r="D712" s="34" t="s">
        <v>38</v>
      </c>
      <c r="E712" s="12"/>
      <c r="F712" s="7"/>
      <c r="G712" s="7"/>
    </row>
    <row r="713">
      <c r="A713" s="32" t="str">
        <f>HYPERLINK("https://uva.onlinejudge.org/index.php?option=com_onlinejudge&amp;Itemid=8&amp;page=show_problem&amp;problem=101","[UVa 165] Stamps")</f>
        <v>[UVa 165] Stamps</v>
      </c>
      <c r="B713" s="33">
        <f t="shared" si="2"/>
        <v>1</v>
      </c>
      <c r="C713" s="52"/>
      <c r="D713" s="34" t="s">
        <v>38</v>
      </c>
      <c r="E713" s="12"/>
      <c r="F713" s="7"/>
      <c r="G713" s="7"/>
    </row>
    <row r="714">
      <c r="A714" s="32" t="str">
        <f>HYPERLINK("https://uva.onlinejudge.org/index.php?option=com_onlinejudge&amp;Itemid=8&amp;page=show_problem&amp;problem=234","[UVa 298] Race Tracks")</f>
        <v>[UVa 298] Race Tracks</v>
      </c>
      <c r="B714" s="33">
        <f t="shared" si="2"/>
        <v>0</v>
      </c>
      <c r="C714" s="52"/>
      <c r="D714" s="34" t="s">
        <v>146</v>
      </c>
      <c r="E714" s="12"/>
      <c r="F714" s="7"/>
      <c r="G714" s="7"/>
    </row>
    <row r="715">
      <c r="A715" s="32" t="str">
        <f>HYPERLINK("https://uva.onlinejudge.org/index.php?option=com_onlinejudge&amp;Itemid=8&amp;page=show_problem&amp;problem=284","[UVa 348] Optimal Array Multiplication Sequence")</f>
        <v>[UVa 348] Optimal Array Multiplication Sequence</v>
      </c>
      <c r="B715" s="33">
        <f t="shared" si="2"/>
        <v>3</v>
      </c>
      <c r="C715" s="52"/>
      <c r="D715" s="34" t="s">
        <v>38</v>
      </c>
      <c r="E715" s="47" t="s">
        <v>38</v>
      </c>
      <c r="F715" s="39" t="s">
        <v>38</v>
      </c>
      <c r="G715" s="7"/>
    </row>
    <row r="716">
      <c r="A716" s="32" t="str">
        <f>HYPERLINK("https://uva.onlinejudge.org/index.php?option=com_onlinejudge&amp;Itemid=8&amp;page=show_problem&amp;problem=307","[UVa 371] Ackerman Functions")</f>
        <v>[UVa 371] Ackerman Functions</v>
      </c>
      <c r="B716" s="33">
        <f t="shared" si="2"/>
        <v>3</v>
      </c>
      <c r="C716" s="52"/>
      <c r="D716" s="34" t="s">
        <v>38</v>
      </c>
      <c r="E716" s="47" t="s">
        <v>38</v>
      </c>
      <c r="F716" s="38" t="s">
        <v>38</v>
      </c>
      <c r="G716" s="7"/>
    </row>
    <row r="717">
      <c r="A717" s="32" t="str">
        <f>HYPERLINK("https://uva.onlinejudge.org/index.php?option=com_onlinejudge&amp;Itemid=8&amp;page=show_problem&amp;problem=377","[UVa 436] Arbitrage (II)")</f>
        <v>[UVa 436] Arbitrage (II)</v>
      </c>
      <c r="B717" s="33">
        <f t="shared" si="2"/>
        <v>3</v>
      </c>
      <c r="C717" s="52"/>
      <c r="D717" s="34" t="s">
        <v>38</v>
      </c>
      <c r="E717" s="47" t="s">
        <v>38</v>
      </c>
      <c r="F717" s="39" t="s">
        <v>38</v>
      </c>
      <c r="G717" s="7"/>
    </row>
    <row r="718">
      <c r="A718" s="32" t="str">
        <f>HYPERLINK("https://uva.onlinejudge.org/index.php?option=com_onlinejudge&amp;Itemid=8&amp;page=show_problem&amp;problem=467","[UVa 526] String Distance and Transform Process")</f>
        <v>[UVa 526] String Distance and Transform Process</v>
      </c>
      <c r="B718" s="33">
        <f t="shared" si="2"/>
        <v>3</v>
      </c>
      <c r="C718" s="52"/>
      <c r="D718" s="34" t="s">
        <v>38</v>
      </c>
      <c r="E718" s="47" t="s">
        <v>38</v>
      </c>
      <c r="F718" s="38" t="s">
        <v>38</v>
      </c>
      <c r="G718" s="7"/>
    </row>
    <row r="719">
      <c r="A719" s="32" t="str">
        <f>HYPERLINK("https://uva.onlinejudge.org/index.php?option=com_onlinejudge&amp;Itemid=8&amp;page=show_problem&amp;problem=588","[UVa 647] Chutes and Ladders")</f>
        <v>[UVa 647] Chutes and Ladders</v>
      </c>
      <c r="B719" s="33">
        <f t="shared" si="2"/>
        <v>3</v>
      </c>
      <c r="C719" s="52"/>
      <c r="D719" s="34" t="s">
        <v>38</v>
      </c>
      <c r="E719" s="47" t="s">
        <v>38</v>
      </c>
      <c r="F719" s="45" t="s">
        <v>38</v>
      </c>
      <c r="G719" s="7"/>
    </row>
    <row r="720">
      <c r="A720" s="32" t="str">
        <f>HYPERLINK("https://uva.onlinejudge.org/index.php?option=onlinejudge&amp;page=show_problem&amp;problem=603","[UVa 662] Fast Food")</f>
        <v>[UVa 662] Fast Food</v>
      </c>
      <c r="B720" s="33">
        <f t="shared" si="2"/>
        <v>3</v>
      </c>
      <c r="C720" s="52"/>
      <c r="D720" s="34" t="s">
        <v>38</v>
      </c>
      <c r="E720" s="47" t="s">
        <v>38</v>
      </c>
      <c r="F720" s="45" t="s">
        <v>38</v>
      </c>
      <c r="G720" s="7"/>
    </row>
    <row r="721">
      <c r="A721" s="32" t="str">
        <f>HYPERLINK("https://uva.onlinejudge.org/index.php?option=onlinejudge&amp;page=show_problem&amp;problem=613","[UVa 672] Gangsters")</f>
        <v>[UVa 672] Gangsters</v>
      </c>
      <c r="B721" s="33">
        <f t="shared" si="2"/>
        <v>0</v>
      </c>
      <c r="C721" s="52"/>
      <c r="D721" s="34" t="s">
        <v>147</v>
      </c>
      <c r="E721" s="12"/>
      <c r="F721" s="7"/>
      <c r="G721" s="7"/>
    </row>
    <row r="722">
      <c r="A722" s="32" t="str">
        <f>HYPERLINK("https://uva.onlinejudge.org/index.php?option=onlinejudge&amp;page=show_problem&amp;problem=635","[UVa 694] The Collatz Sequence")</f>
        <v>[UVa 694] The Collatz Sequence</v>
      </c>
      <c r="B722" s="33">
        <f t="shared" si="2"/>
        <v>3</v>
      </c>
      <c r="C722" s="52"/>
      <c r="D722" s="34" t="s">
        <v>38</v>
      </c>
      <c r="E722" s="47" t="s">
        <v>38</v>
      </c>
      <c r="F722" s="38" t="s">
        <v>38</v>
      </c>
      <c r="G722" s="7"/>
    </row>
    <row r="723">
      <c r="A723" s="32" t="str">
        <f>HYPERLINK("https://uva.onlinejudge.org/index.php?option=onlinejudge&amp;page=show_problem&amp;problem=652","[UVa 711] Dividing Up")</f>
        <v>[UVa 711] Dividing Up</v>
      </c>
      <c r="B723" s="33">
        <f t="shared" si="2"/>
        <v>3</v>
      </c>
      <c r="C723" s="52"/>
      <c r="D723" s="34" t="s">
        <v>38</v>
      </c>
      <c r="E723" s="47" t="s">
        <v>38</v>
      </c>
      <c r="F723" s="45" t="s">
        <v>38</v>
      </c>
      <c r="G723" s="7"/>
    </row>
    <row r="724">
      <c r="A724" s="32" t="str">
        <f>HYPERLINK("https://uva.onlinejudge.org/index.php?option=com_onlinejudge&amp;Itemid=8&amp;page=show_problem&amp;problem=766","[UVa 825] Walking on the Safe Side")</f>
        <v>[UVa 825] Walking on the Safe Side</v>
      </c>
      <c r="B724" s="33">
        <f t="shared" si="2"/>
        <v>3</v>
      </c>
      <c r="C724" s="52"/>
      <c r="D724" s="34" t="s">
        <v>38</v>
      </c>
      <c r="E724" s="47" t="s">
        <v>38</v>
      </c>
      <c r="F724" s="45" t="s">
        <v>38</v>
      </c>
      <c r="G724" s="7"/>
    </row>
    <row r="725">
      <c r="A725" s="32" t="str">
        <f>HYPERLINK("https://uva.onlinejudge.org/index.php?option=com_onlinejudge&amp;Itemid=8&amp;page=show_problem&amp;problem=802","[UVa 861] Little Bishops")</f>
        <v>[UVa 861] Little Bishops</v>
      </c>
      <c r="B725" s="33">
        <f t="shared" si="2"/>
        <v>3</v>
      </c>
      <c r="C725" s="52"/>
      <c r="D725" s="34" t="s">
        <v>38</v>
      </c>
      <c r="E725" s="47" t="s">
        <v>38</v>
      </c>
      <c r="F725" s="38" t="s">
        <v>38</v>
      </c>
      <c r="G725" s="7"/>
    </row>
    <row r="726">
      <c r="A726" s="32" t="str">
        <f>HYPERLINK("https://uva.onlinejudge.org/index.php?option=com_onlinejudge&amp;Itemid=8&amp;page=show_problem&amp;problem=973","[UVa 10032] Tug of War")</f>
        <v>[UVa 10032] Tug of War</v>
      </c>
      <c r="B726" s="33">
        <f t="shared" si="2"/>
        <v>3</v>
      </c>
      <c r="C726" s="52"/>
      <c r="D726" s="34" t="s">
        <v>38</v>
      </c>
      <c r="E726" s="47" t="s">
        <v>38</v>
      </c>
      <c r="F726" s="45" t="s">
        <v>38</v>
      </c>
      <c r="G726" s="7"/>
    </row>
    <row r="727">
      <c r="A727" s="32" t="str">
        <f>HYPERLINK("https://uva.onlinejudge.org/index.php?option=com_onlinejudge&amp;Itemid=8&amp;page=show_problem&amp;problem=977","[UVa 10036] Divisibility")</f>
        <v>[UVa 10036] Divisibility</v>
      </c>
      <c r="B727" s="33">
        <f t="shared" si="2"/>
        <v>3</v>
      </c>
      <c r="C727" s="52"/>
      <c r="D727" s="34" t="s">
        <v>38</v>
      </c>
      <c r="E727" s="47" t="s">
        <v>38</v>
      </c>
      <c r="F727" s="45" t="s">
        <v>38</v>
      </c>
      <c r="G727" s="7"/>
    </row>
    <row r="728">
      <c r="A728" s="32" t="str">
        <f>HYPERLINK("https://uva.onlinejudge.org/index.php?option=onlinejudge&amp;page=show_problem&amp;problem=1010","[UVa 10069] Distinct Subsequences")</f>
        <v>[UVa 10069] Distinct Subsequences</v>
      </c>
      <c r="B728" s="33">
        <f t="shared" si="2"/>
        <v>3</v>
      </c>
      <c r="C728" s="52"/>
      <c r="D728" s="34" t="s">
        <v>38</v>
      </c>
      <c r="E728" s="47" t="s">
        <v>38</v>
      </c>
      <c r="F728" s="45" t="s">
        <v>38</v>
      </c>
      <c r="G728" s="7"/>
    </row>
    <row r="729">
      <c r="A729" s="32" t="str">
        <f>HYPERLINK("https://uva.onlinejudge.org/index.php?option=com_onlinejudge&amp;Itemid=8&amp;page=show_problem&amp;problem=1013","[UVa 10072] Bob Laptop Woolmer &amp; Eddie Desktop Barlow")</f>
        <v>[UVa 10072] Bob Laptop Woolmer &amp; Eddie Desktop Barlow</v>
      </c>
      <c r="B729" s="33">
        <f t="shared" si="2"/>
        <v>1</v>
      </c>
      <c r="C729" s="52"/>
      <c r="D729" s="34" t="s">
        <v>38</v>
      </c>
      <c r="E729" s="12"/>
      <c r="F729" s="7"/>
      <c r="G729" s="7"/>
    </row>
    <row r="730">
      <c r="A730" s="32" t="str">
        <f>HYPERLINK("https://uva.onlinejudge.org/index.php?option=com_onlinejudge&amp;Itemid=8&amp;page=show_problem&amp;problem=1022","[UVa 10081] Tight Words")</f>
        <v>[UVa 10081] Tight Words</v>
      </c>
      <c r="B730" s="33">
        <f t="shared" si="2"/>
        <v>3</v>
      </c>
      <c r="C730" s="52"/>
      <c r="D730" s="34" t="s">
        <v>38</v>
      </c>
      <c r="E730" s="47" t="s">
        <v>38</v>
      </c>
      <c r="F730" s="39" t="s">
        <v>38</v>
      </c>
      <c r="G730" s="7"/>
    </row>
    <row r="731">
      <c r="A731" s="32" t="str">
        <f>HYPERLINK("https://uva.onlinejudge.org/index.php?option=onlinejudge&amp;page=show_problem&amp;problem=1027","[UVa 10086] Test the Rods")</f>
        <v>[UVa 10086] Test the Rods</v>
      </c>
      <c r="B731" s="33">
        <f t="shared" si="2"/>
        <v>0</v>
      </c>
      <c r="C731" s="52"/>
      <c r="D731" s="34" t="s">
        <v>148</v>
      </c>
      <c r="E731" s="12"/>
      <c r="F731" s="7"/>
      <c r="G731" s="7"/>
    </row>
    <row r="732">
      <c r="A732" s="32" t="str">
        <f>HYPERLINK("https://uva.onlinejudge.org/index.php?option=com_onlinejudge&amp;Itemid=8&amp;category=12&amp;page=show_problem&amp;problem=1032","[UVa 10091] The Valentine's Day")</f>
        <v>[UVa 10091] The Valentine's Day</v>
      </c>
      <c r="B732" s="33">
        <f t="shared" si="2"/>
        <v>0</v>
      </c>
      <c r="C732" s="52"/>
      <c r="D732" s="51"/>
      <c r="E732" s="12"/>
      <c r="F732" s="7"/>
      <c r="G732" s="7"/>
    </row>
    <row r="733">
      <c r="A733" s="32" t="str">
        <f>HYPERLINK("https://uva.onlinejudge.org/index.php?option=com_onlinejudge&amp;Itemid=8&amp;page=show_problem&amp;problem=1072","[UVa 10131] Is Bigger Smarter?")</f>
        <v>[UVa 10131] Is Bigger Smarter?</v>
      </c>
      <c r="B733" s="33">
        <f t="shared" si="2"/>
        <v>3</v>
      </c>
      <c r="C733" s="52"/>
      <c r="D733" s="34" t="s">
        <v>38</v>
      </c>
      <c r="E733" s="47" t="s">
        <v>38</v>
      </c>
      <c r="F733" s="39" t="s">
        <v>38</v>
      </c>
      <c r="G733" s="7"/>
    </row>
    <row r="734">
      <c r="A734" s="32" t="str">
        <f>HYPERLINK("https://uva.onlinejudge.org/index.php?option=com_onlinejudge&amp;Itemid=8&amp;page=show_problem&amp;problem=1090","[UVa 10149] Yahtzee")</f>
        <v>[UVa 10149] Yahtzee</v>
      </c>
      <c r="B734" s="33">
        <f t="shared" si="2"/>
        <v>1</v>
      </c>
      <c r="C734" s="52"/>
      <c r="D734" s="34" t="s">
        <v>38</v>
      </c>
      <c r="E734" s="12"/>
      <c r="F734" s="7"/>
      <c r="G734" s="7"/>
    </row>
    <row r="735">
      <c r="A735" s="32" t="str">
        <f>HYPERLINK("https://uva.onlinejudge.org/index.php?option=com_onlinejudge&amp;Itemid=8&amp;page=show_problem&amp;problem=1095","[UVa 10154] Weights and Measures")</f>
        <v>[UVa 10154] Weights and Measures</v>
      </c>
      <c r="B735" s="33">
        <f t="shared" si="2"/>
        <v>3</v>
      </c>
      <c r="C735" s="52"/>
      <c r="D735" s="34" t="s">
        <v>38</v>
      </c>
      <c r="E735" s="47" t="s">
        <v>38</v>
      </c>
      <c r="F735" s="39" t="s">
        <v>38</v>
      </c>
      <c r="G735" s="7"/>
    </row>
    <row r="736">
      <c r="A736" s="32" t="str">
        <f>HYPERLINK("https://uva.onlinejudge.org/index.php?option=com_onlinejudge&amp;Itemid=8&amp;page=show_problem&amp;problem=1139","[UVa 10198] Counting")</f>
        <v>[UVa 10198] Counting</v>
      </c>
      <c r="B736" s="33">
        <f t="shared" si="2"/>
        <v>3</v>
      </c>
      <c r="C736" s="52"/>
      <c r="D736" s="34" t="s">
        <v>38</v>
      </c>
      <c r="E736" s="47" t="s">
        <v>38</v>
      </c>
      <c r="F736" s="38" t="s">
        <v>38</v>
      </c>
      <c r="G736" s="7"/>
    </row>
    <row r="737">
      <c r="A737" s="32" t="str">
        <f>HYPERLINK("https://uva.onlinejudge.org/index.php?option=com_onlinejudge&amp;Itemid=8&amp;page=show_problem&amp;problem=1142","[UVa 10201] Adventures in Moving - Part IV")</f>
        <v>[UVa 10201] Adventures in Moving - Part IV</v>
      </c>
      <c r="B737" s="33">
        <f t="shared" si="2"/>
        <v>3</v>
      </c>
      <c r="C737" s="52"/>
      <c r="D737" s="34" t="s">
        <v>38</v>
      </c>
      <c r="E737" s="47" t="s">
        <v>38</v>
      </c>
      <c r="F737" s="45" t="s">
        <v>38</v>
      </c>
      <c r="G737" s="7"/>
    </row>
    <row r="738">
      <c r="A738" s="32" t="str">
        <f>HYPERLINK("https://uva.onlinejudge.org/index.php?option=com_onlinejudge&amp;Itemid=8&amp;page=show_problem&amp;problem=1178","[UVa 10237] Bishops")</f>
        <v>[UVa 10237] Bishops</v>
      </c>
      <c r="B738" s="33">
        <f t="shared" si="2"/>
        <v>0</v>
      </c>
      <c r="C738" s="52"/>
      <c r="D738" s="34" t="s">
        <v>148</v>
      </c>
      <c r="E738" s="12"/>
      <c r="F738" s="7"/>
      <c r="G738" s="7"/>
    </row>
    <row r="739">
      <c r="A739" s="32" t="str">
        <f>HYPERLINK("https://uva.onlinejudge.org/index.php?option=com_onlinejudge&amp;Itemid=8&amp;page=show_problem&amp;problem=1195","[UVa 10254] The Priest Mathematician")</f>
        <v>[UVa 10254] The Priest Mathematician</v>
      </c>
      <c r="B739" s="33">
        <f t="shared" si="2"/>
        <v>1</v>
      </c>
      <c r="C739" s="52"/>
      <c r="D739" s="34" t="s">
        <v>38</v>
      </c>
      <c r="E739" s="12"/>
      <c r="F739" s="7"/>
      <c r="G739" s="7"/>
    </row>
    <row r="740">
      <c r="A740" s="32" t="str">
        <f>HYPERLINK("https://uva.onlinejudge.org/index.php?option=com_onlinejudge&amp;Itemid=8&amp;page=show_problem&amp;problem=1200","[UVa 10259] Hippity Hopscotch")</f>
        <v>[UVa 10259] Hippity Hopscotch</v>
      </c>
      <c r="B740" s="33">
        <f t="shared" si="2"/>
        <v>3</v>
      </c>
      <c r="C740" s="52"/>
      <c r="D740" s="34" t="s">
        <v>38</v>
      </c>
      <c r="E740" s="47" t="s">
        <v>38</v>
      </c>
      <c r="F740" s="45" t="s">
        <v>38</v>
      </c>
      <c r="G740" s="7"/>
    </row>
    <row r="741">
      <c r="A741" s="32" t="str">
        <f>HYPERLINK("https://uva.onlinejudge.org/index.php?option=com_onlinejudge&amp;Itemid=8&amp;page=show_problem&amp;problem=1245","[UVa 10304] Optimal Binary Search Tree")</f>
        <v>[UVa 10304] Optimal Binary Search Tree</v>
      </c>
      <c r="B741" s="33">
        <f t="shared" si="2"/>
        <v>3</v>
      </c>
      <c r="C741" s="52"/>
      <c r="D741" s="34" t="s">
        <v>38</v>
      </c>
      <c r="E741" s="47" t="s">
        <v>38</v>
      </c>
      <c r="F741" s="45" t="s">
        <v>38</v>
      </c>
      <c r="G741" s="7"/>
    </row>
    <row r="742">
      <c r="A742" s="32" t="str">
        <f>HYPERLINK("https://uva.onlinejudge.org/index.php?option=onlinejudge&amp;page=show_problem&amp;problem=1291","[UVa 10350] Liftless EME")</f>
        <v>[UVa 10350] Liftless EME</v>
      </c>
      <c r="B742" s="33">
        <f t="shared" si="2"/>
        <v>1</v>
      </c>
      <c r="C742" s="52"/>
      <c r="D742" s="34" t="s">
        <v>38</v>
      </c>
      <c r="E742" s="12"/>
      <c r="F742" s="7"/>
      <c r="G742" s="7"/>
    </row>
    <row r="743">
      <c r="A743" s="32" t="str">
        <f>HYPERLINK("https://uva.onlinejudge.org/index.php?option=com_onlinejudge&amp;Itemid=8&amp;page=show_problem&amp;problem=1300","[UVa 10359] Tiling")</f>
        <v>[UVa 10359] Tiling</v>
      </c>
      <c r="B743" s="33">
        <f t="shared" si="2"/>
        <v>3</v>
      </c>
      <c r="C743" s="52"/>
      <c r="D743" s="34" t="s">
        <v>38</v>
      </c>
      <c r="E743" s="47" t="s">
        <v>38</v>
      </c>
      <c r="F743" s="38" t="s">
        <v>38</v>
      </c>
      <c r="G743" s="7"/>
    </row>
    <row r="744">
      <c r="A744" s="32" t="str">
        <f>HYPERLINK("https://uva.onlinejudge.org/index.php?option=com_onlinejudge&amp;Itemid=8&amp;page=show_problem&amp;problem=1320","[UVa 10379] Pit Stop Strategy")</f>
        <v>[UVa 10379] Pit Stop Strategy</v>
      </c>
      <c r="B744" s="33">
        <f t="shared" si="2"/>
        <v>0</v>
      </c>
      <c r="C744" s="52"/>
      <c r="D744" s="51"/>
      <c r="E744" s="12"/>
      <c r="F744" s="7"/>
      <c r="G744" s="7"/>
    </row>
    <row r="745">
      <c r="A745" s="32" t="str">
        <f>HYPERLINK("https://uva.onlinejudge.org/index.php?option=com_onlinejudge&amp;Itemid=8&amp;page=show_problem&amp;problem=1394","[UVa 10453] Make Palindrome")</f>
        <v>[UVa 10453] Make Palindrome</v>
      </c>
      <c r="B745" s="33">
        <f t="shared" si="2"/>
        <v>3</v>
      </c>
      <c r="C745" s="52"/>
      <c r="D745" s="34" t="s">
        <v>38</v>
      </c>
      <c r="E745" s="47" t="s">
        <v>38</v>
      </c>
      <c r="F745" s="38" t="s">
        <v>38</v>
      </c>
      <c r="G745" s="7"/>
    </row>
    <row r="746">
      <c r="A746" s="32" t="str">
        <f>HYPERLINK("https://uva.onlinejudge.org/index.php?option=com_onlinejudge&amp;Itemid=8&amp;page=show_problem&amp;problem=1423","[UVa 10482] The Candyman Can")</f>
        <v>[UVa 10482] The Candyman Can</v>
      </c>
      <c r="B746" s="33">
        <f t="shared" si="2"/>
        <v>3</v>
      </c>
      <c r="C746" s="52"/>
      <c r="D746" s="34" t="s">
        <v>38</v>
      </c>
      <c r="E746" s="47" t="s">
        <v>38</v>
      </c>
      <c r="F746" s="38" t="s">
        <v>38</v>
      </c>
      <c r="G746" s="7"/>
    </row>
    <row r="747">
      <c r="A747" s="32" t="str">
        <f>HYPERLINK("https://uva.onlinejudge.org/index.php?option=com_onlinejudge&amp;Itemid=8&amp;category=115&amp;page=show_problem&amp;problem=1457","[UVa 10516] Another Counting Problem")</f>
        <v>[UVa 10516] Another Counting Problem</v>
      </c>
      <c r="B747" s="33">
        <f t="shared" si="2"/>
        <v>1</v>
      </c>
      <c r="C747" s="52"/>
      <c r="D747" s="34" t="s">
        <v>38</v>
      </c>
      <c r="E747" s="12"/>
      <c r="F747" s="7"/>
      <c r="G747" s="7"/>
    </row>
    <row r="748">
      <c r="A748" s="32" t="str">
        <f>HYPERLINK("https://uva.onlinejudge.org/index.php?option=com_onlinejudge&amp;Itemid=8&amp;page=show_problem&amp;problem=1459","[UVa 10518] How Many Calls?")</f>
        <v>[UVa 10518] How Many Calls?</v>
      </c>
      <c r="B748" s="33">
        <f t="shared" si="2"/>
        <v>3</v>
      </c>
      <c r="C748" s="52"/>
      <c r="D748" s="34" t="s">
        <v>38</v>
      </c>
      <c r="E748" s="47" t="s">
        <v>38</v>
      </c>
      <c r="F748" s="45" t="s">
        <v>38</v>
      </c>
      <c r="G748" s="7"/>
    </row>
    <row r="749">
      <c r="A749" s="32" t="str">
        <f>HYPERLINK("https://uva.onlinejudge.org/index.php?option=com_onlinejudge&amp;Itemid=8&amp;page=show_problem&amp;problem=1473","[UVa 10532] Combination Once Again")</f>
        <v>[UVa 10532] Combination Once Again</v>
      </c>
      <c r="B749" s="33">
        <f t="shared" si="2"/>
        <v>1</v>
      </c>
      <c r="C749" s="52"/>
      <c r="D749" s="34" t="s">
        <v>38</v>
      </c>
      <c r="E749" s="12"/>
      <c r="F749" s="7"/>
      <c r="G749" s="7"/>
    </row>
    <row r="750">
      <c r="A750" s="32" t="str">
        <f>HYPERLINK("https://uva.onlinejudge.org/index.php?option=com_onlinejudge&amp;Itemid=8&amp;page=show_problem&amp;problem=1482","[UVa 10541] Stripe")</f>
        <v>[UVa 10541] Stripe</v>
      </c>
      <c r="B750" s="33">
        <f t="shared" si="2"/>
        <v>3</v>
      </c>
      <c r="C750" s="52"/>
      <c r="D750" s="34" t="s">
        <v>38</v>
      </c>
      <c r="E750" s="47" t="s">
        <v>38</v>
      </c>
      <c r="F750" s="39" t="s">
        <v>38</v>
      </c>
      <c r="G750" s="7"/>
    </row>
    <row r="751">
      <c r="A751" s="32" t="str">
        <f>HYPERLINK("https://uva.onlinejudge.org/index.php?option=com_onlinejudge&amp;Itemid=8&amp;page=show_problem&amp;problem=1484","[UVa 10543] Travelling Politician")</f>
        <v>[UVa 10543] Travelling Politician</v>
      </c>
      <c r="B751" s="33">
        <f t="shared" si="2"/>
        <v>1</v>
      </c>
      <c r="C751" s="52"/>
      <c r="D751" s="34" t="s">
        <v>38</v>
      </c>
      <c r="E751" s="12"/>
      <c r="F751" s="7"/>
      <c r="G751" s="7"/>
    </row>
    <row r="752">
      <c r="A752" s="32" t="str">
        <f>HYPERLINK("https://uva.onlinejudge.org/index.php?option=com_onlinejudge&amp;Itemid=8&amp;page=show_problem&amp;problem=1505","[UVa 10564] Paths through the Hourglass")</f>
        <v>[UVa 10564] Paths through the Hourglass</v>
      </c>
      <c r="B752" s="33">
        <f t="shared" si="2"/>
        <v>1</v>
      </c>
      <c r="C752" s="52"/>
      <c r="D752" s="34" t="s">
        <v>38</v>
      </c>
      <c r="E752" s="12"/>
      <c r="F752" s="7"/>
      <c r="G752" s="7"/>
    </row>
    <row r="753">
      <c r="A753" s="32" t="str">
        <f>HYPERLINK("https://uva.onlinejudge.org/index.php?option=com_onlinejudge&amp;Itemid=8&amp;page=show_problem&amp;problem=1545","[UVa 10604] Chemical Reaction")</f>
        <v>[UVa 10604] Chemical Reaction</v>
      </c>
      <c r="B753" s="33">
        <f t="shared" si="2"/>
        <v>1</v>
      </c>
      <c r="C753" s="52"/>
      <c r="D753" s="34" t="s">
        <v>38</v>
      </c>
      <c r="E753" s="12"/>
      <c r="F753" s="7"/>
      <c r="G753" s="7"/>
    </row>
    <row r="754">
      <c r="A754" s="32" t="str">
        <f>HYPERLINK("https://uva.onlinejudge.org/index.php?option=onlinejudge&amp;page=show_problem&amp;problem=1557","[UVa 10616] Divisible Group Sums")</f>
        <v>[UVa 10616] Divisible Group Sums</v>
      </c>
      <c r="B754" s="33">
        <f t="shared" si="2"/>
        <v>3</v>
      </c>
      <c r="C754" s="52"/>
      <c r="D754" s="34" t="s">
        <v>38</v>
      </c>
      <c r="E754" s="47" t="s">
        <v>38</v>
      </c>
      <c r="F754" s="39" t="s">
        <v>38</v>
      </c>
      <c r="G754" s="7"/>
    </row>
    <row r="755">
      <c r="A755" s="32" t="str">
        <f>HYPERLINK("https://uva.onlinejudge.org/index.php?option=com_onlinejudge&amp;Itemid=8&amp;page=show_problem&amp;problem=1558","[UVa 10617] Again Palindrome")</f>
        <v>[UVa 10617] Again Palindrome</v>
      </c>
      <c r="B755" s="33">
        <f t="shared" si="2"/>
        <v>3</v>
      </c>
      <c r="C755" s="52"/>
      <c r="D755" s="34" t="s">
        <v>38</v>
      </c>
      <c r="E755" s="47" t="s">
        <v>38</v>
      </c>
      <c r="F755" s="38" t="s">
        <v>38</v>
      </c>
      <c r="G755" s="7"/>
    </row>
    <row r="756">
      <c r="A756" s="32" t="str">
        <f>HYPERLINK("https://uva.onlinejudge.org/index.php?option=com_onlinejudge&amp;Itemid=8&amp;page=show_problem&amp;problem=1575","[UVa 10634] Say No to Memorization")</f>
        <v>[UVa 10634] Say No to Memorization</v>
      </c>
      <c r="B756" s="33">
        <f t="shared" si="2"/>
        <v>3</v>
      </c>
      <c r="C756" s="52"/>
      <c r="D756" s="34" t="s">
        <v>38</v>
      </c>
      <c r="E756" s="47" t="s">
        <v>38</v>
      </c>
      <c r="F756" s="45" t="s">
        <v>38</v>
      </c>
      <c r="G756" s="7"/>
    </row>
    <row r="757">
      <c r="A757" s="32" t="str">
        <f>HYPERLINK("https://uva.onlinejudge.org/index.php?option=com_onlinejudge&amp;Itemid=8&amp;page=show_problem&amp;problem=1576","[UVa 10635] Prince and Princess")</f>
        <v>[UVa 10635] Prince and Princess</v>
      </c>
      <c r="B757" s="33">
        <f t="shared" si="2"/>
        <v>3</v>
      </c>
      <c r="C757" s="52"/>
      <c r="D757" s="34" t="s">
        <v>38</v>
      </c>
      <c r="E757" s="47" t="s">
        <v>38</v>
      </c>
      <c r="F757" s="39" t="s">
        <v>38</v>
      </c>
      <c r="G757" s="7"/>
    </row>
    <row r="758">
      <c r="A758" s="32" t="str">
        <f>HYPERLINK("https://uva.onlinejudge.org/index.php?option=com_onlinejudge&amp;Itemid=8&amp;page=show_problem&amp;problem=1585","[UVa 10644] Floor Tiles")</f>
        <v>[UVa 10644] Floor Tiles</v>
      </c>
      <c r="B758" s="33">
        <f t="shared" si="2"/>
        <v>0</v>
      </c>
      <c r="C758" s="52"/>
      <c r="D758" s="51"/>
      <c r="E758" s="12"/>
      <c r="F758" s="7"/>
      <c r="G758" s="7"/>
    </row>
    <row r="759">
      <c r="A759" s="32" t="str">
        <f>HYPERLINK("https://uva.onlinejudge.org/index.php?option=com_onlinejudge&amp;Itemid=8&amp;page=show_problem&amp;problem=1586","[UVa 10645] Menu")</f>
        <v>[UVa 10645] Menu</v>
      </c>
      <c r="B759" s="33">
        <f t="shared" si="2"/>
        <v>0</v>
      </c>
      <c r="C759" s="52"/>
      <c r="D759" s="51"/>
      <c r="E759" s="12"/>
      <c r="F759" s="7"/>
      <c r="G759" s="7"/>
    </row>
    <row r="760">
      <c r="A760" s="32" t="str">
        <f>HYPERLINK("https://uva.onlinejudge.org/index.php?option=onlinejudge&amp;page=show_problem&amp;problem=1605","[UVa 10664] Luggage")</f>
        <v>[UVa 10664] Luggage</v>
      </c>
      <c r="B760" s="33">
        <f t="shared" si="2"/>
        <v>3</v>
      </c>
      <c r="C760" s="52"/>
      <c r="D760" s="34" t="s">
        <v>38</v>
      </c>
      <c r="E760" s="47" t="s">
        <v>38</v>
      </c>
      <c r="F760" s="45" t="s">
        <v>38</v>
      </c>
      <c r="G760" s="7"/>
    </row>
    <row r="761">
      <c r="A761" s="32" t="str">
        <f>HYPERLINK("https://uva.onlinejudge.org/index.php?option=onlinejudge&amp;page=show_problem&amp;problem=1662","[LOJ 1191] Bar Codes")</f>
        <v>[LOJ 1191] Bar Codes</v>
      </c>
      <c r="B761" s="33">
        <f t="shared" si="2"/>
        <v>3</v>
      </c>
      <c r="C761" s="52"/>
      <c r="D761" s="34" t="s">
        <v>38</v>
      </c>
      <c r="E761" s="47" t="s">
        <v>38</v>
      </c>
      <c r="F761" s="45" t="s">
        <v>38</v>
      </c>
      <c r="G761" s="7"/>
    </row>
    <row r="762">
      <c r="A762" s="32" t="str">
        <f>HYPERLINK("https://uva.onlinejudge.org/index.php?option=com_onlinejudge&amp;Itemid=8&amp;page=show_problem&amp;problem=1758","[UVa 10817] Headmaster's Headache")</f>
        <v>[UVa 10817] Headmaster's Headache</v>
      </c>
      <c r="B762" s="33">
        <f t="shared" si="2"/>
        <v>3</v>
      </c>
      <c r="C762" s="52"/>
      <c r="D762" s="34" t="s">
        <v>38</v>
      </c>
      <c r="E762" s="47" t="s">
        <v>38</v>
      </c>
      <c r="F762" s="45" t="s">
        <v>38</v>
      </c>
      <c r="G762" s="7"/>
    </row>
    <row r="763">
      <c r="A763" s="32" t="str">
        <f>HYPERLINK("https://uva.onlinejudge.org/index.php?option=onlinejudge&amp;page=show_problem&amp;problem=1760","[UVa 10819] Trouble of 13-dots")</f>
        <v>[UVa 10819] Trouble of 13-dots</v>
      </c>
      <c r="B763" s="33">
        <f t="shared" si="2"/>
        <v>3</v>
      </c>
      <c r="C763" s="52"/>
      <c r="D763" s="34" t="s">
        <v>38</v>
      </c>
      <c r="E763" s="47" t="s">
        <v>38</v>
      </c>
      <c r="F763" s="39" t="s">
        <v>38</v>
      </c>
      <c r="G763" s="7"/>
    </row>
    <row r="764">
      <c r="A764" s="32" t="str">
        <f>HYPERLINK("https://uva.onlinejudge.org/index.php?option=com_onlinejudge&amp;Itemid=8&amp;page=show_problem&amp;problem=1770","[UVa 10829] L-gap Substrings")</f>
        <v>[UVa 10829] L-gap Substrings</v>
      </c>
      <c r="B764" s="33">
        <f t="shared" si="2"/>
        <v>0</v>
      </c>
      <c r="C764" s="52"/>
      <c r="D764" s="34" t="s">
        <v>129</v>
      </c>
      <c r="E764" s="12"/>
      <c r="F764" s="7"/>
      <c r="G764" s="7"/>
    </row>
    <row r="765">
      <c r="A765" s="32" t="str">
        <f>HYPERLINK("https://uva.onlinejudge.org/index.php?option=com_onlinejudge&amp;Itemid=8&amp;category=20&amp;page=show_problem&amp;problem=1776","[UVa 10835] Playing with Coins")</f>
        <v>[UVa 10835] Playing with Coins</v>
      </c>
      <c r="B765" s="33">
        <f t="shared" si="2"/>
        <v>0</v>
      </c>
      <c r="C765" s="52"/>
      <c r="D765" s="34" t="s">
        <v>129</v>
      </c>
      <c r="E765" s="12"/>
      <c r="F765" s="7"/>
      <c r="G765" s="7"/>
    </row>
    <row r="766">
      <c r="A766" s="32" t="str">
        <f>HYPERLINK("https://uva.onlinejudge.org/index.php?option=onlinejudge&amp;page=show_problem&amp;problem=1780","[UVa 10839] The Curse of Barbosa")</f>
        <v>[UVa 10839] The Curse of Barbosa</v>
      </c>
      <c r="B766" s="33">
        <f t="shared" si="2"/>
        <v>0</v>
      </c>
      <c r="C766" s="52"/>
      <c r="D766" s="51"/>
      <c r="E766" s="12"/>
      <c r="F766" s="7"/>
      <c r="G766" s="7"/>
    </row>
    <row r="767">
      <c r="A767" s="32" t="str">
        <f>HYPERLINK("https://uva.onlinejudge.org/index.php?option=com_onlinejudge&amp;Itemid=8&amp;page=show_problem&amp;problem=1801","[UVa 10860] Many a Little Makes a Mickle")</f>
        <v>[UVa 10860] Many a Little Makes a Mickle</v>
      </c>
      <c r="B767" s="33">
        <f t="shared" si="2"/>
        <v>1</v>
      </c>
      <c r="C767" s="52"/>
      <c r="D767" s="34" t="s">
        <v>38</v>
      </c>
      <c r="E767" s="12"/>
      <c r="F767" s="7"/>
      <c r="G767" s="7"/>
    </row>
    <row r="768">
      <c r="A768" s="32" t="str">
        <f>HYPERLINK("https://uva.onlinejudge.org/index.php?option=com_onlinejudge&amp;Itemid=8&amp;page=show_problem&amp;problem=1839","[UVa 10898] Combo Deal")</f>
        <v>[UVa 10898] Combo Deal</v>
      </c>
      <c r="B768" s="33">
        <f t="shared" si="2"/>
        <v>1</v>
      </c>
      <c r="C768" s="52"/>
      <c r="D768" s="34" t="s">
        <v>38</v>
      </c>
      <c r="E768" s="12"/>
      <c r="F768" s="7"/>
      <c r="G768" s="7"/>
    </row>
    <row r="769">
      <c r="A769" s="32" t="str">
        <f>HYPERLINK("https://uva.onlinejudge.org/index.php?option=onlinejudge&amp;page=show_problem&amp;problem=1851","[UVa 10910] Marks Distribution")</f>
        <v>[UVa 10910] Marks Distribution</v>
      </c>
      <c r="B769" s="33">
        <f t="shared" si="2"/>
        <v>3</v>
      </c>
      <c r="C769" s="52"/>
      <c r="D769" s="34" t="s">
        <v>38</v>
      </c>
      <c r="E769" s="47" t="s">
        <v>38</v>
      </c>
      <c r="F769" s="38" t="s">
        <v>38</v>
      </c>
      <c r="G769" s="7"/>
    </row>
    <row r="770">
      <c r="A770" s="32" t="str">
        <f>HYPERLINK("https://uva.onlinejudge.org/index.php?option=onlinejudge&amp;page=show_problem&amp;problem=1853","[UVa 10912] Simple Minded Hashing")</f>
        <v>[UVa 10912] Simple Minded Hashing</v>
      </c>
      <c r="B770" s="33">
        <f t="shared" si="2"/>
        <v>3</v>
      </c>
      <c r="C770" s="52"/>
      <c r="D770" s="34" t="s">
        <v>38</v>
      </c>
      <c r="E770" s="47" t="s">
        <v>38</v>
      </c>
      <c r="F770" s="38" t="s">
        <v>38</v>
      </c>
      <c r="G770" s="7"/>
    </row>
    <row r="771">
      <c r="A771" s="32" t="str">
        <f>HYPERLINK("https://uva.onlinejudge.org/index.php?option=onlinejudge&amp;page=show_problem&amp;problem=1854","[UVa 10913] Walking on a Grid")</f>
        <v>[UVa 10913] Walking on a Grid</v>
      </c>
      <c r="B771" s="33">
        <f t="shared" si="2"/>
        <v>3</v>
      </c>
      <c r="C771" s="52"/>
      <c r="D771" s="34" t="s">
        <v>38</v>
      </c>
      <c r="E771" s="47" t="s">
        <v>38</v>
      </c>
      <c r="F771" s="38" t="s">
        <v>38</v>
      </c>
      <c r="G771" s="7"/>
    </row>
    <row r="772">
      <c r="A772" s="32" t="str">
        <f>HYPERLINK("https://uva.onlinejudge.org/index.php?option=onlinejudge&amp;page=show_problem&amp;problem=1884","[UVa 10943] How Do You Add")</f>
        <v>[UVa 10943] How Do You Add</v>
      </c>
      <c r="B772" s="33">
        <f t="shared" si="2"/>
        <v>3</v>
      </c>
      <c r="C772" s="52"/>
      <c r="D772" s="34" t="s">
        <v>38</v>
      </c>
      <c r="E772" s="47" t="s">
        <v>38</v>
      </c>
      <c r="F772" s="38" t="s">
        <v>38</v>
      </c>
      <c r="G772" s="7"/>
    </row>
    <row r="773">
      <c r="A773" s="32" t="str">
        <f>HYPERLINK("https://uva.onlinejudge.org/index.php?option=com_onlinejudge&amp;Itemid=8&amp;page=show_problem&amp;problem=1894","[UVa 10953] Stoachastic Digit Generator")</f>
        <v>[UVa 10953] Stoachastic Digit Generator</v>
      </c>
      <c r="B773" s="33">
        <f t="shared" si="2"/>
        <v>0</v>
      </c>
      <c r="C773" s="52"/>
      <c r="D773" s="51"/>
      <c r="E773" s="12"/>
      <c r="F773" s="7"/>
      <c r="G773" s="7"/>
    </row>
    <row r="774">
      <c r="A774" s="32" t="str">
        <f>HYPERLINK("https://uva.onlinejudge.org/index.php?option=onlinejudge&amp;page=show_problem&amp;problem=1895","[UVa 10954] Add All")</f>
        <v>[UVa 10954] Add All</v>
      </c>
      <c r="B774" s="33">
        <f t="shared" si="2"/>
        <v>3</v>
      </c>
      <c r="C774" s="52"/>
      <c r="D774" s="34" t="s">
        <v>38</v>
      </c>
      <c r="E774" s="47" t="s">
        <v>38</v>
      </c>
      <c r="F774" s="45" t="s">
        <v>38</v>
      </c>
      <c r="G774" s="7"/>
    </row>
    <row r="775">
      <c r="A775" s="32" t="str">
        <f>HYPERLINK("https://uva.onlinejudge.org/index.php?option=onlinejudge&amp;page=show_problem&amp;problem=1921","[UVa 10980] Lowest Prize in Town")</f>
        <v>[UVa 10980] Lowest Prize in Town</v>
      </c>
      <c r="B775" s="33">
        <f t="shared" si="2"/>
        <v>3</v>
      </c>
      <c r="C775" s="52"/>
      <c r="D775" s="34" t="s">
        <v>38</v>
      </c>
      <c r="E775" s="47" t="s">
        <v>38</v>
      </c>
      <c r="F775" s="39" t="s">
        <v>38</v>
      </c>
      <c r="G775" s="7"/>
    </row>
    <row r="776">
      <c r="A776" s="32" t="str">
        <f>HYPERLINK("https://uva.onlinejudge.org/index.php?option=com_onlinejudge&amp;Itemid=8&amp;page=show_problem&amp;problem=1922","[UVa 10981] String Morphing")</f>
        <v>[UVa 10981] String Morphing</v>
      </c>
      <c r="B776" s="33">
        <f t="shared" si="2"/>
        <v>3</v>
      </c>
      <c r="C776" s="52"/>
      <c r="D776" s="34" t="s">
        <v>38</v>
      </c>
      <c r="E776" s="47" t="s">
        <v>38</v>
      </c>
      <c r="F776" s="64" t="s">
        <v>38</v>
      </c>
      <c r="G776" s="7"/>
    </row>
    <row r="777">
      <c r="A777" s="32" t="str">
        <f>HYPERLINK("https://uva.onlinejudge.org/index.php?option=onlinejudge&amp;page=show_problem&amp;problem=1943","[UVa 11002] Towards Zero")</f>
        <v>[UVa 11002] Towards Zero</v>
      </c>
      <c r="B777" s="33">
        <f t="shared" si="2"/>
        <v>3</v>
      </c>
      <c r="C777" s="52"/>
      <c r="D777" s="34" t="s">
        <v>38</v>
      </c>
      <c r="E777" s="47" t="s">
        <v>38</v>
      </c>
      <c r="F777" s="45" t="s">
        <v>38</v>
      </c>
      <c r="G777" s="7"/>
    </row>
    <row r="778">
      <c r="A778" s="32" t="str">
        <f>HYPERLINK("https://uva.onlinejudge.org/index.php?option=com_onlinejudge&amp;Itemid=8&amp;page=show_problem&amp;problem=1949","[UVa 11008] Antimatter Ray Clearcutting")</f>
        <v>[UVa 11008] Antimatter Ray Clearcutting</v>
      </c>
      <c r="B778" s="33">
        <f t="shared" si="2"/>
        <v>3</v>
      </c>
      <c r="C778" s="52"/>
      <c r="D778" s="34" t="s">
        <v>38</v>
      </c>
      <c r="E778" s="47" t="s">
        <v>38</v>
      </c>
      <c r="F778" s="64" t="s">
        <v>38</v>
      </c>
      <c r="G778" s="7"/>
    </row>
    <row r="779">
      <c r="A779" s="32" t="str">
        <f>HYPERLINK("http://lightoj.com/volume_showproblem.php?problem=1004","[LOJ 1004] Monkey Banana Problem")</f>
        <v>[LOJ 1004] Monkey Banana Problem</v>
      </c>
      <c r="B779" s="33">
        <f t="shared" si="2"/>
        <v>3</v>
      </c>
      <c r="C779" s="52"/>
      <c r="D779" s="34" t="s">
        <v>38</v>
      </c>
      <c r="E779" s="47" t="s">
        <v>38</v>
      </c>
      <c r="F779" s="45" t="s">
        <v>38</v>
      </c>
      <c r="G779" s="39"/>
    </row>
    <row r="780">
      <c r="A780" s="32" t="str">
        <f>HYPERLINK("http://lightoj.com/volume_showproblem.php?problem=1005","[LOJ 1005] Rooks")</f>
        <v>[LOJ 1005] Rooks</v>
      </c>
      <c r="B780" s="33">
        <f t="shared" si="2"/>
        <v>3</v>
      </c>
      <c r="C780" s="52"/>
      <c r="D780" s="34" t="s">
        <v>38</v>
      </c>
      <c r="E780" s="47" t="s">
        <v>38</v>
      </c>
      <c r="F780" s="45" t="s">
        <v>38</v>
      </c>
      <c r="G780" s="39"/>
    </row>
    <row r="781">
      <c r="A781" s="32" t="str">
        <f>HYPERLINK("http://lightoj.com/volume_showproblem.php?problem=1011","[LOJ 1011] Marriage Ceremonies")</f>
        <v>[LOJ 1011] Marriage Ceremonies</v>
      </c>
      <c r="B781" s="33">
        <f t="shared" si="2"/>
        <v>3</v>
      </c>
      <c r="C781" s="52"/>
      <c r="D781" s="34" t="s">
        <v>38</v>
      </c>
      <c r="E781" s="47" t="s">
        <v>38</v>
      </c>
      <c r="F781" s="45" t="s">
        <v>38</v>
      </c>
      <c r="G781" s="7"/>
    </row>
    <row r="782">
      <c r="A782" s="32" t="str">
        <f>HYPERLINK("http://lightoj.com/volume_showproblem.php?problem=1013","[LOJ 1013] Love Calculator")</f>
        <v>[LOJ 1013] Love Calculator</v>
      </c>
      <c r="B782" s="33">
        <f t="shared" si="2"/>
        <v>3</v>
      </c>
      <c r="C782" s="52"/>
      <c r="D782" s="34" t="s">
        <v>38</v>
      </c>
      <c r="E782" s="47" t="s">
        <v>38</v>
      </c>
      <c r="F782" s="45" t="s">
        <v>38</v>
      </c>
      <c r="G782" s="7"/>
    </row>
    <row r="783">
      <c r="A783" s="32" t="str">
        <f>HYPERLINK("http://lightoj.com/volume_showproblem.php?problem=1017","[LOJ 1017] Brush (III)")</f>
        <v>[LOJ 1017] Brush (III)</v>
      </c>
      <c r="B783" s="33">
        <f t="shared" si="2"/>
        <v>3</v>
      </c>
      <c r="C783" s="52"/>
      <c r="D783" s="66" t="s">
        <v>38</v>
      </c>
      <c r="E783" s="47" t="s">
        <v>38</v>
      </c>
      <c r="F783" s="45" t="s">
        <v>38</v>
      </c>
      <c r="G783" s="7"/>
    </row>
    <row r="784">
      <c r="A784" s="32" t="str">
        <f>HYPERLINK("http://lightoj.com/volume_showproblem.php?problem=1018","[LOJ 1018] Brush (IV)")</f>
        <v>[LOJ 1018] Brush (IV)</v>
      </c>
      <c r="B784" s="33">
        <f t="shared" si="2"/>
        <v>3</v>
      </c>
      <c r="C784" s="52"/>
      <c r="D784" s="34" t="s">
        <v>38</v>
      </c>
      <c r="E784" s="47" t="s">
        <v>38</v>
      </c>
      <c r="F784" s="45" t="s">
        <v>38</v>
      </c>
      <c r="G784" s="7"/>
    </row>
    <row r="785">
      <c r="A785" s="32" t="str">
        <f>HYPERLINK("http://lightoj.com/volume_showproblem.php?problem=1021","[LOJ 1021] Painful Bases")</f>
        <v>[LOJ 1021] Painful Bases</v>
      </c>
      <c r="B785" s="33">
        <f t="shared" si="2"/>
        <v>3</v>
      </c>
      <c r="C785" s="52"/>
      <c r="D785" s="34" t="s">
        <v>38</v>
      </c>
      <c r="E785" s="47" t="s">
        <v>38</v>
      </c>
      <c r="F785" s="45" t="s">
        <v>38</v>
      </c>
      <c r="G785" s="7"/>
    </row>
    <row r="786">
      <c r="A786" s="32" t="str">
        <f>HYPERLINK("http://lightoj.com/volume_showproblem.php?problem=1025","[LOJ 1025] The Specials Menu")</f>
        <v>[LOJ 1025] The Specials Menu</v>
      </c>
      <c r="B786" s="33">
        <f t="shared" si="2"/>
        <v>3</v>
      </c>
      <c r="C786" s="52"/>
      <c r="D786" s="34" t="s">
        <v>38</v>
      </c>
      <c r="E786" s="47" t="s">
        <v>38</v>
      </c>
      <c r="F786" s="38" t="s">
        <v>38</v>
      </c>
      <c r="G786" s="7"/>
    </row>
    <row r="787">
      <c r="A787" s="32" t="str">
        <f>HYPERLINK("http://lightoj.com/volume_showproblem.php?problem=1031","[LOJ 1031] Easy Game")</f>
        <v>[LOJ 1031] Easy Game</v>
      </c>
      <c r="B787" s="33">
        <f t="shared" si="2"/>
        <v>3</v>
      </c>
      <c r="C787" s="52"/>
      <c r="D787" s="34" t="s">
        <v>38</v>
      </c>
      <c r="E787" s="47" t="s">
        <v>38</v>
      </c>
      <c r="F787" s="38" t="s">
        <v>38</v>
      </c>
      <c r="G787" s="7"/>
    </row>
    <row r="788">
      <c r="A788" s="32" t="str">
        <f>HYPERLINK("http://lightoj.com/volume_showproblem.php?problem=1032","[LOJ 1032] Fast Bit Calculations")</f>
        <v>[LOJ 1032] Fast Bit Calculations</v>
      </c>
      <c r="B788" s="33">
        <f t="shared" si="2"/>
        <v>3</v>
      </c>
      <c r="C788" s="52"/>
      <c r="D788" s="34" t="s">
        <v>38</v>
      </c>
      <c r="E788" s="47" t="s">
        <v>38</v>
      </c>
      <c r="F788" s="45" t="s">
        <v>38</v>
      </c>
      <c r="G788" s="7"/>
    </row>
    <row r="789">
      <c r="A789" s="32" t="str">
        <f>HYPERLINK("http://lightoj.com/volume_showproblem.php?problem=1033","[LOJ 1033] Generating Palindromes")</f>
        <v>[LOJ 1033] Generating Palindromes</v>
      </c>
      <c r="B789" s="33">
        <f t="shared" si="2"/>
        <v>3</v>
      </c>
      <c r="C789" s="52"/>
      <c r="D789" s="34" t="s">
        <v>38</v>
      </c>
      <c r="E789" s="47" t="s">
        <v>38</v>
      </c>
      <c r="F789" s="38" t="s">
        <v>38</v>
      </c>
      <c r="G789" s="7"/>
    </row>
    <row r="790">
      <c r="A790" s="32" t="str">
        <f>HYPERLINK("http://lightoj.com/volume_showproblem.php?problem=1036","[LOJ 1036] A Refining Company")</f>
        <v>[LOJ 1036] A Refining Company</v>
      </c>
      <c r="B790" s="33">
        <f t="shared" si="2"/>
        <v>3</v>
      </c>
      <c r="C790" s="52"/>
      <c r="D790" s="34" t="s">
        <v>38</v>
      </c>
      <c r="E790" s="47" t="s">
        <v>38</v>
      </c>
      <c r="F790" s="45" t="s">
        <v>38</v>
      </c>
      <c r="G790" s="7"/>
    </row>
    <row r="791">
      <c r="A791" s="32" t="str">
        <f>HYPERLINK("http://lightoj.com/volume_showproblem.php?problem=1037","[LOJ 1037] Agent 47")</f>
        <v>[LOJ 1037] Agent 47</v>
      </c>
      <c r="B791" s="33">
        <f t="shared" si="2"/>
        <v>3</v>
      </c>
      <c r="C791" s="52"/>
      <c r="D791" s="34" t="s">
        <v>38</v>
      </c>
      <c r="E791" s="47" t="s">
        <v>38</v>
      </c>
      <c r="F791" s="45" t="s">
        <v>38</v>
      </c>
      <c r="G791" s="7"/>
    </row>
    <row r="792">
      <c r="A792" s="32" t="str">
        <f>HYPERLINK("http://lightoj.com/volume_showproblem.php?problem=1044","[LOJ 1044] Palindrome Partitioning")</f>
        <v>[LOJ 1044] Palindrome Partitioning</v>
      </c>
      <c r="B792" s="33">
        <f t="shared" si="2"/>
        <v>3</v>
      </c>
      <c r="C792" s="52"/>
      <c r="D792" s="34" t="s">
        <v>38</v>
      </c>
      <c r="E792" s="47" t="s">
        <v>38</v>
      </c>
      <c r="F792" s="45" t="s">
        <v>38</v>
      </c>
      <c r="G792" s="7"/>
    </row>
    <row r="793">
      <c r="A793" s="32" t="str">
        <f>HYPERLINK("http://lightoj.com/volume_showproblem.php?problem=1047","[LOJ 1047] Neighbor House")</f>
        <v>[LOJ 1047] Neighbor House</v>
      </c>
      <c r="B793" s="33">
        <f t="shared" si="2"/>
        <v>3</v>
      </c>
      <c r="C793" s="52"/>
      <c r="D793" s="34" t="s">
        <v>38</v>
      </c>
      <c r="E793" s="47" t="s">
        <v>38</v>
      </c>
      <c r="F793" s="38" t="s">
        <v>38</v>
      </c>
      <c r="G793" s="7"/>
    </row>
    <row r="794">
      <c r="A794" s="32" t="str">
        <f>HYPERLINK("http://lightoj.com/volume_showproblem.php?problem=1050","[LOJ 1050] Marbles")</f>
        <v>[LOJ 1050] Marbles</v>
      </c>
      <c r="B794" s="33">
        <f t="shared" si="2"/>
        <v>3</v>
      </c>
      <c r="C794" s="52"/>
      <c r="D794" s="34" t="s">
        <v>38</v>
      </c>
      <c r="E794" s="47" t="s">
        <v>38</v>
      </c>
      <c r="F794" s="67" t="s">
        <v>38</v>
      </c>
      <c r="G794" s="7"/>
    </row>
    <row r="795">
      <c r="A795" s="32" t="str">
        <f>HYPERLINK("http://lightoj.com/volume_showproblem.php?problem=1051","[LOJ 1051] Good or Bad")</f>
        <v>[LOJ 1051] Good or Bad</v>
      </c>
      <c r="B795" s="33">
        <f t="shared" si="2"/>
        <v>3</v>
      </c>
      <c r="C795" s="52"/>
      <c r="D795" s="34" t="s">
        <v>38</v>
      </c>
      <c r="E795" s="47" t="s">
        <v>38</v>
      </c>
      <c r="F795" s="45" t="s">
        <v>38</v>
      </c>
      <c r="G795" s="7"/>
    </row>
    <row r="796">
      <c r="A796" s="32" t="str">
        <f>HYPERLINK("http://lightoj.com/volume_showproblem.php?problem=1057","[LOJ 1057] Collecting Gold")</f>
        <v>[LOJ 1057] Collecting Gold</v>
      </c>
      <c r="B796" s="33">
        <f t="shared" si="2"/>
        <v>3</v>
      </c>
      <c r="C796" s="52"/>
      <c r="D796" s="34" t="s">
        <v>38</v>
      </c>
      <c r="E796" s="47" t="s">
        <v>38</v>
      </c>
      <c r="F796" s="45" t="s">
        <v>38</v>
      </c>
      <c r="G796" s="7"/>
    </row>
    <row r="797">
      <c r="A797" s="32" t="str">
        <f>HYPERLINK("http://lightoj.com/volume_showproblem.php?problem=1060","[LOJ 1060] nth Permutation")</f>
        <v>[LOJ 1060] nth Permutation</v>
      </c>
      <c r="B797" s="33">
        <f t="shared" si="2"/>
        <v>3</v>
      </c>
      <c r="C797" s="52"/>
      <c r="D797" s="34" t="s">
        <v>38</v>
      </c>
      <c r="E797" s="47" t="s">
        <v>38</v>
      </c>
      <c r="F797" s="39" t="s">
        <v>38</v>
      </c>
      <c r="G797" s="7"/>
    </row>
    <row r="798">
      <c r="A798" s="32" t="str">
        <f>HYPERLINK("http://lightoj.com/volume_showproblem.php?problem=1061","[LOJ 1061] N Queen Again")</f>
        <v>[LOJ 1061] N Queen Again</v>
      </c>
      <c r="B798" s="33">
        <f t="shared" si="2"/>
        <v>3</v>
      </c>
      <c r="C798" s="52"/>
      <c r="D798" s="34" t="s">
        <v>38</v>
      </c>
      <c r="E798" s="47" t="s">
        <v>38</v>
      </c>
      <c r="F798" s="39" t="s">
        <v>38</v>
      </c>
      <c r="G798" s="7"/>
    </row>
    <row r="799">
      <c r="A799" s="32" t="str">
        <f>HYPERLINK("http://lightoj.com/volume_showproblem.php?problem=1064","[LOJ 1064] Throwing Dice")</f>
        <v>[LOJ 1064] Throwing Dice</v>
      </c>
      <c r="B799" s="33">
        <f t="shared" si="2"/>
        <v>3</v>
      </c>
      <c r="C799" s="52"/>
      <c r="D799" s="34" t="s">
        <v>38</v>
      </c>
      <c r="E799" s="47" t="s">
        <v>38</v>
      </c>
      <c r="F799" s="38" t="s">
        <v>38</v>
      </c>
      <c r="G799" s="7"/>
    </row>
    <row r="800">
      <c r="A800" s="32" t="str">
        <f>HYPERLINK("http://lightoj.com/volume_showproblem.php?problem=1068","[LOJ 1068] Investigation")</f>
        <v>[LOJ 1068] Investigation</v>
      </c>
      <c r="B800" s="33">
        <f t="shared" si="2"/>
        <v>3</v>
      </c>
      <c r="C800" s="52"/>
      <c r="D800" s="34" t="s">
        <v>38</v>
      </c>
      <c r="E800" s="47" t="s">
        <v>38</v>
      </c>
      <c r="F800" s="45" t="s">
        <v>38</v>
      </c>
      <c r="G800" s="7"/>
    </row>
    <row r="801">
      <c r="A801" s="32" t="str">
        <f>HYPERLINK("http://lightoj.com/volume_showproblem.php?problem=1071","[LOJ 1071] Baker Vai")</f>
        <v>[LOJ 1071] Baker Vai</v>
      </c>
      <c r="B801" s="33">
        <f t="shared" si="2"/>
        <v>3</v>
      </c>
      <c r="C801" s="52"/>
      <c r="D801" s="34" t="s">
        <v>38</v>
      </c>
      <c r="E801" s="47" t="s">
        <v>38</v>
      </c>
      <c r="F801" s="45" t="s">
        <v>38</v>
      </c>
      <c r="G801" s="7"/>
    </row>
    <row r="802">
      <c r="A802" s="32" t="str">
        <f>HYPERLINK("http://lightoj.com/volume_showproblem.php?problem=1073","[LOJ 1073] DNA Sequence")</f>
        <v>[LOJ 1073] DNA Sequence</v>
      </c>
      <c r="B802" s="33">
        <f t="shared" si="2"/>
        <v>2</v>
      </c>
      <c r="C802" s="52"/>
      <c r="D802" s="34" t="s">
        <v>38</v>
      </c>
      <c r="E802" s="12"/>
      <c r="F802" s="45" t="s">
        <v>38</v>
      </c>
      <c r="G802" s="7"/>
    </row>
    <row r="803">
      <c r="A803" s="32" t="str">
        <f>HYPERLINK("http://lightoj.com/volume_showproblem.php?problem=1079","[LOJ 1079] Just Another Robbery")</f>
        <v>[LOJ 1079] Just Another Robbery</v>
      </c>
      <c r="B803" s="33">
        <f t="shared" si="2"/>
        <v>3</v>
      </c>
      <c r="C803" s="52"/>
      <c r="D803" s="34" t="s">
        <v>38</v>
      </c>
      <c r="E803" s="47" t="s">
        <v>38</v>
      </c>
      <c r="F803" s="45" t="s">
        <v>38</v>
      </c>
      <c r="G803" s="7"/>
    </row>
    <row r="804">
      <c r="A804" s="32" t="str">
        <f>HYPERLINK("http://lightoj.com/volume_showproblem.php?problem=1084","[LOJ 1084] Winter")</f>
        <v>[LOJ 1084] Winter</v>
      </c>
      <c r="B804" s="33">
        <f t="shared" si="2"/>
        <v>2</v>
      </c>
      <c r="C804" s="52"/>
      <c r="D804" s="34" t="s">
        <v>38</v>
      </c>
      <c r="E804" s="12"/>
      <c r="F804" s="45" t="s">
        <v>38</v>
      </c>
      <c r="G804" s="7"/>
    </row>
    <row r="805">
      <c r="A805" s="32" t="str">
        <f>HYPERLINK("http://lightoj.com/volume_showproblem.php?problem=1086","[LOJ 1086] Jogging Trails")</f>
        <v>[LOJ 1086] Jogging Trails</v>
      </c>
      <c r="B805" s="33">
        <f t="shared" si="2"/>
        <v>2</v>
      </c>
      <c r="C805" s="52"/>
      <c r="D805" s="34" t="s">
        <v>38</v>
      </c>
      <c r="E805" s="12"/>
      <c r="F805" s="45" t="s">
        <v>38</v>
      </c>
      <c r="G805" s="7"/>
    </row>
    <row r="806">
      <c r="A806" s="32" t="str">
        <f>HYPERLINK("http://lightoj.com/volume_showproblem.php?problem=1092","[LOJ 1092] Lighted Panels")</f>
        <v>[LOJ 1092] Lighted Panels</v>
      </c>
      <c r="B806" s="33">
        <f t="shared" si="2"/>
        <v>2</v>
      </c>
      <c r="C806" s="52"/>
      <c r="D806" s="34" t="s">
        <v>38</v>
      </c>
      <c r="E806" s="12"/>
      <c r="F806" s="45" t="s">
        <v>38</v>
      </c>
      <c r="G806" s="7"/>
    </row>
    <row r="807">
      <c r="A807" s="32" t="str">
        <f>HYPERLINK("http://lightoj.com/volume_showproblem.php?problem=1095","[LOJ 1095] Arrange the Numbers")</f>
        <v>[LOJ 1095] Arrange the Numbers</v>
      </c>
      <c r="B807" s="33">
        <f t="shared" si="2"/>
        <v>1</v>
      </c>
      <c r="C807" s="52"/>
      <c r="D807" s="34" t="s">
        <v>38</v>
      </c>
      <c r="E807" s="12"/>
      <c r="F807" s="7"/>
      <c r="G807" s="7"/>
    </row>
    <row r="808">
      <c r="A808" s="32" t="str">
        <f>HYPERLINK("http://lightoj.com/volume_showproblem.php?problem=1105","[LOJ 1105] Fi Binary Number")</f>
        <v>[LOJ 1105] Fi Binary Number</v>
      </c>
      <c r="B808" s="33">
        <f t="shared" si="2"/>
        <v>3</v>
      </c>
      <c r="C808" s="52"/>
      <c r="D808" s="34" t="s">
        <v>38</v>
      </c>
      <c r="E808" s="47" t="s">
        <v>38</v>
      </c>
      <c r="F808" s="39" t="s">
        <v>38</v>
      </c>
      <c r="G808" s="7"/>
    </row>
    <row r="809">
      <c r="A809" s="32" t="str">
        <f>HYPERLINK("http://lightoj.com/volume_showproblem.php?problem=1106","[LOJ 1106] Gone Fishing")</f>
        <v>[LOJ 1106] Gone Fishing</v>
      </c>
      <c r="B809" s="33">
        <f t="shared" si="2"/>
        <v>1</v>
      </c>
      <c r="C809" s="52"/>
      <c r="D809" s="34" t="s">
        <v>38</v>
      </c>
      <c r="E809" s="12"/>
      <c r="F809" s="7"/>
      <c r="G809" s="7"/>
    </row>
    <row r="810">
      <c r="A810" s="32" t="str">
        <f>HYPERLINK("http://lightoj.com/volume_showproblem.php?problem=1110","[LOJ 1110] An Easy LCS")</f>
        <v>[LOJ 1110] An Easy LCS</v>
      </c>
      <c r="B810" s="33">
        <f t="shared" si="2"/>
        <v>3</v>
      </c>
      <c r="C810" s="52"/>
      <c r="D810" s="34" t="s">
        <v>38</v>
      </c>
      <c r="E810" s="47" t="s">
        <v>38</v>
      </c>
      <c r="F810" s="39" t="s">
        <v>38</v>
      </c>
      <c r="G810" s="7"/>
    </row>
    <row r="811">
      <c r="A811" s="32" t="str">
        <f>HYPERLINK("http://lightoj.com/volume_showproblem.php?problem=1119","[LOJ 1119] Pimp My Ride")</f>
        <v>[LOJ 1119] Pimp My Ride</v>
      </c>
      <c r="B811" s="33">
        <f t="shared" si="2"/>
        <v>3</v>
      </c>
      <c r="C811" s="52"/>
      <c r="D811" s="34" t="s">
        <v>38</v>
      </c>
      <c r="E811" s="47" t="s">
        <v>38</v>
      </c>
      <c r="F811" s="45" t="s">
        <v>38</v>
      </c>
      <c r="G811" s="7"/>
    </row>
    <row r="812">
      <c r="A812" s="32" t="str">
        <f>HYPERLINK("http://lightoj.com/volume_showproblem.php?problem=1122","[LOJ 1122] Digit Count")</f>
        <v>[LOJ 1122] Digit Count</v>
      </c>
      <c r="B812" s="33">
        <f t="shared" si="2"/>
        <v>3</v>
      </c>
      <c r="C812" s="52"/>
      <c r="D812" s="34" t="s">
        <v>38</v>
      </c>
      <c r="E812" s="47" t="s">
        <v>38</v>
      </c>
      <c r="F812" s="45" t="s">
        <v>38</v>
      </c>
      <c r="G812" s="7"/>
    </row>
    <row r="813">
      <c r="A813" s="32" t="str">
        <f>HYPERLINK("http://lightoj.com/volume_showproblem.php?problem=1126","[LOJ 1126] Building Twin Towers")</f>
        <v>[LOJ 1126] Building Twin Towers</v>
      </c>
      <c r="B813" s="33">
        <f t="shared" si="2"/>
        <v>3</v>
      </c>
      <c r="C813" s="52"/>
      <c r="D813" s="34" t="s">
        <v>38</v>
      </c>
      <c r="E813" s="47" t="s">
        <v>38</v>
      </c>
      <c r="F813" s="45" t="s">
        <v>38</v>
      </c>
      <c r="G813" s="7"/>
    </row>
    <row r="814">
      <c r="A814" s="32" t="str">
        <f>HYPERLINK("http://lightoj.com/volume_showproblem.php?problem=1134","[LOJ 1134] Be Efficient")</f>
        <v>[LOJ 1134] Be Efficient</v>
      </c>
      <c r="B814" s="33">
        <f t="shared" si="2"/>
        <v>3</v>
      </c>
      <c r="C814" s="52"/>
      <c r="D814" s="34" t="s">
        <v>38</v>
      </c>
      <c r="E814" s="47" t="s">
        <v>38</v>
      </c>
      <c r="F814" s="45" t="s">
        <v>38</v>
      </c>
      <c r="G814" s="7"/>
    </row>
    <row r="815">
      <c r="A815" s="32" t="str">
        <f>HYPERLINK("http://lightoj.com/volume_showproblem.php?problem=1140","[LOJ 1140] How Many Zeroes")</f>
        <v>[LOJ 1140] How Many Zeroes</v>
      </c>
      <c r="B815" s="33">
        <f t="shared" si="2"/>
        <v>3</v>
      </c>
      <c r="C815" s="52"/>
      <c r="D815" s="34" t="s">
        <v>38</v>
      </c>
      <c r="E815" s="47" t="s">
        <v>38</v>
      </c>
      <c r="F815" s="45" t="s">
        <v>38</v>
      </c>
      <c r="G815" s="7"/>
    </row>
    <row r="816">
      <c r="A816" s="32" t="str">
        <f>HYPERLINK("http://lightoj.com/volume_showproblem.php?problem=1145","[LOJ 1145] Dice (I)")</f>
        <v>[LOJ 1145] Dice (I)</v>
      </c>
      <c r="B816" s="33">
        <f t="shared" si="2"/>
        <v>2</v>
      </c>
      <c r="C816" s="52"/>
      <c r="D816" s="34" t="s">
        <v>38</v>
      </c>
      <c r="E816" s="12"/>
      <c r="F816" s="45" t="s">
        <v>38</v>
      </c>
      <c r="G816" s="7"/>
    </row>
    <row r="817">
      <c r="A817" s="32" t="str">
        <f>HYPERLINK("http://lightoj.com/volume_showproblem.php?problem=1157","[LOJ 1157] LCS Revisited")</f>
        <v>[LOJ 1157] LCS Revisited</v>
      </c>
      <c r="B817" s="33">
        <f t="shared" si="2"/>
        <v>3</v>
      </c>
      <c r="C817" s="52"/>
      <c r="D817" s="34" t="s">
        <v>38</v>
      </c>
      <c r="E817" s="47" t="s">
        <v>38</v>
      </c>
      <c r="F817" s="45" t="s">
        <v>38</v>
      </c>
      <c r="G817" s="7"/>
    </row>
    <row r="818">
      <c r="A818" s="32" t="str">
        <f>HYPERLINK("http://lightoj.com/volume_showproblem.php?problem=1158","[LOJ 1158] Anagram Division")</f>
        <v>[LOJ 1158] Anagram Division</v>
      </c>
      <c r="B818" s="33">
        <f t="shared" si="2"/>
        <v>3</v>
      </c>
      <c r="C818" s="52"/>
      <c r="D818" s="34" t="s">
        <v>38</v>
      </c>
      <c r="E818" s="47" t="s">
        <v>38</v>
      </c>
      <c r="F818" s="45" t="s">
        <v>38</v>
      </c>
      <c r="G818" s="7"/>
    </row>
    <row r="819">
      <c r="A819" s="32" t="str">
        <f>HYPERLINK("http://lightoj.com/volume_showproblem.php?problem=1159","[LOJ 1159] Batman")</f>
        <v>[LOJ 1159] Batman</v>
      </c>
      <c r="B819" s="33">
        <f t="shared" si="2"/>
        <v>3</v>
      </c>
      <c r="C819" s="52"/>
      <c r="D819" s="34" t="s">
        <v>38</v>
      </c>
      <c r="E819" s="47" t="s">
        <v>38</v>
      </c>
      <c r="F819" s="45" t="s">
        <v>38</v>
      </c>
      <c r="G819" s="7"/>
    </row>
    <row r="820">
      <c r="A820" s="32" t="str">
        <f>HYPERLINK("http://lightoj.com/volume_showproblem.php?problem=1169","[LOJ 1169] Monkeys on Twin Tower")</f>
        <v>[LOJ 1169] Monkeys on Twin Tower</v>
      </c>
      <c r="B820" s="33">
        <f t="shared" si="2"/>
        <v>3</v>
      </c>
      <c r="C820" s="52"/>
      <c r="D820" s="34" t="s">
        <v>38</v>
      </c>
      <c r="E820" s="47" t="s">
        <v>38</v>
      </c>
      <c r="F820" s="45" t="s">
        <v>38</v>
      </c>
      <c r="G820" s="7"/>
    </row>
    <row r="821">
      <c r="A821" s="32" t="str">
        <f>HYPERLINK("http://lightoj.com/volume_showproblem.php?problem=1173","[LOJ 1173] The Vindictive Coach")</f>
        <v>[LOJ 1173] The Vindictive Coach</v>
      </c>
      <c r="B821" s="33">
        <f t="shared" si="2"/>
        <v>1</v>
      </c>
      <c r="C821" s="52"/>
      <c r="D821" s="34" t="s">
        <v>38</v>
      </c>
      <c r="E821" s="12"/>
      <c r="F821" s="7"/>
      <c r="G821" s="7"/>
    </row>
    <row r="822">
      <c r="A822" s="32" t="str">
        <f>HYPERLINK("http://lightoj.com/volume_showproblem.php?problem=1180","[LOJ 1180] Software Company")</f>
        <v>[LOJ 1180] Software Company</v>
      </c>
      <c r="B822" s="33">
        <f t="shared" si="2"/>
        <v>1</v>
      </c>
      <c r="C822" s="52"/>
      <c r="D822" s="34" t="s">
        <v>38</v>
      </c>
      <c r="E822" s="12"/>
      <c r="F822" s="7"/>
      <c r="G822" s="7"/>
    </row>
    <row r="823">
      <c r="A823" s="32" t="str">
        <f>HYPERLINK("http://lightoj.com/volume_showproblem.php?problem=1193","[LOJ 1193] Dice (II)")</f>
        <v>[LOJ 1193] Dice (II)</v>
      </c>
      <c r="B823" s="33">
        <f t="shared" si="2"/>
        <v>2</v>
      </c>
      <c r="C823" s="52"/>
      <c r="D823" s="34" t="s">
        <v>38</v>
      </c>
      <c r="E823" s="12"/>
      <c r="F823" s="45" t="s">
        <v>38</v>
      </c>
      <c r="G823" s="7"/>
    </row>
    <row r="824">
      <c r="A824" s="32" t="str">
        <f>HYPERLINK("http://lightoj.com/volume_showproblem.php?problem=1194","[LOJ 1194] Colored T-shirts")</f>
        <v>[LOJ 1194] Colored T-shirts</v>
      </c>
      <c r="B824" s="33">
        <f t="shared" si="2"/>
        <v>1</v>
      </c>
      <c r="C824" s="52"/>
      <c r="D824" s="34" t="s">
        <v>38</v>
      </c>
      <c r="E824" s="12"/>
      <c r="F824" s="7"/>
      <c r="G824" s="7"/>
    </row>
    <row r="825">
      <c r="A825" s="32" t="str">
        <f>HYPERLINK("http://lightoj.com/volume_showproblem.php?problem=1200","[LOJ 1200] Thief")</f>
        <v>[LOJ 1200] Thief</v>
      </c>
      <c r="B825" s="33">
        <f t="shared" si="2"/>
        <v>3</v>
      </c>
      <c r="C825" s="52"/>
      <c r="D825" s="34" t="s">
        <v>38</v>
      </c>
      <c r="E825" s="47" t="s">
        <v>38</v>
      </c>
      <c r="F825" s="45" t="s">
        <v>38</v>
      </c>
      <c r="G825" s="7"/>
    </row>
    <row r="826">
      <c r="A826" s="32" t="str">
        <f>HYPERLINK("http://lightoj.com/volume_showproblem.php?problem=1201","[LOJ 1201] A Perfect Murder")</f>
        <v>[LOJ 1201] A Perfect Murder</v>
      </c>
      <c r="B826" s="33">
        <f t="shared" si="2"/>
        <v>3</v>
      </c>
      <c r="C826" s="52"/>
      <c r="D826" s="34" t="s">
        <v>38</v>
      </c>
      <c r="E826" s="47" t="s">
        <v>38</v>
      </c>
      <c r="F826" s="45" t="s">
        <v>38</v>
      </c>
      <c r="G826" s="7"/>
    </row>
    <row r="827">
      <c r="A827" s="32" t="str">
        <f>HYPERLINK("http://lightoj.com/volume_showproblem.php?problem=1205","[LOJ 1205] Palindromic Numbers")</f>
        <v>[LOJ 1205] Palindromic Numbers</v>
      </c>
      <c r="B827" s="33">
        <f t="shared" si="2"/>
        <v>1</v>
      </c>
      <c r="C827" s="52"/>
      <c r="D827" s="34" t="s">
        <v>38</v>
      </c>
      <c r="E827" s="12"/>
      <c r="F827" s="7"/>
      <c r="G827" s="7"/>
    </row>
    <row r="828">
      <c r="A828" s="32" t="str">
        <f>HYPERLINK("http://lightoj.com/volume_showproblem.php?problem=1217","[LOJ 1217] Neighbor House (II)")</f>
        <v>[LOJ 1217] Neighbor House (II)</v>
      </c>
      <c r="B828" s="33">
        <f t="shared" si="2"/>
        <v>3</v>
      </c>
      <c r="C828" s="52"/>
      <c r="D828" s="34" t="s">
        <v>38</v>
      </c>
      <c r="E828" s="47" t="s">
        <v>38</v>
      </c>
      <c r="F828" s="45" t="s">
        <v>38</v>
      </c>
      <c r="G828" s="7"/>
    </row>
    <row r="829">
      <c r="A829" s="32" t="str">
        <f>HYPERLINK("http://lightoj.com/volume_showproblem.php?problem=1223","[LOJ 1223] Testing Mailboxes")</f>
        <v>[LOJ 1223] Testing Mailboxes</v>
      </c>
      <c r="B829" s="33">
        <f t="shared" si="2"/>
        <v>3</v>
      </c>
      <c r="C829" s="52"/>
      <c r="D829" s="34" t="s">
        <v>38</v>
      </c>
      <c r="E829" s="47" t="s">
        <v>38</v>
      </c>
      <c r="F829" s="45" t="s">
        <v>38</v>
      </c>
      <c r="G829" s="7"/>
    </row>
    <row r="830">
      <c r="A830" s="32" t="str">
        <f>HYPERLINK("http://lightoj.com/volume_showproblem.php?problem=1226","[LOJ 1226] One Unit Machine")</f>
        <v>[LOJ 1226] One Unit Machine</v>
      </c>
      <c r="B830" s="33">
        <f t="shared" si="2"/>
        <v>3</v>
      </c>
      <c r="C830" s="52"/>
      <c r="D830" s="34" t="s">
        <v>38</v>
      </c>
      <c r="E830" s="47" t="s">
        <v>38</v>
      </c>
      <c r="F830" s="45" t="s">
        <v>38</v>
      </c>
      <c r="G830" s="7"/>
    </row>
    <row r="831">
      <c r="A831" s="32" t="str">
        <f>HYPERLINK("http://lightoj.com/volume_showproblem.php?problem=1228","[LOJ 1228] e-Friends")</f>
        <v>[LOJ 1228] e-Friends</v>
      </c>
      <c r="B831" s="33">
        <f t="shared" si="2"/>
        <v>1</v>
      </c>
      <c r="C831" s="52"/>
      <c r="D831" s="34" t="s">
        <v>38</v>
      </c>
      <c r="E831" s="12"/>
      <c r="F831" s="7"/>
      <c r="G831" s="7"/>
    </row>
    <row r="832">
      <c r="A832" s="32" t="str">
        <f>HYPERLINK("http://lightoj.com/volume_showproblem.php?problem=1230","[LOJ 1230] Placing Lampposts")</f>
        <v>[LOJ 1230] Placing Lampposts</v>
      </c>
      <c r="B832" s="33">
        <f t="shared" si="2"/>
        <v>1</v>
      </c>
      <c r="C832" s="52"/>
      <c r="D832" s="34" t="s">
        <v>38</v>
      </c>
      <c r="E832" s="12"/>
      <c r="F832" s="7"/>
      <c r="G832" s="7"/>
    </row>
    <row r="833">
      <c r="A833" s="32" t="str">
        <f>HYPERLINK("http://lightoj.com/volume_showproblem.php?problem=1231","[LOJ 1231] Coin Change (I)")</f>
        <v>[LOJ 1231] Coin Change (I)</v>
      </c>
      <c r="B833" s="33">
        <f t="shared" si="2"/>
        <v>3</v>
      </c>
      <c r="C833" s="52"/>
      <c r="D833" s="34" t="s">
        <v>38</v>
      </c>
      <c r="E833" s="47" t="s">
        <v>38</v>
      </c>
      <c r="F833" s="39" t="s">
        <v>38</v>
      </c>
      <c r="G833" s="7"/>
    </row>
    <row r="834">
      <c r="A834" s="32" t="str">
        <f>HYPERLINK("http://lightoj.com/volume_showproblem.php?problem=1232","[LOJ 1232] Coin Change (II)")</f>
        <v>[LOJ 1232] Coin Change (II)</v>
      </c>
      <c r="B834" s="33">
        <f t="shared" si="2"/>
        <v>3</v>
      </c>
      <c r="C834" s="52"/>
      <c r="D834" s="34" t="s">
        <v>38</v>
      </c>
      <c r="E834" s="47" t="s">
        <v>38</v>
      </c>
      <c r="F834" s="39" t="s">
        <v>38</v>
      </c>
      <c r="G834" s="7"/>
    </row>
    <row r="835">
      <c r="A835" s="32" t="str">
        <f>HYPERLINK("http://lightoj.com/volume_showproblem.php?problem=1233","[LOJ 1233] Coin Change (III)")</f>
        <v>[LOJ 1233] Coin Change (III)</v>
      </c>
      <c r="B835" s="33">
        <f t="shared" si="2"/>
        <v>3</v>
      </c>
      <c r="C835" s="52"/>
      <c r="D835" s="34" t="s">
        <v>38</v>
      </c>
      <c r="E835" s="47" t="s">
        <v>38</v>
      </c>
      <c r="F835" s="39" t="s">
        <v>38</v>
      </c>
      <c r="G835" s="7"/>
    </row>
    <row r="836">
      <c r="A836" s="32" t="str">
        <f>HYPERLINK("http://lightoj.com/volume_showproblem.php?problem=1246","[LOJ 1246] Colorful Board")</f>
        <v>[LOJ 1246] Colorful Board</v>
      </c>
      <c r="B836" s="33">
        <f t="shared" si="2"/>
        <v>1</v>
      </c>
      <c r="C836" s="52"/>
      <c r="D836" s="34" t="s">
        <v>38</v>
      </c>
      <c r="E836" s="12"/>
      <c r="F836" s="7"/>
      <c r="G836" s="7"/>
    </row>
    <row r="837">
      <c r="A837" s="32" t="str">
        <f>HYPERLINK("http://lightoj.com/volume_showproblem.php?problem=1252","[LOJ 1252] Maintaining Communities")</f>
        <v>[LOJ 1252] Maintaining Communities</v>
      </c>
      <c r="B837" s="33">
        <f t="shared" si="2"/>
        <v>1</v>
      </c>
      <c r="C837" s="52"/>
      <c r="D837" s="68" t="s">
        <v>38</v>
      </c>
      <c r="E837" s="12"/>
      <c r="F837" s="7"/>
      <c r="G837" s="7"/>
    </row>
    <row r="838">
      <c r="A838" s="32" t="str">
        <f>HYPERLINK("http://lightoj.com/volume_showproblem.php?problem=1257","[LOJ 1257] Farthest Nodes in a Tree (II)")</f>
        <v>[LOJ 1257] Farthest Nodes in a Tree (II)</v>
      </c>
      <c r="B838" s="33">
        <f t="shared" si="2"/>
        <v>3</v>
      </c>
      <c r="C838" s="52"/>
      <c r="D838" s="34" t="s">
        <v>38</v>
      </c>
      <c r="E838" s="47" t="s">
        <v>38</v>
      </c>
      <c r="F838" s="39" t="s">
        <v>38</v>
      </c>
      <c r="G838" s="7"/>
    </row>
    <row r="839">
      <c r="A839" s="32" t="str">
        <f>HYPERLINK("http://lightoj.com/volume_showproblem.php?problem=1264","[LOJ 1264] Grouping Friends")</f>
        <v>[LOJ 1264] Grouping Friends</v>
      </c>
      <c r="B839" s="33">
        <f t="shared" si="2"/>
        <v>2</v>
      </c>
      <c r="C839" s="52"/>
      <c r="D839" s="34" t="s">
        <v>38</v>
      </c>
      <c r="E839" s="12"/>
      <c r="F839" s="45" t="s">
        <v>38</v>
      </c>
      <c r="G839" s="7"/>
    </row>
    <row r="840">
      <c r="A840" s="32" t="str">
        <f>HYPERLINK("http://lightoj.com/volume_showproblem.php?problem=1270","[LOJ 1270] Tiles (II)")</f>
        <v>[LOJ 1270] Tiles (II)</v>
      </c>
      <c r="B840" s="33">
        <f t="shared" si="2"/>
        <v>1</v>
      </c>
      <c r="C840" s="52"/>
      <c r="D840" s="34" t="s">
        <v>38</v>
      </c>
      <c r="E840" s="12"/>
      <c r="F840" s="7"/>
      <c r="G840" s="7"/>
    </row>
    <row r="841">
      <c r="A841" s="32" t="str">
        <f>HYPERLINK("http://lightoj.com/volume_showproblem.php?problem=1274","[LOJ 1274] Beating The Dataset")</f>
        <v>[LOJ 1274] Beating The Dataset</v>
      </c>
      <c r="B841" s="33">
        <f t="shared" si="2"/>
        <v>0</v>
      </c>
      <c r="C841" s="52"/>
      <c r="D841" s="34" t="s">
        <v>128</v>
      </c>
      <c r="E841" s="12"/>
      <c r="F841" s="7"/>
      <c r="G841" s="7"/>
    </row>
    <row r="842">
      <c r="A842" s="32" t="str">
        <f>HYPERLINK("http://lightoj.com/volume_showproblem.php?problem=1277","[LOJ 1277] Looking for a Subsequence")</f>
        <v>[LOJ 1277] Looking for a Subsequence</v>
      </c>
      <c r="B842" s="33">
        <f t="shared" si="2"/>
        <v>3</v>
      </c>
      <c r="C842" s="52"/>
      <c r="D842" s="34" t="s">
        <v>38</v>
      </c>
      <c r="E842" s="47" t="s">
        <v>38</v>
      </c>
      <c r="F842" s="39" t="s">
        <v>38</v>
      </c>
      <c r="G842" s="7"/>
    </row>
    <row r="843">
      <c r="A843" s="32" t="str">
        <f>HYPERLINK("http://lightoj.com/volume_showproblem.php?problem=1283","[LOJ 1283] Shelving Books")</f>
        <v>[LOJ 1283] Shelving Books</v>
      </c>
      <c r="B843" s="33">
        <f t="shared" si="2"/>
        <v>1</v>
      </c>
      <c r="C843" s="52"/>
      <c r="D843" s="34" t="s">
        <v>38</v>
      </c>
      <c r="E843" s="12"/>
      <c r="F843" s="7"/>
      <c r="G843" s="7"/>
    </row>
    <row r="844">
      <c r="A844" s="32" t="str">
        <f>HYPERLINK("http://lightoj.com/volume_showproblem.php?problem=1287","[LOJ 1287] Where to Run")</f>
        <v>[LOJ 1287] Where to Run</v>
      </c>
      <c r="B844" s="33">
        <f t="shared" si="2"/>
        <v>1</v>
      </c>
      <c r="C844" s="52"/>
      <c r="D844" s="34" t="s">
        <v>38</v>
      </c>
      <c r="E844" s="12"/>
      <c r="F844" s="7"/>
      <c r="G844" s="7"/>
    </row>
    <row r="845">
      <c r="A845" s="32" t="str">
        <f>HYPERLINK("http://lightoj.com/volume_showproblem.php?problem=1299","[LOJ 1299] Fantasy Cricket")</f>
        <v>[LOJ 1299] Fantasy Cricket</v>
      </c>
      <c r="B845" s="33">
        <f t="shared" si="2"/>
        <v>3</v>
      </c>
      <c r="C845" s="52"/>
      <c r="D845" s="34" t="s">
        <v>38</v>
      </c>
      <c r="E845" s="47" t="s">
        <v>38</v>
      </c>
      <c r="F845" s="39" t="s">
        <v>38</v>
      </c>
      <c r="G845" s="7"/>
    </row>
    <row r="846">
      <c r="A846" s="32" t="str">
        <f>HYPERLINK("http://lightoj.com/volume_showproblem.php?problem=1302","[LOJ 1302] Independent Attacking Zones")</f>
        <v>[LOJ 1302] Independent Attacking Zones</v>
      </c>
      <c r="B846" s="33">
        <f t="shared" si="2"/>
        <v>0</v>
      </c>
      <c r="C846" s="52"/>
      <c r="D846" s="51"/>
      <c r="E846" s="12"/>
      <c r="F846" s="7"/>
      <c r="G846" s="7"/>
    </row>
    <row r="847">
      <c r="A847" s="32" t="str">
        <f>HYPERLINK("http://lightoj.com/volume_showproblem.php?problem=1310","[LOJ 1310] Tiles (III)")</f>
        <v>[LOJ 1310] Tiles (III)</v>
      </c>
      <c r="B847" s="33">
        <f t="shared" si="2"/>
        <v>0</v>
      </c>
      <c r="C847" s="52"/>
      <c r="D847" s="51"/>
      <c r="E847" s="12"/>
      <c r="F847" s="7"/>
      <c r="G847" s="7"/>
    </row>
    <row r="848">
      <c r="A848" s="32" t="str">
        <f>HYPERLINK("http://lightoj.com/volume_showproblem.php?problem=1312","[LOJ 1312] Corrupted Tax Department")</f>
        <v>[LOJ 1312] Corrupted Tax Department</v>
      </c>
      <c r="B848" s="33">
        <f t="shared" si="2"/>
        <v>0</v>
      </c>
      <c r="C848" s="52"/>
      <c r="D848" s="51"/>
      <c r="E848" s="12"/>
      <c r="F848" s="7"/>
      <c r="G848" s="7"/>
    </row>
    <row r="849">
      <c r="A849" s="32" t="str">
        <f>HYPERLINK("http://lightoj.com/volume_showproblem.php?problem=1316","[LOJ 1316] A Wedding Party")</f>
        <v>[LOJ 1316] A Wedding Party</v>
      </c>
      <c r="B849" s="33">
        <f t="shared" si="2"/>
        <v>1</v>
      </c>
      <c r="C849" s="52"/>
      <c r="D849" s="34" t="s">
        <v>38</v>
      </c>
      <c r="E849" s="12"/>
      <c r="F849" s="7"/>
      <c r="G849" s="7"/>
    </row>
    <row r="850">
      <c r="A850" s="32" t="str">
        <f>HYPERLINK("http://lightoj.com/volume_showproblem.php?problem=1327","[LOJ 1327] Help the Winners")</f>
        <v>[LOJ 1327] Help the Winners</v>
      </c>
      <c r="B850" s="33">
        <f t="shared" si="2"/>
        <v>0</v>
      </c>
      <c r="C850" s="52"/>
      <c r="D850" s="51"/>
      <c r="E850" s="12"/>
      <c r="F850" s="7"/>
      <c r="G850" s="7"/>
    </row>
    <row r="851">
      <c r="A851" s="32" t="str">
        <f>HYPERLINK("http://lightoj.com/volume_showproblem.php?problem=1329","[LOJ 1329] Playing Cards")</f>
        <v>[LOJ 1329] Playing Cards</v>
      </c>
      <c r="B851" s="33">
        <f t="shared" si="2"/>
        <v>0</v>
      </c>
      <c r="C851" s="52"/>
      <c r="D851" s="51"/>
      <c r="E851" s="12"/>
      <c r="F851" s="7"/>
      <c r="G851" s="7"/>
    </row>
    <row r="852">
      <c r="A852" s="32" t="str">
        <f>HYPERLINK("http://lightoj.com/volume_showproblem.php?problem=1334","[LOJ 1334] Genes in DNA")</f>
        <v>[LOJ 1334] Genes in DNA</v>
      </c>
      <c r="B852" s="33">
        <f t="shared" si="2"/>
        <v>0</v>
      </c>
      <c r="C852" s="52"/>
      <c r="D852" s="34" t="s">
        <v>129</v>
      </c>
      <c r="E852" s="12"/>
      <c r="F852" s="7"/>
      <c r="G852" s="7"/>
    </row>
    <row r="853">
      <c r="A853" s="32" t="str">
        <f>HYPERLINK("http://lightoj.com/volume_showproblem.php?problem=1335","[LOJ 1335] Planar Graph")</f>
        <v>[LOJ 1335] Planar Graph</v>
      </c>
      <c r="B853" s="33">
        <f t="shared" si="2"/>
        <v>0</v>
      </c>
      <c r="C853" s="52"/>
      <c r="D853" s="51"/>
      <c r="E853" s="12"/>
      <c r="F853" s="7"/>
      <c r="G853" s="7"/>
    </row>
    <row r="854">
      <c r="A854" s="32" t="str">
        <f>HYPERLINK("http://lightoj.com/volume_showproblem.php?problem=1342","[LOJ 1342] Aladdin and the Magical Sticks")</f>
        <v>[LOJ 1342] Aladdin and the Magical Sticks</v>
      </c>
      <c r="B854" s="33">
        <f t="shared" si="2"/>
        <v>3</v>
      </c>
      <c r="C854" s="52"/>
      <c r="D854" s="34" t="s">
        <v>38</v>
      </c>
      <c r="E854" s="47" t="s">
        <v>38</v>
      </c>
      <c r="F854" s="39" t="s">
        <v>38</v>
      </c>
      <c r="G854" s="7"/>
    </row>
    <row r="855">
      <c r="A855" s="32" t="str">
        <f>HYPERLINK("http://lightoj.com/volume_showproblem.php?problem=1344","[LOJ 1344] Aladdin and the Game of Bracelets")</f>
        <v>[LOJ 1344] Aladdin and the Game of Bracelets</v>
      </c>
      <c r="B855" s="33">
        <f t="shared" si="2"/>
        <v>1</v>
      </c>
      <c r="C855" s="52"/>
      <c r="D855" s="34" t="s">
        <v>38</v>
      </c>
      <c r="E855" s="12"/>
      <c r="F855" s="7"/>
      <c r="G855" s="7"/>
    </row>
    <row r="856">
      <c r="A856" s="32" t="str">
        <f>HYPERLINK("http://lightoj.com/volume_showproblem.php?problem=1345","[LOJ 1345] Aladdin and the Happy Garden")</f>
        <v>[LOJ 1345] Aladdin and the Happy Garden</v>
      </c>
      <c r="B856" s="33">
        <f t="shared" si="2"/>
        <v>0</v>
      </c>
      <c r="C856" s="52"/>
      <c r="D856" s="51"/>
      <c r="E856" s="12"/>
      <c r="F856" s="7"/>
      <c r="G856" s="7"/>
    </row>
    <row r="857">
      <c r="A857" s="32" t="str">
        <f>HYPERLINK("http://lightoj.com/volume_showproblem.php?problem=1351","[LOJ 1351] Ordered Flips")</f>
        <v>[LOJ 1351] Ordered Flips</v>
      </c>
      <c r="B857" s="33">
        <f t="shared" si="2"/>
        <v>0</v>
      </c>
      <c r="C857" s="52"/>
      <c r="D857" s="51"/>
      <c r="E857" s="12"/>
      <c r="F857" s="7"/>
      <c r="G857" s="7"/>
    </row>
    <row r="858">
      <c r="A858" s="32" t="str">
        <f>HYPERLINK("http://lightoj.com/volume_showproblem.php?problem=1352","[LOJ 1352] Strange Summation")</f>
        <v>[LOJ 1352] Strange Summation</v>
      </c>
      <c r="B858" s="33">
        <f t="shared" si="2"/>
        <v>0</v>
      </c>
      <c r="C858" s="52"/>
      <c r="D858" s="51"/>
      <c r="E858" s="12"/>
      <c r="F858" s="7"/>
      <c r="G858" s="7"/>
    </row>
    <row r="859">
      <c r="A859" s="32" t="str">
        <f>HYPERLINK("http://lightoj.com/volume_showproblem.php?problem=1360","[LOJ 1360] Skyscraper")</f>
        <v>[LOJ 1360] Skyscraper</v>
      </c>
      <c r="B859" s="33">
        <f t="shared" si="2"/>
        <v>0</v>
      </c>
      <c r="C859" s="52"/>
      <c r="D859" s="34" t="s">
        <v>129</v>
      </c>
      <c r="E859" s="12"/>
      <c r="F859" s="7"/>
      <c r="G859" s="7"/>
    </row>
    <row r="860">
      <c r="A860" s="32" t="str">
        <f>HYPERLINK("http://lightoj.com/volume_showproblem.php?problem=1362","[LOJ 1362] Electricity Connection")</f>
        <v>[LOJ 1362] Electricity Connection</v>
      </c>
      <c r="B860" s="33">
        <f t="shared" si="2"/>
        <v>0</v>
      </c>
      <c r="C860" s="52"/>
      <c r="D860" s="51"/>
      <c r="E860" s="12"/>
      <c r="F860" s="7"/>
      <c r="G860" s="7"/>
    </row>
    <row r="861">
      <c r="A861" s="32" t="str">
        <f>HYPERLINK("http://lightoj.com/volume_showproblem.php?problem=1364","[LOJ 1364] Expected Cards")</f>
        <v>[LOJ 1364] Expected Cards</v>
      </c>
      <c r="B861" s="33">
        <f t="shared" si="2"/>
        <v>1</v>
      </c>
      <c r="C861" s="52"/>
      <c r="D861" s="51"/>
      <c r="E861" s="12"/>
      <c r="F861" s="39" t="s">
        <v>38</v>
      </c>
      <c r="G861" s="7"/>
    </row>
    <row r="862">
      <c r="A862" s="32" t="str">
        <f>HYPERLINK("http://lightoj.com/volume_showproblem.php?problem=1365","[LOJ 1365] ICPC Guards")</f>
        <v>[LOJ 1365] ICPC Guards</v>
      </c>
      <c r="B862" s="33">
        <f t="shared" si="2"/>
        <v>0</v>
      </c>
      <c r="C862" s="52"/>
      <c r="D862" s="51"/>
      <c r="E862" s="12"/>
      <c r="F862" s="7"/>
      <c r="G862" s="7"/>
    </row>
    <row r="863">
      <c r="A863" s="32" t="str">
        <f>HYPERLINK("http://lightoj.com/volume_showproblem.php?problem=1376","[LOJ 1376] Tetromino")</f>
        <v>[LOJ 1376] Tetromino</v>
      </c>
      <c r="B863" s="33">
        <f t="shared" si="2"/>
        <v>0</v>
      </c>
      <c r="C863" s="52"/>
      <c r="D863" s="51"/>
      <c r="E863" s="12"/>
      <c r="F863" s="7"/>
      <c r="G863" s="7"/>
    </row>
    <row r="864">
      <c r="A864" s="32" t="str">
        <f>HYPERLINK("http://lightoj.com/volume_showproblem.php?problem=1381","[LOJ 1381] Scientific Experiment")</f>
        <v>[LOJ 1381] Scientific Experiment</v>
      </c>
      <c r="B864" s="33">
        <f t="shared" si="2"/>
        <v>0</v>
      </c>
      <c r="C864" s="52"/>
      <c r="D864" s="51"/>
      <c r="E864" s="12"/>
      <c r="F864" s="7"/>
      <c r="G864" s="7"/>
    </row>
    <row r="865">
      <c r="A865" s="32" t="str">
        <f>HYPERLINK("http://lightoj.com/volume_showproblem.php?problem=1382","[LOJ 1382] The Queue")</f>
        <v>[LOJ 1382] The Queue</v>
      </c>
      <c r="B865" s="33">
        <f t="shared" si="2"/>
        <v>1</v>
      </c>
      <c r="C865" s="52"/>
      <c r="D865" s="34" t="s">
        <v>38</v>
      </c>
      <c r="E865" s="12"/>
      <c r="F865" s="7"/>
      <c r="G865" s="7"/>
    </row>
    <row r="866">
      <c r="A866" s="32" t="str">
        <f>HYPERLINK("http://lightoj.com/volume_showproblem.php?problem=1394","[LOJ 1394] Disable the Wand")</f>
        <v>[LOJ 1394] Disable the Wand</v>
      </c>
      <c r="B866" s="33">
        <f t="shared" si="2"/>
        <v>0</v>
      </c>
      <c r="C866" s="52"/>
      <c r="D866" s="51"/>
      <c r="E866" s="12"/>
      <c r="F866" s="7"/>
      <c r="G866" s="7"/>
    </row>
    <row r="867">
      <c r="A867" s="32" t="str">
        <f>HYPERLINK("http://lightoj.com/volume_showproblem.php?problem=1399","[LOJ 1399] Politeness")</f>
        <v>[LOJ 1399] Politeness</v>
      </c>
      <c r="B867" s="33">
        <f t="shared" si="2"/>
        <v>0</v>
      </c>
      <c r="C867" s="52"/>
      <c r="D867" s="51"/>
      <c r="E867" s="12"/>
      <c r="F867" s="7"/>
      <c r="G867" s="7"/>
    </row>
    <row r="868">
      <c r="A868" s="32" t="str">
        <f>HYPERLINK("http://lightoj.com/volume_showproblem.php?problem=1406","[LOJ 1406] Assassin's Creed")</f>
        <v>[LOJ 1406] Assassin's Creed</v>
      </c>
      <c r="B868" s="33">
        <f t="shared" si="2"/>
        <v>1</v>
      </c>
      <c r="C868" s="52"/>
      <c r="D868" s="34" t="s">
        <v>38</v>
      </c>
      <c r="E868" s="12"/>
      <c r="F868" s="7"/>
      <c r="G868" s="7"/>
    </row>
    <row r="869">
      <c r="A869" s="32" t="str">
        <f>HYPERLINK("http://lightoj.com/volume_showproblem.php?problem=1416","[LOJ 1416] Superb Sequence")</f>
        <v>[LOJ 1416] Superb Sequence</v>
      </c>
      <c r="B869" s="33">
        <f t="shared" si="2"/>
        <v>0</v>
      </c>
      <c r="C869" s="52"/>
      <c r="D869" s="51"/>
      <c r="E869" s="12"/>
      <c r="F869" s="7"/>
      <c r="G869" s="7"/>
    </row>
    <row r="870">
      <c r="A870" s="32" t="str">
        <f>HYPERLINK("http://lightoj.com/volume_showproblem.php?problem=1420","[LOJ 1420] Subsequences Forming Strings")</f>
        <v>[LOJ 1420] Subsequences Forming Strings</v>
      </c>
      <c r="B870" s="33">
        <f t="shared" si="2"/>
        <v>0</v>
      </c>
      <c r="C870" s="52"/>
      <c r="D870" s="51"/>
      <c r="E870" s="12"/>
      <c r="F870" s="7"/>
      <c r="G870" s="7"/>
    </row>
    <row r="871">
      <c r="A871" s="32" t="str">
        <f>HYPERLINK("http://lightoj.com/volume_showproblem.php?problem=1422","[LOJ 1422] Halloween Costumes")</f>
        <v>[LOJ 1422] Halloween Costumes</v>
      </c>
      <c r="B871" s="33">
        <f t="shared" si="2"/>
        <v>1</v>
      </c>
      <c r="C871" s="52"/>
      <c r="D871" s="34" t="s">
        <v>38</v>
      </c>
      <c r="E871" s="12"/>
      <c r="F871" s="7"/>
      <c r="G871" s="7"/>
    </row>
    <row r="872">
      <c r="A872" s="32" t="str">
        <f>HYPERLINK("https://icpcarchive.ecs.baylor.edu/index.php?option=com_onlinejudge&amp;Itemid=8&amp;page=show_problem&amp;problem=461","[LA 2460] Searching Sequence Database in Molecular Biology")</f>
        <v>[LA 2460] Searching Sequence Database in Molecular Biology</v>
      </c>
      <c r="B872" s="33">
        <f t="shared" si="2"/>
        <v>3</v>
      </c>
      <c r="C872" s="52"/>
      <c r="D872" s="34" t="s">
        <v>38</v>
      </c>
      <c r="E872" s="47" t="s">
        <v>38</v>
      </c>
      <c r="F872" s="34" t="s">
        <v>38</v>
      </c>
      <c r="G872" s="7"/>
    </row>
    <row r="873">
      <c r="A873" s="32" t="str">
        <f>HYPERLINK("https://icpcarchive.ecs.baylor.edu/index.php?option=onlinejudge&amp;page=show_problem&amp;problem=973","[LA 2972] A DP Problem")</f>
        <v>[LA 2972] A DP Problem</v>
      </c>
      <c r="B873" s="33">
        <f t="shared" si="2"/>
        <v>3</v>
      </c>
      <c r="C873" s="52"/>
      <c r="D873" s="34" t="s">
        <v>38</v>
      </c>
      <c r="E873" s="47" t="s">
        <v>38</v>
      </c>
      <c r="F873" s="39" t="s">
        <v>38</v>
      </c>
      <c r="G873" s="7"/>
    </row>
    <row r="874">
      <c r="A874" s="32" t="str">
        <f>HYPERLINK("https://icpcarchive.ecs.baylor.edu/index.php?option=com_onlinejudge&amp;Itemid=8&amp;page=show_problem&amp;problem=1670","[LA 3669] String Cutting")</f>
        <v>[LA 3669] String Cutting</v>
      </c>
      <c r="B874" s="33">
        <f t="shared" si="2"/>
        <v>3</v>
      </c>
      <c r="C874" s="52"/>
      <c r="D874" s="34" t="s">
        <v>38</v>
      </c>
      <c r="E874" s="47" t="s">
        <v>38</v>
      </c>
      <c r="F874" s="39" t="s">
        <v>38</v>
      </c>
      <c r="G874" s="7"/>
    </row>
    <row r="875">
      <c r="A875" s="32" t="str">
        <f>HYPERLINK("https://icpcarchive.ecs.baylor.edu/index.php?option=com_onlinejudge&amp;Itemid=8&amp;category=20&amp;page=show_problem&amp;problem=1792","[LA 3791] Team Arrangement")</f>
        <v>[LA 3791] Team Arrangement</v>
      </c>
      <c r="B875" s="33">
        <f t="shared" si="2"/>
        <v>3</v>
      </c>
      <c r="C875" s="52"/>
      <c r="D875" s="34" t="s">
        <v>38</v>
      </c>
      <c r="E875" s="47" t="s">
        <v>38</v>
      </c>
      <c r="F875" s="39" t="s">
        <v>38</v>
      </c>
      <c r="G875" s="7"/>
    </row>
    <row r="876">
      <c r="A876" s="32" t="str">
        <f>HYPERLINK("https://icpcarchive.ecs.baylor.edu/index.php?option=com_onlinejudge&amp;Itemid=8&amp;page=show_problem&amp;problem=1902","[LA 3901] Editor")</f>
        <v>[LA 3901] Editor</v>
      </c>
      <c r="B876" s="33">
        <f t="shared" si="2"/>
        <v>3</v>
      </c>
      <c r="C876" s="52"/>
      <c r="D876" s="34" t="s">
        <v>38</v>
      </c>
      <c r="E876" s="47" t="s">
        <v>38</v>
      </c>
      <c r="F876" s="39" t="s">
        <v>38</v>
      </c>
      <c r="G876" s="7"/>
    </row>
    <row r="877">
      <c r="A877" s="32" t="str">
        <f>HYPERLINK("https://icpcarchive.ecs.baylor.edu/index.php?option=onlinejudge&amp;page=show_problem&amp;problem=2000","[LA 3999] The Longest Constant Gene")</f>
        <v>[LA 3999] The Longest Constant Gene</v>
      </c>
      <c r="B877" s="33">
        <f t="shared" si="2"/>
        <v>1</v>
      </c>
      <c r="C877" s="52"/>
      <c r="D877" s="34" t="s">
        <v>38</v>
      </c>
      <c r="E877" s="12"/>
      <c r="F877" s="7"/>
      <c r="G877" s="7"/>
    </row>
    <row r="878">
      <c r="A878" s="32" t="str">
        <f>HYPERLINK("https://icpcarchive.ecs.baylor.edu/index.php?option=com_onlinejudge&amp;Itemid=8&amp;page=show_problem&amp;problem=2201","[LA 4200] Find the Format String")</f>
        <v>[LA 4200] Find the Format String</v>
      </c>
      <c r="B878" s="33">
        <f t="shared" si="2"/>
        <v>1</v>
      </c>
      <c r="C878" s="52"/>
      <c r="D878" s="34" t="s">
        <v>38</v>
      </c>
      <c r="E878" s="12"/>
      <c r="F878" s="7"/>
      <c r="G878" s="7"/>
    </row>
    <row r="879">
      <c r="A879" s="32" t="str">
        <f>HYPERLINK("https://icpcarchive.ecs.baylor.edu/index.php?option=com_onlinejudge&amp;Itemid=8&amp;page=show_problem&amp;problem=2658","[LA 4657] Top 10")</f>
        <v>[LA 4657] Top 10</v>
      </c>
      <c r="B879" s="33">
        <f t="shared" si="2"/>
        <v>1</v>
      </c>
      <c r="C879" s="52"/>
      <c r="D879" s="34" t="s">
        <v>38</v>
      </c>
      <c r="E879" s="12"/>
      <c r="F879" s="7"/>
      <c r="G879" s="7"/>
    </row>
    <row r="880">
      <c r="A880" s="32" t="str">
        <f>HYPERLINK("https://uva.onlinejudge.org/index.php?option=onlinejudge&amp;page=show_problem&amp;problem=84","[UVa 148] Anagram Checker")</f>
        <v>[UVa 148] Anagram Checker</v>
      </c>
      <c r="B880" s="33">
        <f t="shared" si="2"/>
        <v>2</v>
      </c>
      <c r="C880" s="52"/>
      <c r="D880" s="34" t="s">
        <v>38</v>
      </c>
      <c r="E880" s="12"/>
      <c r="F880" s="45" t="s">
        <v>38</v>
      </c>
      <c r="G880" s="7"/>
    </row>
    <row r="881">
      <c r="A881" s="32" t="str">
        <f>HYPERLINK("https://uva.onlinejudge.org/index.php?option=onlinejudge&amp;page=show_problem&amp;problem=95","[UVa 159] Word Crosses")</f>
        <v>[UVa 159] Word Crosses</v>
      </c>
      <c r="B881" s="33">
        <f t="shared" si="2"/>
        <v>3</v>
      </c>
      <c r="C881" s="52"/>
      <c r="D881" s="34" t="s">
        <v>38</v>
      </c>
      <c r="E881" s="47" t="s">
        <v>38</v>
      </c>
      <c r="F881" s="34" t="s">
        <v>38</v>
      </c>
      <c r="G881" s="7"/>
    </row>
    <row r="882">
      <c r="A882" s="32" t="str">
        <f>HYPERLINK("https://uva.onlinejudge.org/index.php?option=com_onlinejudge&amp;Itemid=8&amp;page=show_problem&amp;problem=199","[UVa 263] Number Chains")</f>
        <v>[UVa 263] Number Chains</v>
      </c>
      <c r="B882" s="33">
        <f t="shared" si="2"/>
        <v>3</v>
      </c>
      <c r="C882" s="52"/>
      <c r="D882" s="34" t="s">
        <v>38</v>
      </c>
      <c r="E882" s="47" t="s">
        <v>38</v>
      </c>
      <c r="F882" s="34" t="s">
        <v>38</v>
      </c>
      <c r="G882" s="7"/>
    </row>
    <row r="883">
      <c r="A883" s="32" t="str">
        <f>HYPERLINK("https://uva.onlinejudge.org/index.php?option=onlinejudge&amp;page=show_problem&amp;problem=289","[UVa 353] Pesky Palindromes")</f>
        <v>[UVa 353] Pesky Palindromes</v>
      </c>
      <c r="B883" s="33">
        <f t="shared" si="2"/>
        <v>3</v>
      </c>
      <c r="C883" s="52"/>
      <c r="D883" s="34" t="s">
        <v>38</v>
      </c>
      <c r="E883" s="47" t="s">
        <v>38</v>
      </c>
      <c r="F883" s="34" t="s">
        <v>38</v>
      </c>
      <c r="G883" s="7"/>
    </row>
    <row r="884">
      <c r="A884" s="32" t="str">
        <f>HYPERLINK("https://uva.onlinejudge.org/index.php?option=com_onlinejudge&amp;Itemid=8&amp;page=show_problem&amp;problem=342","[UVa 401] Palindromes")</f>
        <v>[UVa 401] Palindromes</v>
      </c>
      <c r="B884" s="33">
        <f t="shared" si="2"/>
        <v>3</v>
      </c>
      <c r="C884" s="52"/>
      <c r="D884" s="34" t="s">
        <v>38</v>
      </c>
      <c r="E884" s="47" t="s">
        <v>38</v>
      </c>
      <c r="F884" s="34" t="s">
        <v>38</v>
      </c>
      <c r="G884" s="7"/>
    </row>
    <row r="885">
      <c r="A885" s="32" t="str">
        <f>HYPERLINK("https://uva.onlinejudge.org/index.php?option=com_onlinejudge&amp;Itemid=8&amp;page=show_problem&amp;problem=350","[UVa 409] Excuses, Excuses!")</f>
        <v>[UVa 409] Excuses, Excuses!</v>
      </c>
      <c r="B885" s="33">
        <f t="shared" si="2"/>
        <v>3</v>
      </c>
      <c r="C885" s="52"/>
      <c r="D885" s="34" t="s">
        <v>38</v>
      </c>
      <c r="E885" s="47" t="s">
        <v>38</v>
      </c>
      <c r="F885" s="34" t="s">
        <v>38</v>
      </c>
      <c r="G885" s="7"/>
    </row>
    <row r="886">
      <c r="A886" s="32" t="str">
        <f>HYPERLINK("https://uva.onlinejudge.org/index.php?option=com_onlinejudge&amp;Itemid=8&amp;page=show_problem&amp;problem=363","[UVa 422] Word Search Wonder")</f>
        <v>[UVa 422] Word Search Wonder</v>
      </c>
      <c r="B886" s="33">
        <f t="shared" si="2"/>
        <v>3</v>
      </c>
      <c r="C886" s="52"/>
      <c r="D886" s="34" t="s">
        <v>38</v>
      </c>
      <c r="E886" s="47" t="s">
        <v>38</v>
      </c>
      <c r="F886" s="34" t="s">
        <v>38</v>
      </c>
      <c r="G886" s="7"/>
    </row>
    <row r="887">
      <c r="A887" s="32" t="str">
        <f>HYPERLINK("https://uva.onlinejudge.org/index.php?option=com_onlinejudge&amp;Itemid=8&amp;page=show_problem&amp;problem=478","[UVa 537] Artificial Intelligence?")</f>
        <v>[UVa 537] Artificial Intelligence?</v>
      </c>
      <c r="B887" s="33">
        <f t="shared" si="2"/>
        <v>3</v>
      </c>
      <c r="C887" s="52"/>
      <c r="D887" s="34" t="s">
        <v>38</v>
      </c>
      <c r="E887" s="47" t="s">
        <v>38</v>
      </c>
      <c r="F887" s="45" t="s">
        <v>38</v>
      </c>
      <c r="G887" s="7"/>
    </row>
    <row r="888">
      <c r="A888" s="32" t="str">
        <f>HYPERLINK("https://uva.onlinejudge.org/index.php?option=com_onlinejudge&amp;Itemid=8&amp;page=show_problem&amp;problem=585","[UVa 644] Immediate Decodability")</f>
        <v>[UVa 644] Immediate Decodability</v>
      </c>
      <c r="B888" s="33">
        <f t="shared" si="2"/>
        <v>3</v>
      </c>
      <c r="C888" s="52"/>
      <c r="D888" s="66" t="s">
        <v>38</v>
      </c>
      <c r="E888" s="47" t="s">
        <v>38</v>
      </c>
      <c r="F888" s="45" t="s">
        <v>38</v>
      </c>
      <c r="G888" s="7"/>
    </row>
    <row r="889">
      <c r="A889" s="32" t="str">
        <f>HYPERLINK("https://uva.onlinejudge.org/index.php?option=com_onlinejudge&amp;Itemid=8&amp;page=show_problem&amp;problem=806","[UVa 865] Substitution Cypher")</f>
        <v>[UVa 865] Substitution Cypher</v>
      </c>
      <c r="B889" s="33">
        <f t="shared" si="2"/>
        <v>3</v>
      </c>
      <c r="C889" s="52"/>
      <c r="D889" s="34" t="s">
        <v>38</v>
      </c>
      <c r="E889" s="47" t="s">
        <v>38</v>
      </c>
      <c r="F889" s="45" t="s">
        <v>38</v>
      </c>
      <c r="G889" s="7"/>
    </row>
    <row r="890">
      <c r="A890" s="32" t="str">
        <f>HYPERLINK("https://uva.onlinejudge.org/index.php?option=com_onlinejudge&amp;Itemid=8&amp;page=show_problem&amp;problem=843","[UVa 902] Password Search")</f>
        <v>[UVa 902] Password Search</v>
      </c>
      <c r="B890" s="33">
        <f t="shared" si="2"/>
        <v>3</v>
      </c>
      <c r="C890" s="52"/>
      <c r="D890" s="34" t="s">
        <v>38</v>
      </c>
      <c r="E890" s="47" t="s">
        <v>38</v>
      </c>
      <c r="F890" s="45" t="s">
        <v>38</v>
      </c>
      <c r="G890" s="7"/>
    </row>
    <row r="891">
      <c r="A891" s="32" t="str">
        <f>HYPERLINK("https://uva.onlinejudge.org/index.php?option=com_onlinejudge&amp;Itemid=8&amp;page=show_problem&amp;problem=951","[UVa 10010] Where's Waldorf")</f>
        <v>[UVa 10010] Where's Waldorf</v>
      </c>
      <c r="B891" s="33">
        <f t="shared" si="2"/>
        <v>3</v>
      </c>
      <c r="C891" s="52"/>
      <c r="D891" s="34" t="s">
        <v>38</v>
      </c>
      <c r="E891" s="47" t="s">
        <v>38</v>
      </c>
      <c r="F891" s="45" t="s">
        <v>38</v>
      </c>
      <c r="G891" s="7"/>
    </row>
    <row r="892">
      <c r="A892" s="32" t="str">
        <f>HYPERLINK("https://uva.onlinejudge.org/index.php?option=com_onlinejudge&amp;Itemid=8&amp;page=show_problem&amp;problem=1056","[UVa 10115] Automatic Editing")</f>
        <v>[UVa 10115] Automatic Editing</v>
      </c>
      <c r="B892" s="33">
        <f t="shared" si="2"/>
        <v>3</v>
      </c>
      <c r="C892" s="52"/>
      <c r="D892" s="34" t="s">
        <v>38</v>
      </c>
      <c r="E892" s="47" t="s">
        <v>38</v>
      </c>
      <c r="F892" s="45" t="s">
        <v>38</v>
      </c>
      <c r="G892" s="7"/>
    </row>
    <row r="893">
      <c r="A893" s="32" t="str">
        <f>HYPERLINK("https://uva.onlinejudge.org/index.php?option=onlinejudge&amp;page=show_problem&amp;problem=1138","[UVa 10197] Learning Portuguese")</f>
        <v>[UVa 10197] Learning Portuguese</v>
      </c>
      <c r="B893" s="33">
        <f t="shared" si="2"/>
        <v>3</v>
      </c>
      <c r="C893" s="52"/>
      <c r="D893" s="34" t="s">
        <v>38</v>
      </c>
      <c r="E893" s="47" t="s">
        <v>38</v>
      </c>
      <c r="F893" s="45" t="s">
        <v>38</v>
      </c>
      <c r="G893" s="7"/>
    </row>
    <row r="894">
      <c r="A894" s="32" t="str">
        <f>HYPERLINK("https://uva.onlinejudge.org/index.php?option=com_onlinejudge&amp;Itemid=8&amp;page=show_problem&amp;problem=1234","[UVa 10293] Word Length and Frequency")</f>
        <v>[UVa 10293] Word Length and Frequency</v>
      </c>
      <c r="B894" s="33">
        <f t="shared" si="2"/>
        <v>3</v>
      </c>
      <c r="C894" s="52"/>
      <c r="D894" s="34" t="s">
        <v>38</v>
      </c>
      <c r="E894" s="47" t="s">
        <v>38</v>
      </c>
      <c r="F894" s="45" t="s">
        <v>38</v>
      </c>
      <c r="G894" s="7"/>
    </row>
    <row r="895">
      <c r="A895" s="32" t="str">
        <f>HYPERLINK("https://uva.onlinejudge.org/index.php?option=com_onlinejudge&amp;Itemid=8&amp;page=show_problem&amp;problem=1332","[UVa 10391] Compound Words")</f>
        <v>[UVa 10391] Compound Words</v>
      </c>
      <c r="B895" s="33">
        <f t="shared" si="2"/>
        <v>3</v>
      </c>
      <c r="C895" s="52"/>
      <c r="D895" s="34" t="s">
        <v>38</v>
      </c>
      <c r="E895" s="47" t="s">
        <v>38</v>
      </c>
      <c r="F895" s="45" t="s">
        <v>38</v>
      </c>
      <c r="G895" s="7"/>
    </row>
    <row r="896">
      <c r="A896" s="32" t="str">
        <f>HYPERLINK("https://uva.onlinejudge.org/index.php?option=onlinejudge&amp;page=show_problem&amp;problem=1449","[UVa 10508] Word Morphing")</f>
        <v>[UVa 10508] Word Morphing</v>
      </c>
      <c r="B896" s="33">
        <f t="shared" si="2"/>
        <v>3</v>
      </c>
      <c r="C896" s="52"/>
      <c r="D896" s="34" t="s">
        <v>38</v>
      </c>
      <c r="E896" s="47" t="s">
        <v>38</v>
      </c>
      <c r="F896" s="45" t="s">
        <v>38</v>
      </c>
      <c r="G896" s="7"/>
    </row>
    <row r="897">
      <c r="A897" s="32" t="str">
        <f>HYPERLINK("https://uva.onlinejudge.org/index.php?option=onlinejudge&amp;page=show_problem&amp;problem=1756","[UVa 10815] Andy's FIrst Dictionary")</f>
        <v>[UVa 10815] Andy's FIrst Dictionary</v>
      </c>
      <c r="B897" s="33">
        <f t="shared" si="2"/>
        <v>3</v>
      </c>
      <c r="C897" s="52"/>
      <c r="D897" s="34" t="s">
        <v>38</v>
      </c>
      <c r="E897" s="47" t="s">
        <v>38</v>
      </c>
      <c r="F897" s="45" t="s">
        <v>38</v>
      </c>
      <c r="G897" s="7"/>
    </row>
    <row r="898">
      <c r="A898" s="32" t="str">
        <f>HYPERLINK("https://uva.onlinejudge.org/index.php?option=com_onlinejudge&amp;Itemid=8&amp;page=show_problem&amp;problem=1819","[UVa 10878] Decode the Tape")</f>
        <v>[UVa 10878] Decode the Tape</v>
      </c>
      <c r="B898" s="33">
        <f t="shared" si="2"/>
        <v>3</v>
      </c>
      <c r="C898" s="52"/>
      <c r="D898" s="34" t="s">
        <v>38</v>
      </c>
      <c r="E898" s="47" t="s">
        <v>38</v>
      </c>
      <c r="F898" s="45" t="s">
        <v>38</v>
      </c>
      <c r="G898" s="7"/>
    </row>
    <row r="899">
      <c r="A899" s="32" t="str">
        <f>HYPERLINK("https://uva.onlinejudge.org/index.php?option=onlinejudge&amp;page=show_problem&amp;problem=1837","[UVa 10896] Known Plaintext Attack")</f>
        <v>[UVa 10896] Known Plaintext Attack</v>
      </c>
      <c r="B899" s="33">
        <f t="shared" si="2"/>
        <v>3</v>
      </c>
      <c r="C899" s="52"/>
      <c r="D899" s="34" t="s">
        <v>38</v>
      </c>
      <c r="E899" s="47" t="s">
        <v>38</v>
      </c>
      <c r="F899" s="45" t="s">
        <v>38</v>
      </c>
      <c r="G899" s="7"/>
    </row>
    <row r="900">
      <c r="A900" s="32" t="str">
        <f>HYPERLINK("https://uva.onlinejudge.org/index.php?option=onlinejudge&amp;page=show_problem&amp;problem=1997","[UVa 11056] Formula 1")</f>
        <v>[UVa 11056] Formula 1</v>
      </c>
      <c r="B900" s="33">
        <f t="shared" si="2"/>
        <v>3</v>
      </c>
      <c r="C900" s="52"/>
      <c r="D900" s="34" t="s">
        <v>38</v>
      </c>
      <c r="E900" s="47" t="s">
        <v>38</v>
      </c>
      <c r="F900" s="45" t="s">
        <v>38</v>
      </c>
      <c r="G900" s="7"/>
    </row>
    <row r="901">
      <c r="A901" s="32" t="str">
        <f>HYPERLINK("https://uva.onlinejudge.org/index.php?option=onlinejudge&amp;page=show_problem&amp;problem=2003","[UVa 11062] Andy's Second Dictionary")</f>
        <v>[UVa 11062] Andy's Second Dictionary</v>
      </c>
      <c r="B901" s="33">
        <f t="shared" si="2"/>
        <v>3</v>
      </c>
      <c r="C901" s="52"/>
      <c r="D901" s="34" t="s">
        <v>38</v>
      </c>
      <c r="E901" s="47" t="s">
        <v>38</v>
      </c>
      <c r="F901" s="45" t="s">
        <v>38</v>
      </c>
      <c r="G901" s="7"/>
    </row>
    <row r="902">
      <c r="A902" s="32" t="str">
        <f>HYPERLINK("https://uva.onlinejudge.org/index.php?option=onlinejudge&amp;page=show_problem&amp;problem=2162","[UVa 11221] Magic Square Palindromes")</f>
        <v>[UVa 11221] Magic Square Palindromes</v>
      </c>
      <c r="B902" s="33">
        <f t="shared" si="2"/>
        <v>3</v>
      </c>
      <c r="C902" s="52"/>
      <c r="D902" s="34" t="s">
        <v>38</v>
      </c>
      <c r="E902" s="47" t="s">
        <v>38</v>
      </c>
      <c r="F902" s="45" t="s">
        <v>38</v>
      </c>
      <c r="G902" s="7"/>
    </row>
    <row r="903">
      <c r="A903" s="32" t="str">
        <f>HYPERLINK("https://uva.onlinejudge.org/index.php?option=onlinejudge&amp;page=show_problem&amp;problem=2174","[UVa 11223] Deli Deli")</f>
        <v>[UVa 11223] Deli Deli</v>
      </c>
      <c r="B903" s="33">
        <f t="shared" si="2"/>
        <v>3</v>
      </c>
      <c r="C903" s="52"/>
      <c r="D903" s="34" t="s">
        <v>38</v>
      </c>
      <c r="E903" s="47" t="s">
        <v>38</v>
      </c>
      <c r="F903" s="45" t="s">
        <v>38</v>
      </c>
      <c r="G903" s="7"/>
    </row>
    <row r="904">
      <c r="A904" s="32" t="str">
        <f>HYPERLINK("https://uva.onlinejudge.org/index.php?option=onlinejudge&amp;page=show_problem&amp;problem=2253","[UVa 11278] One-handed Typist")</f>
        <v>[UVa 11278] One-handed Typist</v>
      </c>
      <c r="B904" s="33">
        <f t="shared" si="2"/>
        <v>3</v>
      </c>
      <c r="C904" s="52"/>
      <c r="D904" s="34" t="s">
        <v>38</v>
      </c>
      <c r="E904" s="47" t="s">
        <v>38</v>
      </c>
      <c r="F904" s="45" t="s">
        <v>38</v>
      </c>
      <c r="G904" s="7"/>
    </row>
    <row r="905">
      <c r="A905" s="32" t="str">
        <f>HYPERLINK("https://uva.onlinejudge.org/index.php?option=com_onlinejudge&amp;Itemid=8&amp;page=show_problem&amp;problem=2347","[UVa 11362] Phone List")</f>
        <v>[UVa 11362] Phone List</v>
      </c>
      <c r="B905" s="33">
        <f t="shared" si="2"/>
        <v>3</v>
      </c>
      <c r="C905" s="52"/>
      <c r="D905" s="34" t="s">
        <v>38</v>
      </c>
      <c r="E905" s="47" t="s">
        <v>38</v>
      </c>
      <c r="F905" s="45" t="s">
        <v>38</v>
      </c>
      <c r="G905" s="7"/>
    </row>
    <row r="906">
      <c r="A906" s="32" t="str">
        <f>HYPERLINK("https://uva.onlinejudge.org/index.php?option=onlinejudge&amp;page=show_problem&amp;problem=2380","[UVa 11385] Da Vinci Code")</f>
        <v>[UVa 11385] Da Vinci Code</v>
      </c>
      <c r="B906" s="33">
        <f t="shared" si="2"/>
        <v>3</v>
      </c>
      <c r="C906" s="52"/>
      <c r="D906" s="34" t="s">
        <v>38</v>
      </c>
      <c r="E906" s="47" t="s">
        <v>38</v>
      </c>
      <c r="F906" s="45" t="s">
        <v>38</v>
      </c>
      <c r="G906" s="7"/>
    </row>
    <row r="907">
      <c r="A907" s="32" t="str">
        <f>HYPERLINK("https://uva.onlinejudge.org/index.php?option=com_onlinejudge&amp;Itemid=8&amp;page=show_problem&amp;problem=1989","[UVa 11048] Automatic Correction of Misspellings")</f>
        <v>[UVa 11048] Automatic Correction of Misspellings</v>
      </c>
      <c r="B907" s="33">
        <f t="shared" si="2"/>
        <v>3</v>
      </c>
      <c r="C907" s="52"/>
      <c r="D907" s="34" t="s">
        <v>38</v>
      </c>
      <c r="E907" s="47" t="s">
        <v>38</v>
      </c>
      <c r="F907" s="45" t="s">
        <v>38</v>
      </c>
      <c r="G907" s="7"/>
    </row>
    <row r="908">
      <c r="A908" s="32" t="str">
        <f>HYPERLINK("https://uva.onlinejudge.org/index.php?option=com_onlinejudge&amp;Itemid=8&amp;page=show_problem&amp;problem=2760","[UVa 11713] Abstract Names")</f>
        <v>[UVa 11713] Abstract Names</v>
      </c>
      <c r="B908" s="33">
        <f t="shared" si="2"/>
        <v>3</v>
      </c>
      <c r="C908" s="52"/>
      <c r="D908" s="34" t="s">
        <v>38</v>
      </c>
      <c r="E908" s="47" t="s">
        <v>38</v>
      </c>
      <c r="F908" s="45" t="s">
        <v>38</v>
      </c>
      <c r="G908" s="7"/>
    </row>
    <row r="909">
      <c r="A909" s="32" t="str">
        <f>HYPERLINK("https://uva.onlinejudge.org/index.php?option=com_onlinejudge&amp;Itemid=8&amp;page=show_problem&amp;problem=2763","[UVa 11716] Digital Fortress")</f>
        <v>[UVa 11716] Digital Fortress</v>
      </c>
      <c r="B909" s="33">
        <f t="shared" si="2"/>
        <v>3</v>
      </c>
      <c r="C909" s="52"/>
      <c r="D909" s="34" t="s">
        <v>38</v>
      </c>
      <c r="E909" s="47" t="s">
        <v>38</v>
      </c>
      <c r="F909" s="45" t="s">
        <v>38</v>
      </c>
      <c r="G909" s="7"/>
    </row>
    <row r="910">
      <c r="A910" s="32" t="str">
        <f>HYPERLINK("https://uva.onlinejudge.org/index.php?option=com_onlinejudge&amp;Itemid=8&amp;page=show_problem&amp;problem=2834","[UVa 11734] Big Number of Teams Will Solve This")</f>
        <v>[UVa 11734] Big Number of Teams Will Solve This</v>
      </c>
      <c r="B910" s="33">
        <f t="shared" si="2"/>
        <v>3</v>
      </c>
      <c r="C910" s="52"/>
      <c r="D910" s="34" t="s">
        <v>38</v>
      </c>
      <c r="E910" s="47" t="s">
        <v>38</v>
      </c>
      <c r="F910" s="45" t="s">
        <v>38</v>
      </c>
      <c r="G910" s="7"/>
    </row>
    <row r="911">
      <c r="A911" s="32" t="str">
        <f>HYPERLINK("https://uva.onlinejudge.org/index.php?option=onlinejudge&amp;page=show_problem&amp;problem=660","[UVa 719] Glass Beads")</f>
        <v>[UVa 719] Glass Beads</v>
      </c>
      <c r="B911" s="33">
        <f t="shared" si="2"/>
        <v>2</v>
      </c>
      <c r="C911" s="52"/>
      <c r="D911" s="34" t="s">
        <v>38</v>
      </c>
      <c r="E911" s="12"/>
      <c r="F911" s="60" t="s">
        <v>38</v>
      </c>
      <c r="G911" s="7"/>
    </row>
    <row r="912">
      <c r="A912" s="32" t="str">
        <f>HYPERLINK("https://uva.onlinejudge.org/index.php?option=com_onlinejudge&amp;Itemid=8&amp;page=show_problem&amp;problem=1467","[UVa 10526] Intellectual Property")</f>
        <v>[UVa 10526] Intellectual Property</v>
      </c>
      <c r="B912" s="33">
        <f t="shared" si="2"/>
        <v>0</v>
      </c>
      <c r="C912" s="52"/>
      <c r="D912" s="51"/>
      <c r="E912" s="12"/>
      <c r="F912" s="7"/>
      <c r="G912" s="7"/>
    </row>
    <row r="913">
      <c r="A913" s="32" t="str">
        <f>HYPERLINK("https://uva.onlinejudge.org/index.php?option=com_onlinejudge&amp;Itemid=8&amp;page=show_problem&amp;problem=2048","[UVa 11107] Life Forms")</f>
        <v>[UVa 11107] Life Forms</v>
      </c>
      <c r="B913" s="33">
        <f t="shared" si="2"/>
        <v>0</v>
      </c>
      <c r="C913" s="52"/>
      <c r="D913" s="34" t="s">
        <v>149</v>
      </c>
      <c r="E913" s="12"/>
      <c r="F913" s="7"/>
      <c r="G913" s="7"/>
    </row>
    <row r="914">
      <c r="A914" s="32" t="str">
        <f>HYPERLINK("https://uva.onlinejudge.org/index.php?option=com_onlinejudge&amp;Itemid=8&amp;page=show_problem&amp;problem=2507","[UVa 11512] GATTACA")</f>
        <v>[UVa 11512] GATTACA</v>
      </c>
      <c r="B914" s="33">
        <f t="shared" si="2"/>
        <v>2</v>
      </c>
      <c r="C914" s="52"/>
      <c r="D914" s="34" t="s">
        <v>38</v>
      </c>
      <c r="E914" s="12"/>
      <c r="F914" s="60" t="s">
        <v>38</v>
      </c>
      <c r="G914" s="7"/>
    </row>
    <row r="915">
      <c r="A915" s="32" t="str">
        <f>HYPERLINK("http://lightoj.com/volume_showproblem.php?problem=1314","[LOJ 1314] Names for Babies")</f>
        <v>[LOJ 1314] Names for Babies</v>
      </c>
      <c r="B915" s="33">
        <f t="shared" si="2"/>
        <v>1</v>
      </c>
      <c r="C915" s="52"/>
      <c r="D915" s="51"/>
      <c r="E915" s="12"/>
      <c r="F915" s="45" t="s">
        <v>38</v>
      </c>
      <c r="G915" s="7"/>
    </row>
    <row r="916">
      <c r="A916" s="32" t="str">
        <f>HYPERLINK("http://lightoj.com/volume_showproblem.php?problem=1347","[LOJ 1347] Aladdin and the Magic Lamp")</f>
        <v>[LOJ 1347] Aladdin and the Magic Lamp</v>
      </c>
      <c r="B916" s="33">
        <f t="shared" si="2"/>
        <v>1</v>
      </c>
      <c r="C916" s="52"/>
      <c r="D916" s="51"/>
      <c r="E916" s="12"/>
      <c r="F916" s="60" t="s">
        <v>38</v>
      </c>
      <c r="G916" s="7"/>
    </row>
    <row r="917">
      <c r="A917" s="32" t="str">
        <f>HYPERLINK("http://lightoj.com/volume_showproblem.php?problem=1428","[LOJ 1428] Melody Comparison")</f>
        <v>[LOJ 1428] Melody Comparison</v>
      </c>
      <c r="B917" s="33">
        <f t="shared" si="2"/>
        <v>0</v>
      </c>
      <c r="C917" s="52"/>
      <c r="D917" s="51"/>
      <c r="E917" s="12"/>
      <c r="F917" s="7"/>
      <c r="G917" s="7"/>
    </row>
    <row r="918">
      <c r="A918" s="32" t="str">
        <f>HYPERLINK("https://www.spoj.com/problems/SUBST1/","[SPOJ SUBST1] New Distinct Substrings")</f>
        <v>[SPOJ SUBST1] New Distinct Substrings</v>
      </c>
      <c r="B918" s="33">
        <f t="shared" si="2"/>
        <v>1</v>
      </c>
      <c r="C918" s="52"/>
      <c r="D918" s="51"/>
      <c r="E918" s="12"/>
      <c r="F918" s="60" t="s">
        <v>38</v>
      </c>
      <c r="G918" s="7"/>
    </row>
    <row r="919">
      <c r="A919" s="32" t="str">
        <f>HYPERLINK("https://www.codechef.com/problems/MOU1H","[CC MOU1H] Mountain Holidays")</f>
        <v>[CC MOU1H] Mountain Holidays</v>
      </c>
      <c r="B919" s="33">
        <f t="shared" si="2"/>
        <v>0</v>
      </c>
      <c r="C919" s="52"/>
      <c r="D919" s="51"/>
      <c r="E919" s="12"/>
      <c r="F919" s="7"/>
      <c r="G919" s="7"/>
    </row>
    <row r="920">
      <c r="A920" s="32" t="str">
        <f>HYPERLINK("http://lightoj.com/volume_showproblem.php?problem=1255","[LOJ 1255] Substring Frequency")</f>
        <v>[LOJ 1255] Substring Frequency</v>
      </c>
      <c r="B920" s="33">
        <f t="shared" si="2"/>
        <v>2</v>
      </c>
      <c r="C920" s="52"/>
      <c r="D920" s="34" t="s">
        <v>38</v>
      </c>
      <c r="E920" s="12"/>
      <c r="F920" s="45" t="s">
        <v>38</v>
      </c>
      <c r="G920" s="7"/>
    </row>
    <row r="921">
      <c r="A921" s="32" t="str">
        <f>HYPERLINK("http://lightoj.com/volume_showproblem.php?problem=1258","[LOJ 1258] Making Huge Palindromes")</f>
        <v>[LOJ 1258] Making Huge Palindromes</v>
      </c>
      <c r="B921" s="33">
        <f t="shared" si="2"/>
        <v>2</v>
      </c>
      <c r="C921" s="52"/>
      <c r="D921" s="34" t="s">
        <v>38</v>
      </c>
      <c r="E921" s="12"/>
      <c r="F921" s="45" t="s">
        <v>38</v>
      </c>
      <c r="G921" s="7"/>
    </row>
    <row r="922">
      <c r="A922" s="32" t="str">
        <f>HYPERLINK("http://lightoj.com/volume_showproblem.php?problem=1268","[LOJ 1268] Unlucky Strings")</f>
        <v>[LOJ 1268] Unlucky Strings</v>
      </c>
      <c r="B922" s="33">
        <f t="shared" si="2"/>
        <v>0</v>
      </c>
      <c r="C922" s="52"/>
      <c r="D922" s="34" t="s">
        <v>129</v>
      </c>
      <c r="E922" s="12"/>
      <c r="F922" s="7"/>
      <c r="G922" s="7"/>
    </row>
    <row r="923">
      <c r="A923" s="32" t="str">
        <f>HYPERLINK("https://www.codechef.com/problems/TASHIFT","[CC TASHIFT] Shift the String")</f>
        <v>[CC TASHIFT] Shift the String</v>
      </c>
      <c r="B923" s="33">
        <f t="shared" si="2"/>
        <v>2</v>
      </c>
      <c r="C923" s="52"/>
      <c r="D923" s="34" t="s">
        <v>38</v>
      </c>
      <c r="E923" s="12"/>
      <c r="F923" s="45" t="s">
        <v>38</v>
      </c>
      <c r="G923" s="7"/>
    </row>
    <row r="924">
      <c r="A924" s="32" t="str">
        <f>HYPERLINK("http://lightoj.com/volume_showproblem.php?problem=1427","[LOJ 1427] Substring Frequency (II)")</f>
        <v>[LOJ 1427] Substring Frequency (II)</v>
      </c>
      <c r="B924" s="33">
        <f t="shared" si="2"/>
        <v>1</v>
      </c>
      <c r="C924" s="52"/>
      <c r="D924" s="34" t="s">
        <v>38</v>
      </c>
      <c r="E924" s="12"/>
      <c r="F924" s="7"/>
      <c r="G924" s="7"/>
    </row>
    <row r="925">
      <c r="A925" s="32" t="str">
        <f>HYPERLINK("https://uva.onlinejudge.org/index.php?option=com_onlinejudge&amp;Itemid=8&amp;page=show_problem&amp;problem=120","[UVa 184] Laser Lines")</f>
        <v>[UVa 184] Laser Lines</v>
      </c>
      <c r="B925" s="33">
        <f t="shared" si="2"/>
        <v>3</v>
      </c>
      <c r="C925" s="52"/>
      <c r="D925" s="34" t="s">
        <v>38</v>
      </c>
      <c r="E925" s="47" t="s">
        <v>38</v>
      </c>
      <c r="F925" s="39" t="s">
        <v>38</v>
      </c>
      <c r="G925" s="7"/>
    </row>
    <row r="926">
      <c r="A926" s="32" t="str">
        <f>HYPERLINK("https://uva.onlinejudge.org/index.php?option=com_onlinejudge&amp;Itemid=8&amp;page=show_problem&amp;problem=206","[UVa 270] Lining Up")</f>
        <v>[UVa 270] Lining Up</v>
      </c>
      <c r="B926" s="33">
        <f t="shared" si="2"/>
        <v>3</v>
      </c>
      <c r="C926" s="52"/>
      <c r="D926" s="34" t="s">
        <v>38</v>
      </c>
      <c r="E926" s="47" t="s">
        <v>38</v>
      </c>
      <c r="F926" s="39" t="s">
        <v>38</v>
      </c>
      <c r="G926" s="7"/>
    </row>
    <row r="927">
      <c r="A927" s="32" t="str">
        <f>HYPERLINK("https://uva.onlinejudge.org/index.php?option=com_onlinejudge&amp;Itemid=8&amp;page=show_problem&amp;problem=774","[UVa 833] Water Falls")</f>
        <v>[UVa 833] Water Falls</v>
      </c>
      <c r="B927" s="33">
        <f t="shared" si="2"/>
        <v>3</v>
      </c>
      <c r="C927" s="52"/>
      <c r="D927" s="34" t="s">
        <v>38</v>
      </c>
      <c r="E927" s="47" t="s">
        <v>38</v>
      </c>
      <c r="F927" s="39" t="s">
        <v>38</v>
      </c>
      <c r="G927" s="7"/>
    </row>
    <row r="928">
      <c r="A928" s="32" t="str">
        <f>HYPERLINK("https://uva.onlinejudge.org/index.php?option=onlinejudge&amp;page=show_problem&amp;problem=1121","[UVa 10180] Rope Crisis in Ropeland")</f>
        <v>[UVa 10180] Rope Crisis in Ropeland</v>
      </c>
      <c r="B928" s="33">
        <f t="shared" si="2"/>
        <v>2</v>
      </c>
      <c r="C928" s="52"/>
      <c r="D928" s="34" t="s">
        <v>38</v>
      </c>
      <c r="E928" s="47" t="s">
        <v>38</v>
      </c>
      <c r="F928" s="7"/>
      <c r="G928" s="7"/>
    </row>
    <row r="929">
      <c r="A929" s="32" t="str">
        <f>HYPERLINK("https://uva.onlinejudge.org/index.php?option=onlinejudge&amp;page=show_problem&amp;problem=1183","[UVa 10242] Fourth Point !!")</f>
        <v>[UVa 10242] Fourth Point !!</v>
      </c>
      <c r="B929" s="33">
        <f t="shared" si="2"/>
        <v>3</v>
      </c>
      <c r="C929" s="52"/>
      <c r="D929" s="34" t="s">
        <v>38</v>
      </c>
      <c r="E929" s="47" t="s">
        <v>38</v>
      </c>
      <c r="F929" s="39" t="s">
        <v>38</v>
      </c>
      <c r="G929" s="7"/>
    </row>
    <row r="930">
      <c r="A930" s="32" t="str">
        <f>HYPERLINK("https://uva.onlinejudge.org/index.php?option=onlinejudge&amp;page=show_problem&amp;problem=1204","[UVa 10263] Railway")</f>
        <v>[UVa 10263] Railway</v>
      </c>
      <c r="B930" s="33">
        <f t="shared" si="2"/>
        <v>2</v>
      </c>
      <c r="C930" s="52"/>
      <c r="D930" s="34" t="s">
        <v>38</v>
      </c>
      <c r="E930" s="47" t="s">
        <v>38</v>
      </c>
      <c r="F930" s="7"/>
      <c r="G930" s="7"/>
    </row>
    <row r="931">
      <c r="A931" s="32" t="str">
        <f>HYPERLINK("https://uva.onlinejudge.org/index.php?option=onlinejudge&amp;page=show_problem&amp;problem=2009","[UVa 11068] An Easy Task")</f>
        <v>[UVa 11068] An Easy Task</v>
      </c>
      <c r="B931" s="33">
        <f t="shared" si="2"/>
        <v>3</v>
      </c>
      <c r="C931" s="52"/>
      <c r="D931" s="34" t="s">
        <v>38</v>
      </c>
      <c r="E931" s="47" t="s">
        <v>38</v>
      </c>
      <c r="F931" s="39" t="s">
        <v>38</v>
      </c>
      <c r="G931" s="7"/>
    </row>
    <row r="932">
      <c r="A932" s="32" t="str">
        <f>HYPERLINK("https://uva.onlinejudge.org/index.php?option=com_onlinejudge&amp;Itemid=8&amp;category=24&amp;page=show_problem&amp;problem=2168","[UVa 11227] The Silver Bullet")</f>
        <v>[UVa 11227] The Silver Bullet</v>
      </c>
      <c r="B932" s="33">
        <f t="shared" si="2"/>
        <v>3</v>
      </c>
      <c r="C932" s="52"/>
      <c r="D932" s="34" t="s">
        <v>38</v>
      </c>
      <c r="E932" s="47" t="s">
        <v>38</v>
      </c>
      <c r="F932" s="39" t="s">
        <v>38</v>
      </c>
      <c r="G932" s="7"/>
    </row>
    <row r="933">
      <c r="A933" s="32" t="str">
        <f>HYPERLINK("https://icpcarchive.ecs.baylor.edu/index.php?option=com_onlinejudge&amp;Itemid=8&amp;page=show_problem&amp;problem=2602","[LA 4601] Euclid")</f>
        <v>[LA 4601] Euclid</v>
      </c>
      <c r="B933" s="33">
        <f t="shared" si="2"/>
        <v>2</v>
      </c>
      <c r="C933" s="52"/>
      <c r="D933" s="34" t="s">
        <v>38</v>
      </c>
      <c r="E933" s="47" t="s">
        <v>38</v>
      </c>
      <c r="F933" s="7"/>
      <c r="G933" s="7"/>
    </row>
    <row r="934">
      <c r="A934" s="32" t="str">
        <f>HYPERLINK("https://uva.onlinejudge.org/index.php?option=onlinejudge&amp;page=show_problem&amp;problem=946","[UVa 10005] Packing Polygons")</f>
        <v>[UVa 10005] Packing Polygons</v>
      </c>
      <c r="B934" s="33">
        <f t="shared" si="2"/>
        <v>2</v>
      </c>
      <c r="C934" s="52"/>
      <c r="D934" s="34" t="s">
        <v>38</v>
      </c>
      <c r="E934" s="47" t="s">
        <v>38</v>
      </c>
      <c r="F934" s="7"/>
      <c r="G934" s="7"/>
    </row>
    <row r="935">
      <c r="A935" s="32" t="str">
        <f>HYPERLINK("https://uva.onlinejudge.org/index.php?option=com_onlinejudge&amp;Itemid=8&amp;page=show_problem&amp;problem=953","[UVa 10012] How Big Is It?")</f>
        <v>[UVa 10012] How Big Is It?</v>
      </c>
      <c r="B935" s="33">
        <f t="shared" si="2"/>
        <v>3</v>
      </c>
      <c r="C935" s="52"/>
      <c r="D935" s="34" t="s">
        <v>38</v>
      </c>
      <c r="E935" s="47" t="s">
        <v>38</v>
      </c>
      <c r="F935" s="39" t="s">
        <v>38</v>
      </c>
      <c r="G935" s="7"/>
    </row>
    <row r="936">
      <c r="A936" s="32" t="str">
        <f>HYPERLINK("https://uva.onlinejudge.org/index.php?option=com_onlinejudge&amp;Itemid=8&amp;page=show_problem&amp;problem=1077","[UVa 10136] Chocolate Chip Cookies")</f>
        <v>[UVa 10136] Chocolate Chip Cookies</v>
      </c>
      <c r="B936" s="33">
        <f t="shared" si="2"/>
        <v>3</v>
      </c>
      <c r="C936" s="52"/>
      <c r="D936" s="34" t="s">
        <v>38</v>
      </c>
      <c r="E936" s="47" t="s">
        <v>38</v>
      </c>
      <c r="F936" s="39" t="s">
        <v>38</v>
      </c>
      <c r="G936" s="7"/>
    </row>
    <row r="937">
      <c r="A937" s="32" t="str">
        <f>HYPERLINK("https://uva.onlinejudge.org/index.php?option=onlinejudge&amp;page=show_problem&amp;problem=1162","[UVa 10221] Satellites")</f>
        <v>[UVa 10221] Satellites</v>
      </c>
      <c r="B937" s="33">
        <f t="shared" si="2"/>
        <v>3</v>
      </c>
      <c r="C937" s="52"/>
      <c r="D937" s="34" t="s">
        <v>38</v>
      </c>
      <c r="E937" s="47" t="s">
        <v>38</v>
      </c>
      <c r="F937" s="45" t="s">
        <v>38</v>
      </c>
      <c r="G937" s="7"/>
    </row>
    <row r="938">
      <c r="A938" s="32" t="str">
        <f>HYPERLINK("https://uva.onlinejudge.org/index.php?option=com_onlinejudge&amp;Itemid=8&amp;page=show_problem&amp;problem=1373","[UVa 10432] Polygon Inside A Circle")</f>
        <v>[UVa 10432] Polygon Inside A Circle</v>
      </c>
      <c r="B938" s="33">
        <f t="shared" si="2"/>
        <v>3</v>
      </c>
      <c r="C938" s="52"/>
      <c r="D938" s="34" t="s">
        <v>38</v>
      </c>
      <c r="E938" s="47" t="s">
        <v>38</v>
      </c>
      <c r="F938" s="45" t="s">
        <v>38</v>
      </c>
      <c r="G938" s="7"/>
    </row>
    <row r="939">
      <c r="A939" s="32" t="str">
        <f>HYPERLINK("https://uva.onlinejudge.org/index.php?option=onlinejudge&amp;page=show_problem&amp;problem=1392","[UVa 10451] Ancient Village Sports")</f>
        <v>[UVa 10451] Ancient Village Sports</v>
      </c>
      <c r="B939" s="33">
        <f t="shared" si="2"/>
        <v>3</v>
      </c>
      <c r="C939" s="52"/>
      <c r="D939" s="34" t="s">
        <v>38</v>
      </c>
      <c r="E939" s="47" t="s">
        <v>38</v>
      </c>
      <c r="F939" s="45" t="s">
        <v>38</v>
      </c>
      <c r="G939" s="7"/>
    </row>
    <row r="940">
      <c r="A940" s="32" t="str">
        <f>HYPERLINK("https://uva.onlinejudge.org/index.php?option=onlinejudge&amp;page=show_problem&amp;problem=1530","[UVa 10589] Area")</f>
        <v>[UVa 10589] Area</v>
      </c>
      <c r="B940" s="33">
        <f t="shared" si="2"/>
        <v>3</v>
      </c>
      <c r="C940" s="52"/>
      <c r="D940" s="34" t="s">
        <v>38</v>
      </c>
      <c r="E940" s="47" t="s">
        <v>38</v>
      </c>
      <c r="F940" s="45" t="s">
        <v>38</v>
      </c>
      <c r="G940" s="7"/>
    </row>
    <row r="941">
      <c r="A941" s="32" t="str">
        <f>HYPERLINK("https://uva.onlinejudge.org/index.php?option=com_onlinejudge&amp;Itemid=8&amp;page=show_problem&amp;problem=79","[UVa 143] Orchard Trees")</f>
        <v>[UVa 143] Orchard Trees</v>
      </c>
      <c r="B941" s="33">
        <f t="shared" si="2"/>
        <v>3</v>
      </c>
      <c r="C941" s="52"/>
      <c r="D941" s="34" t="s">
        <v>38</v>
      </c>
      <c r="E941" s="47" t="s">
        <v>38</v>
      </c>
      <c r="F941" s="45" t="s">
        <v>38</v>
      </c>
      <c r="G941" s="7"/>
    </row>
    <row r="942">
      <c r="A942" s="32" t="str">
        <f>HYPERLINK("https://uva.onlinejudge.org/index.php?option=onlinejudge&amp;page=show_problem&amp;problem=126","[UVa 190] Circle Through Three Points")</f>
        <v>[UVa 190] Circle Through Three Points</v>
      </c>
      <c r="B942" s="33">
        <f t="shared" si="2"/>
        <v>3</v>
      </c>
      <c r="C942" s="52"/>
      <c r="D942" s="34" t="s">
        <v>38</v>
      </c>
      <c r="E942" s="47" t="s">
        <v>38</v>
      </c>
      <c r="F942" s="45" t="s">
        <v>38</v>
      </c>
      <c r="G942" s="7"/>
    </row>
    <row r="943">
      <c r="A943" s="32" t="str">
        <f>HYPERLINK("https://uva.onlinejudge.org/index.php?option=onlinejudge&amp;page=show_problem&amp;problem=379","[UVa 438] The Circumference Of The Circle")</f>
        <v>[UVa 438] The Circumference Of The Circle</v>
      </c>
      <c r="B943" s="33">
        <f t="shared" si="2"/>
        <v>3</v>
      </c>
      <c r="C943" s="52"/>
      <c r="D943" s="34" t="s">
        <v>38</v>
      </c>
      <c r="E943" s="47" t="s">
        <v>38</v>
      </c>
      <c r="F943" s="45" t="s">
        <v>38</v>
      </c>
      <c r="G943" s="7"/>
    </row>
    <row r="944">
      <c r="A944" s="32" t="str">
        <f>HYPERLINK("https://uva.onlinejudge.org/index.php?option=onlinejudge&amp;page=show_problem&amp;problem=1136","[UVa 10195] The Knights Of The Round Table")</f>
        <v>[UVa 10195] The Knights Of The Round Table</v>
      </c>
      <c r="B944" s="33">
        <f t="shared" si="2"/>
        <v>3</v>
      </c>
      <c r="C944" s="52"/>
      <c r="D944" s="34" t="s">
        <v>38</v>
      </c>
      <c r="E944" s="47" t="s">
        <v>38</v>
      </c>
      <c r="F944" s="45" t="s">
        <v>38</v>
      </c>
      <c r="G944" s="7"/>
    </row>
    <row r="945">
      <c r="A945" s="32" t="str">
        <f>HYPERLINK("https://uva.onlinejudge.org/index.php?option=onlinejudge&amp;page=show_problem&amp;problem=1227","[UVa 10286] Trouble With A Pentagon")</f>
        <v>[UVa 10286] Trouble With A Pentagon</v>
      </c>
      <c r="B945" s="33">
        <f t="shared" si="2"/>
        <v>3</v>
      </c>
      <c r="C945" s="52"/>
      <c r="D945" s="34" t="s">
        <v>38</v>
      </c>
      <c r="E945" s="47" t="s">
        <v>38</v>
      </c>
      <c r="F945" s="45" t="s">
        <v>38</v>
      </c>
      <c r="G945" s="7"/>
    </row>
    <row r="946">
      <c r="A946" s="32" t="str">
        <f>HYPERLINK("https://uva.onlinejudge.org/index.php?option=onlinejudge&amp;page=show_problem&amp;problem=1288","[UVa 10347] Medians")</f>
        <v>[UVa 10347] Medians</v>
      </c>
      <c r="B946" s="33">
        <f t="shared" si="2"/>
        <v>3</v>
      </c>
      <c r="C946" s="52"/>
      <c r="D946" s="34" t="s">
        <v>38</v>
      </c>
      <c r="E946" s="47" t="s">
        <v>38</v>
      </c>
      <c r="F946" s="45" t="s">
        <v>38</v>
      </c>
      <c r="G946" s="7"/>
    </row>
    <row r="947">
      <c r="A947" s="32" t="str">
        <f>HYPERLINK("https://uva.onlinejudge.org/index.php?option=com_onlinejudge&amp;Itemid=8&amp;page=show_problem&amp;problem=1932","[UVa 10991] Region")</f>
        <v>[UVa 10991] Region</v>
      </c>
      <c r="B947" s="33">
        <f t="shared" si="2"/>
        <v>3</v>
      </c>
      <c r="C947" s="52"/>
      <c r="D947" s="34" t="s">
        <v>38</v>
      </c>
      <c r="E947" s="47" t="s">
        <v>38</v>
      </c>
      <c r="F947" s="45" t="s">
        <v>38</v>
      </c>
      <c r="G947" s="7"/>
    </row>
    <row r="948">
      <c r="A948" s="32" t="str">
        <f>HYPERLINK("https://uva.onlinejudge.org/index.php?option=onlinejudge&amp;page=show_problem&amp;problem=2093","[UVa 11152] Colourful Flowers")</f>
        <v>[UVa 11152] Colourful Flowers</v>
      </c>
      <c r="B948" s="33">
        <f t="shared" si="2"/>
        <v>3</v>
      </c>
      <c r="C948" s="52"/>
      <c r="D948" s="34" t="s">
        <v>38</v>
      </c>
      <c r="E948" s="47" t="s">
        <v>38</v>
      </c>
      <c r="F948" s="45" t="s">
        <v>38</v>
      </c>
      <c r="G948" s="7"/>
    </row>
    <row r="949">
      <c r="A949" s="32" t="str">
        <f>HYPERLINK("https://uva.onlinejudge.org/index.php?option=com_onlinejudge&amp;Itemid=8&amp;page=show_problem&amp;problem=2432","[UVa 11437] Triangle Fun")</f>
        <v>[UVa 11437] Triangle Fun</v>
      </c>
      <c r="B949" s="33">
        <f t="shared" si="2"/>
        <v>2</v>
      </c>
      <c r="C949" s="52"/>
      <c r="D949" s="34" t="s">
        <v>38</v>
      </c>
      <c r="E949" s="47" t="s">
        <v>38</v>
      </c>
      <c r="F949" s="7"/>
      <c r="G949" s="7"/>
    </row>
    <row r="950">
      <c r="A950" s="32" t="str">
        <f>HYPERLINK("https://uva.onlinejudge.org/index.php?option=com_onlinejudge&amp;Itemid=8&amp;page=show_problem&amp;problem=2474","[UVa 11479] Is This The Easiest Problem?")</f>
        <v>[UVa 11479] Is This The Easiest Problem?</v>
      </c>
      <c r="B950" s="33">
        <f t="shared" si="2"/>
        <v>2</v>
      </c>
      <c r="C950" s="52"/>
      <c r="D950" s="34" t="s">
        <v>38</v>
      </c>
      <c r="E950" s="47" t="s">
        <v>38</v>
      </c>
      <c r="F950" s="7"/>
      <c r="G950" s="7"/>
    </row>
    <row r="951">
      <c r="A951" s="32" t="str">
        <f>HYPERLINK("https://uva.onlinejudge.org/index.php?option=com_onlinejudge&amp;Itemid=8&amp;page=show_problem&amp;problem=2519","[UVa 11524] InCircle")</f>
        <v>[UVa 11524] InCircle</v>
      </c>
      <c r="B951" s="33">
        <f t="shared" si="2"/>
        <v>1</v>
      </c>
      <c r="C951" s="52"/>
      <c r="D951" s="34" t="s">
        <v>38</v>
      </c>
      <c r="E951" s="12"/>
      <c r="F951" s="7"/>
      <c r="G951" s="7"/>
    </row>
    <row r="952">
      <c r="A952" s="32" t="str">
        <f>HYPERLINK("https://uva.onlinejudge.org/index.php?option=com_onlinejudge&amp;Itemid=8&amp;page=show_problem&amp;problem=2626","[UVa 11579] Triangle Trouble")</f>
        <v>[UVa 11579] Triangle Trouble</v>
      </c>
      <c r="B952" s="33">
        <f t="shared" si="2"/>
        <v>2</v>
      </c>
      <c r="C952" s="52"/>
      <c r="D952" s="34" t="s">
        <v>38</v>
      </c>
      <c r="E952" s="47" t="s">
        <v>38</v>
      </c>
      <c r="F952" s="7"/>
      <c r="G952" s="7"/>
    </row>
    <row r="953">
      <c r="A953" s="32" t="str">
        <f>HYPERLINK("https://icpcarchive.ecs.baylor.edu/index.php?option=com_onlinejudge&amp;Itemid=8&amp;page=show_problem&amp;problem=2414","[LA 4413] Triangle Hazard")</f>
        <v>[LA 4413] Triangle Hazard</v>
      </c>
      <c r="B953" s="33">
        <f t="shared" si="2"/>
        <v>0</v>
      </c>
      <c r="C953" s="52"/>
      <c r="D953" s="34" t="s">
        <v>150</v>
      </c>
      <c r="E953" s="12"/>
      <c r="F953" s="7"/>
      <c r="G953" s="7"/>
    </row>
    <row r="954">
      <c r="A954" s="32" t="str">
        <f>HYPERLINK("https://uva.onlinejudge.org/index.php?option=onlinejudge&amp;page=show_problem&amp;problem=137","[UVa 201] Squares")</f>
        <v>[UVa 201] Squares</v>
      </c>
      <c r="B954" s="33">
        <f t="shared" si="2"/>
        <v>2</v>
      </c>
      <c r="C954" s="52"/>
      <c r="D954" s="34" t="s">
        <v>38</v>
      </c>
      <c r="E954" s="47" t="s">
        <v>38</v>
      </c>
      <c r="F954" s="7"/>
      <c r="G954" s="7"/>
    </row>
    <row r="955">
      <c r="A955" s="32" t="str">
        <f>HYPERLINK("https://uva.onlinejudge.org/index.php?option=onlinejudge&amp;page=show_problem&amp;problem=417","[UVa 476] Point in Figures: Rectangles")</f>
        <v>[UVa 476] Point in Figures: Rectangles</v>
      </c>
      <c r="B955" s="33">
        <f t="shared" si="2"/>
        <v>2</v>
      </c>
      <c r="C955" s="52"/>
      <c r="D955" s="34" t="s">
        <v>38</v>
      </c>
      <c r="E955" s="47" t="s">
        <v>38</v>
      </c>
      <c r="F955" s="7"/>
      <c r="G955" s="7"/>
    </row>
    <row r="956">
      <c r="A956" s="32" t="str">
        <f>HYPERLINK("https://uva.onlinejudge.org/index.php?option=onlinejudge&amp;page=show_problem&amp;problem=1443","[UVa 10502] Counting Rectangles")</f>
        <v>[UVa 10502] Counting Rectangles</v>
      </c>
      <c r="B956" s="33">
        <f t="shared" si="2"/>
        <v>2</v>
      </c>
      <c r="C956" s="52"/>
      <c r="D956" s="34" t="s">
        <v>38</v>
      </c>
      <c r="E956" s="47" t="s">
        <v>38</v>
      </c>
      <c r="F956" s="7"/>
      <c r="G956" s="7"/>
    </row>
    <row r="957">
      <c r="A957" s="32" t="str">
        <f>HYPERLINK("https://uva.onlinejudge.org/index.php?option=onlinejudge&amp;page=show_problem&amp;problem=1849","[UVa 10908] Largest Square")</f>
        <v>[UVa 10908] Largest Square</v>
      </c>
      <c r="B957" s="33">
        <f t="shared" si="2"/>
        <v>2</v>
      </c>
      <c r="C957" s="52"/>
      <c r="D957" s="34" t="s">
        <v>38</v>
      </c>
      <c r="E957" s="47" t="s">
        <v>38</v>
      </c>
      <c r="F957" s="7"/>
      <c r="G957" s="7"/>
    </row>
    <row r="958">
      <c r="A958" s="32" t="str">
        <f>HYPERLINK("https://uva.onlinejudge.org/index.php?option=onlinejudge&amp;page=show_problem&amp;problem=2148","[UVa 11207] The Easiest Way")</f>
        <v>[UVa 11207] The Easiest Way</v>
      </c>
      <c r="B958" s="33">
        <f t="shared" si="2"/>
        <v>2</v>
      </c>
      <c r="C958" s="52"/>
      <c r="D958" s="34" t="s">
        <v>38</v>
      </c>
      <c r="E958" s="47" t="s">
        <v>38</v>
      </c>
      <c r="F958" s="7"/>
      <c r="G958" s="7"/>
    </row>
    <row r="959">
      <c r="A959" s="32" t="str">
        <f>HYPERLINK("https://uva.onlinejudge.org/index.php?option=com_onlinejudge&amp;Itemid=8&amp;page=show_problem&amp;problem=2450","[UVa 11455] Behold My Quadrangle")</f>
        <v>[UVa 11455] Behold My Quadrangle</v>
      </c>
      <c r="B959" s="33">
        <f t="shared" si="2"/>
        <v>2</v>
      </c>
      <c r="C959" s="52"/>
      <c r="D959" s="34" t="s">
        <v>38</v>
      </c>
      <c r="E959" s="47" t="s">
        <v>38</v>
      </c>
      <c r="F959" s="7"/>
      <c r="G959" s="7"/>
    </row>
    <row r="960">
      <c r="A960" s="32" t="str">
        <f>HYPERLINK("https://uva.onlinejudge.org/index.php?option=com_onlinejudge&amp;Itemid=8&amp;page=show_problem&amp;problem=476","[UVa 535] Globetrotter")</f>
        <v>[UVa 535] Globetrotter</v>
      </c>
      <c r="B960" s="33">
        <f t="shared" si="2"/>
        <v>2</v>
      </c>
      <c r="C960" s="52"/>
      <c r="D960" s="34" t="s">
        <v>38</v>
      </c>
      <c r="E960" s="47" t="s">
        <v>38</v>
      </c>
      <c r="F960" s="7"/>
      <c r="G960" s="7"/>
    </row>
    <row r="961">
      <c r="A961" s="32" t="str">
        <f>HYPERLINK("https://uva.onlinejudge.org/index.php?option=onlinejudge&amp;page=show_problem&amp;problem=1016","[UVa 10075] Airlines")</f>
        <v>[UVa 10075] Airlines</v>
      </c>
      <c r="B961" s="33">
        <f t="shared" si="2"/>
        <v>2</v>
      </c>
      <c r="C961" s="52"/>
      <c r="D961" s="34" t="s">
        <v>38</v>
      </c>
      <c r="E961" s="47" t="s">
        <v>38</v>
      </c>
      <c r="F961" s="7"/>
      <c r="G961" s="7"/>
    </row>
    <row r="962">
      <c r="A962" s="32" t="str">
        <f>HYPERLINK("https://uva.onlinejudge.org/index.php?option=com_onlinejudge&amp;Itemid=8&amp;page=show_problem&amp;problem=1257","[UVa 10316] Airline Hub")</f>
        <v>[UVa 10316] Airline Hub</v>
      </c>
      <c r="B962" s="33">
        <f t="shared" si="2"/>
        <v>2</v>
      </c>
      <c r="C962" s="52"/>
      <c r="D962" s="34" t="s">
        <v>38</v>
      </c>
      <c r="E962" s="47" t="s">
        <v>38</v>
      </c>
      <c r="F962" s="7"/>
      <c r="G962" s="7"/>
    </row>
    <row r="963">
      <c r="A963" s="32" t="str">
        <f>HYPERLINK("https://uva.onlinejudge.org/index.php?option=onlinejudge&amp;page=show_problem&amp;problem=1838","[UVa 10897] Travelling Distance")</f>
        <v>[UVa 10897] Travelling Distance</v>
      </c>
      <c r="B963" s="33">
        <f t="shared" si="2"/>
        <v>2</v>
      </c>
      <c r="C963" s="52"/>
      <c r="D963" s="34" t="s">
        <v>38</v>
      </c>
      <c r="E963" s="47" t="s">
        <v>38</v>
      </c>
      <c r="F963" s="7"/>
      <c r="G963" s="7"/>
    </row>
    <row r="964">
      <c r="A964" s="32" t="str">
        <f>HYPERLINK("https://uva.onlinejudge.org/index.php?option=com_onlinejudge&amp;Itemid=8&amp;page=show_problem&amp;problem=2917","[UVa 11817] Tunnelling the Earth")</f>
        <v>[UVa 11817] Tunnelling the Earth</v>
      </c>
      <c r="B964" s="33">
        <f t="shared" si="2"/>
        <v>2</v>
      </c>
      <c r="C964" s="52"/>
      <c r="D964" s="34" t="s">
        <v>38</v>
      </c>
      <c r="E964" s="47" t="s">
        <v>38</v>
      </c>
      <c r="F964" s="7"/>
      <c r="G964" s="7"/>
    </row>
    <row r="965">
      <c r="A965" s="32" t="str">
        <f>HYPERLINK("https://uva.onlinejudge.org/index.php?option=onlinejudge&amp;page=show_problem&amp;problem=419","[UVa 478] Points in Figures: Rectangles, Circles, Triangles")</f>
        <v>[UVa 478] Points in Figures: Rectangles, Circles, Triangles</v>
      </c>
      <c r="B965" s="33">
        <f t="shared" si="2"/>
        <v>2</v>
      </c>
      <c r="C965" s="52"/>
      <c r="D965" s="34" t="s">
        <v>38</v>
      </c>
      <c r="E965" s="47" t="s">
        <v>38</v>
      </c>
      <c r="F965" s="7"/>
      <c r="G965" s="7"/>
    </row>
    <row r="966">
      <c r="A966" s="32" t="str">
        <f>HYPERLINK("https://uva.onlinejudge.org/index.php?option=com_onlinejudge&amp;Itemid=8&amp;page=show_problem&amp;problem=575","[UVa 634] Polygon")</f>
        <v>[UVa 634] Polygon</v>
      </c>
      <c r="B966" s="33">
        <f t="shared" si="2"/>
        <v>2</v>
      </c>
      <c r="C966" s="52"/>
      <c r="D966" s="34" t="s">
        <v>38</v>
      </c>
      <c r="E966" s="47" t="s">
        <v>38</v>
      </c>
      <c r="F966" s="7"/>
      <c r="G966" s="7"/>
    </row>
    <row r="967">
      <c r="A967" s="32" t="str">
        <f>HYPERLINK("https://uva.onlinejudge.org/index.php?option=onlinejudge&amp;page=show_problem&amp;problem=1019","[UVa 10078] Art Gallery")</f>
        <v>[UVa 10078] Art Gallery</v>
      </c>
      <c r="B967" s="33">
        <f t="shared" si="2"/>
        <v>2</v>
      </c>
      <c r="C967" s="52"/>
      <c r="D967" s="34" t="s">
        <v>38</v>
      </c>
      <c r="E967" s="47" t="s">
        <v>38</v>
      </c>
      <c r="F967" s="7"/>
      <c r="G967" s="7"/>
    </row>
    <row r="968">
      <c r="A968" s="32" t="str">
        <f>HYPERLINK("https://uva.onlinejudge.org/index.php?option=onlinejudge&amp;page=show_problem&amp;problem=1053","[UVa 10112] Myacm Triangles")</f>
        <v>[UVa 10112] Myacm Triangles</v>
      </c>
      <c r="B968" s="33">
        <f t="shared" si="2"/>
        <v>2</v>
      </c>
      <c r="C968" s="52"/>
      <c r="D968" s="34" t="s">
        <v>38</v>
      </c>
      <c r="E968" s="47" t="s">
        <v>38</v>
      </c>
      <c r="F968" s="7"/>
      <c r="G968" s="7"/>
    </row>
    <row r="969">
      <c r="A969" s="32" t="str">
        <f>HYPERLINK("https://uva.onlinejudge.org/index.php?option=onlinejudge&amp;page=show_problem&amp;problem=2442","[UVa 11447] Reservoir Logs")</f>
        <v>[UVa 11447] Reservoir Logs</v>
      </c>
      <c r="B969" s="33">
        <f t="shared" si="2"/>
        <v>2</v>
      </c>
      <c r="C969" s="52"/>
      <c r="D969" s="34" t="s">
        <v>38</v>
      </c>
      <c r="E969" s="47" t="s">
        <v>38</v>
      </c>
      <c r="F969" s="7"/>
      <c r="G969" s="7"/>
    </row>
    <row r="970">
      <c r="A970" s="32" t="str">
        <f>HYPERLINK("https://uva.onlinejudge.org/index.php?option=onlinejudge&amp;page=show_problem&amp;problem=2468","[UVa 11473] Campus Roads")</f>
        <v>[UVa 11473] Campus Roads</v>
      </c>
      <c r="B970" s="33">
        <f t="shared" si="2"/>
        <v>2</v>
      </c>
      <c r="C970" s="52"/>
      <c r="D970" s="34" t="s">
        <v>38</v>
      </c>
      <c r="E970" s="47" t="s">
        <v>38</v>
      </c>
      <c r="F970" s="7"/>
      <c r="G970" s="7"/>
    </row>
    <row r="971">
      <c r="A971" s="32" t="str">
        <f>HYPERLINK("https://uva.onlinejudge.org/index.php?option=onlinejudge&amp;page=show_problem&amp;problem=1029","[UVa 10088] Trees On My Island")</f>
        <v>[UVa 10088] Trees On My Island</v>
      </c>
      <c r="B971" s="33">
        <f t="shared" si="2"/>
        <v>2</v>
      </c>
      <c r="C971" s="52"/>
      <c r="D971" s="34" t="s">
        <v>38</v>
      </c>
      <c r="E971" s="47" t="s">
        <v>38</v>
      </c>
      <c r="F971" s="7"/>
      <c r="G971" s="7"/>
    </row>
    <row r="972">
      <c r="A972" s="32" t="str">
        <f>HYPERLINK("https://uva.onlinejudge.org/index.php?option=onlinejudge&amp;page=show_problem&amp;problem=1238","[UVa 10297] Beavergnaw")</f>
        <v>[UVa 10297] Beavergnaw</v>
      </c>
      <c r="B972" s="33">
        <f t="shared" si="2"/>
        <v>2</v>
      </c>
      <c r="C972" s="52"/>
      <c r="D972" s="34" t="s">
        <v>38</v>
      </c>
      <c r="E972" s="47" t="s">
        <v>38</v>
      </c>
      <c r="F972" s="7"/>
      <c r="G972" s="7"/>
    </row>
    <row r="973">
      <c r="A973" s="32" t="str">
        <f>HYPERLINK("https://uva.onlinejudge.org/index.php?option=com_onlinejudge&amp;Itemid=8&amp;page=show_problem&amp;problem=1328","[UVa 10387] Billiard")</f>
        <v>[UVa 10387] Billiard</v>
      </c>
      <c r="B973" s="33">
        <f t="shared" si="2"/>
        <v>1</v>
      </c>
      <c r="C973" s="52"/>
      <c r="D973" s="34" t="s">
        <v>38</v>
      </c>
      <c r="E973" s="12"/>
      <c r="F973" s="7"/>
      <c r="G973" s="7"/>
    </row>
    <row r="974">
      <c r="A974" s="32" t="str">
        <f>HYPERLINK("https://uva.onlinejudge.org/index.php?option=onlinejudge&amp;page=show_problem&amp;problem=2173","[UVa 11232] Cylinder")</f>
        <v>[UVa 11232] Cylinder</v>
      </c>
      <c r="B974" s="33">
        <f t="shared" si="2"/>
        <v>2</v>
      </c>
      <c r="C974" s="52"/>
      <c r="D974" s="34" t="s">
        <v>38</v>
      </c>
      <c r="E974" s="47" t="s">
        <v>38</v>
      </c>
      <c r="F974" s="7"/>
      <c r="G974" s="7"/>
    </row>
    <row r="975">
      <c r="A975" s="32" t="str">
        <f>HYPERLINK("https://uva.onlinejudge.org/index.php?option=onlinejudge&amp;page=show_problem&amp;problem=2502","[UVa 11507] Bender B. Rodriguez Problem")</f>
        <v>[UVa 11507] Bender B. Rodriguez Problem</v>
      </c>
      <c r="B975" s="33">
        <f t="shared" si="2"/>
        <v>2</v>
      </c>
      <c r="C975" s="52"/>
      <c r="D975" s="34" t="s">
        <v>38</v>
      </c>
      <c r="E975" s="47" t="s">
        <v>38</v>
      </c>
      <c r="F975" s="7"/>
      <c r="G975" s="7"/>
    </row>
    <row r="976">
      <c r="A976" s="32" t="str">
        <f>HYPERLINK("https://uva.onlinejudge.org/index.php?option=com_onlinejudge&amp;Itemid=8&amp;page=show_problem&amp;problem=45","[UVa 109] SCUD Busters")</f>
        <v>[UVa 109] SCUD Busters</v>
      </c>
      <c r="B976" s="33">
        <f t="shared" si="2"/>
        <v>2</v>
      </c>
      <c r="C976" s="52"/>
      <c r="D976" s="34" t="s">
        <v>38</v>
      </c>
      <c r="E976" s="47" t="s">
        <v>38</v>
      </c>
      <c r="F976" s="7"/>
      <c r="G976" s="7"/>
    </row>
    <row r="977">
      <c r="A977" s="32" t="str">
        <f>HYPERLINK("https://uva.onlinejudge.org/index.php?option=onlinejudge&amp;page=show_problem&amp;problem=154","[UVa 218] Moth Eradication")</f>
        <v>[UVa 218] Moth Eradication</v>
      </c>
      <c r="B977" s="33">
        <f t="shared" si="2"/>
        <v>2</v>
      </c>
      <c r="C977" s="52"/>
      <c r="D977" s="34" t="s">
        <v>38</v>
      </c>
      <c r="E977" s="47" t="s">
        <v>38</v>
      </c>
      <c r="F977" s="7"/>
      <c r="G977" s="7"/>
    </row>
    <row r="978">
      <c r="A978" s="32" t="str">
        <f>HYPERLINK("https://uva.onlinejudge.org/index.php?option=com_onlinejudge&amp;Itemid=8&amp;page=show_problem&amp;problem=297","[UVa 361] Cops And Robbers")</f>
        <v>[UVa 361] Cops And Robbers</v>
      </c>
      <c r="B978" s="33">
        <f t="shared" si="2"/>
        <v>2</v>
      </c>
      <c r="C978" s="52"/>
      <c r="D978" s="34" t="s">
        <v>38</v>
      </c>
      <c r="E978" s="47" t="s">
        <v>38</v>
      </c>
      <c r="F978" s="7"/>
      <c r="G978" s="7"/>
    </row>
    <row r="979">
      <c r="A979" s="32" t="str">
        <f>HYPERLINK("https://uva.onlinejudge.org/index.php?option=onlinejudge&amp;page=show_problem&amp;problem=622","[UVa 681] Convex Hull Finding")</f>
        <v>[UVa 681] Convex Hull Finding</v>
      </c>
      <c r="B979" s="33">
        <f t="shared" si="2"/>
        <v>2</v>
      </c>
      <c r="C979" s="52"/>
      <c r="D979" s="34" t="s">
        <v>38</v>
      </c>
      <c r="E979" s="47" t="s">
        <v>38</v>
      </c>
      <c r="F979" s="7"/>
      <c r="G979" s="7"/>
    </row>
    <row r="980">
      <c r="A980" s="32" t="str">
        <f>HYPERLINK("https://uva.onlinejudge.org/index.php?option=com_onlinejudge&amp;Itemid=8&amp;page=show_problem&amp;problem=752","[UVa 811] The Fortified Forest")</f>
        <v>[UVa 811] The Fortified Forest</v>
      </c>
      <c r="B980" s="33">
        <f t="shared" si="2"/>
        <v>2</v>
      </c>
      <c r="C980" s="52"/>
      <c r="D980" s="34" t="s">
        <v>38</v>
      </c>
      <c r="E980" s="47" t="s">
        <v>38</v>
      </c>
      <c r="F980" s="7"/>
      <c r="G980" s="7"/>
    </row>
    <row r="981">
      <c r="A981" s="32" t="str">
        <f>HYPERLINK("https://uva.onlinejudge.org/index.php?option=onlinejudge&amp;page=show_problem&amp;problem=943","[UVa 10002] Center Of Masses")</f>
        <v>[UVa 10002] Center Of Masses</v>
      </c>
      <c r="B981" s="33">
        <f t="shared" si="2"/>
        <v>2</v>
      </c>
      <c r="C981" s="52"/>
      <c r="D981" s="34" t="s">
        <v>38</v>
      </c>
      <c r="E981" s="47" t="s">
        <v>38</v>
      </c>
      <c r="F981" s="7"/>
      <c r="G981" s="7"/>
    </row>
    <row r="982">
      <c r="A982" s="32" t="str">
        <f>HYPERLINK("https://uva.onlinejudge.org/index.php?option=com_onlinejudge&amp;Itemid=8&amp;page=show_problem&amp;problem=1006","[UVa 10065] Useless Tile Packers")</f>
        <v>[UVa 10065] Useless Tile Packers</v>
      </c>
      <c r="B982" s="33">
        <f t="shared" si="2"/>
        <v>2</v>
      </c>
      <c r="C982" s="52"/>
      <c r="D982" s="34" t="s">
        <v>38</v>
      </c>
      <c r="E982" s="47" t="s">
        <v>38</v>
      </c>
      <c r="F982" s="7"/>
      <c r="G982" s="7"/>
    </row>
    <row r="983">
      <c r="A983" s="32" t="str">
        <f>HYPERLINK("https://uva.onlinejudge.org/index.php?option=com_onlinejudge&amp;Itemid=8&amp;page=show_problem&amp;problem=1076","[UVa 10135] Herding Frosh")</f>
        <v>[UVa 10135] Herding Frosh</v>
      </c>
      <c r="B983" s="33">
        <f t="shared" si="2"/>
        <v>1</v>
      </c>
      <c r="C983" s="52"/>
      <c r="D983" s="34" t="s">
        <v>38</v>
      </c>
      <c r="E983" s="12"/>
      <c r="F983" s="7"/>
      <c r="G983" s="7"/>
    </row>
    <row r="984">
      <c r="A984" s="32" t="str">
        <f>HYPERLINK("https://uva.onlinejudge.org/index.php?option=com_onlinejudge&amp;Itemid=8&amp;page=show_problem&amp;problem=1114","[UVa 10173] Smallest Bounding Rectangle")</f>
        <v>[UVa 10173] Smallest Bounding Rectangle</v>
      </c>
      <c r="B984" s="33">
        <f t="shared" si="2"/>
        <v>1</v>
      </c>
      <c r="C984" s="52"/>
      <c r="D984" s="34" t="s">
        <v>38</v>
      </c>
      <c r="E984" s="12"/>
      <c r="F984" s="7"/>
      <c r="G984" s="7"/>
    </row>
    <row r="985">
      <c r="A985" s="32" t="str">
        <f>HYPERLINK("https://uva.onlinejudge.org/index.php?option=com_onlinejudge&amp;Itemid=8&amp;page=show_problem&amp;problem=2673","[UVa 11626] Convex Hull")</f>
        <v>[UVa 11626] Convex Hull</v>
      </c>
      <c r="B985" s="33">
        <f t="shared" si="2"/>
        <v>2</v>
      </c>
      <c r="C985" s="52"/>
      <c r="D985" s="34" t="s">
        <v>38</v>
      </c>
      <c r="E985" s="47" t="s">
        <v>38</v>
      </c>
      <c r="F985" s="7"/>
      <c r="G985" s="7"/>
    </row>
    <row r="986">
      <c r="A986" s="32" t="str">
        <f>HYPERLINK("https://uva.onlinejudge.org/index.php?option=onlinejudge&amp;page=show_problem&amp;problem=127","[UVa 191] Intersection")</f>
        <v>[UVa 191] Intersection</v>
      </c>
      <c r="B986" s="33">
        <f t="shared" si="2"/>
        <v>2</v>
      </c>
      <c r="C986" s="52"/>
      <c r="D986" s="34" t="s">
        <v>38</v>
      </c>
      <c r="E986" s="47" t="s">
        <v>38</v>
      </c>
      <c r="F986" s="7"/>
      <c r="G986" s="7"/>
    </row>
    <row r="987">
      <c r="A987" s="32" t="str">
        <f>HYPERLINK("https://uva.onlinejudge.org/index.php?option=onlinejudge&amp;page=show_problem&amp;problem=314","[UVa 378] Intersecting Lines")</f>
        <v>[UVa 378] Intersecting Lines</v>
      </c>
      <c r="B987" s="33">
        <f t="shared" si="2"/>
        <v>2</v>
      </c>
      <c r="C987" s="52"/>
      <c r="D987" s="34" t="s">
        <v>38</v>
      </c>
      <c r="E987" s="47" t="s">
        <v>38</v>
      </c>
      <c r="F987" s="7"/>
      <c r="G987" s="7"/>
    </row>
    <row r="988">
      <c r="A988" s="32" t="str">
        <f>HYPERLINK("https://uva.onlinejudge.org/index.php?option=com_onlinejudge&amp;Itemid=8&amp;page=show_problem&amp;problem=807","[UVa 866] Intersecting Line Segments")</f>
        <v>[UVa 866] Intersecting Line Segments</v>
      </c>
      <c r="B988" s="33">
        <f t="shared" si="2"/>
        <v>2</v>
      </c>
      <c r="C988" s="52"/>
      <c r="D988" s="34" t="s">
        <v>38</v>
      </c>
      <c r="E988" s="47" t="s">
        <v>38</v>
      </c>
      <c r="F988" s="7"/>
      <c r="G988" s="7"/>
    </row>
    <row r="989">
      <c r="A989" s="32" t="str">
        <f>HYPERLINK("https://uva.onlinejudge.org/index.php?option=onlinejudge&amp;page=show_problem&amp;problem=861","[UVa 920] Sunny Mountains")</f>
        <v>[UVa 920] Sunny Mountains</v>
      </c>
      <c r="B989" s="33">
        <f t="shared" si="2"/>
        <v>2</v>
      </c>
      <c r="C989" s="52"/>
      <c r="D989" s="34" t="s">
        <v>38</v>
      </c>
      <c r="E989" s="47" t="s">
        <v>38</v>
      </c>
      <c r="F989" s="7"/>
      <c r="G989" s="7"/>
    </row>
    <row r="990">
      <c r="A990" s="32" t="str">
        <f>HYPERLINK("https://uva.onlinejudge.org/index.php?option=onlinejudge&amp;page=show_problem&amp;problem=913","[UVa 972] Horizon Line")</f>
        <v>[UVa 972] Horizon Line</v>
      </c>
      <c r="B990" s="33">
        <f t="shared" si="2"/>
        <v>0</v>
      </c>
      <c r="C990" s="52"/>
      <c r="D990" s="51"/>
      <c r="E990" s="12"/>
      <c r="F990" s="7"/>
      <c r="G990" s="7"/>
    </row>
    <row r="991">
      <c r="A991" s="32" t="str">
        <f>HYPERLINK("https://uva.onlinejudge.org/index.php?option=onlinejudge&amp;page=show_problem&amp;problem=1843","[UVa 10902] Pick-up Sticks")</f>
        <v>[UVa 10902] Pick-up Sticks</v>
      </c>
      <c r="B991" s="33">
        <f t="shared" si="2"/>
        <v>2</v>
      </c>
      <c r="C991" s="52"/>
      <c r="D991" s="34" t="s">
        <v>38</v>
      </c>
      <c r="E991" s="47" t="s">
        <v>38</v>
      </c>
      <c r="F991" s="7"/>
      <c r="G991" s="7"/>
    </row>
    <row r="992">
      <c r="A992" s="32" t="str">
        <f>HYPERLINK("https://uva.onlinejudge.org/index.php?option=com_onlinejudge&amp;Itemid=8&amp;page=show_problem&amp;problem=2318","[UVa 11343] Isolated Segments")</f>
        <v>[UVa 11343] Isolated Segments</v>
      </c>
      <c r="B992" s="33">
        <f t="shared" si="2"/>
        <v>2</v>
      </c>
      <c r="C992" s="52"/>
      <c r="D992" s="34" t="s">
        <v>38</v>
      </c>
      <c r="E992" s="47" t="s">
        <v>38</v>
      </c>
      <c r="F992" s="7"/>
      <c r="G992" s="7"/>
    </row>
    <row r="993">
      <c r="A993" s="32" t="str">
        <f>HYPERLINK("https://uva.onlinejudge.org/index.php?option=onlinejudge&amp;page=show_problem&amp;problem=394","[UVa 453] Intersecting Circles")</f>
        <v>[UVa 453] Intersecting Circles</v>
      </c>
      <c r="B993" s="33">
        <f t="shared" si="2"/>
        <v>2</v>
      </c>
      <c r="C993" s="52"/>
      <c r="D993" s="34" t="s">
        <v>38</v>
      </c>
      <c r="E993" s="47" t="s">
        <v>38</v>
      </c>
      <c r="F993" s="7"/>
      <c r="G993" s="7"/>
    </row>
    <row r="994">
      <c r="A994" s="32" t="str">
        <f>HYPERLINK("https://uva.onlinejudge.org/index.php?option=onlinejudge&amp;page=show_problem&amp;problem=401","[UVa 460] Overlapping Rectangles")</f>
        <v>[UVa 460] Overlapping Rectangles</v>
      </c>
      <c r="B994" s="33">
        <f t="shared" si="2"/>
        <v>2</v>
      </c>
      <c r="C994" s="52"/>
      <c r="D994" s="34" t="s">
        <v>38</v>
      </c>
      <c r="E994" s="47" t="s">
        <v>38</v>
      </c>
      <c r="F994" s="7"/>
      <c r="G994" s="7"/>
    </row>
    <row r="995">
      <c r="A995" s="32" t="str">
        <f>HYPERLINK("https://uva.onlinejudge.org/index.php?option=com_onlinejudge&amp;Itemid=8&amp;page=show_problem&amp;problem=678","[UVa 737] Gleaming The Cubes")</f>
        <v>[UVa 737] Gleaming The Cubes</v>
      </c>
      <c r="B995" s="33">
        <f t="shared" si="2"/>
        <v>2</v>
      </c>
      <c r="C995" s="52"/>
      <c r="D995" s="34" t="s">
        <v>38</v>
      </c>
      <c r="E995" s="47" t="s">
        <v>38</v>
      </c>
      <c r="F995" s="7"/>
      <c r="G995" s="7"/>
    </row>
    <row r="996">
      <c r="A996" s="32" t="str">
        <f>HYPERLINK("https://uva.onlinejudge.org/index.php?option=onlinejudge&amp;page=show_problem&amp;problem=845","[UVa 904] Overlapping Air Traffic Controls Zone")</f>
        <v>[UVa 904] Overlapping Air Traffic Controls Zone</v>
      </c>
      <c r="B996" s="33">
        <f t="shared" si="2"/>
        <v>0</v>
      </c>
      <c r="C996" s="52"/>
      <c r="D996" s="51"/>
      <c r="E996" s="12"/>
      <c r="F996" s="7"/>
      <c r="G996" s="7"/>
    </row>
    <row r="997">
      <c r="A997" s="32" t="str">
        <f>HYPERLINK("https://uva.onlinejudge.org/index.php?option=onlinejudge&amp;page=show_problem&amp;problem=1262","[UVa 10321] Polygon Intersection")</f>
        <v>[UVa 10321] Polygon Intersection</v>
      </c>
      <c r="B997" s="33">
        <f t="shared" si="2"/>
        <v>0</v>
      </c>
      <c r="C997" s="52"/>
      <c r="D997" s="51"/>
      <c r="E997" s="12"/>
      <c r="F997" s="7"/>
      <c r="G997" s="7"/>
    </row>
    <row r="998">
      <c r="A998" s="32" t="str">
        <f>HYPERLINK("https://uva.onlinejudge.org/index.php?option=com_onlinejudge&amp;Itemid=8&amp;page=show_problem&amp;problem=2063","[UVa 11122] Tri Tri")</f>
        <v>[UVa 11122] Tri Tri</v>
      </c>
      <c r="B998" s="33">
        <f t="shared" si="2"/>
        <v>0</v>
      </c>
      <c r="C998" s="52"/>
      <c r="D998" s="34" t="s">
        <v>151</v>
      </c>
      <c r="E998" s="12"/>
      <c r="F998" s="7"/>
      <c r="G998" s="7"/>
    </row>
    <row r="999">
      <c r="A999" s="32" t="str">
        <f>HYPERLINK("https://uva.onlinejudge.org/index.php?option=onlinejudge&amp;page=show_problem&amp;problem=2320","[UVa 11345] Rectangles")</f>
        <v>[UVa 11345] Rectangles</v>
      </c>
      <c r="B999" s="33">
        <f t="shared" si="2"/>
        <v>2</v>
      </c>
      <c r="C999" s="52"/>
      <c r="D999" s="34" t="s">
        <v>38</v>
      </c>
      <c r="E999" s="47" t="s">
        <v>38</v>
      </c>
      <c r="F999" s="7"/>
      <c r="G999" s="7"/>
    </row>
    <row r="1000">
      <c r="A1000" s="32" t="str">
        <f>HYPERLINK("https://uva.onlinejudge.org/index.php?option=com_onlinejudge&amp;Itemid=8&amp;page=show_problem&amp;problem=2510","[UVa 11515] Cranes")</f>
        <v>[UVa 11515] Cranes</v>
      </c>
      <c r="B1000" s="33">
        <f t="shared" si="2"/>
        <v>2</v>
      </c>
      <c r="C1000" s="52"/>
      <c r="D1000" s="34" t="s">
        <v>38</v>
      </c>
      <c r="E1000" s="47" t="s">
        <v>38</v>
      </c>
      <c r="F1000" s="7"/>
      <c r="G1000" s="7"/>
    </row>
    <row r="1001">
      <c r="A1001" s="32" t="str">
        <f>HYPERLINK("https://uva.onlinejudge.org/index.php?option=onlinejudge&amp;page=show_problem&amp;problem=2648","[UVa 11601] Avoiding Overlaps")</f>
        <v>[UVa 11601] Avoiding Overlaps</v>
      </c>
      <c r="B1001" s="33">
        <f t="shared" si="2"/>
        <v>2</v>
      </c>
      <c r="C1001" s="52"/>
      <c r="D1001" s="34" t="s">
        <v>38</v>
      </c>
      <c r="E1001" s="47" t="s">
        <v>38</v>
      </c>
      <c r="F1001" s="7"/>
      <c r="G1001" s="7"/>
    </row>
    <row r="1002">
      <c r="A1002" s="32" t="str">
        <f>HYPERLINK("https://uva.onlinejudge.org/index.php?option=com_onlinejudge&amp;Itemid=8&amp;page=show_problem&amp;problem=2686","[UVa 11639] Guard The Land")</f>
        <v>[UVa 11639] Guard The Land</v>
      </c>
      <c r="B1002" s="33">
        <f t="shared" si="2"/>
        <v>2</v>
      </c>
      <c r="C1002" s="52"/>
      <c r="D1002" s="34" t="s">
        <v>38</v>
      </c>
      <c r="E1002" s="47" t="s">
        <v>38</v>
      </c>
      <c r="F1002" s="7"/>
      <c r="G1002" s="7"/>
    </row>
    <row r="1003">
      <c r="A1003" s="32" t="str">
        <f>HYPERLINK("https://uva.onlinejudge.org/index.php?option=onlinejudge&amp;page=show_problem&amp;problem=1186","[UVa 10245] The Closest Pair Problem")</f>
        <v>[UVa 10245] The Closest Pair Problem</v>
      </c>
      <c r="B1003" s="33">
        <f t="shared" si="2"/>
        <v>2</v>
      </c>
      <c r="C1003" s="52"/>
      <c r="D1003" s="34" t="s">
        <v>38</v>
      </c>
      <c r="E1003" s="47" t="s">
        <v>38</v>
      </c>
      <c r="F1003" s="7"/>
      <c r="G1003" s="7"/>
    </row>
    <row r="1004">
      <c r="A1004" s="32" t="str">
        <f>HYPERLINK("https://uva.onlinejudge.org/index.php?option=com_onlinejudge&amp;Itemid=8&amp;page=show_problem&amp;problem=2373","[UVa 11378] Bey Battle")</f>
        <v>[UVa 11378] Bey Battle</v>
      </c>
      <c r="B1004" s="33">
        <f t="shared" si="2"/>
        <v>2</v>
      </c>
      <c r="C1004" s="52"/>
      <c r="D1004" s="34" t="s">
        <v>38</v>
      </c>
      <c r="E1004" s="47" t="s">
        <v>38</v>
      </c>
      <c r="F1004" s="7"/>
      <c r="G1004" s="7"/>
    </row>
    <row r="1005">
      <c r="A1005" s="32" t="str">
        <f>HYPERLINK("https://uva.onlinejudge.org/index.php?option=com_onlinejudge&amp;Itemid=8&amp;page=show_problem&amp;problem=2693","[UVa 11646] Athletics Track")</f>
        <v>[UVa 11646] Athletics Track</v>
      </c>
      <c r="B1005" s="33">
        <f t="shared" si="2"/>
        <v>2</v>
      </c>
      <c r="C1005" s="52"/>
      <c r="D1005" s="34" t="s">
        <v>38</v>
      </c>
      <c r="E1005" s="47" t="s">
        <v>38</v>
      </c>
      <c r="F1005" s="7"/>
      <c r="G1005" s="7"/>
    </row>
    <row r="1006">
      <c r="A1006" s="32" t="str">
        <f>HYPERLINK("https://uva.onlinejudge.org/index.php?option=onlinejudge&amp;page=show_problem&amp;problem=2695","[UVa 11648] Divide The Land")</f>
        <v>[UVa 11648] Divide The Land</v>
      </c>
      <c r="B1006" s="33">
        <f t="shared" si="2"/>
        <v>0</v>
      </c>
      <c r="C1006" s="52"/>
      <c r="D1006" s="34" t="s">
        <v>144</v>
      </c>
      <c r="E1006" s="12"/>
      <c r="F1006" s="7"/>
      <c r="G1006" s="7"/>
    </row>
    <row r="1007">
      <c r="A1007" s="32" t="str">
        <f>HYPERLINK("https://uva.onlinejudge.org/index.php?option=com_onlinejudge&amp;Itemid=8&amp;page=show_problem&amp;problem=1116","[UVa 10175] Sphere")</f>
        <v>[UVa 10175] Sphere</v>
      </c>
      <c r="B1007" s="33">
        <f t="shared" si="2"/>
        <v>0</v>
      </c>
      <c r="C1007" s="52"/>
      <c r="D1007" s="34" t="s">
        <v>152</v>
      </c>
      <c r="E1007" s="12"/>
      <c r="F1007" s="7"/>
    </row>
    <row r="1008">
      <c r="A1008" s="32" t="str">
        <f>HYPERLINK("https://uva.onlinejudge.org/index.php?option=com_onlinejudge&amp;Itemid=8&amp;page=show_problem&amp;problem=1463","[UVa 10522] Height To Area")</f>
        <v>[UVa 10522] Height To Area</v>
      </c>
      <c r="B1008" s="33">
        <f t="shared" si="2"/>
        <v>2</v>
      </c>
      <c r="C1008" s="52"/>
      <c r="D1008" s="34" t="s">
        <v>38</v>
      </c>
      <c r="E1008" s="47" t="s">
        <v>38</v>
      </c>
      <c r="F1008" s="7"/>
    </row>
    <row r="1009">
      <c r="A1009" s="32" t="str">
        <f>HYPERLINK("https://uva.onlinejudge.org/index.php?option=com_onlinejudge&amp;Itemid=8&amp;page=show_problem&amp;problem=1650","[UVa 10709] Intersection Is Not That Easy")</f>
        <v>[UVa 10709] Intersection Is Not That Easy</v>
      </c>
      <c r="B1009" s="33">
        <f t="shared" si="2"/>
        <v>0</v>
      </c>
      <c r="C1009" s="52"/>
      <c r="D1009" s="34" t="s">
        <v>129</v>
      </c>
      <c r="E1009" s="12"/>
      <c r="F1009" s="7"/>
    </row>
    <row r="1010">
      <c r="A1010" s="32" t="str">
        <f>HYPERLINK("https://uva.onlinejudge.org/index.php?option=com_onlinejudge&amp;Itemid=8&amp;page=show_problem&amp;problem=1920","[UVa 10979] How Many Triangles?")</f>
        <v>[UVa 10979] How Many Triangles?</v>
      </c>
      <c r="B1010" s="33">
        <f t="shared" si="2"/>
        <v>0</v>
      </c>
      <c r="C1010" s="52"/>
      <c r="D1010" s="34" t="s">
        <v>129</v>
      </c>
      <c r="E1010" s="12"/>
      <c r="F1010" s="7"/>
    </row>
    <row r="1011">
      <c r="A1011" s="32" t="str">
        <f>HYPERLINK("https://uva.onlinejudge.org/index.php?option=onlinejudge&amp;page=show_problem&amp;problem=1615","[UVa 10674] Tangents")</f>
        <v>[UVa 10674] Tangents</v>
      </c>
      <c r="B1011" s="33">
        <f t="shared" si="2"/>
        <v>1</v>
      </c>
      <c r="C1011" s="52"/>
      <c r="D1011" s="34" t="s">
        <v>38</v>
      </c>
      <c r="E1011" s="12"/>
      <c r="F1011" s="7"/>
    </row>
    <row r="1012">
      <c r="A1012" s="32" t="str">
        <f>HYPERLINK("http://acm.timus.ru/problem.aspx?space=1&amp;num=1697","[Timus 1697] Sniper Shot")</f>
        <v>[Timus 1697] Sniper Shot</v>
      </c>
      <c r="B1012" s="33">
        <f t="shared" si="2"/>
        <v>0</v>
      </c>
      <c r="C1012" s="52"/>
      <c r="D1012" s="34" t="s">
        <v>144</v>
      </c>
      <c r="E1012" s="12"/>
      <c r="F1012" s="7"/>
    </row>
    <row r="1013">
      <c r="A1013" s="32" t="str">
        <f>HYPERLINK("https://uva.onlinejudge.org/index.php?option=com_onlinejudge&amp;Itemid=8&amp;page=show_problem&amp;problem=1224","[UVa 10283] The Kissing Circles")</f>
        <v>[UVa 10283] The Kissing Circles</v>
      </c>
      <c r="B1013" s="33">
        <f t="shared" si="2"/>
        <v>2</v>
      </c>
      <c r="C1013" s="52"/>
      <c r="D1013" s="34" t="s">
        <v>38</v>
      </c>
      <c r="E1013" s="47" t="s">
        <v>38</v>
      </c>
      <c r="F1013" s="7"/>
    </row>
    <row r="1014">
      <c r="A1014" s="32" t="str">
        <f>HYPERLINK("https://uva.onlinejudge.org/index.php?option=com_onlinejudge&amp;Itemid=8&amp;page=show_problem&amp;problem=1636","[UVa 10695] Find The Point")</f>
        <v>[UVa 10695] Find The Point</v>
      </c>
      <c r="B1014" s="33">
        <f t="shared" si="2"/>
        <v>0</v>
      </c>
      <c r="C1014" s="52"/>
      <c r="D1014" s="51"/>
      <c r="E1014" s="12"/>
      <c r="F1014" s="7"/>
    </row>
    <row r="1015">
      <c r="A1015" s="32" t="str">
        <f>HYPERLINK("https://uva.onlinejudge.org/index.php?option=com_onlinejudge&amp;Itemid=8&amp;page=show_problem&amp;problem=1750","[UVa 10809] Great Circle")</f>
        <v>[UVa 10809] Great Circle</v>
      </c>
      <c r="B1015" s="33">
        <f t="shared" si="2"/>
        <v>0</v>
      </c>
      <c r="C1015" s="52"/>
      <c r="D1015" s="51"/>
      <c r="E1015" s="12"/>
      <c r="F1015" s="7"/>
    </row>
    <row r="1016">
      <c r="A1016" s="32" t="str">
        <f>HYPERLINK("http://acm.timus.ru/problem.aspx?space=1&amp;num=1710","[Timus 1710] Boris, You Are Wrong!")</f>
        <v>[Timus 1710] Boris, You Are Wrong!</v>
      </c>
      <c r="B1016" s="33">
        <f t="shared" si="2"/>
        <v>0</v>
      </c>
      <c r="C1016" s="52"/>
      <c r="D1016" s="51"/>
      <c r="E1016" s="12"/>
      <c r="F1016" s="7"/>
    </row>
    <row r="1017">
      <c r="A1017" s="32" t="str">
        <f>HYPERLINK("https://uva.onlinejudge.org/index.php?option=com_onlinejudge&amp;Itemid=8&amp;page=show_problem&amp;problem=418","[UVa 477] Points In Figures: Rectangles And Circles")</f>
        <v>[UVa 477] Points In Figures: Rectangles And Circles</v>
      </c>
      <c r="B1017" s="33">
        <f t="shared" si="2"/>
        <v>2</v>
      </c>
      <c r="C1017" s="52"/>
      <c r="D1017" s="34" t="s">
        <v>38</v>
      </c>
      <c r="E1017" s="47" t="s">
        <v>38</v>
      </c>
      <c r="F1017" s="7"/>
    </row>
    <row r="1018">
      <c r="A1018" s="32" t="str">
        <f>HYPERLINK("https://uva.onlinejudge.org/index.php?option=onlinejudge&amp;page=show_problem&amp;problem=1514","[UVa 10573] Geometry Paradox")</f>
        <v>[UVa 10573] Geometry Paradox</v>
      </c>
      <c r="B1018" s="33">
        <f t="shared" si="2"/>
        <v>2</v>
      </c>
      <c r="C1018" s="52"/>
      <c r="D1018" s="34" t="s">
        <v>38</v>
      </c>
      <c r="E1018" s="47" t="s">
        <v>38</v>
      </c>
      <c r="F1018" s="7"/>
    </row>
    <row r="1019">
      <c r="A1019" s="32" t="str">
        <f>HYPERLINK("https://uva.onlinejudge.org/index.php?option=com_onlinejudge&amp;Itemid=8&amp;page=show_problem&amp;problem=1666","[UVa 10725] Triangle Square")</f>
        <v>[UVa 10725] Triangle Square</v>
      </c>
      <c r="B1019" s="33">
        <f t="shared" si="2"/>
        <v>0</v>
      </c>
      <c r="C1019" s="52"/>
      <c r="D1019" s="51"/>
      <c r="E1019" s="12"/>
      <c r="F1019" s="7"/>
    </row>
    <row r="1020">
      <c r="A1020" s="32" t="str">
        <f>HYPERLINK("https://uva.onlinejudge.org/index.php?option=com_onlinejudge&amp;Itemid=8&amp;page=show_problem&amp;problem=537","[UVa 596] The Incredible Hull")</f>
        <v>[UVa 596] The Incredible Hull</v>
      </c>
      <c r="B1020" s="33">
        <f t="shared" si="2"/>
        <v>2</v>
      </c>
      <c r="C1020" s="52"/>
      <c r="D1020" s="34" t="s">
        <v>38</v>
      </c>
      <c r="E1020" s="47" t="s">
        <v>38</v>
      </c>
      <c r="F1020" s="7"/>
    </row>
    <row r="1021">
      <c r="A1021" s="32" t="str">
        <f>HYPERLINK("http://acm.timus.ru/problem.aspx?space=1&amp;num=1703","[Timus 1703] Robotic Arm")</f>
        <v>[Timus 1703] Robotic Arm</v>
      </c>
      <c r="B1021" s="33">
        <f t="shared" si="2"/>
        <v>0</v>
      </c>
      <c r="C1021" s="52"/>
      <c r="D1021" s="51"/>
      <c r="E1021" s="12"/>
      <c r="F1021" s="7"/>
    </row>
    <row r="1022">
      <c r="A1022" s="32" t="str">
        <f>HYPERLINK("https://uva.onlinejudge.org/index.php?option=com_onlinejudge&amp;Itemid=8&amp;page=show_problem&amp;problem=1228","[UVa 10287] Gifts In A Hexagonal Box")</f>
        <v>[UVa 10287] Gifts In A Hexagonal Box</v>
      </c>
      <c r="B1022" s="33">
        <f t="shared" si="2"/>
        <v>2</v>
      </c>
      <c r="C1022" s="52"/>
      <c r="D1022" s="34" t="s">
        <v>38</v>
      </c>
      <c r="E1022" s="47" t="s">
        <v>38</v>
      </c>
      <c r="F1022" s="7"/>
    </row>
    <row r="1023">
      <c r="A1023" s="32" t="str">
        <f>HYPERLINK("https://uva.onlinejudge.org/index.php?option=com_onlinejudge&amp;Itemid=8&amp;page=show_problem&amp;problem=1230","[UVa 10289] A Square And Equilateral Triangles")</f>
        <v>[UVa 10289] A Square And Equilateral Triangles</v>
      </c>
      <c r="B1023" s="33">
        <f t="shared" si="2"/>
        <v>0</v>
      </c>
      <c r="C1023" s="52"/>
      <c r="D1023" s="51"/>
      <c r="E1023" s="12"/>
      <c r="F1023" s="7"/>
    </row>
    <row r="1024">
      <c r="A1024" s="32" t="str">
        <f>HYPERLINK("https://uva.onlinejudge.org/index.php?option=com_onlinejudge&amp;Itemid=8&amp;category=15&amp;page=show_problem&amp;problem=1294","[UVa 10353] Circles In Hexagon")</f>
        <v>[UVa 10353] Circles In Hexagon</v>
      </c>
      <c r="B1024" s="33">
        <f t="shared" si="2"/>
        <v>0</v>
      </c>
      <c r="C1024" s="52"/>
      <c r="D1024" s="51"/>
      <c r="E1024" s="12"/>
      <c r="F1024" s="7"/>
    </row>
    <row r="1025">
      <c r="A1025" s="32" t="str">
        <f>HYPERLINK("https://uva.onlinejudge.org/index.php?option=com_onlinejudge&amp;Itemid=8&amp;page=show_problem&amp;problem=1286","[UVa 10345] Cricket/Football Goes Down")</f>
        <v>[UVa 10345] Cricket/Football Goes Down</v>
      </c>
      <c r="B1025" s="33">
        <f t="shared" si="2"/>
        <v>0</v>
      </c>
      <c r="C1025" s="52"/>
      <c r="D1025" s="51"/>
      <c r="E1025" s="12"/>
      <c r="F1025" s="7"/>
    </row>
    <row r="1026">
      <c r="A1026" s="32" t="str">
        <f>HYPERLINK("https://uva.onlinejudge.org/index.php?option=com_onlinejudge&amp;Itemid=8&amp;page=show_problem&amp;problem=1313","[UVa 10372] Leaps Tall Buildings (In A Single Bound)")</f>
        <v>[UVa 10372] Leaps Tall Buildings (In A Single Bound)</v>
      </c>
      <c r="B1026" s="33">
        <f t="shared" si="2"/>
        <v>0</v>
      </c>
      <c r="C1026" s="52"/>
      <c r="D1026" s="51"/>
      <c r="E1026" s="12"/>
      <c r="F1026" s="7"/>
    </row>
    <row r="1027">
      <c r="A1027" s="32" t="str">
        <f>HYPERLINK("https://uva.onlinejudge.org/index.php?option=com_onlinejudge&amp;Itemid=8&amp;page=show_problem&amp;problem=1339","[UVa 10398] The Golden Pentagon")</f>
        <v>[UVa 10398] The Golden Pentagon</v>
      </c>
      <c r="B1027" s="33">
        <f t="shared" si="2"/>
        <v>0</v>
      </c>
      <c r="C1027" s="52"/>
      <c r="D1027" s="51"/>
      <c r="E1027" s="12"/>
      <c r="F1027" s="7"/>
    </row>
    <row r="1028">
      <c r="A1028" s="32" t="str">
        <f>HYPERLINK("https://uva.onlinejudge.org/index.php?option=com_onlinejudge&amp;Itemid=8&amp;page=show_problem&amp;problem=1539","[UVa 10598] Find The Latitude")</f>
        <v>[UVa 10598] Find The Latitude</v>
      </c>
      <c r="B1028" s="33">
        <f t="shared" si="2"/>
        <v>0</v>
      </c>
      <c r="C1028" s="52"/>
      <c r="D1028" s="34" t="s">
        <v>141</v>
      </c>
      <c r="E1028" s="12"/>
      <c r="F1028" s="7"/>
    </row>
    <row r="1029">
      <c r="A1029" s="32" t="str">
        <f>HYPERLINK("https://uva.onlinejudge.org/index.php?option=onlinejudge&amp;page=show_problem&amp;problem=1150","[UVa 10209] Is This Integration?")</f>
        <v>[UVa 10209] Is This Integration?</v>
      </c>
      <c r="B1029" s="33">
        <f t="shared" si="2"/>
        <v>2</v>
      </c>
      <c r="C1029" s="52"/>
      <c r="D1029" s="34" t="s">
        <v>38</v>
      </c>
      <c r="E1029" s="56" t="s">
        <v>38</v>
      </c>
      <c r="F1029" s="7"/>
    </row>
    <row r="1030">
      <c r="A1030" s="32" t="str">
        <f>HYPERLINK("https://uva.onlinejudge.org/index.php?option=onlinejudge&amp;page=show_problem&amp;problem=1156","[UVa 10215] The Largest / Smallest Box")</f>
        <v>[UVa 10215] The Largest / Smallest Box</v>
      </c>
      <c r="B1030" s="33">
        <f t="shared" si="2"/>
        <v>2</v>
      </c>
      <c r="C1030" s="52"/>
      <c r="D1030" s="34" t="s">
        <v>38</v>
      </c>
      <c r="E1030" s="47" t="s">
        <v>38</v>
      </c>
      <c r="F1030" s="7"/>
    </row>
    <row r="1031">
      <c r="A1031" s="32" t="str">
        <f>HYPERLINK("https://uva.onlinejudge.org/index.php?option=com_onlinejudge&amp;Itemid=8&amp;page=show_problem&amp;problem=2127","[UVa 11186] Circum Triangle")</f>
        <v>[UVa 11186] Circum Triangle</v>
      </c>
      <c r="B1031" s="33">
        <f t="shared" si="2"/>
        <v>2</v>
      </c>
      <c r="C1031" s="52"/>
      <c r="D1031" s="34" t="s">
        <v>38</v>
      </c>
      <c r="E1031" s="47" t="s">
        <v>38</v>
      </c>
      <c r="F1031" s="7"/>
    </row>
    <row r="1032">
      <c r="A1032" s="32" t="str">
        <f>HYPERLINK("https://uva.onlinejudge.org/index.php?option=com_onlinejudge&amp;Itemid=8&amp;page=show_problem&amp;problem=2627","[UVa 11580] Finding The Transmitter")</f>
        <v>[UVa 11580] Finding The Transmitter</v>
      </c>
      <c r="B1032" s="33">
        <f t="shared" si="2"/>
        <v>0</v>
      </c>
      <c r="C1032" s="52"/>
      <c r="D1032" s="51"/>
      <c r="E1032" s="12"/>
      <c r="F1032" s="7"/>
    </row>
    <row r="1033">
      <c r="A1033" s="32" t="str">
        <f>HYPERLINK("https://uva.onlinejudge.org/index.php?option=com_onlinejudge&amp;Itemid=8&amp;page=show_problem&amp;problem=1343","[UVa 10402] Triangle Covering")</f>
        <v>[UVa 10402] Triangle Covering</v>
      </c>
      <c r="B1033" s="33">
        <f t="shared" si="2"/>
        <v>0</v>
      </c>
      <c r="C1033" s="52"/>
      <c r="D1033" s="51"/>
      <c r="E1033" s="12"/>
      <c r="F1033" s="7"/>
    </row>
    <row r="1034">
      <c r="A1034" s="32" t="str">
        <f>HYPERLINK("https://uva.onlinejudge.org/index.php?option=com_onlinejudge&amp;Itemid=8&amp;page=show_problem&amp;problem=2064","[UVa 11123] Counting Trapezoid")</f>
        <v>[UVa 11123] Counting Trapezoid</v>
      </c>
      <c r="B1034" s="33">
        <f t="shared" si="2"/>
        <v>0</v>
      </c>
      <c r="C1034" s="52"/>
      <c r="D1034" s="51"/>
      <c r="E1034" s="12"/>
      <c r="F1034" s="7"/>
    </row>
    <row r="1035">
      <c r="A1035" s="32" t="str">
        <f>HYPERLINK("https://uva.onlinejudge.org/index.php?option=onlinejudge&amp;page=show_problem&amp;problem=1950","[UVa 11009] Geometry Once Again")</f>
        <v>[UVa 11009] Geometry Once Again</v>
      </c>
      <c r="B1035" s="33">
        <f t="shared" si="2"/>
        <v>0</v>
      </c>
      <c r="C1035" s="52"/>
      <c r="D1035" s="51"/>
      <c r="E1035" s="12"/>
      <c r="F1035" s="7"/>
    </row>
    <row r="1036">
      <c r="A1036" s="32" t="str">
        <f>HYPERLINK("https://uva.onlinejudge.org/index.php?option=com_onlinejudge&amp;Itemid=8&amp;page=show_problem&amp;problem=1263","[UVa 10322] The Four In One Stadium")</f>
        <v>[UVa 10322] The Four In One Stadium</v>
      </c>
      <c r="B1036" s="33">
        <f t="shared" si="2"/>
        <v>0</v>
      </c>
      <c r="C1036" s="52"/>
      <c r="D1036" s="51"/>
      <c r="E1036" s="12"/>
      <c r="F1036" s="7"/>
    </row>
    <row r="1037">
      <c r="A1037" s="32" t="str">
        <f>HYPERLINK("https://uva.onlinejudge.org/index.php?option=com_onlinejudge&amp;Itemid=8&amp;page=show_problem&amp;problem=1327","[UVa 10386] Circles In Triangle")</f>
        <v>[UVa 10386] Circles In Triangle</v>
      </c>
      <c r="B1037" s="33">
        <f t="shared" si="2"/>
        <v>0</v>
      </c>
      <c r="C1037" s="52"/>
      <c r="D1037" s="34" t="s">
        <v>141</v>
      </c>
      <c r="E1037" s="12"/>
      <c r="F1037" s="7"/>
    </row>
    <row r="1038">
      <c r="A1038" s="32" t="str">
        <f>HYPERLINK("https://uva.onlinejudge.org/index.php?option=onlinejudge&amp;page=show_problem&amp;problem=1572","[UVa 10631] Normals")</f>
        <v>[UVa 10631] Normals</v>
      </c>
      <c r="B1038" s="33">
        <f t="shared" si="2"/>
        <v>0</v>
      </c>
      <c r="C1038" s="52"/>
      <c r="D1038" s="51"/>
      <c r="E1038" s="12"/>
      <c r="F1038" s="7"/>
    </row>
    <row r="1039">
      <c r="A1039" s="32" t="str">
        <f>HYPERLINK("https://uva.onlinejudge.org/index.php?option=com_onlinejudge&amp;Itemid=8&amp;page=show_problem&amp;problem=760","[UVa 819] Gifts Large And Small")</f>
        <v>[UVa 819] Gifts Large And Small</v>
      </c>
      <c r="B1039" s="33">
        <f t="shared" si="2"/>
        <v>0</v>
      </c>
      <c r="C1039" s="52"/>
      <c r="D1039" s="51"/>
      <c r="E1039" s="47"/>
      <c r="F1039" s="7"/>
    </row>
    <row r="1040">
      <c r="A1040" s="32" t="str">
        <f>HYPERLINK("https://uva.onlinejudge.org/index.php?option=com_onlinejudge&amp;Itemid=8&amp;page=show_problem&amp;problem=1197","[UVa 10256] The Great Divide")</f>
        <v>[UVa 10256] The Great Divide</v>
      </c>
      <c r="B1040" s="33">
        <f t="shared" si="2"/>
        <v>1</v>
      </c>
      <c r="C1040" s="52"/>
      <c r="D1040" s="50" t="s">
        <v>38</v>
      </c>
      <c r="E1040" s="12"/>
      <c r="F1040" s="7"/>
    </row>
    <row r="1041">
      <c r="A1041" s="32" t="str">
        <f>HYPERLINK("https://uva.onlinejudge.org/index.php?option=onlinejudge&amp;page=show_problem&amp;problem=1151","[UVa 10210] Romeo And Juliet!")</f>
        <v>[UVa 10210] Romeo And Juliet!</v>
      </c>
      <c r="B1041" s="33">
        <f t="shared" si="2"/>
        <v>2</v>
      </c>
      <c r="C1041" s="52"/>
      <c r="D1041" s="34" t="s">
        <v>38</v>
      </c>
      <c r="E1041" s="47" t="s">
        <v>38</v>
      </c>
      <c r="F1041" s="7"/>
    </row>
    <row r="1042">
      <c r="A1042" s="32" t="str">
        <f>HYPERLINK("https://uva.onlinejudge.org/index.php?option=com_onlinejudge&amp;Itemid=8&amp;category=14&amp;page=show_problem&amp;problem=1192","[UVa 10251] Min-Max Cake")</f>
        <v>[UVa 10251] Min-Max Cake</v>
      </c>
      <c r="B1042" s="33">
        <f t="shared" si="2"/>
        <v>0</v>
      </c>
      <c r="C1042" s="52"/>
      <c r="D1042" s="51"/>
      <c r="E1042" s="12"/>
      <c r="F1042" s="7"/>
    </row>
    <row r="1043">
      <c r="A1043" s="32" t="str">
        <f>HYPERLINK("https://uva.onlinejudge.org/index.php?option=com_onlinejudge&amp;Itemid=8&amp;category=16&amp;page=show_problem&amp;problem=1422","[UVa 10481] The Gift Wrappers Of Hollywood")</f>
        <v>[UVa 10481] The Gift Wrappers Of Hollywood</v>
      </c>
      <c r="B1043" s="33">
        <f t="shared" si="2"/>
        <v>0</v>
      </c>
      <c r="C1043" s="52"/>
      <c r="D1043" s="51"/>
      <c r="E1043" s="47"/>
      <c r="F1043" s="7"/>
    </row>
    <row r="1044">
      <c r="A1044" s="32" t="str">
        <f>HYPERLINK("http://lightoj.com/volume_showproblem.php?problem=1130","[LOJ 1130] Intersection Between Circle And Rectangle")</f>
        <v>[LOJ 1130] Intersection Between Circle And Rectangle</v>
      </c>
      <c r="B1044" s="33">
        <f t="shared" si="2"/>
        <v>0</v>
      </c>
      <c r="C1044" s="52"/>
      <c r="D1044" s="34" t="s">
        <v>129</v>
      </c>
      <c r="E1044" s="12"/>
      <c r="F1044" s="7"/>
    </row>
    <row r="1045">
      <c r="A1045" s="32" t="str">
        <f>HYPERLINK("http://lightoj.com/volume_showproblem.php?problem=1190","[LOJ 1190] Sleepwalking")</f>
        <v>[LOJ 1190] Sleepwalking</v>
      </c>
      <c r="B1045" s="33">
        <f t="shared" si="2"/>
        <v>2</v>
      </c>
      <c r="C1045" s="52"/>
      <c r="D1045" s="34" t="s">
        <v>38</v>
      </c>
      <c r="E1045" s="47" t="s">
        <v>38</v>
      </c>
      <c r="F1045" s="7"/>
    </row>
    <row r="1046">
      <c r="A1046" s="32" t="str">
        <f>HYPERLINK("http://lightoj.com/volume_showproblem.php?problem=1208","[LOJ 1208] Dangerous Bull! Who Wants To Pull?")</f>
        <v>[LOJ 1208] Dangerous Bull! Who Wants To Pull?</v>
      </c>
      <c r="B1046" s="33">
        <f t="shared" si="2"/>
        <v>0</v>
      </c>
      <c r="C1046" s="52"/>
      <c r="D1046" s="51"/>
      <c r="E1046" s="12"/>
      <c r="F1046" s="7"/>
    </row>
    <row r="1047">
      <c r="A1047" s="32" t="str">
        <f>HYPERLINK("http://lightoj.com/volume_showproblem.php?problem=1260","[LOJ 1260] Race Track")</f>
        <v>[LOJ 1260] Race Track</v>
      </c>
      <c r="B1047" s="33">
        <f t="shared" si="2"/>
        <v>1</v>
      </c>
      <c r="C1047" s="52"/>
      <c r="D1047" s="34" t="s">
        <v>38</v>
      </c>
      <c r="E1047" s="12"/>
      <c r="F1047" s="7"/>
    </row>
    <row r="1048">
      <c r="A1048" s="32" t="str">
        <f>HYPERLINK("http://lightoj.com/volume_showproblem.php?problem=1292","[LOJ 1292] Laser Shot")</f>
        <v>[LOJ 1292] Laser Shot</v>
      </c>
      <c r="B1048" s="33">
        <f t="shared" si="2"/>
        <v>2</v>
      </c>
      <c r="C1048" s="52"/>
      <c r="D1048" s="34" t="s">
        <v>38</v>
      </c>
      <c r="E1048" s="47" t="s">
        <v>38</v>
      </c>
      <c r="F1048" s="7"/>
    </row>
    <row r="1049">
      <c r="A1049" s="32" t="str">
        <f>HYPERLINK("http://lightoj.com/volume_showproblem.php?problem=1320","[LOJ 1320] Farmer's Tale")</f>
        <v>[LOJ 1320] Farmer's Tale</v>
      </c>
      <c r="B1049" s="33">
        <f t="shared" si="2"/>
        <v>0</v>
      </c>
      <c r="C1049" s="52"/>
      <c r="D1049" s="51"/>
      <c r="E1049" s="12"/>
      <c r="F1049" s="7"/>
    </row>
    <row r="1050">
      <c r="A1050" s="32" t="str">
        <f>HYPERLINK("http://lightoj.com/volume_showproblem.php?problem=1346","[LOJ 1346] Aladdin And The Rocky Mountains")</f>
        <v>[LOJ 1346] Aladdin And The Rocky Mountains</v>
      </c>
      <c r="B1050" s="33">
        <f t="shared" si="2"/>
        <v>0</v>
      </c>
      <c r="C1050" s="52"/>
      <c r="D1050" s="51"/>
      <c r="E1050" s="12"/>
      <c r="F1050" s="7"/>
    </row>
    <row r="1051">
      <c r="A1051" s="32" t="str">
        <f>HYPERLINK("http://lightoj.com/volume_showproblem.php?problem=1432","[LOJ 1432] Overlapping Sticks")</f>
        <v>[LOJ 1432] Overlapping Sticks</v>
      </c>
      <c r="B1051" s="33">
        <f t="shared" si="2"/>
        <v>0</v>
      </c>
      <c r="C1051" s="52"/>
      <c r="D1051" s="51"/>
      <c r="E1051" s="12"/>
      <c r="F1051" s="7"/>
    </row>
    <row r="1052">
      <c r="A1052" s="32" t="str">
        <f>HYPERLINK("http://lightoj.com/volume_showproblem.php?problem=1203","[LOJ 1203] Guarding Bananas")</f>
        <v>[LOJ 1203] Guarding Bananas</v>
      </c>
      <c r="B1052" s="33">
        <f t="shared" si="2"/>
        <v>2</v>
      </c>
      <c r="C1052" s="52"/>
      <c r="D1052" s="34" t="s">
        <v>38</v>
      </c>
      <c r="E1052" s="47" t="s">
        <v>38</v>
      </c>
      <c r="F1052" s="7"/>
    </row>
    <row r="1053">
      <c r="A1053" s="32" t="str">
        <f>HYPERLINK("http://lightoj.com/volume_showproblem.php?problem=1239","[LOJ 1239] Convex Fence")</f>
        <v>[LOJ 1239] Convex Fence</v>
      </c>
      <c r="B1053" s="33">
        <f t="shared" si="2"/>
        <v>2</v>
      </c>
      <c r="C1053" s="52"/>
      <c r="D1053" s="34" t="s">
        <v>38</v>
      </c>
      <c r="E1053" s="47" t="s">
        <v>38</v>
      </c>
      <c r="F1053" s="7"/>
    </row>
    <row r="1054">
      <c r="A1054" s="32" t="str">
        <f>HYPERLINK("http://lightoj.com/volume_showproblem.php?problem=1285","[LOJ 1285] Drawing Simple Polygon")</f>
        <v>[LOJ 1285] Drawing Simple Polygon</v>
      </c>
      <c r="B1054" s="33">
        <f t="shared" si="2"/>
        <v>1</v>
      </c>
      <c r="C1054" s="52"/>
      <c r="D1054" s="34" t="s">
        <v>38</v>
      </c>
      <c r="E1054" s="12"/>
      <c r="F1054" s="7"/>
    </row>
    <row r="1055">
      <c r="A1055" s="32" t="str">
        <f>HYPERLINK("http://lightoj.com/volume_showproblem.php?problem=1313","[LOJ 1313] Protect The Mines")</f>
        <v>[LOJ 1313] Protect The Mines</v>
      </c>
      <c r="B1055" s="33">
        <f t="shared" si="2"/>
        <v>0</v>
      </c>
      <c r="C1055" s="52"/>
      <c r="D1055" s="51"/>
      <c r="E1055" s="12"/>
      <c r="F1055" s="7"/>
    </row>
    <row r="1056">
      <c r="A1056" s="32" t="str">
        <f>HYPERLINK("http://acm.timus.ru/problem.aspx?space=1&amp;num=1192","[Timus 1192] Ball In A Dream")</f>
        <v>[Timus 1192] Ball In A Dream</v>
      </c>
      <c r="B1056" s="33">
        <f t="shared" si="2"/>
        <v>2</v>
      </c>
      <c r="C1056" s="52"/>
      <c r="D1056" s="34" t="s">
        <v>38</v>
      </c>
      <c r="E1056" s="47" t="s">
        <v>38</v>
      </c>
      <c r="F1056" s="7"/>
    </row>
    <row r="1057">
      <c r="A1057" s="32" t="str">
        <f>HYPERLINK("http://acm.timus.ru/problem.aspx?space=1&amp;num=1572","[Timus 1572] Yekaterinozavodsk Great Well")</f>
        <v>[Timus 1572] Yekaterinozavodsk Great Well</v>
      </c>
      <c r="B1057" s="33">
        <f t="shared" si="2"/>
        <v>2</v>
      </c>
      <c r="C1057" s="52"/>
      <c r="D1057" s="34" t="s">
        <v>38</v>
      </c>
      <c r="E1057" s="47" t="s">
        <v>38</v>
      </c>
      <c r="F1057" s="7"/>
    </row>
    <row r="1058">
      <c r="A1058" s="32" t="str">
        <f>HYPERLINK("http://acm.timus.ru/problem.aspx?space=1&amp;num=1084","[Timus 1084] Goat In The Garden")</f>
        <v>[Timus 1084] Goat In The Garden</v>
      </c>
      <c r="B1058" s="33">
        <f t="shared" si="2"/>
        <v>2</v>
      </c>
      <c r="C1058" s="52"/>
      <c r="D1058" s="34" t="s">
        <v>38</v>
      </c>
      <c r="E1058" s="47" t="s">
        <v>38</v>
      </c>
      <c r="F1058" s="7"/>
    </row>
    <row r="1059">
      <c r="A1059" s="32" t="str">
        <f>HYPERLINK("http://acm.timus.ru/problem.aspx?space=1&amp;num=1874","[Timus 1874] Football Goal")</f>
        <v>[Timus 1874] Football Goal</v>
      </c>
      <c r="B1059" s="33">
        <f t="shared" si="2"/>
        <v>2</v>
      </c>
      <c r="C1059" s="52"/>
      <c r="D1059" s="34" t="s">
        <v>38</v>
      </c>
      <c r="E1059" s="47" t="s">
        <v>38</v>
      </c>
      <c r="F1059" s="7"/>
    </row>
    <row r="1060">
      <c r="A1060" s="32" t="str">
        <f>HYPERLINK("http://acm.timus.ru/problem.aspx?space=1&amp;num=1640","[Timus 1640] Circle Of Winter")</f>
        <v>[Timus 1640] Circle Of Winter</v>
      </c>
      <c r="B1060" s="33">
        <f t="shared" si="2"/>
        <v>2</v>
      </c>
      <c r="C1060" s="52"/>
      <c r="D1060" s="34" t="s">
        <v>38</v>
      </c>
      <c r="E1060" s="47" t="s">
        <v>38</v>
      </c>
      <c r="F1060" s="7"/>
    </row>
    <row r="1061">
      <c r="A1061" s="32" t="str">
        <f>HYPERLINK("http://acm.timus.ru/problem.aspx?space=1&amp;num=1207","[Timus 1207] Median On The Plane")</f>
        <v>[Timus 1207] Median On The Plane</v>
      </c>
      <c r="B1061" s="33">
        <f t="shared" si="2"/>
        <v>2</v>
      </c>
      <c r="C1061" s="52"/>
      <c r="D1061" s="34" t="s">
        <v>38</v>
      </c>
      <c r="E1061" s="47" t="s">
        <v>38</v>
      </c>
      <c r="F1061" s="7"/>
    </row>
    <row r="1062">
      <c r="A1062" s="32" t="str">
        <f>HYPERLINK("http://acm.timus.ru/problem.aspx?space=1&amp;num=1348","[Timus 1348] Goat In The Garden 2")</f>
        <v>[Timus 1348] Goat In The Garden 2</v>
      </c>
      <c r="B1062" s="33">
        <f t="shared" si="2"/>
        <v>2</v>
      </c>
      <c r="C1062" s="52"/>
      <c r="D1062" s="34" t="s">
        <v>38</v>
      </c>
      <c r="E1062" s="47" t="s">
        <v>38</v>
      </c>
      <c r="F1062" s="7"/>
    </row>
    <row r="1063">
      <c r="A1063" s="32" t="str">
        <f>HYPERLINK("http://acm.timus.ru/problem.aspx?space=1&amp;num=1333","[Timus 1333] Genie Bomber 2")</f>
        <v>[Timus 1333] Genie Bomber 2</v>
      </c>
      <c r="B1063" s="33">
        <f t="shared" si="2"/>
        <v>2</v>
      </c>
      <c r="C1063" s="52"/>
      <c r="D1063" s="34" t="s">
        <v>38</v>
      </c>
      <c r="E1063" s="47" t="s">
        <v>38</v>
      </c>
      <c r="F1063" s="7"/>
    </row>
    <row r="1064">
      <c r="A1064" s="32" t="str">
        <f>HYPERLINK("http://acm.timus.ru/problem.aspx?space=1&amp;num=1052","[Timus 1052] Rabbit Hunt")</f>
        <v>[Timus 1052] Rabbit Hunt</v>
      </c>
      <c r="B1064" s="33">
        <f t="shared" si="2"/>
        <v>2</v>
      </c>
      <c r="C1064" s="52"/>
      <c r="D1064" s="34" t="s">
        <v>38</v>
      </c>
      <c r="E1064" s="47" t="s">
        <v>38</v>
      </c>
      <c r="F1064" s="7"/>
    </row>
    <row r="1065">
      <c r="A1065" s="32" t="str">
        <f>HYPERLINK("http://acm.timus.ru/problem.aspx?space=1&amp;num=2067","[Timus 2067] Friends And Berries")</f>
        <v>[Timus 2067] Friends And Berries</v>
      </c>
      <c r="B1065" s="33">
        <f t="shared" si="2"/>
        <v>2</v>
      </c>
      <c r="C1065" s="52"/>
      <c r="D1065" s="34" t="s">
        <v>38</v>
      </c>
      <c r="E1065" s="47" t="s">
        <v>38</v>
      </c>
      <c r="F1065" s="7"/>
    </row>
    <row r="1066">
      <c r="A1066" s="32" t="str">
        <f>HYPERLINK("http://acm.timus.ru/problem.aspx?space=1&amp;num=1753","[Timus 1753] Bookshelf")</f>
        <v>[Timus 1753] Bookshelf</v>
      </c>
      <c r="B1066" s="33">
        <f t="shared" si="2"/>
        <v>0</v>
      </c>
      <c r="C1066" s="52"/>
      <c r="D1066" s="34" t="s">
        <v>129</v>
      </c>
      <c r="E1066" s="12"/>
      <c r="F1066" s="7"/>
    </row>
    <row r="1067">
      <c r="A1067" s="32" t="str">
        <f>HYPERLINK("http://acm.timus.ru/problem.aspx?space=1&amp;num=1215","[Timus 1215] Exactness Of The Projectile Hit")</f>
        <v>[Timus 1215] Exactness Of The Projectile Hit</v>
      </c>
      <c r="B1067" s="33">
        <f t="shared" si="2"/>
        <v>0</v>
      </c>
      <c r="C1067" s="52"/>
      <c r="D1067" s="34" t="s">
        <v>153</v>
      </c>
      <c r="E1067" s="12"/>
      <c r="F1067" s="7"/>
    </row>
    <row r="1068">
      <c r="A1068" s="32" t="str">
        <f>HYPERLINK("http://acm.timus.ru/problem.aspx?space=1&amp;num=1294","[Timus 1294] Mars Satellites")</f>
        <v>[Timus 1294] Mars Satellites</v>
      </c>
      <c r="B1068" s="33">
        <f t="shared" si="2"/>
        <v>0</v>
      </c>
      <c r="C1068" s="52"/>
      <c r="D1068" s="34" t="s">
        <v>129</v>
      </c>
      <c r="E1068" s="12"/>
      <c r="F1068" s="7"/>
    </row>
    <row r="1069">
      <c r="A1069" s="32" t="str">
        <f>HYPERLINK("http://acm.timus.ru/problem.aspx?space=1&amp;num=1185","[Timus 1185] Wall")</f>
        <v>[Timus 1185] Wall</v>
      </c>
      <c r="B1069" s="33">
        <f t="shared" si="2"/>
        <v>0</v>
      </c>
      <c r="C1069" s="52"/>
      <c r="D1069" s="34" t="s">
        <v>129</v>
      </c>
      <c r="E1069" s="12"/>
      <c r="F1069" s="7"/>
    </row>
    <row r="1070">
      <c r="A1070" s="32" t="str">
        <f>HYPERLINK("http://acm.timus.ru/problem.aspx?space=1&amp;num=1588","[Timus 1588] Jamaica")</f>
        <v>[Timus 1588] Jamaica</v>
      </c>
      <c r="B1070" s="33">
        <f t="shared" si="2"/>
        <v>2</v>
      </c>
      <c r="C1070" s="52"/>
      <c r="D1070" s="34" t="s">
        <v>38</v>
      </c>
      <c r="E1070" s="47" t="s">
        <v>38</v>
      </c>
      <c r="F1070" s="7"/>
    </row>
    <row r="1071">
      <c r="A1071" s="32" t="str">
        <f>HYPERLINK("http://acm.timus.ru/problem.aspx?space=1&amp;num=1793","[Timus 1793] Tray 2")</f>
        <v>[Timus 1793] Tray 2</v>
      </c>
      <c r="B1071" s="33">
        <f t="shared" si="2"/>
        <v>0</v>
      </c>
      <c r="C1071" s="52"/>
      <c r="D1071" s="34" t="s">
        <v>129</v>
      </c>
      <c r="E1071" s="12"/>
      <c r="F1071" s="7"/>
    </row>
    <row r="1072">
      <c r="A1072" s="32" t="str">
        <f>HYPERLINK("http://acm.timus.ru/problem.aspx?space=1&amp;num=1246","[Timus 1246] Tethered Dog")</f>
        <v>[Timus 1246] Tethered Dog</v>
      </c>
      <c r="B1072" s="33">
        <f t="shared" si="2"/>
        <v>2</v>
      </c>
      <c r="C1072" s="52"/>
      <c r="D1072" s="34" t="s">
        <v>38</v>
      </c>
      <c r="E1072" s="47" t="s">
        <v>38</v>
      </c>
      <c r="F1072" s="7"/>
    </row>
    <row r="1073">
      <c r="A1073" s="32" t="str">
        <f>HYPERLINK("http://acm.timus.ru/problem.aspx?space=1&amp;num=1111","[Timus 1111] Squares")</f>
        <v>[Timus 1111] Squares</v>
      </c>
      <c r="B1073" s="33">
        <f t="shared" si="2"/>
        <v>1</v>
      </c>
      <c r="C1073" s="52"/>
      <c r="D1073" s="34" t="s">
        <v>38</v>
      </c>
      <c r="E1073" s="12"/>
      <c r="F1073" s="7"/>
    </row>
    <row r="1074">
      <c r="A1074" s="32" t="str">
        <f>HYPERLINK("http://acm.timus.ru/problem.aspx?space=1&amp;num=1489","[Timus 1489] Points On A Parallelepiped")</f>
        <v>[Timus 1489] Points On A Parallelepiped</v>
      </c>
      <c r="B1074" s="33">
        <f t="shared" si="2"/>
        <v>0</v>
      </c>
      <c r="C1074" s="52"/>
      <c r="D1074" s="34" t="s">
        <v>154</v>
      </c>
      <c r="E1074" s="12"/>
      <c r="F1074" s="7"/>
    </row>
    <row r="1075">
      <c r="A1075" s="32" t="str">
        <f>HYPERLINK("http://acm.timus.ru/problem.aspx?space=1&amp;num=1562","[Timus 1562] GM-pineapple")</f>
        <v>[Timus 1562] GM-pineapple</v>
      </c>
      <c r="B1075" s="33">
        <f t="shared" si="2"/>
        <v>0</v>
      </c>
      <c r="C1075" s="52"/>
      <c r="D1075" s="34" t="s">
        <v>129</v>
      </c>
      <c r="E1075" s="12"/>
      <c r="F1075" s="7"/>
    </row>
    <row r="1076">
      <c r="A1076" s="32" t="str">
        <f>HYPERLINK("http://acm.timus.ru/problem.aspx?space=1&amp;num=1963","[Timus 1963] Kite")</f>
        <v>[Timus 1963] Kite</v>
      </c>
      <c r="B1076" s="33">
        <f t="shared" si="2"/>
        <v>1</v>
      </c>
      <c r="C1076" s="52"/>
      <c r="D1076" s="34" t="s">
        <v>38</v>
      </c>
      <c r="E1076" s="12"/>
      <c r="F1076" s="7"/>
    </row>
    <row r="1077">
      <c r="A1077" s="32" t="str">
        <f>HYPERLINK("http://acm.timus.ru/problem.aspx?space=1&amp;num=1258","[Timus 1258] Pool")</f>
        <v>[Timus 1258] Pool</v>
      </c>
      <c r="B1077" s="33">
        <f t="shared" si="2"/>
        <v>1</v>
      </c>
      <c r="C1077" s="52"/>
      <c r="D1077" s="34" t="s">
        <v>38</v>
      </c>
      <c r="E1077" s="12"/>
      <c r="F1077" s="7"/>
    </row>
    <row r="1078">
      <c r="A1078" s="32" t="str">
        <f>HYPERLINK("http://acm.timus.ru/problem.aspx?space=1&amp;num=1103","[Timus 1103] Pencils And Circles")</f>
        <v>[Timus 1103] Pencils And Circles</v>
      </c>
      <c r="B1078" s="33">
        <f t="shared" si="2"/>
        <v>0</v>
      </c>
      <c r="C1078" s="52"/>
      <c r="D1078" s="34" t="s">
        <v>133</v>
      </c>
      <c r="E1078" s="12"/>
      <c r="F1078" s="7"/>
    </row>
    <row r="1079">
      <c r="A1079" s="32" t="str">
        <f>HYPERLINK("http://acm.timus.ru/problem.aspx?space=1&amp;num=2099","[Timus 2099] Space Invader")</f>
        <v>[Timus 2099] Space Invader</v>
      </c>
      <c r="B1079" s="33">
        <f t="shared" si="2"/>
        <v>0</v>
      </c>
      <c r="C1079" s="52"/>
      <c r="D1079" s="34" t="s">
        <v>155</v>
      </c>
      <c r="E1079" s="12"/>
      <c r="F1079" s="7"/>
    </row>
    <row r="1080">
      <c r="A1080" s="32" t="str">
        <f>HYPERLINK("http://acm.timus.ru/problem.aspx?space=1&amp;num=1600","[Timus 1600] Airport")</f>
        <v>[Timus 1600] Airport</v>
      </c>
      <c r="B1080" s="33">
        <f t="shared" si="2"/>
        <v>0</v>
      </c>
      <c r="C1080" s="52"/>
      <c r="D1080" s="34" t="s">
        <v>156</v>
      </c>
      <c r="E1080" s="12"/>
      <c r="F1080" s="7"/>
    </row>
    <row r="1081">
      <c r="A1081" s="32" t="str">
        <f>HYPERLINK("http://acm.timus.ru/problem.aspx?space=1&amp;num=1351","[Timus 1351] Good Gnusmas - Dead Gnusmas")</f>
        <v>[Timus 1351] Good Gnusmas - Dead Gnusmas</v>
      </c>
      <c r="B1081" s="33">
        <f t="shared" si="2"/>
        <v>1</v>
      </c>
      <c r="C1081" s="52"/>
      <c r="D1081" s="34" t="s">
        <v>38</v>
      </c>
      <c r="E1081" s="12"/>
      <c r="F1081" s="7"/>
    </row>
    <row r="1082">
      <c r="A1082" s="32" t="str">
        <f>HYPERLINK("http://acm.timus.ru/problem.aspx?space=1&amp;num=1754","[Timus 1754] Explosion In A Pyramid")</f>
        <v>[Timus 1754] Explosion In A Pyramid</v>
      </c>
      <c r="B1082" s="33">
        <f t="shared" si="2"/>
        <v>1</v>
      </c>
      <c r="C1082" s="52"/>
      <c r="D1082" s="34" t="s">
        <v>38</v>
      </c>
      <c r="E1082" s="12"/>
      <c r="F1082" s="7"/>
    </row>
    <row r="1083">
      <c r="A1083" s="32" t="str">
        <f>HYPERLINK("http://acm.timus.ru/problem.aspx?space=1&amp;num=1550","[Timus 1550] Dean's Pyramid 3")</f>
        <v>[Timus 1550] Dean's Pyramid 3</v>
      </c>
      <c r="B1083" s="33">
        <f t="shared" si="2"/>
        <v>0</v>
      </c>
      <c r="C1083" s="52"/>
      <c r="D1083" s="34" t="s">
        <v>129</v>
      </c>
      <c r="E1083" s="12"/>
      <c r="F1083" s="7"/>
    </row>
    <row r="1084">
      <c r="A1084" s="32" t="str">
        <f>HYPERLINK("http://acm.timus.ru/problem.aspx?space=1&amp;num=2032","[Timus 2032] Conspiracy Theory And Rebranding")</f>
        <v>[Timus 2032] Conspiracy Theory And Rebranding</v>
      </c>
      <c r="B1084" s="33">
        <f t="shared" si="2"/>
        <v>2</v>
      </c>
      <c r="C1084" s="52"/>
      <c r="D1084" s="34" t="s">
        <v>38</v>
      </c>
      <c r="E1084" s="47" t="s">
        <v>38</v>
      </c>
      <c r="F1084" s="7"/>
    </row>
    <row r="1085">
      <c r="A1085" s="32" t="str">
        <f>HYPERLINK("http://acm.timus.ru/problem.aspx?space=1&amp;num=1659","[Timus 1659] Regular Triangles ")</f>
        <v>[Timus 1659] Regular Triangles </v>
      </c>
      <c r="B1085" s="33">
        <f t="shared" si="2"/>
        <v>1</v>
      </c>
      <c r="C1085" s="52"/>
      <c r="D1085" s="34" t="s">
        <v>38</v>
      </c>
      <c r="E1085" s="12"/>
      <c r="F1085" s="7"/>
    </row>
    <row r="1086">
      <c r="A1086" s="32" t="str">
        <f>HYPERLINK("http://acm.timus.ru/problem.aspx?space=1&amp;num=1332","[Timus 1332] Genie Bomber")</f>
        <v>[Timus 1332] Genie Bomber</v>
      </c>
      <c r="B1086" s="33">
        <f t="shared" si="2"/>
        <v>1</v>
      </c>
      <c r="C1086" s="52"/>
      <c r="D1086" s="34" t="s">
        <v>38</v>
      </c>
      <c r="E1086" s="12"/>
      <c r="F1086" s="7"/>
    </row>
    <row r="1087">
      <c r="A1087" s="32" t="str">
        <f>HYPERLINK("http://acm.timus.ru/problem.aspx?space=1&amp;num=1234","[Timus 1234] Bricks")</f>
        <v>[Timus 1234] Bricks</v>
      </c>
      <c r="B1087" s="33">
        <f t="shared" si="2"/>
        <v>0</v>
      </c>
      <c r="C1087" s="52"/>
      <c r="D1087" s="51"/>
      <c r="E1087" s="12"/>
      <c r="F1087" s="7"/>
    </row>
    <row r="1088">
      <c r="A1088" s="32" t="str">
        <f>HYPERLINK("http://acm.timus.ru/problem.aspx?space=1&amp;num=1168","[Timus 1168] Radio Stations")</f>
        <v>[Timus 1168] Radio Stations</v>
      </c>
      <c r="B1088" s="33">
        <f t="shared" si="2"/>
        <v>0</v>
      </c>
      <c r="C1088" s="52"/>
      <c r="D1088" s="51"/>
      <c r="E1088" s="12"/>
      <c r="F1088" s="7"/>
    </row>
    <row r="1089">
      <c r="A1089" s="32" t="str">
        <f>HYPERLINK("http://acm.timus.ru/problem.aspx?space=1&amp;num=1305","[Timus 1305] Convex Hull")</f>
        <v>[Timus 1305] Convex Hull</v>
      </c>
      <c r="B1089" s="33">
        <f t="shared" si="2"/>
        <v>1</v>
      </c>
      <c r="C1089" s="52"/>
      <c r="D1089" s="34" t="s">
        <v>38</v>
      </c>
      <c r="E1089" s="12"/>
      <c r="F1089" s="7"/>
    </row>
    <row r="1090">
      <c r="A1090" s="32" t="str">
        <f>HYPERLINK("http://acm.timus.ru/problem.aspx?space=1&amp;num=1405","[Timus 1405] Goat In The Garden 5")</f>
        <v>[Timus 1405] Goat In The Garden 5</v>
      </c>
      <c r="B1090" s="33">
        <f t="shared" si="2"/>
        <v>0</v>
      </c>
      <c r="C1090" s="52"/>
      <c r="D1090" s="51"/>
      <c r="E1090" s="12"/>
      <c r="F1090" s="7"/>
    </row>
    <row r="1091">
      <c r="A1091" s="32" t="str">
        <f>HYPERLINK("http://acm.timus.ru/problem.aspx?space=1&amp;num=1159","[Timus 1159] Fence")</f>
        <v>[Timus 1159] Fence</v>
      </c>
      <c r="B1091" s="33">
        <f t="shared" si="2"/>
        <v>0</v>
      </c>
      <c r="C1091" s="52"/>
      <c r="D1091" s="51"/>
      <c r="E1091" s="12"/>
      <c r="F1091" s="7"/>
    </row>
    <row r="1092">
      <c r="A1092" s="32" t="str">
        <f>HYPERLINK("http://acm.timus.ru/problem.aspx?space=1&amp;num=1647","[Timus 1647] Divide An Island!")</f>
        <v>[Timus 1647] Divide An Island!</v>
      </c>
      <c r="B1092" s="33">
        <f t="shared" si="2"/>
        <v>0</v>
      </c>
      <c r="C1092" s="52"/>
      <c r="D1092" s="51"/>
      <c r="E1092" s="12"/>
      <c r="F1092" s="7"/>
    </row>
    <row r="1093">
      <c r="A1093" s="32" t="str">
        <f>HYPERLINK("http://acm.timus.ru/problem.aspx?space=1&amp;num=1825","[Timus 1825] Ifrit Bomber 2")</f>
        <v>[Timus 1825] Ifrit Bomber 2</v>
      </c>
      <c r="B1093" s="33">
        <f t="shared" si="2"/>
        <v>0</v>
      </c>
      <c r="C1093" s="52"/>
      <c r="D1093" s="51"/>
      <c r="E1093" s="12"/>
      <c r="F1093" s="7"/>
    </row>
    <row r="1094">
      <c r="A1094" s="32" t="str">
        <f>HYPERLINK("http://acm.timus.ru/problem.aspx?space=1&amp;num=1775","[Timus 1775] Space Bowling")</f>
        <v>[Timus 1775] Space Bowling</v>
      </c>
      <c r="B1094" s="33">
        <f t="shared" si="2"/>
        <v>0</v>
      </c>
      <c r="C1094" s="52"/>
      <c r="D1094" s="51"/>
      <c r="E1094" s="12"/>
      <c r="F1094" s="7"/>
    </row>
    <row r="1095">
      <c r="A1095" s="32" t="str">
        <f>HYPERLINK("http://acm.timus.ru/problem.aspx?space=1&amp;num=1030","[Timus 1030] Titanic")</f>
        <v>[Timus 1030] Titanic</v>
      </c>
      <c r="B1095" s="33">
        <f t="shared" si="2"/>
        <v>0</v>
      </c>
      <c r="C1095" s="52"/>
      <c r="D1095" s="51"/>
      <c r="E1095" s="12"/>
      <c r="F1095" s="7"/>
    </row>
    <row r="1096">
      <c r="A1096" s="32" t="str">
        <f>HYPERLINK("http://acm.timus.ru/problem.aspx?space=1&amp;num=1875","[Timus 1875] Angry Birds")</f>
        <v>[Timus 1875] Angry Birds</v>
      </c>
      <c r="B1096" s="33">
        <f t="shared" si="2"/>
        <v>0</v>
      </c>
      <c r="C1096" s="52"/>
      <c r="D1096" s="51"/>
      <c r="E1096" s="12"/>
      <c r="F1096" s="7"/>
    </row>
    <row r="1097">
      <c r="A1097" s="32" t="str">
        <f>HYPERLINK("http://acm.timus.ru/problem.aspx?space=1&amp;num=1373","[Timus 1373] Picture Ex Machina")</f>
        <v>[Timus 1373] Picture Ex Machina</v>
      </c>
      <c r="B1097" s="33">
        <f t="shared" si="2"/>
        <v>0</v>
      </c>
      <c r="C1097" s="52"/>
      <c r="D1097" s="51"/>
      <c r="E1097" s="12"/>
      <c r="F1097" s="7"/>
    </row>
    <row r="1098">
      <c r="A1098" s="32" t="str">
        <f>HYPERLINK("http://acm.timus.ru/problem.aspx?space=1&amp;num=1578","[Timus 1578] Mammoth Hunt")</f>
        <v>[Timus 1578] Mammoth Hunt</v>
      </c>
      <c r="B1098" s="33">
        <f t="shared" si="2"/>
        <v>0</v>
      </c>
      <c r="C1098" s="52"/>
      <c r="D1098" s="51"/>
      <c r="E1098" s="12"/>
      <c r="F1098" s="7"/>
    </row>
    <row r="1099">
      <c r="A1099" s="32" t="str">
        <f>HYPERLINK("http://acm.timus.ru/problem.aspx?space=1&amp;num=1436","[Timus 1436] Billboard")</f>
        <v>[Timus 1436] Billboard</v>
      </c>
      <c r="B1099" s="33">
        <f t="shared" si="2"/>
        <v>0</v>
      </c>
      <c r="C1099" s="52"/>
      <c r="D1099" s="51"/>
      <c r="E1099" s="12"/>
      <c r="F1099" s="7"/>
    </row>
    <row r="1100">
      <c r="A1100" s="32" t="str">
        <f>HYPERLINK("http://acm.timus.ru/problem.aspx?space=1&amp;num=1422","[Timus 1422] Fireflies")</f>
        <v>[Timus 1422] Fireflies</v>
      </c>
      <c r="B1100" s="33">
        <f t="shared" si="2"/>
        <v>0</v>
      </c>
      <c r="C1100" s="52"/>
      <c r="D1100" s="51"/>
      <c r="E1100" s="12"/>
      <c r="F1100" s="7"/>
    </row>
    <row r="1101">
      <c r="A1101" s="32" t="str">
        <f>HYPERLINK("http://acm.timus.ru/problem.aspx?space=1&amp;num=1988","[Timus 1988] Planet Ocean Landing")</f>
        <v>[Timus 1988] Planet Ocean Landing</v>
      </c>
      <c r="B1101" s="33">
        <f t="shared" si="2"/>
        <v>0</v>
      </c>
      <c r="C1101" s="52"/>
      <c r="D1101" s="51"/>
      <c r="E1101" s="12"/>
      <c r="F1101" s="7"/>
    </row>
    <row r="1102">
      <c r="A1102" s="32" t="str">
        <f>HYPERLINK("http://acm.timus.ru/problem.aspx?space=1&amp;num=1927","[Timus 1927] Herbs And Magic")</f>
        <v>[Timus 1927] Herbs And Magic</v>
      </c>
      <c r="B1102" s="33">
        <f t="shared" si="2"/>
        <v>0</v>
      </c>
      <c r="C1102" s="52"/>
      <c r="D1102" s="51"/>
      <c r="E1102" s="12"/>
      <c r="F1102" s="7"/>
    </row>
    <row r="1103">
      <c r="A1103" s="32" t="str">
        <f>HYPERLINK("http://acm.timus.ru/problem.aspx?space=1&amp;num=1824","[Timus 1824] Ifrit Bomber")</f>
        <v>[Timus 1824] Ifrit Bomber</v>
      </c>
      <c r="B1103" s="33">
        <f t="shared" si="2"/>
        <v>0</v>
      </c>
      <c r="C1103" s="52"/>
      <c r="D1103" s="51"/>
      <c r="E1103" s="12"/>
      <c r="F1103" s="7"/>
    </row>
    <row r="1104">
      <c r="A1104" s="32" t="str">
        <f>HYPERLINK("http://acm.timus.ru/problem.aspx?space=1&amp;num=1418","[Timus 1418] Military Story")</f>
        <v>[Timus 1418] Military Story</v>
      </c>
      <c r="B1104" s="33">
        <f t="shared" si="2"/>
        <v>0</v>
      </c>
      <c r="C1104" s="52"/>
      <c r="D1104" s="51"/>
      <c r="E1104" s="12"/>
      <c r="F1104" s="7"/>
    </row>
    <row r="1105">
      <c r="A1105" s="32" t="str">
        <f>HYPERLINK("http://acm.timus.ru/problem.aspx?space=1&amp;num=1836","[Timus 1836] Babel Fish")</f>
        <v>[Timus 1836] Babel Fish</v>
      </c>
      <c r="B1105" s="33">
        <f t="shared" si="2"/>
        <v>0</v>
      </c>
      <c r="C1105" s="52"/>
      <c r="D1105" s="51"/>
      <c r="E1105" s="12"/>
      <c r="F1105" s="7"/>
    </row>
    <row r="1106">
      <c r="A1106" s="32" t="str">
        <f>HYPERLINK("http://acm.timus.ru/problem.aspx?space=1&amp;num=1451","[Timus 1451] Beerhouse Tale")</f>
        <v>[Timus 1451] Beerhouse Tale</v>
      </c>
      <c r="B1106" s="33">
        <f t="shared" si="2"/>
        <v>0</v>
      </c>
      <c r="C1106" s="52"/>
      <c r="D1106" s="51"/>
      <c r="E1106" s="12"/>
      <c r="F1106" s="7"/>
    </row>
    <row r="1107">
      <c r="A1107" s="32" t="str">
        <f>HYPERLINK("http://acm.timus.ru/problem.aspx?space=1&amp;num=1130","[Timus 1130] Nikifor's Walk")</f>
        <v>[Timus 1130] Nikifor's Walk</v>
      </c>
      <c r="B1107" s="33">
        <f t="shared" si="2"/>
        <v>0</v>
      </c>
      <c r="C1107" s="52"/>
      <c r="D1107" s="51"/>
      <c r="E1107" s="12"/>
      <c r="F1107" s="7"/>
    </row>
    <row r="1108">
      <c r="A1108" s="32" t="str">
        <f>HYPERLINK("http://acm.timus.ru/problem.aspx?space=1&amp;num=1331","[Timus 1331] Vladislava")</f>
        <v>[Timus 1331] Vladislava</v>
      </c>
      <c r="B1108" s="33">
        <f t="shared" si="2"/>
        <v>0</v>
      </c>
      <c r="C1108" s="52"/>
      <c r="D1108" s="51"/>
      <c r="E1108" s="12"/>
      <c r="F1108" s="7"/>
    </row>
    <row r="1109">
      <c r="A1109" s="32" t="str">
        <f>HYPERLINK("http://acm.timus.ru/problem.aspx?space=1&amp;num=1679","[Timus 1679] Scrooge's Tower")</f>
        <v>[Timus 1679] Scrooge's Tower</v>
      </c>
      <c r="B1109" s="33">
        <f t="shared" si="2"/>
        <v>0</v>
      </c>
      <c r="C1109" s="52"/>
      <c r="D1109" s="51"/>
      <c r="E1109" s="12"/>
      <c r="F1109" s="7"/>
    </row>
    <row r="1110">
      <c r="A1110" s="32" t="str">
        <f>HYPERLINK("http://acm.timus.ru/problem.aspx?space=1&amp;num=1768","[Timus 1768] Circular Strings")</f>
        <v>[Timus 1768] Circular Strings</v>
      </c>
      <c r="B1110" s="33">
        <f t="shared" si="2"/>
        <v>0</v>
      </c>
      <c r="C1110" s="52"/>
      <c r="D1110" s="51"/>
      <c r="E1110" s="12"/>
      <c r="F1110" s="7"/>
    </row>
    <row r="1111">
      <c r="A1111" s="32" t="str">
        <f>HYPERLINK("http://acm.timus.ru/problem.aspx?space=1&amp;num=1444","[Timus 1444] Elephpotamus")</f>
        <v>[Timus 1444] Elephpotamus</v>
      </c>
      <c r="B1111" s="33">
        <f t="shared" si="2"/>
        <v>0</v>
      </c>
      <c r="C1111" s="52"/>
      <c r="D1111" s="51"/>
      <c r="E1111" s="12"/>
      <c r="F1111" s="7"/>
    </row>
    <row r="1112">
      <c r="A1112" s="32" t="str">
        <f>HYPERLINK("http://acm.timus.ru/problem.aspx?space=1&amp;num=1883","[Timus 1883] Ent's Birthday")</f>
        <v>[Timus 1883] Ent's Birthday</v>
      </c>
      <c r="B1112" s="33">
        <f t="shared" si="2"/>
        <v>0</v>
      </c>
      <c r="C1112" s="52"/>
      <c r="D1112" s="51"/>
      <c r="E1112" s="12"/>
      <c r="F1112" s="7"/>
    </row>
    <row r="1113">
      <c r="A1113" s="32" t="str">
        <f>HYPERLINK("http://acm.timus.ru/problem.aspx?space=1&amp;num=1317","[Timus 1317] Hail")</f>
        <v>[Timus 1317] Hail</v>
      </c>
      <c r="B1113" s="33">
        <f t="shared" si="2"/>
        <v>0</v>
      </c>
      <c r="C1113" s="52"/>
      <c r="D1113" s="51"/>
      <c r="E1113" s="12"/>
      <c r="F1113" s="7"/>
    </row>
    <row r="1114">
      <c r="A1114" s="32" t="str">
        <f>HYPERLINK("http://acm.timus.ru/problem.aspx?space=1&amp;num=1341","[Timus 1341] Device")</f>
        <v>[Timus 1341] Device</v>
      </c>
      <c r="B1114" s="33">
        <f t="shared" si="2"/>
        <v>0</v>
      </c>
      <c r="C1114" s="52"/>
      <c r="D1114" s="51"/>
      <c r="E1114" s="12"/>
      <c r="F1114" s="7"/>
    </row>
    <row r="1115">
      <c r="A1115" s="32" t="str">
        <f>HYPERLINK("http://acm.timus.ru/problem.aspx?space=1&amp;num=1469","[Timus 1469] No Smoking!")</f>
        <v>[Timus 1469] No Smoking!</v>
      </c>
      <c r="B1115" s="33">
        <f t="shared" si="2"/>
        <v>0</v>
      </c>
      <c r="C1115" s="52"/>
      <c r="D1115" s="51"/>
      <c r="E1115" s="12"/>
      <c r="F1115" s="7"/>
    </row>
    <row r="1116">
      <c r="A1116" s="32" t="str">
        <f>HYPERLINK("http://acm.timus.ru/problem.aspx?space=1&amp;num=1722","[Timus 1722] Observation Deck")</f>
        <v>[Timus 1722] Observation Deck</v>
      </c>
      <c r="B1116" s="33">
        <f t="shared" si="2"/>
        <v>0</v>
      </c>
      <c r="C1116" s="52"/>
      <c r="D1116" s="51"/>
      <c r="E1116" s="12"/>
      <c r="F1116" s="7"/>
    </row>
    <row r="1117">
      <c r="A1117" s="32" t="str">
        <f>HYPERLINK("http://acm.timus.ru/problem.aspx?space=1&amp;num=1750","[Timus 1750] Pakhom And The Gully")</f>
        <v>[Timus 1750] Pakhom And The Gully</v>
      </c>
      <c r="B1117" s="33">
        <f t="shared" si="2"/>
        <v>0</v>
      </c>
      <c r="C1117" s="52"/>
      <c r="D1117" s="51"/>
      <c r="E1117" s="12"/>
      <c r="F1117" s="7"/>
    </row>
    <row r="1118">
      <c r="A1118" s="32" t="str">
        <f>HYPERLINK("http://acm.timus.ru/problem.aspx?space=1&amp;num=1538","[Timus 1538] Towers Of Guard")</f>
        <v>[Timus 1538] Towers Of Guard</v>
      </c>
      <c r="B1118" s="33">
        <f t="shared" si="2"/>
        <v>0</v>
      </c>
      <c r="C1118" s="52"/>
      <c r="D1118" s="51"/>
      <c r="E1118" s="12"/>
      <c r="F1118" s="7"/>
    </row>
    <row r="1119">
      <c r="A1119" s="32" t="str">
        <f>HYPERLINK("http://acm.timus.ru/problem.aspx?space=1&amp;num=1983","[Timus 1983] Nectar Gathering")</f>
        <v>[Timus 1983] Nectar Gathering</v>
      </c>
      <c r="B1119" s="33">
        <f t="shared" si="2"/>
        <v>0</v>
      </c>
      <c r="C1119" s="52"/>
      <c r="D1119" s="51"/>
      <c r="E1119" s="12"/>
      <c r="F1119" s="7"/>
    </row>
    <row r="1120">
      <c r="A1120" s="32" t="str">
        <f>HYPERLINK("http://acm.timus.ru/problem.aspx?space=1&amp;num=1686","[Timus 1686] Photovoltaic Spaceship")</f>
        <v>[Timus 1686] Photovoltaic Spaceship</v>
      </c>
      <c r="B1120" s="33">
        <f t="shared" si="2"/>
        <v>0</v>
      </c>
      <c r="C1120" s="52"/>
      <c r="D1120" s="51"/>
      <c r="E1120" s="12"/>
      <c r="F1120" s="7"/>
    </row>
    <row r="1121">
      <c r="A1121" s="32" t="str">
        <f>HYPERLINK("http://acm.timus.ru/problem.aspx?space=1&amp;num=1719","[Timus 1719] Kill The Shaitan-Boss")</f>
        <v>[Timus 1719] Kill The Shaitan-Boss</v>
      </c>
      <c r="B1121" s="33">
        <f t="shared" si="2"/>
        <v>0</v>
      </c>
      <c r="C1121" s="52"/>
      <c r="D1121" s="51"/>
      <c r="E1121" s="12"/>
      <c r="F1121" s="7"/>
    </row>
    <row r="1122">
      <c r="A1122" s="32" t="str">
        <f>HYPERLINK("http://acm.timus.ru/problem.aspx?space=1&amp;num=1328","[Timus 1328] Fireball")</f>
        <v>[Timus 1328] Fireball</v>
      </c>
      <c r="B1122" s="33">
        <f t="shared" si="2"/>
        <v>0</v>
      </c>
      <c r="C1122" s="52"/>
      <c r="D1122" s="51"/>
      <c r="E1122" s="12"/>
      <c r="F1122" s="7"/>
    </row>
    <row r="1123">
      <c r="A1123" s="32" t="str">
        <f>HYPERLINK("http://acm.timus.ru/problem.aspx?space=1&amp;num=2101","[Timus 2101] Knight's Shield")</f>
        <v>[Timus 2101] Knight's Shield</v>
      </c>
      <c r="B1123" s="33">
        <f t="shared" si="2"/>
        <v>0</v>
      </c>
      <c r="C1123" s="52"/>
      <c r="D1123" s="51"/>
      <c r="E1123" s="12"/>
      <c r="F1123" s="7"/>
    </row>
    <row r="1124">
      <c r="A1124" s="32" t="str">
        <f>HYPERLINK("http://acm.timus.ru/problem.aspx?space=1&amp;num=1281","[Timus 1281] River Basin")</f>
        <v>[Timus 1281] River Basin</v>
      </c>
      <c r="B1124" s="33">
        <f t="shared" si="2"/>
        <v>0</v>
      </c>
      <c r="C1124" s="52"/>
      <c r="D1124" s="51"/>
      <c r="E1124" s="12"/>
      <c r="F1124" s="7"/>
    </row>
    <row r="1125">
      <c r="A1125" s="32" t="str">
        <f>HYPERLINK("http://acm.timus.ru/problem.aspx?space=1&amp;num=1065","[Timus 1065] Frontier")</f>
        <v>[Timus 1065] Frontier</v>
      </c>
      <c r="B1125" s="33">
        <f t="shared" si="2"/>
        <v>0</v>
      </c>
      <c r="C1125" s="52"/>
      <c r="D1125" s="51"/>
      <c r="E1125" s="12"/>
      <c r="F1125" s="7"/>
    </row>
    <row r="1126">
      <c r="A1126" s="32" t="str">
        <f>HYPERLINK("http://acm.timus.ru/problem.aspx?space=1&amp;num=1913","[Timus 1913] Titan Ruins: Alignment of Forces")</f>
        <v>[Timus 1913] Titan Ruins: Alignment of Forces</v>
      </c>
      <c r="B1126" s="33">
        <f t="shared" si="2"/>
        <v>0</v>
      </c>
      <c r="C1126" s="52"/>
      <c r="D1126" s="51"/>
      <c r="E1126" s="12"/>
      <c r="F1126" s="7"/>
    </row>
    <row r="1127">
      <c r="A1127" s="32" t="str">
        <f>HYPERLINK("http://acm.timus.ru/problem.aspx?space=1&amp;num=1265","[Timus 1265] Mirror")</f>
        <v>[Timus 1265] Mirror</v>
      </c>
      <c r="B1127" s="33">
        <f t="shared" si="2"/>
        <v>0</v>
      </c>
      <c r="C1127" s="52"/>
      <c r="D1127" s="51"/>
      <c r="E1127" s="12"/>
      <c r="F1127" s="7"/>
    </row>
    <row r="1128">
      <c r="A1128" s="32" t="str">
        <f>HYPERLINK("http://acm.timus.ru/problem.aspx?space=1&amp;num=1170","[Timus 1170] Desert")</f>
        <v>[Timus 1170] Desert</v>
      </c>
      <c r="B1128" s="33">
        <f t="shared" si="2"/>
        <v>0</v>
      </c>
      <c r="C1128" s="52"/>
      <c r="D1128" s="51"/>
      <c r="E1128" s="12"/>
      <c r="F1128" s="7"/>
    </row>
    <row r="1129">
      <c r="A1129" s="32" t="str">
        <f>HYPERLINK("http://acm.timus.ru/problem.aspx?space=1&amp;num=1412","[Timus 1412] Autumn Tide")</f>
        <v>[Timus 1412] Autumn Tide</v>
      </c>
      <c r="B1129" s="33">
        <f t="shared" si="2"/>
        <v>0</v>
      </c>
      <c r="C1129" s="52"/>
      <c r="D1129" s="51"/>
      <c r="E1129" s="12"/>
      <c r="F1129" s="7"/>
    </row>
    <row r="1130">
      <c r="A1130" s="32" t="str">
        <f>HYPERLINK("http://acm.timus.ru/problem.aspx?space=1&amp;num=1043","[Timus 1043] Cover An Arc")</f>
        <v>[Timus 1043] Cover An Arc</v>
      </c>
      <c r="B1130" s="33">
        <f t="shared" si="2"/>
        <v>0</v>
      </c>
      <c r="C1130" s="52"/>
      <c r="D1130" s="51"/>
      <c r="E1130" s="12"/>
      <c r="F1130" s="7"/>
    </row>
    <row r="1131">
      <c r="A1131" s="32" t="str">
        <f>HYPERLINK("http://acm.timus.ru/problem.aspx?space=1&amp;num=1808","[Timus 1808] Chapaev At The Planet Ocean")</f>
        <v>[Timus 1808] Chapaev At The Planet Ocean</v>
      </c>
      <c r="B1131" s="33">
        <f t="shared" si="2"/>
        <v>0</v>
      </c>
      <c r="C1131" s="52"/>
      <c r="D1131" s="51"/>
      <c r="E1131" s="12"/>
      <c r="F1131" s="7"/>
    </row>
    <row r="1132">
      <c r="A1132" s="32" t="str">
        <f>HYPERLINK("http://acm.timus.ru/problem.aspx?space=1&amp;num=1894","[Timus 1894] Non-Flying Weather")</f>
        <v>[Timus 1894] Non-Flying Weather</v>
      </c>
      <c r="B1132" s="33">
        <f t="shared" si="2"/>
        <v>0</v>
      </c>
      <c r="C1132" s="52"/>
      <c r="D1132" s="51"/>
      <c r="E1132" s="12"/>
      <c r="F1132" s="7"/>
    </row>
    <row r="1133">
      <c r="A1133" s="32" t="str">
        <f>HYPERLINK("http://acm.timus.ru/problem.aspx?space=1&amp;num=1919","[Timus 1919] Titan Ruins: Transformation of Cylinders")</f>
        <v>[Timus 1919] Titan Ruins: Transformation of Cylinders</v>
      </c>
      <c r="B1133" s="33">
        <f t="shared" si="2"/>
        <v>0</v>
      </c>
      <c r="C1133" s="52"/>
      <c r="D1133" s="51"/>
      <c r="E1133" s="12"/>
      <c r="F1133" s="7"/>
    </row>
    <row r="1134">
      <c r="A1134" s="32" t="str">
        <f>HYPERLINK("http://acm.timus.ru/problem.aspx?space=1&amp;num=1583","[Timus 1583] Cheese")</f>
        <v>[Timus 1583] Cheese</v>
      </c>
      <c r="B1134" s="33">
        <f t="shared" si="2"/>
        <v>0</v>
      </c>
      <c r="C1134" s="52"/>
      <c r="D1134" s="51"/>
      <c r="E1134" s="12"/>
      <c r="F1134" s="7"/>
    </row>
    <row r="1135">
      <c r="A1135" s="32" t="str">
        <f>HYPERLINK("http://acm.timus.ru/problem.aspx?space=1&amp;num=1397","[Timus 1397] Points Game")</f>
        <v>[Timus 1397] Points Game</v>
      </c>
      <c r="B1135" s="33">
        <f t="shared" si="2"/>
        <v>0</v>
      </c>
      <c r="C1135" s="52"/>
      <c r="D1135" s="51"/>
      <c r="E1135" s="12"/>
      <c r="F1135" s="7"/>
    </row>
    <row r="1136">
      <c r="A1136" s="32" t="str">
        <f>HYPERLINK("http://acm.timus.ru/problem.aspx?space=1&amp;num=1514","[Timus 1514] National Park")</f>
        <v>[Timus 1514] National Park</v>
      </c>
      <c r="B1136" s="33">
        <f t="shared" si="2"/>
        <v>0</v>
      </c>
      <c r="C1136" s="52"/>
      <c r="D1136" s="51"/>
      <c r="E1136" s="12"/>
      <c r="F1136" s="7"/>
    </row>
    <row r="1137">
      <c r="A1137" s="32" t="str">
        <f>HYPERLINK("http://acm.timus.ru/problem.aspx?space=1&amp;num=1046","[Timus 1046] Geometrical Dreams")</f>
        <v>[Timus 1046] Geometrical Dreams</v>
      </c>
      <c r="B1137" s="33">
        <f t="shared" si="2"/>
        <v>0</v>
      </c>
      <c r="C1137" s="52"/>
      <c r="D1137" s="51"/>
      <c r="E1137" s="12"/>
      <c r="F1137" s="7"/>
    </row>
    <row r="1138">
      <c r="A1138" s="32" t="str">
        <f>HYPERLINK("http://acm.timus.ru/problem.aspx?space=1&amp;num=1285","[Timus 1285] Thread In A Hyperspace")</f>
        <v>[Timus 1285] Thread In A Hyperspace</v>
      </c>
      <c r="B1138" s="33">
        <f t="shared" si="2"/>
        <v>0</v>
      </c>
      <c r="C1138" s="52"/>
      <c r="D1138" s="51"/>
      <c r="E1138" s="12"/>
      <c r="F1138" s="7"/>
    </row>
    <row r="1139">
      <c r="A1139" s="32" t="str">
        <f>HYPERLINK("http://acm.timus.ru/problem.aspx?space=1&amp;num=1093","[Timus 1093] Darts")</f>
        <v>[Timus 1093] Darts</v>
      </c>
      <c r="B1139" s="33">
        <f t="shared" si="2"/>
        <v>0</v>
      </c>
      <c r="C1139" s="52"/>
      <c r="D1139" s="51"/>
      <c r="E1139" s="12"/>
      <c r="F1139" s="7"/>
    </row>
    <row r="1140">
      <c r="A1140" s="32" t="str">
        <f>HYPERLINK("http://acm.timus.ru/problem.aspx?space=1&amp;num=1163","[Timus 1163] Chapaev")</f>
        <v>[Timus 1163] Chapaev</v>
      </c>
      <c r="B1140" s="33">
        <f t="shared" si="2"/>
        <v>0</v>
      </c>
      <c r="C1140" s="52"/>
      <c r="D1140" s="51"/>
      <c r="E1140" s="12"/>
      <c r="F1140" s="7"/>
    </row>
    <row r="1141">
      <c r="A1141" s="32" t="str">
        <f>HYPERLINK("http://acm.timus.ru/problem.aspx?space=1&amp;num=2050","[Timus 2050] 3D-modeling")</f>
        <v>[Timus 2050] 3D-modeling</v>
      </c>
      <c r="B1141" s="33">
        <f t="shared" si="2"/>
        <v>0</v>
      </c>
      <c r="C1141" s="52"/>
      <c r="D1141" s="51"/>
      <c r="E1141" s="12"/>
      <c r="F1141" s="7"/>
    </row>
    <row r="1142">
      <c r="A1142" s="32" t="str">
        <f>HYPERLINK("http://acm.timus.ru/problem.aspx?space=1&amp;num=1839","[Timus 1839] The Mentaculus")</f>
        <v>[Timus 1839] The Mentaculus</v>
      </c>
      <c r="B1142" s="33">
        <f t="shared" si="2"/>
        <v>0</v>
      </c>
      <c r="C1142" s="52"/>
      <c r="D1142" s="51"/>
      <c r="E1142" s="12"/>
      <c r="F1142" s="7"/>
    </row>
    <row r="1143">
      <c r="A1143" s="32" t="str">
        <f>HYPERLINK("http://acm.timus.ru/problem.aspx?space=1&amp;num=1232","[Timus 1232] Asteroid Landing")</f>
        <v>[Timus 1232] Asteroid Landing</v>
      </c>
      <c r="B1143" s="33">
        <f t="shared" si="2"/>
        <v>0</v>
      </c>
      <c r="C1143" s="52"/>
      <c r="D1143" s="51"/>
      <c r="E1143" s="12"/>
      <c r="F1143" s="7"/>
    </row>
    <row r="1144">
      <c r="A1144" s="32" t="str">
        <f>HYPERLINK("http://acm.timus.ru/problem.aspx?space=1&amp;num=1504","[Timus 1504] Good Manners")</f>
        <v>[Timus 1504] Good Manners</v>
      </c>
      <c r="B1144" s="33">
        <f t="shared" si="2"/>
        <v>0</v>
      </c>
      <c r="C1144" s="52"/>
      <c r="D1144" s="51"/>
      <c r="E1144" s="12"/>
      <c r="F1144" s="7"/>
    </row>
    <row r="1145">
      <c r="A1145" s="32" t="str">
        <f>HYPERLINK("http://acm.timus.ru/problem.aspx?space=1&amp;num=1256","[Timus 1256] Cemetery Guard")</f>
        <v>[Timus 1256] Cemetery Guard</v>
      </c>
      <c r="B1145" s="33">
        <f t="shared" si="2"/>
        <v>0</v>
      </c>
      <c r="C1145" s="52"/>
      <c r="D1145" s="51"/>
      <c r="E1145" s="12"/>
      <c r="F1145" s="7"/>
    </row>
    <row r="1146">
      <c r="A1146" s="32" t="str">
        <f>HYPERLINK("http://acm.timus.ru/problem.aspx?space=1&amp;num=1956","[Timus 1956] Fire Signals")</f>
        <v>[Timus 1956] Fire Signals</v>
      </c>
      <c r="B1146" s="33">
        <f t="shared" si="2"/>
        <v>0</v>
      </c>
      <c r="C1146" s="52"/>
      <c r="D1146" s="51"/>
      <c r="E1146" s="12"/>
      <c r="F1146" s="7"/>
    </row>
    <row r="1147">
      <c r="A1147" s="32" t="str">
        <f>HYPERLINK("http://acm.timus.ru/problem.aspx?space=1&amp;num=1075","[Timus 1075] Thread In A Space")</f>
        <v>[Timus 1075] Thread In A Space</v>
      </c>
      <c r="B1147" s="33">
        <f t="shared" si="2"/>
        <v>0</v>
      </c>
      <c r="C1147" s="52"/>
      <c r="D1147" s="51"/>
      <c r="E1147" s="12"/>
      <c r="F1147" s="7"/>
    </row>
    <row r="1148">
      <c r="A1148" s="32" t="str">
        <f>HYPERLINK("http://acm.timus.ru/problem.aspx?space=1&amp;num=1599","[Timus 1599] Winding Number")</f>
        <v>[Timus 1599] Winding Number</v>
      </c>
      <c r="B1148" s="33">
        <f t="shared" si="2"/>
        <v>0</v>
      </c>
      <c r="C1148" s="52"/>
      <c r="D1148" s="51"/>
      <c r="E1148" s="12"/>
      <c r="F1148" s="7"/>
    </row>
    <row r="1149">
      <c r="A1149" s="32" t="str">
        <f>HYPERLINK("http://acm.timus.ru/problem.aspx?space=1&amp;num=1520","[Timus 1520] Empire Strikes Back")</f>
        <v>[Timus 1520] Empire Strikes Back</v>
      </c>
      <c r="B1149" s="33">
        <f t="shared" si="2"/>
        <v>0</v>
      </c>
      <c r="C1149" s="52"/>
      <c r="D1149" s="51"/>
      <c r="E1149" s="12"/>
      <c r="F1149" s="7"/>
    </row>
    <row r="1150">
      <c r="A1150" s="32" t="str">
        <f>HYPERLINK("http://acm.timus.ru/problem.aspx?space=1&amp;num=1308","[Timus 1308] Dean's Pyramid")</f>
        <v>[Timus 1308] Dean's Pyramid</v>
      </c>
      <c r="B1150" s="33">
        <f t="shared" si="2"/>
        <v>0</v>
      </c>
      <c r="C1150" s="52"/>
      <c r="D1150" s="51"/>
      <c r="E1150" s="12"/>
      <c r="F1150" s="7"/>
    </row>
    <row r="1151">
      <c r="A1151" s="32" t="str">
        <f>HYPERLINK("http://acm.timus.ru/problem.aspx?space=1&amp;num=1955","[Timus 1955] Boss, I Can See You!")</f>
        <v>[Timus 1955] Boss, I Can See You!</v>
      </c>
      <c r="B1151" s="33">
        <f t="shared" si="2"/>
        <v>0</v>
      </c>
      <c r="C1151" s="52"/>
      <c r="D1151" s="51"/>
      <c r="E1151" s="12"/>
      <c r="F1151" s="7"/>
    </row>
    <row r="1152">
      <c r="A1152" s="32" t="str">
        <f>HYPERLINK("http://acm.timus.ru/problem.aspx?space=1&amp;num=1312","[Timus 1312] Tray")</f>
        <v>[Timus 1312] Tray</v>
      </c>
      <c r="B1152" s="33">
        <f t="shared" si="2"/>
        <v>0</v>
      </c>
      <c r="C1152" s="52"/>
      <c r="D1152" s="51"/>
      <c r="E1152" s="12"/>
      <c r="F1152" s="7"/>
    </row>
    <row r="1153">
      <c r="A1153" s="32" t="str">
        <f>HYPERLINK("http://acm.timus.ru/problem.aspx?space=1&amp;num=1058","[Timus 1058] Chocolate")</f>
        <v>[Timus 1058] Chocolate</v>
      </c>
      <c r="B1153" s="33">
        <f t="shared" si="2"/>
        <v>0</v>
      </c>
      <c r="C1153" s="52"/>
      <c r="D1153" s="51"/>
      <c r="E1153" s="12"/>
      <c r="F1153" s="7"/>
    </row>
    <row r="1154">
      <c r="A1154" s="32" t="str">
        <f>HYPERLINK("http://acm.timus.ru/problem.aspx?space=1&amp;num=1239","[Timus 1239] Ghost Busters")</f>
        <v>[Timus 1239] Ghost Busters</v>
      </c>
      <c r="B1154" s="33">
        <f t="shared" si="2"/>
        <v>0</v>
      </c>
      <c r="C1154" s="52"/>
      <c r="D1154" s="51"/>
      <c r="E1154" s="12"/>
      <c r="F1154" s="7"/>
    </row>
    <row r="1155">
      <c r="A1155" s="32" t="str">
        <f>HYPERLINK("http://acm.timus.ru/problem.aspx?space=1&amp;num=1464","[Timus 1464] Light")</f>
        <v>[Timus 1464] Light</v>
      </c>
      <c r="B1155" s="33">
        <f t="shared" si="2"/>
        <v>0</v>
      </c>
      <c r="C1155" s="52"/>
      <c r="D1155" s="51"/>
      <c r="E1155" s="12"/>
      <c r="F1155" s="7"/>
    </row>
    <row r="1156">
      <c r="A1156" s="32" t="str">
        <f>HYPERLINK("http://acm.timus.ru/problem.aspx?space=1&amp;num=1429","[Timus 1429] Biscuits")</f>
        <v>[Timus 1429] Biscuits</v>
      </c>
      <c r="B1156" s="33">
        <f t="shared" si="2"/>
        <v>0</v>
      </c>
      <c r="C1156" s="52"/>
      <c r="D1156" s="51"/>
      <c r="E1156" s="12"/>
      <c r="F1156" s="7"/>
    </row>
    <row r="1157">
      <c r="A1157" s="32" t="str">
        <f>HYPERLINK("http://acm.timus.ru/problem.aspx?space=1&amp;num=1566","[Timus 1566] Triangular Postcards")</f>
        <v>[Timus 1566] Triangular Postcards</v>
      </c>
      <c r="B1157" s="33">
        <f t="shared" si="2"/>
        <v>0</v>
      </c>
      <c r="C1157" s="52"/>
      <c r="D1157" s="51"/>
      <c r="E1157" s="12"/>
      <c r="F1157" s="7"/>
    </row>
    <row r="1158">
      <c r="A1158" s="32" t="str">
        <f>HYPERLINK("http://acm.timus.ru/problem.aspx?space=1&amp;num=1477","[Timus 1477] Airplanes")</f>
        <v>[Timus 1477] Airplanes</v>
      </c>
      <c r="B1158" s="33">
        <f t="shared" si="2"/>
        <v>0</v>
      </c>
      <c r="C1158" s="52"/>
      <c r="D1158" s="51"/>
      <c r="E1158" s="12"/>
      <c r="F1158" s="7"/>
    </row>
    <row r="1159">
      <c r="A1159" s="32" t="str">
        <f>HYPERLINK("http://acm.timus.ru/problem.aspx?space=1&amp;num=1482","[Timus 1482] Triangle Game")</f>
        <v>[Timus 1482] Triangle Game</v>
      </c>
      <c r="B1159" s="33">
        <f t="shared" si="2"/>
        <v>0</v>
      </c>
      <c r="C1159" s="52"/>
      <c r="D1159" s="51"/>
      <c r="E1159" s="12"/>
      <c r="F1159" s="7"/>
    </row>
    <row r="1160">
      <c r="A1160" s="32" t="str">
        <f>HYPERLINK("http://acm.timus.ru/problem.aspx?space=1&amp;num=1442","[Timus 1442] Floo Powder")</f>
        <v>[Timus 1442] Floo Powder</v>
      </c>
      <c r="B1160" s="33">
        <f t="shared" si="2"/>
        <v>0</v>
      </c>
      <c r="C1160" s="52"/>
      <c r="D1160" s="51"/>
      <c r="E1160" s="12"/>
      <c r="F1160" s="7"/>
    </row>
    <row r="1161">
      <c r="A1161" s="32" t="str">
        <f>HYPERLINK("http://acm.timus.ru/problem.aspx?space=1&amp;num=1681","[Timus 1681] Brother Bear's Garden")</f>
        <v>[Timus 1681] Brother Bear's Garden</v>
      </c>
      <c r="B1161" s="33">
        <f t="shared" si="2"/>
        <v>0</v>
      </c>
      <c r="C1161" s="52"/>
      <c r="D1161" s="51"/>
      <c r="E1161" s="12"/>
      <c r="F1161" s="7"/>
    </row>
    <row r="1162">
      <c r="A1162" s="32" t="str">
        <f>HYPERLINK("http://acm.timus.ru/problem.aspx?space=1&amp;num=1199","[Timus 1199] Mouse")</f>
        <v>[Timus 1199] Mouse</v>
      </c>
      <c r="B1162" s="33">
        <f t="shared" si="2"/>
        <v>0</v>
      </c>
      <c r="C1162" s="52"/>
      <c r="D1162" s="51"/>
      <c r="E1162" s="12"/>
      <c r="F1162" s="7"/>
    </row>
    <row r="1163">
      <c r="A1163" s="32" t="str">
        <f>HYPERLINK("http://acm.timus.ru/problem.aspx?space=1&amp;num=1909","[Timus 1909] Space Recon")</f>
        <v>[Timus 1909] Space Recon</v>
      </c>
      <c r="B1163" s="33">
        <f t="shared" si="2"/>
        <v>0</v>
      </c>
      <c r="C1163" s="52"/>
      <c r="D1163" s="51"/>
      <c r="E1163" s="12"/>
      <c r="F1163" s="7"/>
    </row>
    <row r="1164">
      <c r="A1164" s="32" t="str">
        <f>HYPERLINK("http://acm.timus.ru/problem.aspx?space=1&amp;num=1616","[Timus 1616] Square Country 4")</f>
        <v>[Timus 1616] Square Country 4</v>
      </c>
      <c r="B1164" s="33">
        <f t="shared" si="2"/>
        <v>0</v>
      </c>
      <c r="C1164" s="52"/>
      <c r="D1164" s="51"/>
      <c r="E1164" s="12"/>
      <c r="F1164" s="7"/>
    </row>
    <row r="1165">
      <c r="A1165" s="32" t="str">
        <f>HYPERLINK("http://acm.timus.ru/problem.aspx?space=1&amp;num=1632","[Timus 1632] Lasers")</f>
        <v>[Timus 1632] Lasers</v>
      </c>
      <c r="B1165" s="33">
        <f t="shared" si="2"/>
        <v>0</v>
      </c>
      <c r="C1165" s="52"/>
      <c r="D1165" s="51"/>
      <c r="E1165" s="12"/>
      <c r="F1165" s="7"/>
    </row>
    <row r="1166">
      <c r="A1166" s="32" t="str">
        <f>HYPERLINK("http://acm.timus.ru/problem.aspx?space=1&amp;num=1938","[Timus 1938] Caribbean Triangle")</f>
        <v>[Timus 1938] Caribbean Triangle</v>
      </c>
      <c r="B1166" s="33">
        <f t="shared" si="2"/>
        <v>0</v>
      </c>
      <c r="C1166" s="52"/>
      <c r="D1166" s="51"/>
      <c r="E1166" s="12"/>
      <c r="F1166" s="7"/>
    </row>
    <row r="1167">
      <c r="A1167" s="32" t="str">
        <f>HYPERLINK("http://acm.timus.ru/problem.aspx?space=1&amp;num=1460","[Timus 1460] Wires")</f>
        <v>[Timus 1460] Wires</v>
      </c>
      <c r="B1167" s="33">
        <f t="shared" si="2"/>
        <v>0</v>
      </c>
      <c r="C1167" s="52"/>
      <c r="D1167" s="51"/>
      <c r="E1167" s="12"/>
      <c r="F1167" s="7"/>
    </row>
    <row r="1168">
      <c r="A1168" s="32" t="str">
        <f>HYPERLINK("http://acm.timus.ru/problem.aspx?space=1&amp;num=1733","[Timus 1733] Forgotten Technology")</f>
        <v>[Timus 1733] Forgotten Technology</v>
      </c>
      <c r="B1168" s="33">
        <f t="shared" si="2"/>
        <v>0</v>
      </c>
      <c r="C1168" s="52"/>
      <c r="D1168" s="51"/>
      <c r="E1168" s="12"/>
      <c r="F1168" s="7"/>
    </row>
    <row r="1169">
      <c r="A1169" s="32" t="str">
        <f>HYPERLINK("http://acm.timus.ru/problem.aspx?space=1&amp;num=1637","[Timus 1637] Triangle Game 2")</f>
        <v>[Timus 1637] Triangle Game 2</v>
      </c>
      <c r="B1169" s="33">
        <f t="shared" si="2"/>
        <v>0</v>
      </c>
      <c r="C1169" s="52"/>
      <c r="D1169" s="51"/>
      <c r="E1169" s="12"/>
      <c r="F1169" s="7"/>
    </row>
    <row r="1170">
      <c r="A1170" s="32" t="str">
        <f>HYPERLINK("http://acm.timus.ru/problem.aspx?space=1&amp;num=1475","[Timus 1475] Ryaba Hen")</f>
        <v>[Timus 1475] Ryaba Hen</v>
      </c>
      <c r="B1170" s="33">
        <f t="shared" si="2"/>
        <v>0</v>
      </c>
      <c r="C1170" s="52"/>
      <c r="D1170" s="51"/>
      <c r="E1170" s="12"/>
      <c r="F1170" s="7"/>
    </row>
    <row r="1171">
      <c r="A1171" s="32" t="str">
        <f>HYPERLINK("http://acm.timus.ru/problem.aspx?space=1&amp;num=1662","[Timus 1662] Goat In The Garden 6")</f>
        <v>[Timus 1662] Goat In The Garden 6</v>
      </c>
      <c r="B1171" s="33">
        <f t="shared" si="2"/>
        <v>0</v>
      </c>
      <c r="C1171" s="52"/>
      <c r="D1171" s="51"/>
      <c r="E1171" s="12"/>
      <c r="F1171" s="7"/>
    </row>
    <row r="1172">
      <c r="A1172" s="32" t="str">
        <f>HYPERLINK("http://acm.timus.ru/problem.aspx?space=1&amp;num=1271","[Timus 1271] Sailing Directions")</f>
        <v>[Timus 1271] Sailing Directions</v>
      </c>
      <c r="B1172" s="33">
        <f t="shared" si="2"/>
        <v>0</v>
      </c>
      <c r="C1172" s="52"/>
      <c r="D1172" s="51"/>
      <c r="E1172" s="12"/>
      <c r="F1172" s="7"/>
    </row>
    <row r="1173">
      <c r="A1173" s="32" t="str">
        <f>HYPERLINK("http://acm.timus.ru/problem.aspx?space=1&amp;num=1340","[Timus 1340] Cucaracha")</f>
        <v>[Timus 1340] Cucaracha</v>
      </c>
      <c r="B1173" s="33">
        <f t="shared" si="2"/>
        <v>0</v>
      </c>
      <c r="C1173" s="52"/>
      <c r="D1173" s="51"/>
      <c r="E1173" s="12"/>
      <c r="F1173" s="7"/>
    </row>
    <row r="1174">
      <c r="A1174" s="32" t="str">
        <f>HYPERLINK("http://acm.timus.ru/problem.aspx?space=1&amp;num=1384","[Timus 1384] Goat In The Garden 4")</f>
        <v>[Timus 1384] Goat In The Garden 4</v>
      </c>
      <c r="B1174" s="33">
        <f t="shared" si="2"/>
        <v>0</v>
      </c>
      <c r="C1174" s="52"/>
      <c r="D1174" s="51"/>
      <c r="E1174" s="12"/>
      <c r="F1174" s="7"/>
    </row>
    <row r="1175">
      <c r="A1175" s="32" t="str">
        <f>HYPERLINK("http://acm.timus.ru/problem.aspx?space=1&amp;num=1372","[Timus 1372] Death Star")</f>
        <v>[Timus 1372] Death Star</v>
      </c>
      <c r="B1175" s="33">
        <f t="shared" si="2"/>
        <v>0</v>
      </c>
      <c r="C1175" s="52"/>
      <c r="D1175" s="51"/>
      <c r="E1175" s="12"/>
      <c r="F1175" s="7"/>
    </row>
    <row r="1176">
      <c r="A1176" s="32" t="str">
        <f>HYPERLINK("http://acm.timus.ru/problem.aspx?space=1&amp;num=2054","[Timus 2054] Astronomy")</f>
        <v>[Timus 2054] Astronomy</v>
      </c>
      <c r="B1176" s="33">
        <f t="shared" si="2"/>
        <v>0</v>
      </c>
      <c r="C1176" s="52"/>
      <c r="D1176" s="51"/>
      <c r="E1176" s="12"/>
      <c r="F1176" s="7"/>
    </row>
    <row r="1177">
      <c r="A1177" s="32" t="str">
        <f>HYPERLINK("http://acm.timus.ru/problem.aspx?space=1&amp;num=2016","[Timus 2016] Magic And Science")</f>
        <v>[Timus 2016] Magic And Science</v>
      </c>
      <c r="B1177" s="33">
        <f t="shared" si="2"/>
        <v>0</v>
      </c>
      <c r="C1177" s="52"/>
      <c r="D1177" s="51"/>
      <c r="E1177" s="12"/>
      <c r="F1177" s="7"/>
    </row>
    <row r="1178">
      <c r="A1178" s="32" t="str">
        <f>HYPERLINK("http://acm.timus.ru/problem.aspx?space=1&amp;num=1660","[Timus 1660] The Island Of Bad Luck")</f>
        <v>[Timus 1660] The Island Of Bad Luck</v>
      </c>
      <c r="B1178" s="33">
        <f t="shared" si="2"/>
        <v>0</v>
      </c>
      <c r="C1178" s="52"/>
      <c r="D1178" s="51"/>
      <c r="E1178" s="12"/>
      <c r="F1178" s="7"/>
    </row>
    <row r="1179">
      <c r="A1179" s="32" t="str">
        <f>HYPERLINK("http://acm.timus.ru/problem.aspx?space=1&amp;num=2076","[Timus 2076] Vasiana")</f>
        <v>[Timus 2076] Vasiana</v>
      </c>
      <c r="B1179" s="33">
        <f t="shared" si="2"/>
        <v>0</v>
      </c>
      <c r="C1179" s="52"/>
      <c r="D1179" s="51"/>
      <c r="E1179" s="12"/>
      <c r="F1179" s="7"/>
    </row>
    <row r="1180">
      <c r="A1180" s="32" t="str">
        <f>HYPERLINK("http://acm.timus.ru/problem.aspx?space=1&amp;num=1653","[Timus 1653] Death Conveyor")</f>
        <v>[Timus 1653] Death Conveyor</v>
      </c>
      <c r="B1180" s="33">
        <f t="shared" si="2"/>
        <v>0</v>
      </c>
      <c r="C1180" s="52"/>
      <c r="D1180" s="51"/>
      <c r="E1180" s="12"/>
      <c r="F1180" s="7"/>
    </row>
    <row r="1181">
      <c r="A1181" s="32" t="str">
        <f>HYPERLINK("http://acm.timus.ru/problem.aspx?space=1&amp;num=1626","[Timus 1626] Interfering Segment")</f>
        <v>[Timus 1626] Interfering Segment</v>
      </c>
      <c r="B1181" s="33">
        <f t="shared" si="2"/>
        <v>0</v>
      </c>
      <c r="C1181" s="52"/>
      <c r="D1181" s="51"/>
      <c r="E1181" s="12"/>
      <c r="F1181" s="7"/>
    </row>
    <row r="1182">
      <c r="A1182" s="32" t="str">
        <f>HYPERLINK("http://acm.timus.ru/problem.aspx?space=1&amp;num=1840","[Timus 1840] Victim of Advertising")</f>
        <v>[Timus 1840] Victim of Advertising</v>
      </c>
      <c r="B1182" s="33">
        <f t="shared" si="2"/>
        <v>0</v>
      </c>
      <c r="C1182" s="52"/>
      <c r="D1182" s="51"/>
      <c r="E1182" s="12"/>
      <c r="F1182" s="7"/>
    </row>
    <row r="1183">
      <c r="A1183" s="32" t="str">
        <f>HYPERLINK("http://acm.timus.ru/problem.aspx?space=1&amp;num=1556","[Timus 1556] Multishot In The Secret Cow Level")</f>
        <v>[Timus 1556] Multishot In The Secret Cow Level</v>
      </c>
      <c r="B1183" s="33">
        <f t="shared" si="2"/>
        <v>0</v>
      </c>
      <c r="C1183" s="52"/>
      <c r="D1183" s="51"/>
      <c r="E1183" s="12"/>
      <c r="F1183" s="7"/>
    </row>
    <row r="1184">
      <c r="A1184" s="32" t="str">
        <f>HYPERLINK("http://acm.timus.ru/problem.aspx?space=1&amp;num=1415","[Timus 1415] Mobile Life")</f>
        <v>[Timus 1415] Mobile Life</v>
      </c>
      <c r="B1184" s="33">
        <f t="shared" si="2"/>
        <v>0</v>
      </c>
      <c r="C1184" s="52"/>
      <c r="D1184" s="51"/>
      <c r="E1184" s="12"/>
      <c r="F1184" s="7"/>
    </row>
    <row r="1185">
      <c r="B1185" s="52"/>
      <c r="C1185" s="52"/>
      <c r="D1185" s="51"/>
      <c r="E1185" s="12"/>
      <c r="F1185" s="7"/>
    </row>
    <row r="1186">
      <c r="B1186" s="52"/>
      <c r="C1186" s="52"/>
      <c r="D1186" s="51"/>
      <c r="E1186" s="12"/>
      <c r="F1186" s="7"/>
    </row>
    <row r="1187">
      <c r="B1187" s="52"/>
      <c r="C1187" s="52"/>
      <c r="D1187" s="51"/>
      <c r="E1187" s="12"/>
      <c r="F1187" s="7"/>
    </row>
    <row r="1188">
      <c r="B1188" s="52"/>
      <c r="C1188" s="52"/>
      <c r="D1188" s="51"/>
      <c r="E1188" s="12"/>
      <c r="F1188" s="7"/>
    </row>
    <row r="1189">
      <c r="B1189" s="52"/>
      <c r="C1189" s="52"/>
      <c r="D1189" s="51"/>
      <c r="E1189" s="12"/>
      <c r="F1189" s="7"/>
    </row>
    <row r="1190">
      <c r="B1190" s="52"/>
      <c r="C1190" s="52"/>
      <c r="D1190" s="51"/>
      <c r="E1190" s="12"/>
      <c r="F1190" s="7"/>
    </row>
    <row r="1191">
      <c r="B1191" s="52"/>
      <c r="C1191" s="52"/>
      <c r="D1191" s="51"/>
      <c r="E1191" s="12"/>
      <c r="F1191" s="7"/>
    </row>
    <row r="1192">
      <c r="B1192" s="52"/>
      <c r="C1192" s="52"/>
      <c r="D1192" s="51"/>
      <c r="E1192" s="12"/>
      <c r="F1192" s="7"/>
    </row>
    <row r="1193">
      <c r="B1193" s="52"/>
      <c r="C1193" s="52"/>
      <c r="D1193" s="51"/>
      <c r="E1193" s="12"/>
      <c r="F1193" s="7"/>
    </row>
    <row r="1194">
      <c r="B1194" s="52"/>
      <c r="C1194" s="52"/>
      <c r="D1194" s="51"/>
      <c r="E1194" s="12"/>
      <c r="F1194" s="7"/>
    </row>
    <row r="1195">
      <c r="B1195" s="52"/>
      <c r="C1195" s="52"/>
      <c r="D1195" s="51"/>
      <c r="E1195" s="12"/>
      <c r="F1195" s="7"/>
    </row>
    <row r="1196">
      <c r="B1196" s="52"/>
      <c r="C1196" s="52"/>
      <c r="D1196" s="51"/>
      <c r="E1196" s="12"/>
      <c r="F1196" s="7"/>
    </row>
    <row r="1197">
      <c r="B1197" s="52"/>
      <c r="C1197" s="52"/>
      <c r="D1197" s="51"/>
      <c r="E1197" s="12"/>
      <c r="F1197" s="7"/>
    </row>
    <row r="1198">
      <c r="B1198" s="52"/>
      <c r="C1198" s="52"/>
      <c r="D1198" s="51"/>
      <c r="E1198" s="12"/>
      <c r="F1198" s="7"/>
    </row>
    <row r="1199">
      <c r="B1199" s="52"/>
      <c r="C1199" s="52"/>
      <c r="D1199" s="51"/>
      <c r="E1199" s="12"/>
      <c r="F1199" s="7"/>
    </row>
    <row r="1200">
      <c r="B1200" s="52"/>
      <c r="C1200" s="52"/>
      <c r="D1200" s="51"/>
      <c r="E1200" s="12"/>
      <c r="F1200" s="7"/>
    </row>
    <row r="1201">
      <c r="B1201" s="52"/>
      <c r="C1201" s="52"/>
      <c r="D1201" s="51"/>
      <c r="E1201" s="12"/>
      <c r="F1201" s="7"/>
    </row>
    <row r="1202">
      <c r="B1202" s="52"/>
      <c r="C1202" s="52"/>
      <c r="D1202" s="51"/>
      <c r="E1202" s="12"/>
      <c r="F1202" s="7"/>
    </row>
    <row r="1203">
      <c r="B1203" s="52"/>
      <c r="C1203" s="52"/>
      <c r="D1203" s="51"/>
      <c r="E1203" s="12"/>
      <c r="F1203" s="7"/>
    </row>
    <row r="1204">
      <c r="B1204" s="52"/>
      <c r="C1204" s="52"/>
      <c r="D1204" s="51"/>
      <c r="E1204" s="12"/>
      <c r="F1204" s="7"/>
    </row>
    <row r="1205">
      <c r="B1205" s="52"/>
      <c r="C1205" s="52"/>
      <c r="D1205" s="51"/>
      <c r="E1205" s="12"/>
      <c r="F1205" s="7"/>
    </row>
    <row r="1206">
      <c r="B1206" s="52"/>
      <c r="C1206" s="52"/>
      <c r="D1206" s="51"/>
      <c r="E1206" s="12"/>
      <c r="F1206" s="7"/>
    </row>
    <row r="1207">
      <c r="B1207" s="52"/>
      <c r="C1207" s="52"/>
      <c r="D1207" s="51"/>
      <c r="E1207" s="12"/>
      <c r="F1207" s="7"/>
    </row>
    <row r="1208">
      <c r="B1208" s="52"/>
      <c r="C1208" s="52"/>
      <c r="D1208" s="51"/>
      <c r="E1208" s="12"/>
      <c r="F1208" s="7"/>
    </row>
    <row r="1209">
      <c r="B1209" s="52"/>
      <c r="C1209" s="52"/>
      <c r="D1209" s="51"/>
      <c r="E1209" s="12"/>
      <c r="F1209" s="7"/>
    </row>
    <row r="1210">
      <c r="B1210" s="52"/>
      <c r="C1210" s="52"/>
      <c r="D1210" s="51"/>
      <c r="E1210" s="12"/>
      <c r="F1210" s="7"/>
    </row>
    <row r="1211">
      <c r="B1211" s="52"/>
      <c r="C1211" s="52"/>
      <c r="D1211" s="51"/>
      <c r="E1211" s="12"/>
      <c r="F1211" s="7"/>
    </row>
    <row r="1212">
      <c r="B1212" s="52"/>
      <c r="C1212" s="52"/>
      <c r="D1212" s="51"/>
      <c r="E1212" s="12"/>
      <c r="F1212" s="7"/>
    </row>
    <row r="1213">
      <c r="B1213" s="52"/>
      <c r="C1213" s="52"/>
      <c r="D1213" s="51"/>
      <c r="E1213" s="12"/>
      <c r="F1213" s="7"/>
    </row>
    <row r="1214">
      <c r="B1214" s="52"/>
      <c r="C1214" s="52"/>
      <c r="D1214" s="51"/>
      <c r="E1214" s="12"/>
      <c r="F1214" s="7"/>
    </row>
    <row r="1215">
      <c r="B1215" s="52"/>
      <c r="C1215" s="52"/>
      <c r="D1215" s="51"/>
      <c r="E1215" s="12"/>
      <c r="F1215" s="7"/>
    </row>
    <row r="1216">
      <c r="B1216" s="52"/>
      <c r="C1216" s="52"/>
      <c r="D1216" s="51"/>
      <c r="E1216" s="12"/>
      <c r="F1216" s="7"/>
    </row>
    <row r="1217">
      <c r="B1217" s="52"/>
      <c r="C1217" s="52"/>
      <c r="D1217" s="51"/>
      <c r="E1217" s="12"/>
      <c r="F1217" s="7"/>
    </row>
    <row r="1218">
      <c r="B1218" s="52"/>
      <c r="C1218" s="52"/>
      <c r="D1218" s="51"/>
      <c r="E1218" s="12"/>
      <c r="F1218" s="7"/>
    </row>
    <row r="1219">
      <c r="B1219" s="52"/>
      <c r="C1219" s="52"/>
      <c r="D1219" s="51"/>
      <c r="E1219" s="12"/>
      <c r="F1219" s="7"/>
    </row>
    <row r="1220">
      <c r="B1220" s="52"/>
      <c r="C1220" s="52"/>
      <c r="D1220" s="51"/>
      <c r="E1220" s="12"/>
      <c r="F1220" s="7"/>
    </row>
    <row r="1221">
      <c r="B1221" s="52"/>
      <c r="C1221" s="52"/>
      <c r="D1221" s="51"/>
      <c r="E1221" s="12"/>
      <c r="F1221" s="7"/>
    </row>
    <row r="1222">
      <c r="B1222" s="52"/>
      <c r="C1222" s="52"/>
      <c r="D1222" s="51"/>
      <c r="E1222" s="12"/>
      <c r="F1222" s="7"/>
    </row>
    <row r="1223">
      <c r="B1223" s="52"/>
      <c r="C1223" s="52"/>
      <c r="D1223" s="51"/>
      <c r="E1223" s="12"/>
      <c r="F1223" s="7"/>
    </row>
    <row r="1224">
      <c r="B1224" s="52"/>
      <c r="C1224" s="52"/>
      <c r="D1224" s="51"/>
      <c r="E1224" s="12"/>
      <c r="F1224" s="7"/>
    </row>
    <row r="1225">
      <c r="B1225" s="52"/>
      <c r="C1225" s="52"/>
      <c r="D1225" s="51"/>
      <c r="E1225" s="12"/>
      <c r="F1225" s="7"/>
    </row>
    <row r="1226">
      <c r="B1226" s="52"/>
      <c r="C1226" s="52"/>
      <c r="D1226" s="51"/>
      <c r="E1226" s="12"/>
      <c r="F1226" s="7"/>
    </row>
    <row r="1227">
      <c r="B1227" s="52"/>
      <c r="C1227" s="52"/>
      <c r="D1227" s="51"/>
      <c r="E1227" s="12"/>
      <c r="F1227" s="7"/>
    </row>
    <row r="1228">
      <c r="B1228" s="52"/>
      <c r="C1228" s="52"/>
      <c r="D1228" s="51"/>
      <c r="E1228" s="12"/>
      <c r="F1228" s="7"/>
    </row>
    <row r="1229">
      <c r="B1229" s="52"/>
      <c r="C1229" s="52"/>
      <c r="D1229" s="51"/>
      <c r="E1229" s="12"/>
      <c r="F1229" s="7"/>
    </row>
    <row r="1230">
      <c r="B1230" s="52"/>
      <c r="C1230" s="52"/>
      <c r="D1230" s="51"/>
      <c r="E1230" s="12"/>
      <c r="F1230" s="7"/>
    </row>
    <row r="1231">
      <c r="B1231" s="52"/>
      <c r="C1231" s="52"/>
      <c r="D1231" s="51"/>
      <c r="E1231" s="12"/>
      <c r="F1231" s="7"/>
    </row>
    <row r="1232">
      <c r="B1232" s="52"/>
      <c r="C1232" s="52"/>
      <c r="D1232" s="51"/>
      <c r="E1232" s="12"/>
      <c r="F1232" s="7"/>
    </row>
    <row r="1233">
      <c r="B1233" s="52"/>
      <c r="C1233" s="52"/>
      <c r="D1233" s="51"/>
      <c r="E1233" s="12"/>
      <c r="F1233" s="7"/>
    </row>
    <row r="1234">
      <c r="B1234" s="52"/>
      <c r="C1234" s="52"/>
      <c r="D1234" s="51"/>
      <c r="E1234" s="12"/>
      <c r="F1234" s="7"/>
    </row>
    <row r="1235">
      <c r="B1235" s="52"/>
      <c r="C1235" s="52"/>
      <c r="D1235" s="51"/>
      <c r="E1235" s="12"/>
      <c r="F1235" s="7"/>
    </row>
    <row r="1236">
      <c r="B1236" s="52"/>
      <c r="C1236" s="52"/>
      <c r="D1236" s="51"/>
      <c r="E1236" s="12"/>
      <c r="F1236" s="7"/>
    </row>
    <row r="1237">
      <c r="B1237" s="52"/>
      <c r="C1237" s="52"/>
      <c r="D1237" s="51"/>
      <c r="E1237" s="12"/>
      <c r="F1237" s="7"/>
    </row>
    <row r="1238">
      <c r="B1238" s="52"/>
      <c r="C1238" s="52"/>
      <c r="D1238" s="51"/>
      <c r="E1238" s="12"/>
      <c r="F1238" s="7"/>
    </row>
    <row r="1239">
      <c r="B1239" s="52"/>
      <c r="C1239" s="52"/>
      <c r="D1239" s="51"/>
      <c r="E1239" s="12"/>
      <c r="F1239" s="7"/>
    </row>
    <row r="1240">
      <c r="B1240" s="52"/>
      <c r="C1240" s="52"/>
      <c r="D1240" s="51"/>
      <c r="E1240" s="12"/>
      <c r="F1240" s="7"/>
    </row>
    <row r="1241">
      <c r="B1241" s="52"/>
      <c r="C1241" s="52"/>
      <c r="D1241" s="51"/>
      <c r="E1241" s="12"/>
      <c r="F1241" s="7"/>
    </row>
    <row r="1242">
      <c r="B1242" s="52"/>
      <c r="C1242" s="52"/>
      <c r="D1242" s="51"/>
      <c r="E1242" s="12"/>
      <c r="F1242" s="7"/>
    </row>
    <row r="1243">
      <c r="B1243" s="52"/>
      <c r="C1243" s="52"/>
      <c r="D1243" s="51"/>
      <c r="E1243" s="12"/>
      <c r="F1243" s="7"/>
    </row>
    <row r="1244">
      <c r="B1244" s="52"/>
      <c r="C1244" s="52"/>
      <c r="D1244" s="51"/>
      <c r="E1244" s="12"/>
      <c r="F1244" s="7"/>
    </row>
    <row r="1245">
      <c r="B1245" s="52"/>
      <c r="C1245" s="52"/>
      <c r="D1245" s="51"/>
      <c r="E1245" s="12"/>
      <c r="F1245" s="7"/>
    </row>
    <row r="1246">
      <c r="B1246" s="52"/>
      <c r="C1246" s="52"/>
      <c r="D1246" s="51"/>
      <c r="E1246" s="12"/>
      <c r="F1246" s="7"/>
    </row>
    <row r="1247">
      <c r="B1247" s="52"/>
      <c r="C1247" s="52"/>
      <c r="D1247" s="51"/>
      <c r="E1247" s="12"/>
      <c r="F1247" s="7"/>
    </row>
    <row r="1248">
      <c r="B1248" s="52"/>
      <c r="C1248" s="52"/>
      <c r="D1248" s="51"/>
      <c r="E1248" s="12"/>
      <c r="F1248" s="7"/>
    </row>
    <row r="1249">
      <c r="B1249" s="52"/>
      <c r="C1249" s="52"/>
      <c r="D1249" s="51"/>
      <c r="E1249" s="12"/>
      <c r="F1249" s="7"/>
    </row>
    <row r="1250">
      <c r="B1250" s="52"/>
      <c r="C1250" s="52"/>
      <c r="D1250" s="51"/>
      <c r="E1250" s="12"/>
      <c r="F1250" s="7"/>
    </row>
    <row r="1251">
      <c r="B1251" s="52"/>
      <c r="C1251" s="52"/>
      <c r="D1251" s="51"/>
      <c r="E1251" s="12"/>
      <c r="F1251" s="7"/>
    </row>
    <row r="1252">
      <c r="B1252" s="52"/>
      <c r="C1252" s="52"/>
      <c r="D1252" s="51"/>
      <c r="E1252" s="12"/>
      <c r="F1252" s="7"/>
    </row>
    <row r="1253">
      <c r="B1253" s="52"/>
      <c r="C1253" s="52"/>
      <c r="D1253" s="51"/>
      <c r="E1253" s="12"/>
      <c r="F1253" s="7"/>
    </row>
    <row r="1254">
      <c r="B1254" s="52"/>
      <c r="C1254" s="52"/>
      <c r="D1254" s="51"/>
      <c r="E1254" s="12"/>
      <c r="F1254" s="7"/>
    </row>
    <row r="1255">
      <c r="B1255" s="52"/>
      <c r="C1255" s="52"/>
      <c r="D1255" s="51"/>
      <c r="E1255" s="12"/>
      <c r="F1255" s="7"/>
    </row>
    <row r="1256">
      <c r="B1256" s="52"/>
      <c r="C1256" s="52"/>
      <c r="D1256" s="51"/>
      <c r="E1256" s="12"/>
      <c r="F1256" s="7"/>
    </row>
    <row r="1257">
      <c r="B1257" s="52"/>
      <c r="C1257" s="52"/>
      <c r="D1257" s="51"/>
      <c r="E1257" s="12"/>
      <c r="F1257" s="7"/>
    </row>
    <row r="1258">
      <c r="B1258" s="52"/>
      <c r="C1258" s="52"/>
      <c r="D1258" s="51"/>
      <c r="E1258" s="12"/>
      <c r="F1258" s="7"/>
    </row>
    <row r="1259">
      <c r="B1259" s="52"/>
      <c r="C1259" s="52"/>
      <c r="D1259" s="51"/>
      <c r="E1259" s="12"/>
      <c r="F1259" s="7"/>
    </row>
    <row r="1260">
      <c r="B1260" s="52"/>
      <c r="C1260" s="52"/>
      <c r="D1260" s="51"/>
      <c r="E1260" s="12"/>
      <c r="F1260" s="7"/>
    </row>
    <row r="1261">
      <c r="B1261" s="52"/>
      <c r="C1261" s="52"/>
      <c r="D1261" s="51"/>
      <c r="E1261" s="12"/>
      <c r="F1261" s="7"/>
    </row>
    <row r="1262">
      <c r="B1262" s="52"/>
      <c r="C1262" s="52"/>
      <c r="D1262" s="51"/>
      <c r="E1262" s="12"/>
      <c r="F1262" s="7"/>
    </row>
    <row r="1263">
      <c r="B1263" s="52"/>
      <c r="C1263" s="52"/>
      <c r="D1263" s="51"/>
      <c r="E1263" s="12"/>
      <c r="F1263" s="7"/>
    </row>
    <row r="1264">
      <c r="B1264" s="52"/>
      <c r="C1264" s="52"/>
      <c r="D1264" s="51"/>
      <c r="E1264" s="12"/>
      <c r="F1264" s="7"/>
    </row>
    <row r="1265">
      <c r="B1265" s="52"/>
      <c r="C1265" s="52"/>
      <c r="D1265" s="51"/>
      <c r="E1265" s="12"/>
      <c r="F1265" s="7"/>
    </row>
    <row r="1266">
      <c r="B1266" s="52"/>
      <c r="C1266" s="52"/>
      <c r="D1266" s="51"/>
      <c r="E1266" s="12"/>
      <c r="F1266" s="7"/>
    </row>
    <row r="1267">
      <c r="B1267" s="52"/>
      <c r="C1267" s="52"/>
      <c r="D1267" s="51"/>
      <c r="E1267" s="12"/>
      <c r="F1267" s="7"/>
    </row>
    <row r="1268">
      <c r="B1268" s="52"/>
      <c r="C1268" s="52"/>
      <c r="D1268" s="51"/>
      <c r="E1268" s="12"/>
      <c r="F1268" s="7"/>
    </row>
    <row r="1269">
      <c r="B1269" s="52"/>
      <c r="C1269" s="52"/>
      <c r="D1269" s="51"/>
      <c r="E1269" s="12"/>
      <c r="F1269" s="7"/>
    </row>
    <row r="1270">
      <c r="B1270" s="52"/>
      <c r="C1270" s="52"/>
      <c r="D1270" s="51"/>
      <c r="E1270" s="12"/>
      <c r="F1270" s="7"/>
    </row>
    <row r="1271">
      <c r="B1271" s="52"/>
      <c r="C1271" s="52"/>
      <c r="D1271" s="51"/>
      <c r="E1271" s="12"/>
      <c r="F1271" s="7"/>
    </row>
    <row r="1272">
      <c r="B1272" s="52"/>
      <c r="C1272" s="52"/>
      <c r="D1272" s="51"/>
      <c r="E1272" s="12"/>
      <c r="F1272" s="7"/>
    </row>
    <row r="1273">
      <c r="B1273" s="52"/>
      <c r="C1273" s="52"/>
      <c r="D1273" s="51"/>
      <c r="E1273" s="12"/>
      <c r="F1273" s="7"/>
    </row>
    <row r="1274">
      <c r="B1274" s="52"/>
      <c r="C1274" s="52"/>
      <c r="D1274" s="51"/>
      <c r="E1274" s="12"/>
      <c r="F1274" s="7"/>
    </row>
    <row r="1275">
      <c r="B1275" s="52"/>
      <c r="C1275" s="52"/>
      <c r="D1275" s="51"/>
      <c r="E1275" s="12"/>
      <c r="F1275" s="7"/>
    </row>
    <row r="1276">
      <c r="B1276" s="52"/>
      <c r="C1276" s="52"/>
      <c r="D1276" s="51"/>
      <c r="E1276" s="12"/>
      <c r="F1276" s="7"/>
    </row>
    <row r="1277">
      <c r="B1277" s="52"/>
      <c r="C1277" s="52"/>
      <c r="D1277" s="51"/>
      <c r="E1277" s="12"/>
      <c r="F1277" s="7"/>
    </row>
    <row r="1278">
      <c r="B1278" s="52"/>
      <c r="C1278" s="52"/>
      <c r="D1278" s="51"/>
      <c r="E1278" s="12"/>
      <c r="F1278" s="7"/>
    </row>
    <row r="1279">
      <c r="B1279" s="52"/>
      <c r="C1279" s="52"/>
      <c r="D1279" s="51"/>
      <c r="E1279" s="12"/>
      <c r="F1279" s="7"/>
    </row>
    <row r="1280">
      <c r="B1280" s="52"/>
      <c r="C1280" s="52"/>
      <c r="D1280" s="51"/>
      <c r="E1280" s="12"/>
      <c r="F1280" s="7"/>
    </row>
    <row r="1281">
      <c r="B1281" s="52"/>
      <c r="C1281" s="52"/>
      <c r="D1281" s="51"/>
      <c r="E1281" s="12"/>
      <c r="F1281" s="7"/>
    </row>
    <row r="1282">
      <c r="B1282" s="52"/>
      <c r="C1282" s="52"/>
      <c r="D1282" s="51"/>
      <c r="E1282" s="12"/>
      <c r="F1282" s="7"/>
    </row>
    <row r="1283">
      <c r="B1283" s="52"/>
      <c r="C1283" s="52"/>
      <c r="D1283" s="51"/>
      <c r="E1283" s="12"/>
      <c r="F1283" s="7"/>
    </row>
    <row r="1284">
      <c r="B1284" s="52"/>
      <c r="C1284" s="52"/>
      <c r="D1284" s="51"/>
      <c r="E1284" s="12"/>
      <c r="F1284" s="7"/>
    </row>
    <row r="1285">
      <c r="B1285" s="52"/>
      <c r="C1285" s="52"/>
      <c r="D1285" s="51"/>
      <c r="E1285" s="12"/>
      <c r="F1285" s="7"/>
    </row>
    <row r="1286">
      <c r="B1286" s="52"/>
      <c r="C1286" s="52"/>
      <c r="D1286" s="51"/>
      <c r="E1286" s="12"/>
      <c r="F1286" s="7"/>
    </row>
    <row r="1287">
      <c r="B1287" s="52"/>
      <c r="C1287" s="52"/>
      <c r="D1287" s="51"/>
      <c r="E1287" s="12"/>
      <c r="F1287" s="7"/>
    </row>
    <row r="1288">
      <c r="B1288" s="52"/>
      <c r="C1288" s="52"/>
      <c r="D1288" s="51"/>
      <c r="E1288" s="12"/>
      <c r="F1288" s="7"/>
    </row>
    <row r="1289">
      <c r="B1289" s="52"/>
      <c r="C1289" s="52"/>
      <c r="D1289" s="51"/>
      <c r="E1289" s="12"/>
      <c r="F1289" s="7"/>
    </row>
    <row r="1290">
      <c r="B1290" s="52"/>
      <c r="C1290" s="52"/>
      <c r="D1290" s="51"/>
      <c r="E1290" s="12"/>
      <c r="F1290" s="7"/>
    </row>
    <row r="1291">
      <c r="B1291" s="52"/>
      <c r="C1291" s="52"/>
      <c r="D1291" s="51"/>
      <c r="E1291" s="12"/>
      <c r="F1291" s="7"/>
    </row>
    <row r="1292">
      <c r="B1292" s="52"/>
      <c r="C1292" s="52"/>
      <c r="D1292" s="51"/>
      <c r="E1292" s="12"/>
      <c r="F1292" s="7"/>
    </row>
    <row r="1293">
      <c r="B1293" s="52"/>
      <c r="C1293" s="52"/>
      <c r="D1293" s="51"/>
      <c r="E1293" s="12"/>
      <c r="F1293" s="7"/>
    </row>
    <row r="1294">
      <c r="B1294" s="52"/>
      <c r="C1294" s="52"/>
      <c r="D1294" s="51"/>
      <c r="E1294" s="12"/>
      <c r="F1294" s="7"/>
    </row>
    <row r="1295">
      <c r="B1295" s="52"/>
      <c r="C1295" s="52"/>
      <c r="D1295" s="51"/>
      <c r="E1295" s="12"/>
      <c r="F1295" s="7"/>
    </row>
    <row r="1296">
      <c r="B1296" s="52"/>
      <c r="C1296" s="52"/>
      <c r="D1296" s="51"/>
      <c r="E1296" s="12"/>
      <c r="F1296" s="7"/>
    </row>
    <row r="1297">
      <c r="B1297" s="52"/>
      <c r="C1297" s="52"/>
      <c r="D1297" s="51"/>
      <c r="E1297" s="12"/>
      <c r="F1297" s="7"/>
    </row>
    <row r="1298">
      <c r="B1298" s="52"/>
      <c r="C1298" s="52"/>
      <c r="D1298" s="51"/>
      <c r="E1298" s="12"/>
      <c r="F1298" s="7"/>
    </row>
    <row r="1299">
      <c r="B1299" s="52"/>
      <c r="C1299" s="52"/>
      <c r="D1299" s="51"/>
      <c r="E1299" s="12"/>
      <c r="F1299" s="7"/>
    </row>
    <row r="1300">
      <c r="B1300" s="52"/>
      <c r="C1300" s="52"/>
      <c r="D1300" s="51"/>
      <c r="E1300" s="12"/>
      <c r="F1300" s="7"/>
    </row>
    <row r="1301">
      <c r="B1301" s="52"/>
      <c r="C1301" s="52"/>
      <c r="D1301" s="51"/>
      <c r="E1301" s="12"/>
      <c r="F1301" s="7"/>
    </row>
    <row r="1302">
      <c r="B1302" s="52"/>
      <c r="C1302" s="52"/>
      <c r="D1302" s="51"/>
      <c r="E1302" s="12"/>
      <c r="F1302" s="7"/>
    </row>
    <row r="1303">
      <c r="B1303" s="52"/>
      <c r="C1303" s="52"/>
      <c r="D1303" s="51"/>
      <c r="E1303" s="12"/>
      <c r="F1303" s="7"/>
    </row>
    <row r="1304">
      <c r="B1304" s="52"/>
      <c r="C1304" s="52"/>
      <c r="D1304" s="51"/>
      <c r="E1304" s="12"/>
      <c r="F1304" s="7"/>
    </row>
    <row r="1305">
      <c r="B1305" s="52"/>
      <c r="C1305" s="52"/>
      <c r="D1305" s="51"/>
      <c r="E1305" s="12"/>
      <c r="F1305" s="7"/>
    </row>
    <row r="1306">
      <c r="B1306" s="52"/>
      <c r="C1306" s="52"/>
      <c r="D1306" s="51"/>
      <c r="E1306" s="12"/>
      <c r="F1306" s="7"/>
    </row>
    <row r="1307">
      <c r="B1307" s="52"/>
      <c r="C1307" s="52"/>
      <c r="D1307" s="51"/>
      <c r="E1307" s="12"/>
      <c r="F1307" s="7"/>
    </row>
    <row r="1308">
      <c r="B1308" s="52"/>
      <c r="C1308" s="52"/>
      <c r="D1308" s="51"/>
      <c r="E1308" s="12"/>
      <c r="F1308" s="7"/>
    </row>
    <row r="1309">
      <c r="B1309" s="52"/>
      <c r="C1309" s="52"/>
      <c r="D1309" s="51"/>
      <c r="E1309" s="12"/>
      <c r="F1309" s="7"/>
    </row>
    <row r="1310">
      <c r="B1310" s="52"/>
      <c r="C1310" s="52"/>
      <c r="D1310" s="51"/>
      <c r="E1310" s="12"/>
      <c r="F1310" s="7"/>
    </row>
    <row r="1311">
      <c r="B1311" s="52"/>
      <c r="C1311" s="52"/>
      <c r="D1311" s="51"/>
      <c r="E1311" s="12"/>
      <c r="F1311" s="7"/>
    </row>
    <row r="1312">
      <c r="B1312" s="52"/>
      <c r="C1312" s="52"/>
      <c r="D1312" s="51"/>
      <c r="E1312" s="12"/>
      <c r="F1312" s="7"/>
    </row>
    <row r="1313">
      <c r="B1313" s="52"/>
      <c r="C1313" s="52"/>
      <c r="D1313" s="51"/>
      <c r="E1313" s="12"/>
      <c r="F1313" s="7"/>
    </row>
    <row r="1314">
      <c r="B1314" s="52"/>
      <c r="C1314" s="52"/>
      <c r="D1314" s="51"/>
      <c r="E1314" s="12"/>
      <c r="F1314" s="7"/>
    </row>
    <row r="1315">
      <c r="B1315" s="52"/>
      <c r="C1315" s="52"/>
      <c r="D1315" s="51"/>
      <c r="E1315" s="12"/>
      <c r="F1315" s="7"/>
    </row>
    <row r="1316">
      <c r="B1316" s="52"/>
      <c r="C1316" s="52"/>
      <c r="D1316" s="51"/>
      <c r="E1316" s="12"/>
      <c r="F1316" s="7"/>
    </row>
    <row r="1317">
      <c r="B1317" s="52"/>
      <c r="C1317" s="52"/>
      <c r="D1317" s="51"/>
      <c r="E1317" s="12"/>
      <c r="F1317" s="7"/>
    </row>
    <row r="1318">
      <c r="B1318" s="52"/>
      <c r="C1318" s="52"/>
      <c r="D1318" s="51"/>
      <c r="E1318" s="12"/>
      <c r="F1318" s="7"/>
    </row>
    <row r="1319">
      <c r="B1319" s="52"/>
      <c r="C1319" s="52"/>
      <c r="D1319" s="51"/>
      <c r="E1319" s="12"/>
      <c r="F1319" s="7"/>
    </row>
    <row r="1320">
      <c r="B1320" s="52"/>
      <c r="C1320" s="52"/>
      <c r="D1320" s="51"/>
      <c r="E1320" s="12"/>
      <c r="F1320" s="7"/>
    </row>
    <row r="1321">
      <c r="B1321" s="52"/>
      <c r="C1321" s="52"/>
      <c r="D1321" s="51"/>
      <c r="E1321" s="12"/>
      <c r="F1321" s="7"/>
    </row>
    <row r="1322">
      <c r="B1322" s="52"/>
      <c r="C1322" s="52"/>
      <c r="D1322" s="51"/>
      <c r="E1322" s="12"/>
      <c r="F1322" s="7"/>
    </row>
    <row r="1323">
      <c r="B1323" s="52"/>
      <c r="C1323" s="52"/>
      <c r="D1323" s="51"/>
      <c r="E1323" s="12"/>
      <c r="F1323" s="7"/>
    </row>
    <row r="1324">
      <c r="B1324" s="52"/>
      <c r="C1324" s="52"/>
      <c r="D1324" s="51"/>
      <c r="E1324" s="12"/>
      <c r="F1324" s="7"/>
    </row>
    <row r="1325">
      <c r="B1325" s="52"/>
      <c r="C1325" s="52"/>
      <c r="D1325" s="51"/>
      <c r="E1325" s="12"/>
      <c r="F1325" s="7"/>
    </row>
    <row r="1326">
      <c r="B1326" s="52"/>
      <c r="C1326" s="52"/>
      <c r="D1326" s="51"/>
      <c r="E1326" s="12"/>
      <c r="F1326" s="7"/>
    </row>
    <row r="1327">
      <c r="B1327" s="52"/>
      <c r="C1327" s="52"/>
      <c r="D1327" s="51"/>
      <c r="E1327" s="12"/>
      <c r="F1327" s="7"/>
    </row>
    <row r="1328">
      <c r="B1328" s="52"/>
      <c r="C1328" s="52"/>
      <c r="D1328" s="51"/>
      <c r="E1328" s="12"/>
      <c r="F1328" s="7"/>
    </row>
    <row r="1329">
      <c r="B1329" s="52"/>
      <c r="C1329" s="52"/>
      <c r="D1329" s="51"/>
      <c r="E1329" s="12"/>
      <c r="F1329" s="7"/>
    </row>
    <row r="1330">
      <c r="B1330" s="52"/>
      <c r="C1330" s="52"/>
      <c r="D1330" s="51"/>
      <c r="E1330" s="12"/>
      <c r="F1330" s="7"/>
    </row>
    <row r="1331">
      <c r="B1331" s="52"/>
      <c r="C1331" s="52"/>
      <c r="D1331" s="51"/>
      <c r="E1331" s="12"/>
      <c r="F1331" s="7"/>
    </row>
    <row r="1332">
      <c r="B1332" s="52"/>
      <c r="C1332" s="52"/>
      <c r="D1332" s="51"/>
      <c r="E1332" s="12"/>
      <c r="F1332" s="7"/>
    </row>
    <row r="1333">
      <c r="B1333" s="52"/>
      <c r="C1333" s="52"/>
      <c r="D1333" s="51"/>
      <c r="E1333" s="12"/>
      <c r="F1333" s="7"/>
    </row>
    <row r="1334">
      <c r="B1334" s="52"/>
      <c r="C1334" s="52"/>
      <c r="D1334" s="51"/>
      <c r="E1334" s="12"/>
      <c r="F1334" s="7"/>
    </row>
    <row r="1335">
      <c r="B1335" s="52"/>
      <c r="C1335" s="52"/>
      <c r="D1335" s="51"/>
      <c r="E1335" s="12"/>
      <c r="F1335" s="7"/>
    </row>
    <row r="1336">
      <c r="B1336" s="52"/>
      <c r="C1336" s="52"/>
      <c r="D1336" s="51"/>
      <c r="E1336" s="12"/>
      <c r="F1336" s="7"/>
    </row>
    <row r="1337">
      <c r="B1337" s="52"/>
      <c r="C1337" s="52"/>
      <c r="D1337" s="51"/>
      <c r="E1337" s="12"/>
      <c r="F1337" s="7"/>
    </row>
    <row r="1338">
      <c r="B1338" s="52"/>
      <c r="C1338" s="52"/>
      <c r="D1338" s="51"/>
      <c r="E1338" s="12"/>
      <c r="F1338" s="7"/>
    </row>
    <row r="1339">
      <c r="B1339" s="52"/>
      <c r="C1339" s="52"/>
      <c r="D1339" s="51"/>
      <c r="E1339" s="12"/>
      <c r="F1339" s="7"/>
    </row>
    <row r="1340">
      <c r="B1340" s="52"/>
      <c r="C1340" s="52"/>
      <c r="D1340" s="51"/>
      <c r="E1340" s="12"/>
      <c r="F1340" s="7"/>
    </row>
    <row r="1341">
      <c r="B1341" s="52"/>
      <c r="C1341" s="52"/>
      <c r="D1341" s="51"/>
      <c r="E1341" s="12"/>
      <c r="F1341" s="7"/>
    </row>
    <row r="1342">
      <c r="B1342" s="52"/>
      <c r="C1342" s="52"/>
      <c r="D1342" s="51"/>
      <c r="E1342" s="12"/>
      <c r="F1342" s="7"/>
    </row>
    <row r="1343">
      <c r="B1343" s="52"/>
      <c r="C1343" s="52"/>
      <c r="D1343" s="51"/>
      <c r="E1343" s="12"/>
      <c r="F1343" s="7"/>
    </row>
    <row r="1344">
      <c r="B1344" s="52"/>
      <c r="C1344" s="52"/>
      <c r="D1344" s="51"/>
      <c r="E1344" s="12"/>
      <c r="F1344" s="7"/>
    </row>
    <row r="1345">
      <c r="B1345" s="52"/>
      <c r="C1345" s="52"/>
      <c r="D1345" s="51"/>
      <c r="E1345" s="12"/>
      <c r="F1345" s="7"/>
    </row>
    <row r="1346">
      <c r="B1346" s="52"/>
      <c r="C1346" s="52"/>
      <c r="D1346" s="51"/>
      <c r="E1346" s="12"/>
      <c r="F1346" s="7"/>
    </row>
    <row r="1347">
      <c r="B1347" s="52"/>
      <c r="C1347" s="52"/>
      <c r="D1347" s="51"/>
      <c r="E1347" s="12"/>
      <c r="F1347" s="7"/>
    </row>
    <row r="1348">
      <c r="B1348" s="52"/>
      <c r="C1348" s="52"/>
      <c r="D1348" s="51"/>
      <c r="E1348" s="12"/>
      <c r="F1348" s="7"/>
    </row>
    <row r="1349">
      <c r="B1349" s="52"/>
      <c r="C1349" s="52"/>
      <c r="D1349" s="51"/>
      <c r="E1349" s="12"/>
      <c r="F1349" s="7"/>
    </row>
    <row r="1350">
      <c r="B1350" s="52"/>
      <c r="C1350" s="52"/>
      <c r="D1350" s="51"/>
      <c r="E1350" s="12"/>
      <c r="F1350" s="7"/>
    </row>
    <row r="1351">
      <c r="B1351" s="52"/>
      <c r="C1351" s="52"/>
      <c r="D1351" s="51"/>
      <c r="E1351" s="12"/>
      <c r="F1351" s="7"/>
    </row>
    <row r="1352">
      <c r="B1352" s="52"/>
      <c r="C1352" s="52"/>
      <c r="D1352" s="51"/>
      <c r="E1352" s="12"/>
      <c r="F1352" s="7"/>
    </row>
    <row r="1353">
      <c r="B1353" s="52"/>
      <c r="C1353" s="52"/>
      <c r="D1353" s="51"/>
      <c r="E1353" s="12"/>
      <c r="F1353" s="7"/>
    </row>
    <row r="1354">
      <c r="B1354" s="52"/>
      <c r="C1354" s="52"/>
      <c r="D1354" s="51"/>
      <c r="E1354" s="12"/>
      <c r="F1354" s="7"/>
    </row>
    <row r="1355">
      <c r="B1355" s="52"/>
      <c r="C1355" s="52"/>
      <c r="D1355" s="51"/>
      <c r="E1355" s="12"/>
      <c r="F1355" s="7"/>
    </row>
    <row r="1356">
      <c r="B1356" s="52"/>
      <c r="C1356" s="52"/>
      <c r="D1356" s="51"/>
      <c r="E1356" s="12"/>
      <c r="F1356" s="7"/>
    </row>
    <row r="1357">
      <c r="B1357" s="52"/>
      <c r="C1357" s="52"/>
      <c r="D1357" s="51"/>
      <c r="E1357" s="12"/>
      <c r="F1357" s="7"/>
    </row>
    <row r="1358">
      <c r="B1358" s="52"/>
      <c r="C1358" s="52"/>
      <c r="D1358" s="51"/>
      <c r="E1358" s="12"/>
      <c r="F1358" s="7"/>
    </row>
    <row r="1359">
      <c r="B1359" s="52"/>
      <c r="C1359" s="52"/>
      <c r="D1359" s="51"/>
      <c r="E1359" s="12"/>
      <c r="F1359" s="7"/>
    </row>
    <row r="1360">
      <c r="B1360" s="52"/>
      <c r="C1360" s="52"/>
      <c r="D1360" s="51"/>
      <c r="E1360" s="12"/>
      <c r="F1360" s="7"/>
    </row>
    <row r="1361">
      <c r="B1361" s="52"/>
      <c r="C1361" s="52"/>
      <c r="D1361" s="51"/>
      <c r="E1361" s="12"/>
      <c r="F1361" s="7"/>
    </row>
    <row r="1362">
      <c r="B1362" s="52"/>
      <c r="C1362" s="52"/>
      <c r="D1362" s="51"/>
      <c r="E1362" s="12"/>
      <c r="F1362" s="7"/>
    </row>
    <row r="1363">
      <c r="B1363" s="52"/>
      <c r="C1363" s="52"/>
      <c r="D1363" s="51"/>
      <c r="E1363" s="12"/>
      <c r="F1363" s="7"/>
    </row>
    <row r="1364">
      <c r="B1364" s="52"/>
      <c r="C1364" s="52"/>
      <c r="D1364" s="51"/>
      <c r="E1364" s="12"/>
      <c r="F1364" s="7"/>
    </row>
    <row r="1365">
      <c r="B1365" s="52"/>
      <c r="C1365" s="52"/>
      <c r="D1365" s="51"/>
      <c r="E1365" s="12"/>
      <c r="F1365" s="7"/>
    </row>
    <row r="1366">
      <c r="B1366" s="52"/>
      <c r="C1366" s="52"/>
      <c r="D1366" s="51"/>
      <c r="E1366" s="12"/>
      <c r="F1366" s="7"/>
    </row>
    <row r="1367">
      <c r="B1367" s="52"/>
      <c r="C1367" s="52"/>
      <c r="D1367" s="51"/>
      <c r="E1367" s="12"/>
      <c r="F1367" s="7"/>
    </row>
    <row r="1368">
      <c r="B1368" s="52"/>
      <c r="C1368" s="52"/>
      <c r="D1368" s="51"/>
      <c r="E1368" s="12"/>
      <c r="F1368" s="7"/>
    </row>
    <row r="1369">
      <c r="B1369" s="52"/>
      <c r="C1369" s="52"/>
      <c r="D1369" s="51"/>
      <c r="E1369" s="12"/>
      <c r="F1369" s="7"/>
    </row>
    <row r="1370">
      <c r="B1370" s="52"/>
      <c r="C1370" s="52"/>
      <c r="D1370" s="51"/>
      <c r="E1370" s="12"/>
      <c r="F1370" s="7"/>
    </row>
    <row r="1371">
      <c r="B1371" s="52"/>
      <c r="C1371" s="52"/>
      <c r="D1371" s="51"/>
      <c r="E1371" s="12"/>
      <c r="F1371" s="7"/>
    </row>
    <row r="1372">
      <c r="B1372" s="52"/>
      <c r="C1372" s="52"/>
      <c r="D1372" s="51"/>
      <c r="E1372" s="12"/>
      <c r="F1372" s="7"/>
    </row>
    <row r="1373">
      <c r="B1373" s="52"/>
      <c r="C1373" s="52"/>
      <c r="D1373" s="51"/>
      <c r="E1373" s="12"/>
      <c r="F1373" s="7"/>
    </row>
    <row r="1374">
      <c r="B1374" s="52"/>
      <c r="C1374" s="52"/>
      <c r="D1374" s="51"/>
      <c r="E1374" s="12"/>
      <c r="F1374" s="7"/>
    </row>
    <row r="1375">
      <c r="B1375" s="52"/>
      <c r="C1375" s="52"/>
      <c r="D1375" s="51"/>
      <c r="E1375" s="12"/>
      <c r="F1375" s="7"/>
    </row>
    <row r="1376">
      <c r="B1376" s="52"/>
      <c r="C1376" s="52"/>
      <c r="D1376" s="51"/>
      <c r="E1376" s="12"/>
      <c r="F1376" s="7"/>
    </row>
    <row r="1377">
      <c r="B1377" s="52"/>
      <c r="C1377" s="52"/>
      <c r="D1377" s="51"/>
      <c r="E1377" s="12"/>
      <c r="F1377" s="7"/>
    </row>
    <row r="1378">
      <c r="B1378" s="52"/>
      <c r="C1378" s="52"/>
      <c r="D1378" s="51"/>
      <c r="E1378" s="12"/>
      <c r="F1378" s="7"/>
    </row>
    <row r="1379">
      <c r="B1379" s="52"/>
      <c r="C1379" s="52"/>
      <c r="D1379" s="51"/>
      <c r="E1379" s="12"/>
      <c r="F1379" s="7"/>
    </row>
    <row r="1380">
      <c r="B1380" s="52"/>
      <c r="C1380" s="52"/>
      <c r="D1380" s="51"/>
      <c r="E1380" s="12"/>
      <c r="F1380" s="7"/>
    </row>
    <row r="1381">
      <c r="B1381" s="52"/>
      <c r="C1381" s="52"/>
      <c r="D1381" s="51"/>
      <c r="E1381" s="12"/>
      <c r="F1381" s="7"/>
    </row>
    <row r="1382">
      <c r="B1382" s="52"/>
      <c r="C1382" s="52"/>
      <c r="D1382" s="51"/>
      <c r="E1382" s="12"/>
      <c r="F1382" s="7"/>
    </row>
    <row r="1383">
      <c r="B1383" s="52"/>
      <c r="C1383" s="52"/>
      <c r="D1383" s="51"/>
      <c r="E1383" s="12"/>
      <c r="F1383" s="7"/>
    </row>
    <row r="1384">
      <c r="B1384" s="52"/>
      <c r="C1384" s="52"/>
      <c r="D1384" s="51"/>
      <c r="E1384" s="12"/>
      <c r="F1384" s="7"/>
    </row>
    <row r="1385">
      <c r="B1385" s="52"/>
      <c r="C1385" s="52"/>
      <c r="D1385" s="51"/>
      <c r="E1385" s="12"/>
      <c r="F1385" s="7"/>
    </row>
    <row r="1386">
      <c r="B1386" s="52"/>
      <c r="C1386" s="52"/>
      <c r="D1386" s="51"/>
      <c r="E1386" s="12"/>
      <c r="F1386" s="7"/>
    </row>
    <row r="1387">
      <c r="B1387" s="52"/>
      <c r="C1387" s="52"/>
      <c r="D1387" s="51"/>
      <c r="E1387" s="12"/>
      <c r="F1387" s="7"/>
    </row>
    <row r="1388">
      <c r="B1388" s="52"/>
      <c r="C1388" s="52"/>
      <c r="D1388" s="51"/>
      <c r="E1388" s="12"/>
      <c r="F1388" s="7"/>
    </row>
    <row r="1389">
      <c r="B1389" s="52"/>
      <c r="C1389" s="52"/>
      <c r="D1389" s="51"/>
      <c r="E1389" s="12"/>
      <c r="F1389" s="7"/>
    </row>
    <row r="1390">
      <c r="B1390" s="52"/>
      <c r="C1390" s="52"/>
      <c r="D1390" s="51"/>
      <c r="E1390" s="12"/>
      <c r="F1390" s="7"/>
    </row>
    <row r="1391">
      <c r="B1391" s="52"/>
      <c r="C1391" s="52"/>
      <c r="D1391" s="51"/>
      <c r="E1391" s="12"/>
      <c r="F1391" s="7"/>
    </row>
    <row r="1392">
      <c r="B1392" s="52"/>
      <c r="C1392" s="52"/>
      <c r="D1392" s="51"/>
      <c r="E1392" s="12"/>
      <c r="F1392" s="7"/>
    </row>
    <row r="1393">
      <c r="B1393" s="52"/>
      <c r="C1393" s="52"/>
      <c r="D1393" s="51"/>
      <c r="E1393" s="12"/>
      <c r="F1393" s="7"/>
    </row>
    <row r="1394">
      <c r="B1394" s="52"/>
      <c r="C1394" s="52"/>
      <c r="D1394" s="51"/>
      <c r="E1394" s="12"/>
      <c r="F1394" s="7"/>
    </row>
    <row r="1395">
      <c r="B1395" s="52"/>
      <c r="C1395" s="52"/>
      <c r="D1395" s="51"/>
      <c r="E1395" s="12"/>
      <c r="F1395" s="7"/>
    </row>
    <row r="1396">
      <c r="B1396" s="52"/>
      <c r="C1396" s="52"/>
      <c r="D1396" s="51"/>
      <c r="E1396" s="12"/>
      <c r="F1396" s="7"/>
    </row>
    <row r="1397">
      <c r="B1397" s="52"/>
      <c r="C1397" s="52"/>
      <c r="D1397" s="51"/>
      <c r="E1397" s="12"/>
      <c r="F1397" s="7"/>
    </row>
    <row r="1398">
      <c r="B1398" s="52"/>
      <c r="C1398" s="52"/>
      <c r="D1398" s="51"/>
      <c r="E1398" s="12"/>
      <c r="F1398" s="7"/>
    </row>
    <row r="1399">
      <c r="B1399" s="52"/>
      <c r="C1399" s="52"/>
      <c r="D1399" s="51"/>
      <c r="E1399" s="12"/>
      <c r="F1399" s="7"/>
    </row>
    <row r="1400">
      <c r="B1400" s="52"/>
      <c r="C1400" s="52"/>
      <c r="D1400" s="51"/>
      <c r="E1400" s="12"/>
      <c r="F1400" s="7"/>
    </row>
    <row r="1401">
      <c r="B1401" s="52"/>
      <c r="C1401" s="52"/>
      <c r="D1401" s="51"/>
      <c r="E1401" s="12"/>
      <c r="F1401" s="7"/>
    </row>
    <row r="1402">
      <c r="B1402" s="52"/>
      <c r="C1402" s="52"/>
      <c r="D1402" s="51"/>
      <c r="E1402" s="12"/>
      <c r="F1402" s="7"/>
    </row>
    <row r="1403">
      <c r="B1403" s="52"/>
      <c r="C1403" s="52"/>
      <c r="D1403" s="51"/>
      <c r="E1403" s="12"/>
      <c r="F1403" s="7"/>
    </row>
    <row r="1404">
      <c r="B1404" s="52"/>
      <c r="C1404" s="52"/>
      <c r="D1404" s="51"/>
      <c r="E1404" s="12"/>
      <c r="F1404" s="7"/>
    </row>
    <row r="1405">
      <c r="B1405" s="52"/>
      <c r="C1405" s="52"/>
      <c r="D1405" s="51"/>
      <c r="E1405" s="12"/>
      <c r="F1405" s="7"/>
    </row>
    <row r="1406">
      <c r="B1406" s="52"/>
      <c r="C1406" s="52"/>
      <c r="D1406" s="51"/>
      <c r="E1406" s="12"/>
      <c r="F1406" s="7"/>
    </row>
    <row r="1407">
      <c r="B1407" s="52"/>
      <c r="C1407" s="52"/>
      <c r="D1407" s="51"/>
      <c r="E1407" s="12"/>
      <c r="F1407" s="7"/>
    </row>
    <row r="1408">
      <c r="B1408" s="52"/>
      <c r="C1408" s="52"/>
      <c r="D1408" s="51"/>
      <c r="E1408" s="12"/>
      <c r="F1408" s="7"/>
    </row>
    <row r="1409">
      <c r="B1409" s="52"/>
      <c r="C1409" s="52"/>
      <c r="D1409" s="51"/>
      <c r="E1409" s="12"/>
      <c r="F1409" s="7"/>
    </row>
    <row r="1410">
      <c r="B1410" s="52"/>
      <c r="C1410" s="52"/>
      <c r="D1410" s="51"/>
      <c r="E1410" s="12"/>
      <c r="F1410" s="7"/>
    </row>
    <row r="1411">
      <c r="B1411" s="52"/>
      <c r="C1411" s="52"/>
      <c r="D1411" s="51"/>
      <c r="E1411" s="12"/>
      <c r="F1411" s="7"/>
    </row>
    <row r="1412">
      <c r="B1412" s="52"/>
      <c r="C1412" s="52"/>
      <c r="D1412" s="51"/>
      <c r="E1412" s="12"/>
      <c r="F1412" s="7"/>
    </row>
    <row r="1413">
      <c r="B1413" s="52"/>
      <c r="C1413" s="52"/>
      <c r="D1413" s="51"/>
      <c r="E1413" s="12"/>
      <c r="F1413" s="7"/>
    </row>
    <row r="1414">
      <c r="B1414" s="52"/>
      <c r="C1414" s="52"/>
      <c r="D1414" s="51"/>
      <c r="E1414" s="12"/>
      <c r="F1414" s="7"/>
    </row>
    <row r="1415">
      <c r="B1415" s="52"/>
      <c r="C1415" s="52"/>
      <c r="D1415" s="51"/>
      <c r="E1415" s="12"/>
      <c r="F1415" s="7"/>
    </row>
    <row r="1416">
      <c r="B1416" s="52"/>
      <c r="C1416" s="52"/>
      <c r="D1416" s="51"/>
      <c r="E1416" s="12"/>
      <c r="F1416" s="7"/>
    </row>
    <row r="1417">
      <c r="B1417" s="52"/>
      <c r="C1417" s="52"/>
      <c r="D1417" s="51"/>
      <c r="E1417" s="12"/>
      <c r="F1417" s="7"/>
    </row>
    <row r="1418">
      <c r="B1418" s="52"/>
      <c r="C1418" s="52"/>
      <c r="D1418" s="51"/>
      <c r="E1418" s="12"/>
      <c r="F1418" s="7"/>
    </row>
    <row r="1419">
      <c r="B1419" s="52"/>
      <c r="C1419" s="52"/>
      <c r="D1419" s="51"/>
      <c r="E1419" s="12"/>
      <c r="F1419" s="7"/>
    </row>
    <row r="1420">
      <c r="B1420" s="52"/>
      <c r="C1420" s="52"/>
      <c r="D1420" s="51"/>
      <c r="E1420" s="12"/>
      <c r="F1420" s="7"/>
    </row>
    <row r="1421">
      <c r="B1421" s="52"/>
      <c r="C1421" s="52"/>
      <c r="D1421" s="51"/>
      <c r="E1421" s="12"/>
      <c r="F1421" s="7"/>
    </row>
    <row r="1422">
      <c r="B1422" s="52"/>
      <c r="C1422" s="52"/>
      <c r="D1422" s="51"/>
      <c r="E1422" s="12"/>
      <c r="F1422" s="7"/>
    </row>
    <row r="1423">
      <c r="B1423" s="52"/>
      <c r="C1423" s="52"/>
      <c r="D1423" s="51"/>
      <c r="E1423" s="12"/>
      <c r="F1423" s="7"/>
    </row>
    <row r="1424">
      <c r="B1424" s="52"/>
      <c r="C1424" s="52"/>
      <c r="D1424" s="51"/>
      <c r="E1424" s="12"/>
      <c r="F1424" s="7"/>
    </row>
    <row r="1425">
      <c r="B1425" s="52"/>
      <c r="C1425" s="52"/>
      <c r="D1425" s="51"/>
      <c r="E1425" s="12"/>
      <c r="F1425" s="7"/>
    </row>
    <row r="1426">
      <c r="B1426" s="52"/>
      <c r="C1426" s="52"/>
      <c r="D1426" s="51"/>
      <c r="E1426" s="12"/>
      <c r="F1426" s="7"/>
    </row>
    <row r="1427">
      <c r="B1427" s="52"/>
      <c r="C1427" s="52"/>
      <c r="D1427" s="51"/>
      <c r="E1427" s="12"/>
      <c r="F1427" s="7"/>
    </row>
    <row r="1428">
      <c r="B1428" s="52"/>
      <c r="C1428" s="52"/>
      <c r="D1428" s="51"/>
      <c r="E1428" s="12"/>
      <c r="F1428" s="7"/>
    </row>
    <row r="1429">
      <c r="B1429" s="52"/>
      <c r="C1429" s="52"/>
      <c r="D1429" s="51"/>
      <c r="E1429" s="12"/>
      <c r="F1429" s="7"/>
    </row>
    <row r="1430">
      <c r="B1430" s="52"/>
      <c r="C1430" s="52"/>
      <c r="D1430" s="51"/>
      <c r="E1430" s="12"/>
      <c r="F1430" s="7"/>
    </row>
    <row r="1431">
      <c r="B1431" s="52"/>
      <c r="C1431" s="52"/>
      <c r="D1431" s="51"/>
      <c r="E1431" s="12"/>
      <c r="F1431" s="7"/>
    </row>
    <row r="1432">
      <c r="B1432" s="52"/>
      <c r="C1432" s="52"/>
      <c r="D1432" s="51"/>
      <c r="E1432" s="12"/>
      <c r="F1432" s="7"/>
    </row>
    <row r="1433">
      <c r="B1433" s="52"/>
      <c r="C1433" s="52"/>
      <c r="D1433" s="51"/>
      <c r="E1433" s="12"/>
      <c r="F1433" s="7"/>
    </row>
    <row r="1434">
      <c r="B1434" s="52"/>
      <c r="C1434" s="52"/>
      <c r="D1434" s="51"/>
      <c r="E1434" s="12"/>
      <c r="F1434" s="7"/>
    </row>
    <row r="1435">
      <c r="B1435" s="52"/>
      <c r="C1435" s="52"/>
      <c r="D1435" s="51"/>
      <c r="E1435" s="12"/>
      <c r="F1435" s="7"/>
    </row>
    <row r="1436">
      <c r="B1436" s="52"/>
      <c r="C1436" s="52"/>
      <c r="D1436" s="51"/>
      <c r="E1436" s="12"/>
      <c r="F1436" s="7"/>
    </row>
    <row r="1437">
      <c r="B1437" s="52"/>
      <c r="C1437" s="52"/>
      <c r="D1437" s="51"/>
      <c r="E1437" s="12"/>
      <c r="F1437" s="7"/>
    </row>
    <row r="1438">
      <c r="B1438" s="52"/>
      <c r="C1438" s="52"/>
      <c r="D1438" s="51"/>
      <c r="E1438" s="12"/>
      <c r="F1438" s="7"/>
    </row>
    <row r="1439">
      <c r="B1439" s="52"/>
      <c r="C1439" s="52"/>
      <c r="D1439" s="51"/>
      <c r="E1439" s="12"/>
      <c r="F1439" s="7"/>
    </row>
    <row r="1440">
      <c r="B1440" s="52"/>
      <c r="C1440" s="52"/>
      <c r="D1440" s="51"/>
      <c r="E1440" s="12"/>
      <c r="F1440" s="7"/>
    </row>
    <row r="1441">
      <c r="B1441" s="52"/>
      <c r="C1441" s="52"/>
      <c r="D1441" s="51"/>
      <c r="E1441" s="12"/>
      <c r="F1441" s="7"/>
    </row>
    <row r="1442">
      <c r="B1442" s="52"/>
      <c r="C1442" s="52"/>
      <c r="D1442" s="51"/>
      <c r="E1442" s="12"/>
      <c r="F1442" s="7"/>
    </row>
    <row r="1443">
      <c r="B1443" s="52"/>
      <c r="C1443" s="52"/>
      <c r="D1443" s="51"/>
      <c r="E1443" s="12"/>
      <c r="F1443" s="7"/>
    </row>
    <row r="1444">
      <c r="B1444" s="52"/>
      <c r="C1444" s="52"/>
      <c r="D1444" s="51"/>
      <c r="E1444" s="12"/>
      <c r="F1444" s="7"/>
    </row>
    <row r="1445">
      <c r="B1445" s="52"/>
      <c r="C1445" s="52"/>
      <c r="D1445" s="51"/>
      <c r="E1445" s="12"/>
      <c r="F1445" s="7"/>
    </row>
    <row r="1446">
      <c r="B1446" s="52"/>
      <c r="C1446" s="52"/>
      <c r="D1446" s="51"/>
      <c r="E1446" s="12"/>
      <c r="F1446" s="7"/>
    </row>
    <row r="1447">
      <c r="B1447" s="52"/>
      <c r="C1447" s="52"/>
      <c r="D1447" s="51"/>
      <c r="E1447" s="12"/>
      <c r="F1447" s="7"/>
    </row>
    <row r="1448">
      <c r="B1448" s="52"/>
      <c r="C1448" s="52"/>
      <c r="D1448" s="51"/>
      <c r="E1448" s="12"/>
      <c r="F1448" s="7"/>
    </row>
    <row r="1449">
      <c r="B1449" s="52"/>
      <c r="C1449" s="52"/>
      <c r="D1449" s="51"/>
      <c r="E1449" s="12"/>
      <c r="F1449" s="7"/>
    </row>
    <row r="1450">
      <c r="B1450" s="52"/>
      <c r="C1450" s="52"/>
      <c r="D1450" s="51"/>
      <c r="E1450" s="12"/>
      <c r="F1450" s="7"/>
    </row>
    <row r="1451">
      <c r="B1451" s="52"/>
      <c r="C1451" s="52"/>
      <c r="D1451" s="51"/>
      <c r="E1451" s="12"/>
      <c r="F1451" s="7"/>
    </row>
    <row r="1452">
      <c r="B1452" s="52"/>
      <c r="C1452" s="52"/>
      <c r="D1452" s="51"/>
      <c r="E1452" s="12"/>
      <c r="F1452" s="7"/>
    </row>
    <row r="1453">
      <c r="B1453" s="52"/>
      <c r="C1453" s="52"/>
      <c r="D1453" s="51"/>
      <c r="E1453" s="12"/>
      <c r="F1453" s="7"/>
    </row>
    <row r="1454">
      <c r="B1454" s="52"/>
      <c r="C1454" s="52"/>
      <c r="D1454" s="51"/>
      <c r="E1454" s="12"/>
      <c r="F1454" s="7"/>
    </row>
    <row r="1455">
      <c r="B1455" s="52"/>
      <c r="C1455" s="52"/>
      <c r="D1455" s="51"/>
      <c r="E1455" s="12"/>
      <c r="F1455" s="7"/>
    </row>
    <row r="1456">
      <c r="B1456" s="52"/>
      <c r="C1456" s="52"/>
      <c r="D1456" s="51"/>
      <c r="E1456" s="12"/>
      <c r="F1456" s="7"/>
    </row>
    <row r="1457">
      <c r="B1457" s="52"/>
      <c r="C1457" s="52"/>
      <c r="D1457" s="51"/>
      <c r="E1457" s="12"/>
      <c r="F1457" s="7"/>
    </row>
    <row r="1458">
      <c r="B1458" s="52"/>
      <c r="C1458" s="52"/>
      <c r="D1458" s="51"/>
      <c r="E1458" s="12"/>
      <c r="F1458" s="7"/>
    </row>
    <row r="1459">
      <c r="B1459" s="52"/>
      <c r="C1459" s="52"/>
      <c r="D1459" s="51"/>
      <c r="E1459" s="12"/>
      <c r="F1459" s="7"/>
    </row>
    <row r="1460">
      <c r="B1460" s="52"/>
      <c r="C1460" s="52"/>
      <c r="D1460" s="51"/>
      <c r="E1460" s="12"/>
      <c r="F1460" s="7"/>
    </row>
    <row r="1461">
      <c r="B1461" s="52"/>
      <c r="C1461" s="52"/>
      <c r="D1461" s="51"/>
      <c r="E1461" s="12"/>
      <c r="F1461" s="7"/>
    </row>
    <row r="1462">
      <c r="B1462" s="52"/>
      <c r="C1462" s="52"/>
      <c r="D1462" s="51"/>
      <c r="E1462" s="12"/>
      <c r="F1462" s="7"/>
    </row>
    <row r="1463">
      <c r="B1463" s="52"/>
      <c r="C1463" s="52"/>
      <c r="D1463" s="51"/>
      <c r="E1463" s="12"/>
      <c r="F1463" s="7"/>
    </row>
    <row r="1464">
      <c r="B1464" s="52"/>
      <c r="C1464" s="52"/>
      <c r="D1464" s="51"/>
      <c r="E1464" s="12"/>
      <c r="F1464" s="7"/>
    </row>
    <row r="1465">
      <c r="B1465" s="52"/>
      <c r="C1465" s="52"/>
      <c r="D1465" s="51"/>
      <c r="E1465" s="12"/>
      <c r="F1465" s="7"/>
    </row>
    <row r="1466">
      <c r="B1466" s="52"/>
      <c r="C1466" s="52"/>
      <c r="D1466" s="51"/>
      <c r="E1466" s="12"/>
      <c r="F1466" s="7"/>
    </row>
    <row r="1467">
      <c r="B1467" s="52"/>
      <c r="C1467" s="52"/>
      <c r="D1467" s="51"/>
      <c r="E1467" s="12"/>
      <c r="F1467" s="7"/>
    </row>
    <row r="1468">
      <c r="B1468" s="52"/>
      <c r="C1468" s="52"/>
      <c r="D1468" s="51"/>
      <c r="E1468" s="12"/>
      <c r="F1468" s="7"/>
    </row>
    <row r="1469">
      <c r="B1469" s="52"/>
      <c r="C1469" s="52"/>
      <c r="D1469" s="51"/>
      <c r="E1469" s="12"/>
      <c r="F1469" s="7"/>
    </row>
    <row r="1470">
      <c r="B1470" s="52"/>
      <c r="C1470" s="52"/>
      <c r="D1470" s="51"/>
      <c r="E1470" s="12"/>
      <c r="F1470" s="7"/>
    </row>
    <row r="1471">
      <c r="B1471" s="52"/>
      <c r="C1471" s="52"/>
      <c r="D1471" s="51"/>
      <c r="E1471" s="12"/>
      <c r="F1471" s="7"/>
    </row>
    <row r="1472">
      <c r="B1472" s="52"/>
      <c r="C1472" s="52"/>
      <c r="D1472" s="51"/>
      <c r="E1472" s="12"/>
      <c r="F1472" s="7"/>
    </row>
    <row r="1473">
      <c r="B1473" s="52"/>
      <c r="C1473" s="52"/>
      <c r="D1473" s="51"/>
      <c r="E1473" s="12"/>
      <c r="F1473" s="7"/>
    </row>
    <row r="1474">
      <c r="B1474" s="52"/>
      <c r="C1474" s="52"/>
      <c r="D1474" s="51"/>
      <c r="E1474" s="12"/>
      <c r="F1474" s="7"/>
    </row>
    <row r="1475">
      <c r="B1475" s="52"/>
      <c r="C1475" s="52"/>
      <c r="D1475" s="51"/>
      <c r="E1475" s="12"/>
      <c r="F1475" s="7"/>
    </row>
    <row r="1476">
      <c r="B1476" s="52"/>
      <c r="C1476" s="52"/>
      <c r="D1476" s="51"/>
      <c r="E1476" s="12"/>
      <c r="F1476" s="7"/>
    </row>
    <row r="1477">
      <c r="B1477" s="52"/>
      <c r="C1477" s="52"/>
      <c r="D1477" s="51"/>
      <c r="E1477" s="12"/>
      <c r="F1477" s="7"/>
    </row>
    <row r="1478">
      <c r="B1478" s="52"/>
      <c r="C1478" s="52"/>
      <c r="D1478" s="51"/>
      <c r="E1478" s="12"/>
      <c r="F1478" s="7"/>
    </row>
    <row r="1479">
      <c r="B1479" s="52"/>
      <c r="C1479" s="52"/>
      <c r="D1479" s="51"/>
      <c r="E1479" s="12"/>
      <c r="F1479" s="7"/>
    </row>
    <row r="1480">
      <c r="B1480" s="52"/>
      <c r="C1480" s="52"/>
      <c r="D1480" s="51"/>
      <c r="E1480" s="12"/>
      <c r="F1480" s="7"/>
    </row>
    <row r="1481">
      <c r="B1481" s="52"/>
      <c r="C1481" s="52"/>
      <c r="D1481" s="51"/>
      <c r="E1481" s="12"/>
      <c r="F1481" s="7"/>
    </row>
    <row r="1482">
      <c r="B1482" s="52"/>
      <c r="C1482" s="52"/>
      <c r="D1482" s="51"/>
      <c r="E1482" s="12"/>
      <c r="F1482" s="7"/>
    </row>
    <row r="1483">
      <c r="B1483" s="52"/>
      <c r="C1483" s="52"/>
      <c r="D1483" s="51"/>
      <c r="E1483" s="12"/>
      <c r="F1483" s="7"/>
    </row>
    <row r="1484">
      <c r="B1484" s="52"/>
      <c r="C1484" s="52"/>
      <c r="D1484" s="51"/>
      <c r="E1484" s="12"/>
      <c r="F1484" s="7"/>
    </row>
    <row r="1485">
      <c r="B1485" s="52"/>
      <c r="C1485" s="52"/>
      <c r="D1485" s="51"/>
      <c r="E1485" s="12"/>
      <c r="F1485" s="7"/>
    </row>
    <row r="1486">
      <c r="B1486" s="52"/>
      <c r="C1486" s="52"/>
      <c r="D1486" s="51"/>
      <c r="E1486" s="12"/>
      <c r="F1486" s="7"/>
    </row>
    <row r="1487">
      <c r="B1487" s="52"/>
      <c r="C1487" s="52"/>
      <c r="D1487" s="51"/>
      <c r="E1487" s="12"/>
      <c r="F1487" s="7"/>
    </row>
    <row r="1488">
      <c r="B1488" s="52"/>
      <c r="C1488" s="52"/>
      <c r="D1488" s="51"/>
      <c r="E1488" s="12"/>
      <c r="F1488" s="7"/>
    </row>
    <row r="1489">
      <c r="B1489" s="52"/>
      <c r="C1489" s="52"/>
      <c r="D1489" s="51"/>
      <c r="E1489" s="12"/>
      <c r="F1489" s="7"/>
    </row>
    <row r="1490">
      <c r="B1490" s="52"/>
      <c r="C1490" s="52"/>
      <c r="D1490" s="51"/>
      <c r="E1490" s="12"/>
      <c r="F1490" s="7"/>
    </row>
    <row r="1491">
      <c r="B1491" s="52"/>
      <c r="C1491" s="52"/>
      <c r="D1491" s="51"/>
      <c r="E1491" s="12"/>
      <c r="F1491" s="7"/>
    </row>
    <row r="1492">
      <c r="B1492" s="52"/>
      <c r="C1492" s="52"/>
      <c r="D1492" s="51"/>
      <c r="E1492" s="12"/>
      <c r="F1492" s="7"/>
    </row>
    <row r="1493">
      <c r="B1493" s="52"/>
      <c r="C1493" s="52"/>
      <c r="D1493" s="51"/>
      <c r="E1493" s="12"/>
      <c r="F1493" s="7"/>
    </row>
    <row r="1494">
      <c r="B1494" s="52"/>
      <c r="C1494" s="52"/>
      <c r="D1494" s="51"/>
      <c r="E1494" s="12"/>
      <c r="F1494" s="7"/>
    </row>
    <row r="1495">
      <c r="B1495" s="52"/>
      <c r="C1495" s="52"/>
      <c r="D1495" s="51"/>
      <c r="E1495" s="12"/>
      <c r="F1495" s="7"/>
    </row>
    <row r="1496">
      <c r="B1496" s="52"/>
      <c r="C1496" s="52"/>
      <c r="D1496" s="51"/>
      <c r="E1496" s="12"/>
      <c r="F1496" s="7"/>
    </row>
    <row r="1497">
      <c r="B1497" s="52"/>
      <c r="C1497" s="52"/>
      <c r="D1497" s="51"/>
      <c r="E1497" s="12"/>
      <c r="F1497" s="7"/>
    </row>
    <row r="1498">
      <c r="B1498" s="52"/>
      <c r="C1498" s="52"/>
      <c r="D1498" s="51"/>
      <c r="E1498" s="12"/>
      <c r="F1498" s="7"/>
    </row>
    <row r="1499">
      <c r="B1499" s="52"/>
      <c r="C1499" s="52"/>
      <c r="D1499" s="51"/>
      <c r="E1499" s="12"/>
      <c r="F1499" s="7"/>
    </row>
    <row r="1500">
      <c r="B1500" s="52"/>
      <c r="C1500" s="52"/>
      <c r="D1500" s="51"/>
      <c r="E1500" s="12"/>
      <c r="F1500" s="7"/>
    </row>
    <row r="1501">
      <c r="B1501" s="52"/>
      <c r="C1501" s="52"/>
      <c r="D1501" s="51"/>
      <c r="E1501" s="12"/>
      <c r="F1501" s="7"/>
    </row>
    <row r="1502">
      <c r="B1502" s="52"/>
      <c r="C1502" s="52"/>
      <c r="D1502" s="51"/>
      <c r="E1502" s="12"/>
      <c r="F1502" s="7"/>
    </row>
    <row r="1503">
      <c r="B1503" s="52"/>
      <c r="C1503" s="52"/>
      <c r="D1503" s="51"/>
      <c r="E1503" s="12"/>
      <c r="F1503" s="7"/>
    </row>
    <row r="1504">
      <c r="B1504" s="52"/>
      <c r="C1504" s="52"/>
      <c r="D1504" s="51"/>
      <c r="E1504" s="12"/>
      <c r="F1504" s="7"/>
    </row>
    <row r="1505">
      <c r="B1505" s="52"/>
      <c r="C1505" s="52"/>
      <c r="D1505" s="51"/>
      <c r="E1505" s="12"/>
      <c r="F1505" s="7"/>
    </row>
    <row r="1506">
      <c r="B1506" s="52"/>
      <c r="C1506" s="52"/>
      <c r="D1506" s="51"/>
      <c r="E1506" s="12"/>
      <c r="F1506" s="7"/>
    </row>
    <row r="1507">
      <c r="B1507" s="52"/>
      <c r="C1507" s="52"/>
      <c r="D1507" s="51"/>
      <c r="E1507" s="12"/>
      <c r="F1507" s="7"/>
    </row>
    <row r="1508">
      <c r="B1508" s="52"/>
      <c r="C1508" s="52"/>
      <c r="D1508" s="51"/>
      <c r="E1508" s="12"/>
      <c r="F1508" s="7"/>
    </row>
    <row r="1509">
      <c r="B1509" s="52"/>
      <c r="C1509" s="52"/>
      <c r="D1509" s="51"/>
      <c r="E1509" s="12"/>
      <c r="F1509" s="7"/>
    </row>
    <row r="1510">
      <c r="B1510" s="52"/>
      <c r="C1510" s="52"/>
      <c r="D1510" s="51"/>
      <c r="E1510" s="12"/>
      <c r="F1510" s="7"/>
    </row>
    <row r="1511">
      <c r="B1511" s="52"/>
      <c r="C1511" s="52"/>
      <c r="D1511" s="51"/>
      <c r="E1511" s="12"/>
      <c r="F1511" s="7"/>
    </row>
    <row r="1512">
      <c r="B1512" s="52"/>
      <c r="C1512" s="52"/>
      <c r="D1512" s="51"/>
      <c r="E1512" s="12"/>
      <c r="F1512" s="7"/>
    </row>
    <row r="1513">
      <c r="B1513" s="52"/>
      <c r="C1513" s="52"/>
      <c r="D1513" s="51"/>
      <c r="E1513" s="12"/>
      <c r="F1513" s="7"/>
    </row>
    <row r="1514">
      <c r="B1514" s="52"/>
      <c r="C1514" s="52"/>
      <c r="D1514" s="51"/>
      <c r="E1514" s="12"/>
      <c r="F1514" s="7"/>
    </row>
    <row r="1515">
      <c r="B1515" s="52"/>
      <c r="C1515" s="52"/>
      <c r="D1515" s="51"/>
      <c r="E1515" s="12"/>
      <c r="F1515" s="7"/>
    </row>
    <row r="1516">
      <c r="B1516" s="52"/>
      <c r="C1516" s="52"/>
      <c r="D1516" s="51"/>
      <c r="E1516" s="12"/>
      <c r="F1516" s="7"/>
    </row>
    <row r="1517">
      <c r="B1517" s="52"/>
      <c r="C1517" s="52"/>
      <c r="D1517" s="51"/>
      <c r="E1517" s="12"/>
      <c r="F1517" s="7"/>
    </row>
    <row r="1518">
      <c r="B1518" s="52"/>
      <c r="C1518" s="52"/>
      <c r="D1518" s="51"/>
      <c r="E1518" s="12"/>
      <c r="F1518" s="7"/>
    </row>
    <row r="1519">
      <c r="B1519" s="52"/>
      <c r="C1519" s="52"/>
      <c r="D1519" s="51"/>
      <c r="E1519" s="12"/>
      <c r="F1519" s="7"/>
    </row>
    <row r="1520">
      <c r="B1520" s="52"/>
      <c r="C1520" s="52"/>
      <c r="D1520" s="51"/>
      <c r="E1520" s="12"/>
      <c r="F1520" s="7"/>
    </row>
    <row r="1521">
      <c r="B1521" s="52"/>
      <c r="C1521" s="52"/>
      <c r="D1521" s="51"/>
      <c r="E1521" s="12"/>
      <c r="F1521" s="7"/>
    </row>
    <row r="1522">
      <c r="B1522" s="52"/>
      <c r="C1522" s="52"/>
      <c r="D1522" s="51"/>
      <c r="E1522" s="12"/>
      <c r="F1522" s="7"/>
    </row>
    <row r="1523">
      <c r="B1523" s="52"/>
      <c r="C1523" s="52"/>
      <c r="D1523" s="51"/>
      <c r="E1523" s="12"/>
      <c r="F1523" s="7"/>
    </row>
    <row r="1524">
      <c r="B1524" s="52"/>
      <c r="C1524" s="52"/>
      <c r="D1524" s="51"/>
      <c r="E1524" s="12"/>
      <c r="F1524" s="7"/>
    </row>
    <row r="1525">
      <c r="B1525" s="52"/>
      <c r="C1525" s="52"/>
      <c r="D1525" s="51"/>
      <c r="E1525" s="12"/>
      <c r="F1525" s="7"/>
    </row>
    <row r="1526">
      <c r="B1526" s="52"/>
      <c r="C1526" s="52"/>
      <c r="D1526" s="51"/>
      <c r="E1526" s="12"/>
      <c r="F1526" s="7"/>
    </row>
    <row r="1527">
      <c r="B1527" s="52"/>
      <c r="C1527" s="52"/>
      <c r="D1527" s="51"/>
      <c r="E1527" s="12"/>
      <c r="F1527" s="7"/>
    </row>
    <row r="1528">
      <c r="B1528" s="52"/>
      <c r="C1528" s="52"/>
      <c r="D1528" s="51"/>
      <c r="E1528" s="12"/>
      <c r="F1528" s="7"/>
    </row>
    <row r="1529">
      <c r="B1529" s="52"/>
      <c r="C1529" s="52"/>
      <c r="D1529" s="51"/>
      <c r="E1529" s="12"/>
      <c r="F1529" s="7"/>
    </row>
    <row r="1530">
      <c r="B1530" s="52"/>
      <c r="C1530" s="52"/>
      <c r="D1530" s="51"/>
      <c r="E1530" s="12"/>
      <c r="F1530" s="7"/>
    </row>
    <row r="1531">
      <c r="B1531" s="52"/>
      <c r="C1531" s="52"/>
      <c r="D1531" s="51"/>
      <c r="E1531" s="12"/>
      <c r="F1531" s="7"/>
    </row>
    <row r="1532">
      <c r="B1532" s="52"/>
      <c r="C1532" s="52"/>
      <c r="D1532" s="51"/>
      <c r="E1532" s="12"/>
      <c r="F1532" s="7"/>
    </row>
    <row r="1533">
      <c r="B1533" s="52"/>
      <c r="C1533" s="52"/>
      <c r="D1533" s="51"/>
      <c r="E1533" s="12"/>
      <c r="F1533" s="7"/>
    </row>
    <row r="1534">
      <c r="B1534" s="52"/>
      <c r="C1534" s="52"/>
      <c r="D1534" s="51"/>
      <c r="E1534" s="12"/>
      <c r="F1534" s="7"/>
    </row>
    <row r="1535">
      <c r="B1535" s="52"/>
      <c r="C1535" s="52"/>
      <c r="D1535" s="51"/>
      <c r="E1535" s="12"/>
      <c r="F1535" s="7"/>
    </row>
    <row r="1536">
      <c r="B1536" s="52"/>
      <c r="C1536" s="52"/>
      <c r="D1536" s="51"/>
      <c r="E1536" s="12"/>
      <c r="F1536" s="7"/>
    </row>
    <row r="1537">
      <c r="B1537" s="52"/>
      <c r="C1537" s="52"/>
      <c r="D1537" s="51"/>
      <c r="E1537" s="12"/>
      <c r="F1537" s="7"/>
    </row>
    <row r="1538">
      <c r="B1538" s="52"/>
      <c r="C1538" s="52"/>
      <c r="D1538" s="51"/>
      <c r="E1538" s="12"/>
      <c r="F1538" s="7"/>
    </row>
    <row r="1539">
      <c r="B1539" s="52"/>
      <c r="C1539" s="52"/>
      <c r="D1539" s="51"/>
      <c r="E1539" s="12"/>
      <c r="F1539" s="7"/>
    </row>
    <row r="1540">
      <c r="B1540" s="52"/>
      <c r="C1540" s="52"/>
      <c r="D1540" s="51"/>
      <c r="E1540" s="12"/>
      <c r="F1540" s="7"/>
    </row>
    <row r="1541">
      <c r="B1541" s="52"/>
      <c r="C1541" s="52"/>
      <c r="D1541" s="51"/>
      <c r="E1541" s="12"/>
      <c r="F1541" s="7"/>
    </row>
    <row r="1542">
      <c r="B1542" s="52"/>
      <c r="C1542" s="52"/>
      <c r="D1542" s="51"/>
      <c r="E1542" s="12"/>
      <c r="F1542" s="7"/>
    </row>
    <row r="1543">
      <c r="B1543" s="52"/>
      <c r="C1543" s="52"/>
      <c r="D1543" s="51"/>
      <c r="E1543" s="12"/>
      <c r="F1543" s="7"/>
    </row>
    <row r="1544">
      <c r="B1544" s="52"/>
      <c r="C1544" s="52"/>
      <c r="D1544" s="51"/>
      <c r="E1544" s="12"/>
      <c r="F1544" s="7"/>
    </row>
    <row r="1545">
      <c r="B1545" s="52"/>
      <c r="C1545" s="52"/>
      <c r="D1545" s="51"/>
      <c r="E1545" s="12"/>
      <c r="F1545" s="7"/>
    </row>
    <row r="1546">
      <c r="B1546" s="52"/>
      <c r="C1546" s="52"/>
      <c r="D1546" s="51"/>
      <c r="E1546" s="12"/>
      <c r="F1546" s="7"/>
    </row>
    <row r="1547">
      <c r="B1547" s="52"/>
      <c r="C1547" s="52"/>
      <c r="D1547" s="51"/>
      <c r="E1547" s="12"/>
      <c r="F1547" s="7"/>
    </row>
    <row r="1548">
      <c r="B1548" s="52"/>
      <c r="C1548" s="52"/>
      <c r="D1548" s="51"/>
      <c r="E1548" s="12"/>
      <c r="F1548" s="7"/>
    </row>
    <row r="1549">
      <c r="B1549" s="52"/>
      <c r="C1549" s="52"/>
      <c r="D1549" s="51"/>
      <c r="E1549" s="12"/>
      <c r="F1549" s="7"/>
    </row>
    <row r="1550">
      <c r="B1550" s="52"/>
      <c r="C1550" s="52"/>
      <c r="D1550" s="51"/>
      <c r="E1550" s="12"/>
      <c r="F1550" s="7"/>
    </row>
    <row r="1551">
      <c r="B1551" s="52"/>
      <c r="C1551" s="52"/>
      <c r="D1551" s="51"/>
      <c r="E1551" s="12"/>
      <c r="F1551" s="7"/>
    </row>
    <row r="1552">
      <c r="B1552" s="52"/>
      <c r="C1552" s="52"/>
      <c r="D1552" s="51"/>
      <c r="E1552" s="12"/>
      <c r="F1552" s="7"/>
    </row>
    <row r="1553">
      <c r="B1553" s="52"/>
      <c r="C1553" s="52"/>
      <c r="D1553" s="51"/>
      <c r="E1553" s="12"/>
      <c r="F1553" s="7"/>
    </row>
    <row r="1554">
      <c r="B1554" s="52"/>
      <c r="C1554" s="52"/>
      <c r="D1554" s="51"/>
      <c r="E1554" s="12"/>
      <c r="F1554" s="7"/>
    </row>
    <row r="1555">
      <c r="B1555" s="52"/>
      <c r="C1555" s="52"/>
      <c r="D1555" s="51"/>
      <c r="E1555" s="12"/>
      <c r="F1555" s="7"/>
    </row>
    <row r="1556">
      <c r="B1556" s="52"/>
      <c r="C1556" s="52"/>
      <c r="D1556" s="51"/>
      <c r="E1556" s="12"/>
      <c r="F1556" s="7"/>
    </row>
    <row r="1557">
      <c r="B1557" s="52"/>
      <c r="C1557" s="52"/>
      <c r="D1557" s="51"/>
      <c r="E1557" s="12"/>
      <c r="F1557" s="7"/>
    </row>
    <row r="1558">
      <c r="B1558" s="52"/>
      <c r="C1558" s="52"/>
      <c r="D1558" s="51"/>
      <c r="E1558" s="12"/>
      <c r="F1558" s="7"/>
    </row>
    <row r="1559">
      <c r="B1559" s="52"/>
      <c r="C1559" s="52"/>
      <c r="D1559" s="51"/>
      <c r="E1559" s="12"/>
      <c r="F1559" s="7"/>
    </row>
    <row r="1560">
      <c r="B1560" s="52"/>
      <c r="C1560" s="52"/>
      <c r="D1560" s="51"/>
      <c r="E1560" s="12"/>
      <c r="F1560" s="7"/>
    </row>
    <row r="1561">
      <c r="B1561" s="52"/>
      <c r="C1561" s="52"/>
      <c r="D1561" s="51"/>
      <c r="E1561" s="12"/>
      <c r="F1561" s="7"/>
    </row>
    <row r="1562">
      <c r="B1562" s="52"/>
      <c r="C1562" s="52"/>
      <c r="D1562" s="51"/>
      <c r="E1562" s="12"/>
      <c r="F1562" s="7"/>
    </row>
    <row r="1563">
      <c r="B1563" s="52"/>
      <c r="C1563" s="52"/>
      <c r="D1563" s="51"/>
      <c r="E1563" s="12"/>
      <c r="F1563" s="7"/>
    </row>
    <row r="1564">
      <c r="B1564" s="52"/>
      <c r="C1564" s="52"/>
      <c r="D1564" s="51"/>
      <c r="E1564" s="12"/>
      <c r="F1564" s="7"/>
    </row>
    <row r="1565">
      <c r="B1565" s="52"/>
      <c r="C1565" s="52"/>
      <c r="D1565" s="51"/>
      <c r="E1565" s="12"/>
      <c r="F1565" s="7"/>
    </row>
    <row r="1566">
      <c r="B1566" s="52"/>
      <c r="C1566" s="52"/>
      <c r="D1566" s="51"/>
      <c r="E1566" s="12"/>
      <c r="F1566" s="7"/>
    </row>
    <row r="1567">
      <c r="B1567" s="52"/>
      <c r="C1567" s="52"/>
      <c r="D1567" s="51"/>
      <c r="E1567" s="12"/>
      <c r="F1567" s="7"/>
    </row>
    <row r="1568">
      <c r="B1568" s="52"/>
      <c r="C1568" s="52"/>
      <c r="D1568" s="51"/>
      <c r="E1568" s="12"/>
      <c r="F1568" s="7"/>
    </row>
    <row r="1569">
      <c r="B1569" s="52"/>
      <c r="C1569" s="52"/>
      <c r="D1569" s="51"/>
      <c r="E1569" s="12"/>
      <c r="F1569" s="7"/>
    </row>
    <row r="1570">
      <c r="B1570" s="52"/>
      <c r="C1570" s="52"/>
      <c r="D1570" s="51"/>
      <c r="E1570" s="12"/>
      <c r="F1570" s="7"/>
    </row>
    <row r="1571">
      <c r="B1571" s="52"/>
      <c r="C1571" s="52"/>
      <c r="D1571" s="51"/>
      <c r="E1571" s="12"/>
      <c r="F1571" s="7"/>
    </row>
    <row r="1572">
      <c r="B1572" s="52"/>
      <c r="C1572" s="52"/>
      <c r="D1572" s="51"/>
      <c r="E1572" s="12"/>
      <c r="F1572" s="7"/>
    </row>
    <row r="1573">
      <c r="B1573" s="52"/>
      <c r="C1573" s="52"/>
      <c r="D1573" s="51"/>
      <c r="E1573" s="12"/>
      <c r="F1573" s="7"/>
    </row>
    <row r="1574">
      <c r="B1574" s="52"/>
      <c r="C1574" s="52"/>
      <c r="D1574" s="51"/>
      <c r="E1574" s="12"/>
      <c r="F1574" s="7"/>
    </row>
    <row r="1575">
      <c r="B1575" s="52"/>
      <c r="C1575" s="52"/>
      <c r="D1575" s="51"/>
      <c r="E1575" s="12"/>
      <c r="F1575" s="7"/>
    </row>
    <row r="1576">
      <c r="B1576" s="52"/>
      <c r="C1576" s="52"/>
      <c r="D1576" s="51"/>
      <c r="E1576" s="12"/>
      <c r="F1576" s="7"/>
    </row>
    <row r="1577">
      <c r="B1577" s="52"/>
      <c r="C1577" s="52"/>
      <c r="D1577" s="51"/>
      <c r="E1577" s="12"/>
      <c r="F1577" s="7"/>
    </row>
    <row r="1578">
      <c r="B1578" s="52"/>
      <c r="C1578" s="52"/>
      <c r="D1578" s="51"/>
      <c r="E1578" s="12"/>
      <c r="F1578" s="7"/>
    </row>
    <row r="1579">
      <c r="B1579" s="52"/>
      <c r="C1579" s="52"/>
      <c r="D1579" s="51"/>
      <c r="E1579" s="12"/>
      <c r="F1579" s="7"/>
    </row>
    <row r="1580">
      <c r="B1580" s="52"/>
      <c r="C1580" s="52"/>
      <c r="D1580" s="51"/>
      <c r="E1580" s="12"/>
      <c r="F1580" s="7"/>
    </row>
    <row r="1581">
      <c r="B1581" s="52"/>
      <c r="C1581" s="52"/>
      <c r="D1581" s="51"/>
      <c r="E1581" s="12"/>
      <c r="F1581" s="7"/>
    </row>
    <row r="1582">
      <c r="B1582" s="52"/>
      <c r="C1582" s="52"/>
      <c r="D1582" s="51"/>
      <c r="E1582" s="12"/>
      <c r="F1582" s="7"/>
    </row>
    <row r="1583">
      <c r="B1583" s="52"/>
      <c r="C1583" s="52"/>
      <c r="D1583" s="51"/>
      <c r="E1583" s="12"/>
      <c r="F1583" s="7"/>
    </row>
    <row r="1584">
      <c r="B1584" s="52"/>
      <c r="C1584" s="52"/>
      <c r="D1584" s="51"/>
      <c r="E1584" s="12"/>
      <c r="F1584" s="7"/>
    </row>
    <row r="1585">
      <c r="B1585" s="52"/>
      <c r="C1585" s="52"/>
      <c r="D1585" s="51"/>
      <c r="E1585" s="12"/>
      <c r="F1585" s="7"/>
    </row>
    <row r="1586">
      <c r="B1586" s="52"/>
      <c r="C1586" s="52"/>
      <c r="D1586" s="51"/>
      <c r="E1586" s="12"/>
      <c r="F1586" s="7"/>
    </row>
    <row r="1587">
      <c r="B1587" s="52"/>
      <c r="C1587" s="52"/>
      <c r="D1587" s="51"/>
      <c r="E1587" s="12"/>
      <c r="F1587" s="7"/>
    </row>
    <row r="1588">
      <c r="B1588" s="52"/>
      <c r="C1588" s="52"/>
      <c r="D1588" s="51"/>
      <c r="E1588" s="12"/>
      <c r="F1588" s="7"/>
    </row>
    <row r="1589">
      <c r="B1589" s="52"/>
      <c r="C1589" s="52"/>
      <c r="D1589" s="51"/>
      <c r="E1589" s="12"/>
      <c r="F1589" s="7"/>
    </row>
    <row r="1590">
      <c r="B1590" s="52"/>
      <c r="C1590" s="52"/>
      <c r="D1590" s="51"/>
      <c r="E1590" s="12"/>
      <c r="F1590" s="7"/>
    </row>
    <row r="1591">
      <c r="B1591" s="52"/>
      <c r="C1591" s="52"/>
      <c r="D1591" s="51"/>
      <c r="E1591" s="12"/>
      <c r="F1591" s="7"/>
    </row>
    <row r="1592">
      <c r="B1592" s="52"/>
      <c r="C1592" s="52"/>
      <c r="D1592" s="51"/>
      <c r="E1592" s="12"/>
      <c r="F1592" s="7"/>
    </row>
    <row r="1593">
      <c r="B1593" s="52"/>
      <c r="C1593" s="52"/>
      <c r="D1593" s="51"/>
      <c r="E1593" s="12"/>
      <c r="F1593" s="7"/>
    </row>
    <row r="1594">
      <c r="B1594" s="52"/>
      <c r="C1594" s="52"/>
      <c r="D1594" s="51"/>
      <c r="E1594" s="12"/>
      <c r="F1594" s="7"/>
    </row>
    <row r="1595">
      <c r="B1595" s="52"/>
      <c r="C1595" s="52"/>
      <c r="D1595" s="51"/>
      <c r="E1595" s="12"/>
      <c r="F1595" s="7"/>
    </row>
    <row r="1596">
      <c r="B1596" s="52"/>
      <c r="C1596" s="52"/>
      <c r="D1596" s="51"/>
      <c r="E1596" s="12"/>
      <c r="F1596" s="7"/>
    </row>
    <row r="1597">
      <c r="B1597" s="52"/>
      <c r="C1597" s="52"/>
      <c r="D1597" s="51"/>
      <c r="E1597" s="12"/>
      <c r="F1597" s="7"/>
    </row>
    <row r="1598">
      <c r="B1598" s="52"/>
      <c r="C1598" s="52"/>
      <c r="D1598" s="51"/>
      <c r="E1598" s="12"/>
      <c r="F1598" s="7"/>
    </row>
    <row r="1599">
      <c r="B1599" s="52"/>
      <c r="C1599" s="52"/>
      <c r="D1599" s="51"/>
      <c r="E1599" s="12"/>
      <c r="F1599" s="7"/>
    </row>
    <row r="1600">
      <c r="B1600" s="52"/>
      <c r="C1600" s="52"/>
      <c r="D1600" s="51"/>
      <c r="E1600" s="12"/>
      <c r="F1600" s="7"/>
    </row>
    <row r="1601">
      <c r="B1601" s="52"/>
      <c r="C1601" s="52"/>
      <c r="D1601" s="51"/>
      <c r="E1601" s="12"/>
      <c r="F1601" s="7"/>
    </row>
    <row r="1602">
      <c r="B1602" s="52"/>
      <c r="C1602" s="52"/>
      <c r="D1602" s="51"/>
      <c r="E1602" s="12"/>
      <c r="F1602" s="7"/>
    </row>
    <row r="1603">
      <c r="B1603" s="52"/>
      <c r="C1603" s="52"/>
      <c r="D1603" s="51"/>
      <c r="E1603" s="12"/>
      <c r="F1603" s="7"/>
    </row>
    <row r="1604">
      <c r="B1604" s="52"/>
      <c r="C1604" s="52"/>
      <c r="D1604" s="51"/>
      <c r="E1604" s="12"/>
      <c r="F1604" s="7"/>
    </row>
    <row r="1605">
      <c r="B1605" s="52"/>
      <c r="C1605" s="52"/>
      <c r="D1605" s="51"/>
      <c r="E1605" s="12"/>
      <c r="F1605" s="7"/>
    </row>
    <row r="1606">
      <c r="B1606" s="52"/>
      <c r="C1606" s="52"/>
      <c r="D1606" s="51"/>
      <c r="E1606" s="12"/>
      <c r="F1606" s="7"/>
    </row>
    <row r="1607">
      <c r="B1607" s="52"/>
      <c r="C1607" s="52"/>
      <c r="D1607" s="51"/>
      <c r="E1607" s="12"/>
      <c r="F1607" s="7"/>
    </row>
    <row r="1608">
      <c r="B1608" s="52"/>
      <c r="C1608" s="52"/>
      <c r="D1608" s="51"/>
      <c r="E1608" s="12"/>
      <c r="F1608" s="7"/>
    </row>
    <row r="1609">
      <c r="B1609" s="52"/>
      <c r="C1609" s="52"/>
      <c r="D1609" s="51"/>
      <c r="E1609" s="12"/>
      <c r="F1609" s="7"/>
    </row>
    <row r="1610">
      <c r="B1610" s="52"/>
      <c r="C1610" s="52"/>
      <c r="D1610" s="51"/>
      <c r="E1610" s="12"/>
      <c r="F1610" s="7"/>
    </row>
    <row r="1611">
      <c r="B1611" s="52"/>
      <c r="C1611" s="52"/>
      <c r="D1611" s="51"/>
      <c r="E1611" s="12"/>
      <c r="F1611" s="7"/>
    </row>
    <row r="1612">
      <c r="B1612" s="52"/>
      <c r="C1612" s="52"/>
      <c r="D1612" s="51"/>
      <c r="E1612" s="12"/>
      <c r="F1612" s="7"/>
    </row>
    <row r="1613">
      <c r="B1613" s="52"/>
      <c r="C1613" s="52"/>
      <c r="D1613" s="51"/>
      <c r="E1613" s="12"/>
      <c r="F1613" s="7"/>
    </row>
    <row r="1614">
      <c r="B1614" s="52"/>
      <c r="C1614" s="52"/>
      <c r="D1614" s="51"/>
      <c r="E1614" s="12"/>
      <c r="F1614" s="7"/>
    </row>
    <row r="1615">
      <c r="B1615" s="52"/>
      <c r="C1615" s="52"/>
      <c r="D1615" s="51"/>
      <c r="E1615" s="12"/>
      <c r="F1615" s="7"/>
    </row>
    <row r="1616">
      <c r="B1616" s="52"/>
      <c r="C1616" s="52"/>
      <c r="D1616" s="51"/>
      <c r="E1616" s="12"/>
      <c r="F1616" s="7"/>
    </row>
    <row r="1617">
      <c r="B1617" s="52"/>
      <c r="C1617" s="52"/>
      <c r="D1617" s="51"/>
      <c r="E1617" s="12"/>
      <c r="F1617" s="7"/>
    </row>
    <row r="1618">
      <c r="B1618" s="52"/>
      <c r="C1618" s="52"/>
      <c r="D1618" s="51"/>
      <c r="E1618" s="12"/>
      <c r="F1618" s="7"/>
    </row>
    <row r="1619">
      <c r="B1619" s="52"/>
      <c r="C1619" s="52"/>
      <c r="D1619" s="51"/>
      <c r="E1619" s="12"/>
      <c r="F1619" s="7"/>
    </row>
    <row r="1620">
      <c r="B1620" s="52"/>
      <c r="C1620" s="52"/>
      <c r="D1620" s="51"/>
      <c r="E1620" s="12"/>
      <c r="F1620" s="7"/>
    </row>
    <row r="1621">
      <c r="B1621" s="52"/>
      <c r="C1621" s="52"/>
      <c r="D1621" s="51"/>
      <c r="E1621" s="12"/>
      <c r="F1621" s="7"/>
    </row>
    <row r="1622">
      <c r="B1622" s="52"/>
      <c r="C1622" s="52"/>
      <c r="D1622" s="51"/>
      <c r="E1622" s="12"/>
      <c r="F1622" s="7"/>
    </row>
    <row r="1623">
      <c r="B1623" s="52"/>
      <c r="C1623" s="52"/>
      <c r="D1623" s="51"/>
      <c r="E1623" s="12"/>
      <c r="F1623" s="7"/>
    </row>
    <row r="1624">
      <c r="B1624" s="52"/>
      <c r="C1624" s="52"/>
      <c r="D1624" s="51"/>
      <c r="E1624" s="12"/>
      <c r="F1624" s="7"/>
    </row>
    <row r="1625">
      <c r="B1625" s="52"/>
      <c r="C1625" s="52"/>
      <c r="D1625" s="51"/>
      <c r="E1625" s="12"/>
      <c r="F1625" s="7"/>
    </row>
    <row r="1626">
      <c r="B1626" s="52"/>
      <c r="C1626" s="52"/>
      <c r="D1626" s="51"/>
      <c r="E1626" s="12"/>
      <c r="F1626" s="7"/>
    </row>
    <row r="1627">
      <c r="B1627" s="52"/>
      <c r="C1627" s="52"/>
      <c r="D1627" s="51"/>
      <c r="E1627" s="12"/>
      <c r="F1627" s="7"/>
    </row>
    <row r="1628">
      <c r="B1628" s="52"/>
      <c r="C1628" s="52"/>
      <c r="D1628" s="51"/>
      <c r="E1628" s="12"/>
      <c r="F1628" s="7"/>
    </row>
    <row r="1629">
      <c r="B1629" s="52"/>
      <c r="C1629" s="52"/>
      <c r="D1629" s="51"/>
      <c r="E1629" s="12"/>
      <c r="F1629" s="7"/>
    </row>
    <row r="1630">
      <c r="B1630" s="52"/>
      <c r="C1630" s="52"/>
      <c r="D1630" s="51"/>
      <c r="E1630" s="12"/>
      <c r="F1630" s="7"/>
    </row>
    <row r="1631">
      <c r="B1631" s="52"/>
      <c r="C1631" s="52"/>
      <c r="D1631" s="51"/>
      <c r="E1631" s="12"/>
      <c r="F1631" s="7"/>
    </row>
    <row r="1632">
      <c r="B1632" s="52"/>
      <c r="C1632" s="52"/>
      <c r="D1632" s="51"/>
      <c r="E1632" s="12"/>
      <c r="F1632" s="7"/>
    </row>
    <row r="1633">
      <c r="B1633" s="52"/>
      <c r="C1633" s="52"/>
      <c r="D1633" s="51"/>
      <c r="E1633" s="12"/>
      <c r="F1633" s="7"/>
    </row>
    <row r="1634">
      <c r="B1634" s="52"/>
      <c r="C1634" s="52"/>
      <c r="D1634" s="51"/>
      <c r="E1634" s="12"/>
      <c r="F1634" s="7"/>
    </row>
    <row r="1635">
      <c r="B1635" s="52"/>
      <c r="C1635" s="52"/>
      <c r="D1635" s="51"/>
      <c r="E1635" s="12"/>
      <c r="F1635" s="7"/>
    </row>
    <row r="1636">
      <c r="B1636" s="52"/>
      <c r="C1636" s="52"/>
      <c r="D1636" s="51"/>
      <c r="E1636" s="12"/>
      <c r="F1636" s="7"/>
    </row>
    <row r="1637">
      <c r="B1637" s="52"/>
      <c r="C1637" s="52"/>
      <c r="D1637" s="51"/>
      <c r="E1637" s="12"/>
      <c r="F1637" s="7"/>
    </row>
    <row r="1638">
      <c r="B1638" s="52"/>
      <c r="C1638" s="52"/>
      <c r="D1638" s="51"/>
      <c r="E1638" s="12"/>
      <c r="F1638" s="7"/>
    </row>
    <row r="1639">
      <c r="B1639" s="52"/>
      <c r="C1639" s="52"/>
      <c r="D1639" s="51"/>
      <c r="E1639" s="12"/>
      <c r="F1639" s="7"/>
    </row>
    <row r="1640">
      <c r="B1640" s="52"/>
      <c r="C1640" s="52"/>
      <c r="D1640" s="51"/>
      <c r="E1640" s="12"/>
      <c r="F1640" s="7"/>
    </row>
    <row r="1641">
      <c r="B1641" s="52"/>
      <c r="C1641" s="52"/>
      <c r="D1641" s="51"/>
      <c r="E1641" s="12"/>
      <c r="F1641" s="7"/>
    </row>
    <row r="1642">
      <c r="B1642" s="52"/>
      <c r="C1642" s="52"/>
      <c r="D1642" s="51"/>
      <c r="E1642" s="12"/>
      <c r="F1642" s="7"/>
    </row>
    <row r="1643">
      <c r="B1643" s="52"/>
      <c r="C1643" s="52"/>
      <c r="D1643" s="51"/>
      <c r="E1643" s="12"/>
      <c r="F1643" s="7"/>
    </row>
    <row r="1644">
      <c r="B1644" s="52"/>
      <c r="C1644" s="52"/>
      <c r="D1644" s="51"/>
      <c r="E1644" s="12"/>
      <c r="F1644" s="7"/>
    </row>
    <row r="1645">
      <c r="B1645" s="52"/>
      <c r="C1645" s="52"/>
      <c r="D1645" s="51"/>
      <c r="E1645" s="12"/>
      <c r="F1645" s="7"/>
    </row>
    <row r="1646">
      <c r="B1646" s="52"/>
      <c r="C1646" s="52"/>
      <c r="D1646" s="51"/>
      <c r="E1646" s="12"/>
      <c r="F1646" s="7"/>
    </row>
    <row r="1647">
      <c r="B1647" s="52"/>
      <c r="C1647" s="52"/>
      <c r="D1647" s="51"/>
      <c r="E1647" s="12"/>
      <c r="F1647" s="7"/>
    </row>
    <row r="1648">
      <c r="B1648" s="52"/>
      <c r="C1648" s="52"/>
      <c r="D1648" s="51"/>
      <c r="E1648" s="12"/>
      <c r="F1648" s="7"/>
    </row>
    <row r="1649">
      <c r="B1649" s="52"/>
      <c r="C1649" s="52"/>
      <c r="D1649" s="51"/>
      <c r="E1649" s="12"/>
      <c r="F1649" s="7"/>
    </row>
    <row r="1650">
      <c r="B1650" s="52"/>
      <c r="C1650" s="52"/>
      <c r="D1650" s="51"/>
      <c r="E1650" s="12"/>
      <c r="F1650" s="7"/>
    </row>
    <row r="1651">
      <c r="B1651" s="52"/>
      <c r="C1651" s="52"/>
      <c r="D1651" s="51"/>
      <c r="E1651" s="12"/>
      <c r="F1651" s="7"/>
    </row>
    <row r="1652">
      <c r="B1652" s="52"/>
      <c r="C1652" s="52"/>
      <c r="D1652" s="51"/>
      <c r="E1652" s="12"/>
      <c r="F1652" s="7"/>
    </row>
    <row r="1653">
      <c r="B1653" s="52"/>
      <c r="C1653" s="52"/>
      <c r="D1653" s="51"/>
      <c r="E1653" s="12"/>
      <c r="F1653" s="7"/>
    </row>
    <row r="1654">
      <c r="B1654" s="52"/>
      <c r="C1654" s="52"/>
      <c r="D1654" s="51"/>
      <c r="E1654" s="12"/>
      <c r="F1654" s="7"/>
    </row>
    <row r="1655">
      <c r="B1655" s="52"/>
      <c r="C1655" s="52"/>
      <c r="D1655" s="51"/>
      <c r="E1655" s="12"/>
      <c r="F1655" s="7"/>
    </row>
    <row r="1656">
      <c r="B1656" s="52"/>
      <c r="C1656" s="52"/>
      <c r="D1656" s="51"/>
      <c r="E1656" s="12"/>
      <c r="F1656" s="7"/>
    </row>
    <row r="1657">
      <c r="B1657" s="52"/>
      <c r="C1657" s="52"/>
      <c r="D1657" s="51"/>
      <c r="E1657" s="12"/>
      <c r="F1657" s="7"/>
    </row>
    <row r="1658">
      <c r="B1658" s="52"/>
      <c r="C1658" s="52"/>
      <c r="D1658" s="51"/>
      <c r="E1658" s="12"/>
      <c r="F1658" s="7"/>
    </row>
    <row r="1659">
      <c r="B1659" s="52"/>
      <c r="C1659" s="52"/>
      <c r="D1659" s="51"/>
      <c r="E1659" s="12"/>
      <c r="F1659" s="7"/>
    </row>
    <row r="1660">
      <c r="B1660" s="52"/>
      <c r="C1660" s="52"/>
      <c r="D1660" s="51"/>
      <c r="E1660" s="12"/>
      <c r="F1660" s="7"/>
    </row>
    <row r="1661">
      <c r="B1661" s="52"/>
      <c r="C1661" s="52"/>
      <c r="D1661" s="51"/>
      <c r="E1661" s="12"/>
      <c r="F1661" s="7"/>
    </row>
    <row r="1662">
      <c r="B1662" s="52"/>
      <c r="C1662" s="52"/>
      <c r="D1662" s="51"/>
      <c r="E1662" s="12"/>
      <c r="F1662" s="7"/>
    </row>
    <row r="1663">
      <c r="B1663" s="52"/>
      <c r="C1663" s="52"/>
      <c r="D1663" s="51"/>
      <c r="E1663" s="12"/>
      <c r="F1663" s="7"/>
    </row>
    <row r="1664">
      <c r="B1664" s="52"/>
      <c r="C1664" s="52"/>
      <c r="D1664" s="51"/>
      <c r="E1664" s="12"/>
      <c r="F1664" s="7"/>
    </row>
    <row r="1665">
      <c r="B1665" s="52"/>
      <c r="C1665" s="52"/>
      <c r="D1665" s="51"/>
      <c r="E1665" s="12"/>
      <c r="F1665" s="7"/>
    </row>
    <row r="1666">
      <c r="B1666" s="52"/>
      <c r="C1666" s="52"/>
      <c r="D1666" s="51"/>
      <c r="E1666" s="12"/>
      <c r="F1666" s="7"/>
    </row>
    <row r="1667">
      <c r="B1667" s="52"/>
      <c r="C1667" s="52"/>
      <c r="D1667" s="51"/>
      <c r="E1667" s="12"/>
      <c r="F1667" s="7"/>
    </row>
    <row r="1668">
      <c r="B1668" s="52"/>
      <c r="C1668" s="52"/>
      <c r="D1668" s="51"/>
      <c r="E1668" s="12"/>
      <c r="F1668" s="7"/>
    </row>
    <row r="1669">
      <c r="B1669" s="52"/>
      <c r="C1669" s="52"/>
      <c r="D1669" s="51"/>
      <c r="E1669" s="12"/>
      <c r="F1669" s="7"/>
    </row>
    <row r="1670">
      <c r="B1670" s="52"/>
      <c r="C1670" s="52"/>
      <c r="D1670" s="51"/>
      <c r="E1670" s="12"/>
      <c r="F1670" s="7"/>
    </row>
    <row r="1671">
      <c r="B1671" s="52"/>
      <c r="C1671" s="52"/>
      <c r="D1671" s="51"/>
      <c r="E1671" s="12"/>
      <c r="F1671" s="7"/>
    </row>
    <row r="1672">
      <c r="B1672" s="52"/>
      <c r="C1672" s="52"/>
      <c r="D1672" s="51"/>
      <c r="E1672" s="12"/>
      <c r="F1672" s="7"/>
    </row>
    <row r="1673">
      <c r="B1673" s="52"/>
      <c r="C1673" s="52"/>
      <c r="D1673" s="51"/>
      <c r="E1673" s="12"/>
      <c r="F1673" s="7"/>
    </row>
    <row r="1674">
      <c r="B1674" s="52"/>
      <c r="C1674" s="52"/>
      <c r="D1674" s="51"/>
      <c r="E1674" s="12"/>
      <c r="F1674" s="7"/>
    </row>
    <row r="1675">
      <c r="B1675" s="52"/>
      <c r="C1675" s="52"/>
      <c r="D1675" s="51"/>
      <c r="E1675" s="12"/>
      <c r="F1675" s="7"/>
    </row>
    <row r="1676">
      <c r="B1676" s="52"/>
      <c r="C1676" s="52"/>
      <c r="D1676" s="51"/>
      <c r="E1676" s="12"/>
      <c r="F1676" s="7"/>
    </row>
    <row r="1677">
      <c r="B1677" s="52"/>
      <c r="C1677" s="52"/>
      <c r="D1677" s="51"/>
      <c r="E1677" s="12"/>
      <c r="F1677" s="7"/>
    </row>
    <row r="1678">
      <c r="B1678" s="52"/>
      <c r="C1678" s="52"/>
      <c r="D1678" s="51"/>
      <c r="E1678" s="12"/>
      <c r="F1678" s="7"/>
    </row>
    <row r="1679">
      <c r="B1679" s="52"/>
      <c r="C1679" s="52"/>
      <c r="D1679" s="51"/>
      <c r="E1679" s="12"/>
      <c r="F1679" s="7"/>
    </row>
    <row r="1680">
      <c r="B1680" s="52"/>
      <c r="C1680" s="52"/>
      <c r="D1680" s="51"/>
      <c r="E1680" s="12"/>
      <c r="F1680" s="7"/>
    </row>
    <row r="1681">
      <c r="B1681" s="52"/>
      <c r="C1681" s="52"/>
      <c r="D1681" s="51"/>
      <c r="E1681" s="12"/>
      <c r="F1681" s="7"/>
    </row>
    <row r="1682">
      <c r="B1682" s="52"/>
      <c r="C1682" s="52"/>
      <c r="D1682" s="51"/>
      <c r="E1682" s="12"/>
      <c r="F1682" s="7"/>
    </row>
    <row r="1683">
      <c r="B1683" s="52"/>
      <c r="C1683" s="52"/>
      <c r="D1683" s="51"/>
      <c r="E1683" s="12"/>
      <c r="F1683" s="7"/>
    </row>
    <row r="1684">
      <c r="B1684" s="52"/>
      <c r="C1684" s="52"/>
      <c r="D1684" s="51"/>
      <c r="E1684" s="12"/>
      <c r="F1684" s="7"/>
    </row>
    <row r="1685">
      <c r="B1685" s="52"/>
      <c r="C1685" s="52"/>
      <c r="D1685" s="51"/>
      <c r="E1685" s="12"/>
      <c r="F1685" s="7"/>
    </row>
    <row r="1686">
      <c r="B1686" s="52"/>
      <c r="C1686" s="52"/>
      <c r="D1686" s="51"/>
      <c r="E1686" s="12"/>
      <c r="F1686" s="7"/>
    </row>
    <row r="1687">
      <c r="B1687" s="52"/>
      <c r="C1687" s="52"/>
      <c r="D1687" s="51"/>
      <c r="E1687" s="12"/>
      <c r="F1687" s="7"/>
    </row>
    <row r="1688">
      <c r="B1688" s="52"/>
      <c r="C1688" s="52"/>
      <c r="D1688" s="51"/>
      <c r="E1688" s="12"/>
      <c r="F1688" s="7"/>
    </row>
    <row r="1689">
      <c r="B1689" s="52"/>
      <c r="C1689" s="52"/>
      <c r="D1689" s="51"/>
      <c r="E1689" s="12"/>
      <c r="F1689" s="7"/>
    </row>
    <row r="1690">
      <c r="B1690" s="52"/>
      <c r="C1690" s="52"/>
      <c r="D1690" s="51"/>
      <c r="E1690" s="12"/>
      <c r="F1690" s="7"/>
    </row>
    <row r="1691">
      <c r="B1691" s="52"/>
      <c r="C1691" s="52"/>
      <c r="D1691" s="51"/>
      <c r="E1691" s="12"/>
      <c r="F1691" s="7"/>
    </row>
    <row r="1692">
      <c r="B1692" s="52"/>
      <c r="C1692" s="52"/>
      <c r="D1692" s="51"/>
      <c r="E1692" s="12"/>
      <c r="F1692" s="7"/>
    </row>
    <row r="1693">
      <c r="B1693" s="52"/>
      <c r="C1693" s="52"/>
      <c r="D1693" s="51"/>
      <c r="E1693" s="12"/>
      <c r="F1693" s="7"/>
    </row>
    <row r="1694">
      <c r="B1694" s="52"/>
      <c r="C1694" s="52"/>
      <c r="D1694" s="51"/>
      <c r="E1694" s="12"/>
      <c r="F1694" s="7"/>
    </row>
    <row r="1695">
      <c r="B1695" s="52"/>
      <c r="C1695" s="52"/>
      <c r="D1695" s="51"/>
      <c r="E1695" s="12"/>
      <c r="F1695" s="7"/>
    </row>
    <row r="1696">
      <c r="B1696" s="52"/>
      <c r="C1696" s="52"/>
      <c r="D1696" s="51"/>
      <c r="E1696" s="12"/>
      <c r="F1696" s="7"/>
    </row>
    <row r="1697">
      <c r="B1697" s="52"/>
      <c r="C1697" s="52"/>
      <c r="D1697" s="51"/>
      <c r="E1697" s="12"/>
      <c r="F1697" s="7"/>
    </row>
    <row r="1698">
      <c r="B1698" s="52"/>
      <c r="C1698" s="52"/>
      <c r="D1698" s="51"/>
      <c r="E1698" s="12"/>
      <c r="F1698" s="7"/>
    </row>
    <row r="1699">
      <c r="B1699" s="52"/>
      <c r="C1699" s="52"/>
      <c r="D1699" s="51"/>
      <c r="E1699" s="12"/>
      <c r="F1699" s="7"/>
    </row>
    <row r="1700">
      <c r="B1700" s="52"/>
      <c r="C1700" s="52"/>
      <c r="D1700" s="51"/>
      <c r="E1700" s="12"/>
      <c r="F1700" s="7"/>
    </row>
    <row r="1701">
      <c r="B1701" s="52"/>
      <c r="C1701" s="52"/>
      <c r="D1701" s="51"/>
      <c r="E1701" s="12"/>
      <c r="F1701" s="7"/>
    </row>
    <row r="1702">
      <c r="B1702" s="52"/>
      <c r="C1702" s="52"/>
      <c r="D1702" s="51"/>
      <c r="E1702" s="12"/>
      <c r="F1702" s="7"/>
    </row>
    <row r="1703">
      <c r="B1703" s="52"/>
      <c r="C1703" s="52"/>
      <c r="D1703" s="51"/>
      <c r="E1703" s="12"/>
      <c r="F1703" s="7"/>
    </row>
    <row r="1704">
      <c r="B1704" s="52"/>
      <c r="C1704" s="52"/>
      <c r="D1704" s="51"/>
      <c r="E1704" s="12"/>
      <c r="F1704" s="7"/>
    </row>
    <row r="1705">
      <c r="B1705" s="52"/>
      <c r="C1705" s="52"/>
      <c r="D1705" s="51"/>
      <c r="E1705" s="12"/>
      <c r="F1705" s="7"/>
    </row>
    <row r="1706">
      <c r="B1706" s="52"/>
      <c r="C1706" s="52"/>
      <c r="D1706" s="51"/>
      <c r="E1706" s="12"/>
      <c r="F1706" s="7"/>
    </row>
    <row r="1707">
      <c r="B1707" s="52"/>
      <c r="C1707" s="52"/>
      <c r="D1707" s="51"/>
      <c r="E1707" s="12"/>
      <c r="F1707" s="7"/>
    </row>
    <row r="1708">
      <c r="B1708" s="52"/>
      <c r="C1708" s="52"/>
      <c r="D1708" s="51"/>
      <c r="E1708" s="12"/>
      <c r="F1708" s="7"/>
    </row>
    <row r="1709">
      <c r="B1709" s="52"/>
      <c r="C1709" s="52"/>
      <c r="D1709" s="51"/>
      <c r="E1709" s="12"/>
      <c r="F1709" s="7"/>
    </row>
    <row r="1710">
      <c r="B1710" s="52"/>
      <c r="C1710" s="52"/>
      <c r="D1710" s="51"/>
      <c r="E1710" s="12"/>
      <c r="F1710" s="7"/>
    </row>
    <row r="1711">
      <c r="B1711" s="52"/>
      <c r="C1711" s="52"/>
      <c r="D1711" s="51"/>
      <c r="E1711" s="12"/>
      <c r="F1711" s="7"/>
    </row>
    <row r="1712">
      <c r="B1712" s="52"/>
      <c r="C1712" s="52"/>
      <c r="D1712" s="51"/>
      <c r="E1712" s="12"/>
      <c r="F1712" s="7"/>
    </row>
    <row r="1713">
      <c r="B1713" s="52"/>
      <c r="C1713" s="52"/>
      <c r="D1713" s="51"/>
      <c r="E1713" s="12"/>
      <c r="F1713" s="7"/>
    </row>
    <row r="1714">
      <c r="B1714" s="52"/>
      <c r="C1714" s="52"/>
      <c r="D1714" s="51"/>
      <c r="E1714" s="12"/>
      <c r="F1714" s="7"/>
    </row>
    <row r="1715">
      <c r="B1715" s="52"/>
      <c r="C1715" s="52"/>
      <c r="D1715" s="51"/>
      <c r="E1715" s="12"/>
      <c r="F1715" s="7"/>
    </row>
    <row r="1716">
      <c r="B1716" s="52"/>
      <c r="C1716" s="52"/>
      <c r="D1716" s="51"/>
      <c r="E1716" s="12"/>
      <c r="F1716" s="7"/>
    </row>
    <row r="1717">
      <c r="B1717" s="52"/>
      <c r="C1717" s="52"/>
      <c r="D1717" s="51"/>
      <c r="E1717" s="12"/>
      <c r="F1717" s="7"/>
    </row>
    <row r="1718">
      <c r="B1718" s="52"/>
      <c r="C1718" s="52"/>
      <c r="D1718" s="51"/>
      <c r="E1718" s="12"/>
      <c r="F1718" s="7"/>
    </row>
    <row r="1719">
      <c r="B1719" s="52"/>
      <c r="C1719" s="52"/>
      <c r="D1719" s="51"/>
      <c r="E1719" s="12"/>
      <c r="F1719" s="7"/>
    </row>
    <row r="1720">
      <c r="B1720" s="52"/>
      <c r="C1720" s="52"/>
      <c r="D1720" s="51"/>
      <c r="E1720" s="12"/>
      <c r="F1720" s="7"/>
    </row>
    <row r="1721">
      <c r="B1721" s="52"/>
      <c r="C1721" s="52"/>
      <c r="D1721" s="51"/>
      <c r="E1721" s="12"/>
      <c r="F1721" s="7"/>
    </row>
    <row r="1722">
      <c r="B1722" s="52"/>
      <c r="C1722" s="52"/>
      <c r="D1722" s="51"/>
      <c r="E1722" s="12"/>
      <c r="F1722" s="7"/>
    </row>
    <row r="1723">
      <c r="B1723" s="52"/>
      <c r="C1723" s="52"/>
      <c r="D1723" s="51"/>
      <c r="E1723" s="12"/>
      <c r="F1723" s="7"/>
    </row>
    <row r="1724">
      <c r="B1724" s="52"/>
      <c r="C1724" s="52"/>
      <c r="D1724" s="51"/>
      <c r="E1724" s="12"/>
      <c r="F1724" s="7"/>
    </row>
    <row r="1725">
      <c r="B1725" s="52"/>
      <c r="C1725" s="52"/>
      <c r="D1725" s="51"/>
      <c r="E1725" s="12"/>
      <c r="F1725" s="7"/>
    </row>
    <row r="1726">
      <c r="B1726" s="52"/>
      <c r="C1726" s="52"/>
      <c r="D1726" s="51"/>
      <c r="E1726" s="12"/>
      <c r="F1726" s="7"/>
    </row>
    <row r="1727">
      <c r="B1727" s="52"/>
      <c r="C1727" s="52"/>
      <c r="D1727" s="51"/>
      <c r="E1727" s="12"/>
      <c r="F1727" s="7"/>
    </row>
    <row r="1728">
      <c r="B1728" s="52"/>
      <c r="C1728" s="52"/>
      <c r="D1728" s="51"/>
      <c r="E1728" s="12"/>
      <c r="F1728" s="7"/>
    </row>
    <row r="1729">
      <c r="B1729" s="52"/>
      <c r="C1729" s="52"/>
      <c r="D1729" s="51"/>
      <c r="E1729" s="12"/>
      <c r="F1729" s="7"/>
    </row>
    <row r="1730">
      <c r="B1730" s="52"/>
      <c r="C1730" s="52"/>
      <c r="D1730" s="51"/>
      <c r="E1730" s="12"/>
      <c r="F1730" s="7"/>
    </row>
    <row r="1731">
      <c r="B1731" s="52"/>
      <c r="C1731" s="52"/>
      <c r="D1731" s="51"/>
      <c r="E1731" s="12"/>
      <c r="F1731" s="7"/>
    </row>
    <row r="1732">
      <c r="B1732" s="52"/>
      <c r="C1732" s="52"/>
      <c r="D1732" s="51"/>
      <c r="E1732" s="12"/>
      <c r="F1732" s="7"/>
    </row>
    <row r="1733">
      <c r="B1733" s="52"/>
      <c r="C1733" s="52"/>
      <c r="D1733" s="51"/>
      <c r="E1733" s="12"/>
      <c r="F1733" s="7"/>
    </row>
    <row r="1734">
      <c r="B1734" s="52"/>
      <c r="C1734" s="52"/>
      <c r="D1734" s="51"/>
      <c r="E1734" s="12"/>
      <c r="F1734" s="7"/>
    </row>
    <row r="1735">
      <c r="B1735" s="52"/>
      <c r="C1735" s="52"/>
      <c r="D1735" s="51"/>
      <c r="E1735" s="12"/>
      <c r="F1735" s="7"/>
    </row>
    <row r="1736">
      <c r="B1736" s="52"/>
      <c r="C1736" s="52"/>
      <c r="D1736" s="51"/>
      <c r="E1736" s="12"/>
      <c r="F1736" s="7"/>
    </row>
    <row r="1737">
      <c r="B1737" s="52"/>
      <c r="C1737" s="52"/>
      <c r="D1737" s="51"/>
      <c r="E1737" s="12"/>
      <c r="F1737" s="7"/>
    </row>
    <row r="1738">
      <c r="B1738" s="52"/>
      <c r="C1738" s="52"/>
      <c r="D1738" s="51"/>
      <c r="E1738" s="12"/>
      <c r="F1738" s="7"/>
    </row>
    <row r="1739">
      <c r="B1739" s="52"/>
      <c r="C1739" s="52"/>
      <c r="D1739" s="51"/>
      <c r="E1739" s="12"/>
      <c r="F1739" s="7"/>
    </row>
    <row r="1740">
      <c r="B1740" s="52"/>
      <c r="C1740" s="52"/>
      <c r="D1740" s="51"/>
      <c r="E1740" s="12"/>
      <c r="F1740" s="7"/>
    </row>
    <row r="1741">
      <c r="B1741" s="52"/>
      <c r="C1741" s="52"/>
      <c r="D1741" s="51"/>
      <c r="E1741" s="12"/>
      <c r="F1741" s="7"/>
    </row>
    <row r="1742">
      <c r="B1742" s="52"/>
      <c r="C1742" s="52"/>
      <c r="D1742" s="51"/>
      <c r="E1742" s="12"/>
      <c r="F1742" s="7"/>
    </row>
    <row r="1743">
      <c r="B1743" s="52"/>
      <c r="C1743" s="52"/>
      <c r="D1743" s="51"/>
      <c r="E1743" s="12"/>
      <c r="F1743" s="7"/>
    </row>
    <row r="1744">
      <c r="B1744" s="52"/>
      <c r="C1744" s="52"/>
      <c r="D1744" s="51"/>
      <c r="E1744" s="12"/>
      <c r="F1744" s="7"/>
    </row>
    <row r="1745">
      <c r="B1745" s="52"/>
      <c r="C1745" s="52"/>
      <c r="D1745" s="51"/>
      <c r="E1745" s="12"/>
      <c r="F1745" s="7"/>
    </row>
    <row r="1746">
      <c r="B1746" s="52"/>
      <c r="C1746" s="52"/>
      <c r="D1746" s="51"/>
      <c r="E1746" s="12"/>
      <c r="F1746" s="7"/>
    </row>
    <row r="1747">
      <c r="B1747" s="52"/>
      <c r="C1747" s="52"/>
      <c r="D1747" s="51"/>
      <c r="E1747" s="12"/>
      <c r="F1747" s="7"/>
    </row>
    <row r="1748">
      <c r="B1748" s="52"/>
      <c r="C1748" s="52"/>
      <c r="D1748" s="51"/>
      <c r="E1748" s="12"/>
      <c r="F1748" s="7"/>
    </row>
    <row r="1749">
      <c r="B1749" s="52"/>
      <c r="C1749" s="52"/>
      <c r="D1749" s="51"/>
      <c r="E1749" s="12"/>
      <c r="F1749" s="7"/>
    </row>
    <row r="1750">
      <c r="B1750" s="52"/>
      <c r="C1750" s="52"/>
      <c r="D1750" s="51"/>
      <c r="E1750" s="12"/>
      <c r="F1750" s="7"/>
    </row>
    <row r="1751">
      <c r="B1751" s="52"/>
      <c r="C1751" s="52"/>
      <c r="D1751" s="51"/>
      <c r="E1751" s="12"/>
      <c r="F1751" s="7"/>
    </row>
    <row r="1752">
      <c r="B1752" s="52"/>
      <c r="C1752" s="52"/>
      <c r="D1752" s="51"/>
      <c r="E1752" s="12"/>
      <c r="F1752" s="7"/>
    </row>
    <row r="1753">
      <c r="B1753" s="52"/>
      <c r="C1753" s="52"/>
      <c r="D1753" s="51"/>
      <c r="E1753" s="12"/>
      <c r="F1753" s="7"/>
    </row>
    <row r="1754">
      <c r="B1754" s="52"/>
      <c r="C1754" s="52"/>
      <c r="D1754" s="51"/>
      <c r="E1754" s="12"/>
      <c r="F1754" s="7"/>
    </row>
    <row r="1755">
      <c r="B1755" s="52"/>
      <c r="C1755" s="52"/>
      <c r="D1755" s="51"/>
      <c r="E1755" s="12"/>
      <c r="F1755" s="7"/>
    </row>
    <row r="1756">
      <c r="B1756" s="52"/>
      <c r="C1756" s="52"/>
      <c r="D1756" s="51"/>
      <c r="E1756" s="12"/>
      <c r="F1756" s="7"/>
    </row>
    <row r="1757">
      <c r="B1757" s="52"/>
      <c r="C1757" s="52"/>
      <c r="D1757" s="51"/>
      <c r="E1757" s="12"/>
      <c r="F1757" s="7"/>
    </row>
    <row r="1758">
      <c r="B1758" s="52"/>
      <c r="C1758" s="52"/>
      <c r="D1758" s="51"/>
      <c r="E1758" s="12"/>
      <c r="F1758" s="7"/>
    </row>
    <row r="1759">
      <c r="B1759" s="52"/>
      <c r="C1759" s="52"/>
      <c r="D1759" s="51"/>
      <c r="E1759" s="12"/>
      <c r="F1759" s="7"/>
    </row>
    <row r="1760">
      <c r="B1760" s="52"/>
      <c r="C1760" s="52"/>
      <c r="D1760" s="51"/>
      <c r="E1760" s="12"/>
      <c r="F1760" s="7"/>
    </row>
    <row r="1761">
      <c r="B1761" s="52"/>
      <c r="C1761" s="52"/>
      <c r="D1761" s="51"/>
      <c r="E1761" s="12"/>
      <c r="F1761" s="7"/>
    </row>
    <row r="1762">
      <c r="B1762" s="52"/>
      <c r="C1762" s="52"/>
      <c r="D1762" s="51"/>
      <c r="E1762" s="12"/>
      <c r="F1762" s="7"/>
    </row>
    <row r="1763">
      <c r="B1763" s="52"/>
      <c r="C1763" s="52"/>
      <c r="D1763" s="51"/>
      <c r="E1763" s="12"/>
      <c r="F1763" s="7"/>
    </row>
    <row r="1764">
      <c r="B1764" s="52"/>
      <c r="C1764" s="52"/>
      <c r="D1764" s="51"/>
      <c r="E1764" s="12"/>
      <c r="F1764" s="7"/>
    </row>
    <row r="1765">
      <c r="B1765" s="52"/>
      <c r="C1765" s="52"/>
      <c r="D1765" s="51"/>
      <c r="E1765" s="12"/>
      <c r="F1765" s="7"/>
    </row>
    <row r="1766">
      <c r="B1766" s="52"/>
      <c r="C1766" s="52"/>
      <c r="D1766" s="51"/>
      <c r="E1766" s="12"/>
      <c r="F1766" s="7"/>
    </row>
    <row r="1767">
      <c r="B1767" s="52"/>
      <c r="C1767" s="52"/>
      <c r="D1767" s="51"/>
      <c r="E1767" s="12"/>
      <c r="F1767" s="7"/>
    </row>
    <row r="1768">
      <c r="B1768" s="52"/>
      <c r="C1768" s="52"/>
      <c r="D1768" s="51"/>
      <c r="E1768" s="12"/>
      <c r="F1768" s="7"/>
    </row>
    <row r="1769">
      <c r="B1769" s="52"/>
      <c r="C1769" s="52"/>
      <c r="D1769" s="51"/>
      <c r="E1769" s="12"/>
      <c r="F1769" s="7"/>
    </row>
    <row r="1770">
      <c r="B1770" s="52"/>
      <c r="C1770" s="52"/>
      <c r="D1770" s="51"/>
      <c r="E1770" s="12"/>
      <c r="F1770" s="7"/>
    </row>
    <row r="1771">
      <c r="B1771" s="52"/>
      <c r="C1771" s="52"/>
      <c r="D1771" s="51"/>
      <c r="E1771" s="12"/>
      <c r="F1771" s="7"/>
    </row>
    <row r="1772">
      <c r="B1772" s="52"/>
      <c r="C1772" s="52"/>
      <c r="D1772" s="51"/>
      <c r="E1772" s="12"/>
      <c r="F1772" s="7"/>
    </row>
    <row r="1773">
      <c r="B1773" s="52"/>
      <c r="C1773" s="52"/>
      <c r="D1773" s="51"/>
      <c r="E1773" s="12"/>
      <c r="F1773" s="7"/>
    </row>
    <row r="1774">
      <c r="B1774" s="52"/>
      <c r="C1774" s="52"/>
      <c r="D1774" s="51"/>
      <c r="E1774" s="12"/>
      <c r="F1774" s="7"/>
    </row>
    <row r="1775">
      <c r="B1775" s="52"/>
      <c r="C1775" s="52"/>
      <c r="D1775" s="51"/>
      <c r="E1775" s="12"/>
      <c r="F1775" s="7"/>
    </row>
    <row r="1776">
      <c r="B1776" s="52"/>
      <c r="C1776" s="52"/>
      <c r="D1776" s="51"/>
      <c r="E1776" s="12"/>
      <c r="F1776" s="7"/>
    </row>
    <row r="1777">
      <c r="B1777" s="52"/>
      <c r="C1777" s="52"/>
      <c r="D1777" s="51"/>
      <c r="E1777" s="12"/>
      <c r="F1777" s="7"/>
    </row>
    <row r="1778">
      <c r="B1778" s="52"/>
      <c r="C1778" s="52"/>
      <c r="D1778" s="51"/>
      <c r="E1778" s="12"/>
      <c r="F1778" s="7"/>
    </row>
    <row r="1779">
      <c r="B1779" s="52"/>
      <c r="C1779" s="52"/>
      <c r="D1779" s="51"/>
      <c r="E1779" s="12"/>
      <c r="F1779" s="7"/>
    </row>
    <row r="1780">
      <c r="B1780" s="52"/>
      <c r="C1780" s="52"/>
      <c r="D1780" s="51"/>
      <c r="E1780" s="12"/>
      <c r="F1780" s="7"/>
    </row>
    <row r="1781">
      <c r="B1781" s="52"/>
      <c r="C1781" s="52"/>
      <c r="D1781" s="51"/>
      <c r="E1781" s="12"/>
      <c r="F1781" s="7"/>
    </row>
    <row r="1782">
      <c r="B1782" s="52"/>
      <c r="C1782" s="52"/>
      <c r="D1782" s="51"/>
      <c r="E1782" s="12"/>
      <c r="F1782" s="7"/>
    </row>
    <row r="1783">
      <c r="B1783" s="52"/>
      <c r="C1783" s="52"/>
      <c r="D1783" s="51"/>
      <c r="E1783" s="12"/>
      <c r="F1783" s="7"/>
    </row>
    <row r="1784">
      <c r="B1784" s="52"/>
      <c r="C1784" s="52"/>
      <c r="D1784" s="51"/>
      <c r="E1784" s="12"/>
      <c r="F1784" s="7"/>
    </row>
    <row r="1785">
      <c r="B1785" s="52"/>
      <c r="C1785" s="52"/>
      <c r="D1785" s="51"/>
      <c r="E1785" s="12"/>
      <c r="F1785" s="7"/>
    </row>
    <row r="1786">
      <c r="B1786" s="52"/>
      <c r="C1786" s="52"/>
      <c r="D1786" s="51"/>
      <c r="E1786" s="12"/>
      <c r="F1786" s="7"/>
    </row>
    <row r="1787">
      <c r="B1787" s="52"/>
      <c r="C1787" s="52"/>
      <c r="D1787" s="51"/>
      <c r="E1787" s="12"/>
      <c r="F1787" s="7"/>
    </row>
    <row r="1788">
      <c r="B1788" s="52"/>
      <c r="C1788" s="52"/>
      <c r="D1788" s="51"/>
      <c r="E1788" s="12"/>
      <c r="F1788" s="7"/>
    </row>
    <row r="1789">
      <c r="B1789" s="52"/>
      <c r="C1789" s="52"/>
      <c r="D1789" s="51"/>
      <c r="E1789" s="12"/>
      <c r="F1789" s="7"/>
    </row>
    <row r="1790">
      <c r="B1790" s="52"/>
      <c r="C1790" s="52"/>
      <c r="D1790" s="51"/>
      <c r="E1790" s="12"/>
      <c r="F1790" s="7"/>
    </row>
    <row r="1791">
      <c r="B1791" s="52"/>
      <c r="C1791" s="52"/>
      <c r="D1791" s="51"/>
      <c r="E1791" s="12"/>
      <c r="F1791" s="7"/>
    </row>
    <row r="1792">
      <c r="B1792" s="52"/>
      <c r="C1792" s="52"/>
      <c r="D1792" s="51"/>
      <c r="E1792" s="12"/>
      <c r="F1792" s="7"/>
    </row>
    <row r="1793">
      <c r="B1793" s="52"/>
      <c r="C1793" s="52"/>
      <c r="D1793" s="51"/>
      <c r="E1793" s="12"/>
      <c r="F1793" s="7"/>
    </row>
    <row r="1794">
      <c r="B1794" s="52"/>
      <c r="C1794" s="52"/>
      <c r="D1794" s="51"/>
      <c r="E1794" s="12"/>
      <c r="F1794" s="7"/>
    </row>
    <row r="1795">
      <c r="B1795" s="52"/>
      <c r="C1795" s="52"/>
      <c r="D1795" s="51"/>
      <c r="E1795" s="12"/>
      <c r="F1795" s="7"/>
    </row>
    <row r="1796">
      <c r="B1796" s="52"/>
      <c r="C1796" s="52"/>
      <c r="D1796" s="51"/>
      <c r="E1796" s="12"/>
      <c r="F1796" s="7"/>
    </row>
    <row r="1797">
      <c r="B1797" s="52"/>
      <c r="C1797" s="52"/>
      <c r="D1797" s="51"/>
      <c r="E1797" s="12"/>
      <c r="F1797" s="7"/>
    </row>
    <row r="1798">
      <c r="B1798" s="52"/>
      <c r="C1798" s="52"/>
      <c r="D1798" s="51"/>
      <c r="E1798" s="12"/>
      <c r="F1798" s="7"/>
    </row>
    <row r="1799">
      <c r="B1799" s="52"/>
      <c r="C1799" s="52"/>
      <c r="D1799" s="51"/>
      <c r="E1799" s="12"/>
      <c r="F1799" s="7"/>
    </row>
    <row r="1800">
      <c r="B1800" s="52"/>
      <c r="C1800" s="52"/>
      <c r="D1800" s="51"/>
      <c r="E1800" s="12"/>
      <c r="F1800" s="7"/>
    </row>
    <row r="1801">
      <c r="B1801" s="52"/>
      <c r="C1801" s="52"/>
      <c r="D1801" s="51"/>
      <c r="E1801" s="12"/>
      <c r="F1801" s="7"/>
    </row>
    <row r="1802">
      <c r="B1802" s="52"/>
      <c r="C1802" s="52"/>
      <c r="D1802" s="51"/>
      <c r="E1802" s="12"/>
      <c r="F1802" s="7"/>
    </row>
    <row r="1803">
      <c r="B1803" s="52"/>
      <c r="C1803" s="52"/>
      <c r="D1803" s="51"/>
      <c r="E1803" s="12"/>
      <c r="F1803" s="7"/>
    </row>
    <row r="1804">
      <c r="B1804" s="52"/>
      <c r="C1804" s="52"/>
      <c r="D1804" s="51"/>
      <c r="E1804" s="12"/>
      <c r="F1804" s="7"/>
    </row>
    <row r="1805">
      <c r="B1805" s="52"/>
      <c r="C1805" s="52"/>
      <c r="D1805" s="51"/>
      <c r="E1805" s="12"/>
      <c r="F1805" s="7"/>
    </row>
    <row r="1806">
      <c r="B1806" s="52"/>
      <c r="C1806" s="52"/>
      <c r="D1806" s="51"/>
      <c r="E1806" s="12"/>
      <c r="F1806" s="7"/>
    </row>
    <row r="1807">
      <c r="B1807" s="52"/>
      <c r="C1807" s="52"/>
      <c r="D1807" s="51"/>
      <c r="E1807" s="12"/>
      <c r="F1807" s="7"/>
    </row>
    <row r="1808">
      <c r="B1808" s="52"/>
      <c r="C1808" s="52"/>
      <c r="D1808" s="51"/>
      <c r="E1808" s="12"/>
      <c r="F1808" s="7"/>
    </row>
    <row r="1809">
      <c r="B1809" s="52"/>
      <c r="C1809" s="52"/>
      <c r="D1809" s="51"/>
      <c r="E1809" s="12"/>
      <c r="F1809" s="7"/>
    </row>
    <row r="1810">
      <c r="B1810" s="52"/>
      <c r="C1810" s="52"/>
      <c r="D1810" s="51"/>
      <c r="E1810" s="12"/>
      <c r="F1810" s="7"/>
    </row>
    <row r="1811">
      <c r="B1811" s="52"/>
      <c r="C1811" s="52"/>
      <c r="D1811" s="51"/>
      <c r="E1811" s="12"/>
      <c r="F1811" s="7"/>
    </row>
    <row r="1812">
      <c r="B1812" s="52"/>
      <c r="C1812" s="52"/>
      <c r="D1812" s="51"/>
      <c r="E1812" s="12"/>
      <c r="F1812" s="7"/>
    </row>
    <row r="1813">
      <c r="B1813" s="52"/>
      <c r="C1813" s="52"/>
      <c r="D1813" s="51"/>
      <c r="E1813" s="12"/>
      <c r="F1813" s="7"/>
    </row>
    <row r="1814">
      <c r="B1814" s="52"/>
      <c r="C1814" s="52"/>
      <c r="D1814" s="51"/>
      <c r="E1814" s="12"/>
      <c r="F1814" s="7"/>
    </row>
    <row r="1815">
      <c r="B1815" s="52"/>
      <c r="C1815" s="52"/>
      <c r="D1815" s="51"/>
      <c r="E1815" s="12"/>
      <c r="F1815" s="7"/>
    </row>
    <row r="1816">
      <c r="B1816" s="52"/>
      <c r="C1816" s="52"/>
      <c r="D1816" s="51"/>
      <c r="E1816" s="12"/>
      <c r="F1816" s="7"/>
    </row>
    <row r="1817">
      <c r="B1817" s="52"/>
      <c r="C1817" s="52"/>
      <c r="D1817" s="51"/>
      <c r="E1817" s="12"/>
      <c r="F1817" s="7"/>
    </row>
    <row r="1818">
      <c r="B1818" s="52"/>
      <c r="C1818" s="52"/>
      <c r="D1818" s="51"/>
      <c r="E1818" s="12"/>
      <c r="F1818" s="7"/>
    </row>
    <row r="1819">
      <c r="B1819" s="52"/>
      <c r="C1819" s="52"/>
      <c r="D1819" s="51"/>
      <c r="E1819" s="12"/>
      <c r="F1819" s="7"/>
    </row>
    <row r="1820">
      <c r="B1820" s="52"/>
      <c r="C1820" s="52"/>
      <c r="D1820" s="51"/>
      <c r="E1820" s="12"/>
      <c r="F1820" s="7"/>
    </row>
    <row r="1821">
      <c r="B1821" s="52"/>
      <c r="C1821" s="52"/>
      <c r="D1821" s="51"/>
      <c r="E1821" s="12"/>
      <c r="F1821" s="7"/>
    </row>
    <row r="1822">
      <c r="B1822" s="52"/>
      <c r="C1822" s="52"/>
      <c r="D1822" s="51"/>
      <c r="E1822" s="12"/>
      <c r="F1822" s="7"/>
    </row>
    <row r="1823">
      <c r="B1823" s="52"/>
      <c r="C1823" s="52"/>
      <c r="D1823" s="51"/>
      <c r="E1823" s="12"/>
      <c r="F1823" s="7"/>
    </row>
    <row r="1824">
      <c r="B1824" s="52"/>
      <c r="C1824" s="52"/>
      <c r="D1824" s="51"/>
      <c r="E1824" s="12"/>
      <c r="F1824" s="7"/>
    </row>
    <row r="1825">
      <c r="B1825" s="52"/>
      <c r="C1825" s="52"/>
      <c r="D1825" s="51"/>
      <c r="E1825" s="12"/>
      <c r="F1825" s="7"/>
    </row>
    <row r="1826">
      <c r="B1826" s="52"/>
      <c r="C1826" s="52"/>
      <c r="D1826" s="51"/>
      <c r="E1826" s="12"/>
      <c r="F1826" s="7"/>
    </row>
    <row r="1827">
      <c r="B1827" s="52"/>
      <c r="C1827" s="52"/>
      <c r="D1827" s="51"/>
      <c r="E1827" s="12"/>
      <c r="F1827" s="7"/>
    </row>
    <row r="1828">
      <c r="B1828" s="52"/>
      <c r="C1828" s="52"/>
      <c r="D1828" s="51"/>
      <c r="E1828" s="12"/>
      <c r="F1828" s="7"/>
    </row>
    <row r="1829">
      <c r="B1829" s="52"/>
      <c r="C1829" s="52"/>
      <c r="D1829" s="51"/>
      <c r="E1829" s="12"/>
      <c r="F1829" s="7"/>
    </row>
    <row r="1830">
      <c r="B1830" s="52"/>
      <c r="C1830" s="52"/>
      <c r="D1830" s="51"/>
      <c r="E1830" s="12"/>
      <c r="F1830" s="7"/>
    </row>
    <row r="1831">
      <c r="B1831" s="52"/>
      <c r="C1831" s="52"/>
      <c r="D1831" s="51"/>
      <c r="E1831" s="12"/>
      <c r="F1831" s="7"/>
    </row>
    <row r="1832">
      <c r="B1832" s="52"/>
      <c r="C1832" s="52"/>
      <c r="D1832" s="51"/>
      <c r="E1832" s="12"/>
      <c r="F1832" s="7"/>
    </row>
    <row r="1833">
      <c r="B1833" s="52"/>
      <c r="C1833" s="52"/>
      <c r="D1833" s="51"/>
      <c r="E1833" s="12"/>
      <c r="F1833" s="7"/>
    </row>
    <row r="1834">
      <c r="B1834" s="52"/>
      <c r="C1834" s="52"/>
      <c r="D1834" s="51"/>
      <c r="E1834" s="12"/>
      <c r="F1834" s="7"/>
    </row>
    <row r="1835">
      <c r="B1835" s="52"/>
      <c r="C1835" s="52"/>
      <c r="D1835" s="51"/>
      <c r="E1835" s="12"/>
      <c r="F1835" s="7"/>
    </row>
    <row r="1836">
      <c r="B1836" s="52"/>
      <c r="C1836" s="52"/>
      <c r="D1836" s="51"/>
      <c r="E1836" s="12"/>
      <c r="F1836" s="7"/>
    </row>
    <row r="1837">
      <c r="B1837" s="52"/>
      <c r="C1837" s="52"/>
      <c r="D1837" s="51"/>
      <c r="E1837" s="12"/>
      <c r="F1837" s="7"/>
    </row>
    <row r="1838">
      <c r="B1838" s="52"/>
      <c r="C1838" s="52"/>
      <c r="D1838" s="51"/>
      <c r="E1838" s="12"/>
      <c r="F1838" s="7"/>
    </row>
    <row r="1839">
      <c r="B1839" s="52"/>
      <c r="C1839" s="52"/>
      <c r="D1839" s="51"/>
      <c r="E1839" s="12"/>
      <c r="F1839" s="7"/>
    </row>
    <row r="1840">
      <c r="B1840" s="52"/>
      <c r="C1840" s="52"/>
      <c r="D1840" s="51"/>
      <c r="E1840" s="12"/>
      <c r="F1840" s="7"/>
    </row>
    <row r="1841">
      <c r="B1841" s="52"/>
      <c r="C1841" s="52"/>
      <c r="D1841" s="51"/>
      <c r="E1841" s="12"/>
      <c r="F1841" s="7"/>
    </row>
    <row r="1842">
      <c r="B1842" s="52"/>
      <c r="C1842" s="52"/>
      <c r="D1842" s="51"/>
      <c r="E1842" s="12"/>
      <c r="F1842" s="7"/>
    </row>
    <row r="1843">
      <c r="B1843" s="52"/>
      <c r="C1843" s="52"/>
      <c r="D1843" s="51"/>
      <c r="E1843" s="12"/>
      <c r="F1843" s="7"/>
    </row>
    <row r="1844">
      <c r="B1844" s="52"/>
      <c r="C1844" s="52"/>
      <c r="D1844" s="51"/>
      <c r="E1844" s="12"/>
      <c r="F1844" s="7"/>
    </row>
    <row r="1845">
      <c r="B1845" s="52"/>
      <c r="C1845" s="52"/>
      <c r="D1845" s="51"/>
      <c r="E1845" s="12"/>
      <c r="F1845" s="7"/>
    </row>
    <row r="1846">
      <c r="B1846" s="52"/>
      <c r="C1846" s="52"/>
      <c r="D1846" s="51"/>
      <c r="E1846" s="12"/>
      <c r="F1846" s="7"/>
    </row>
    <row r="1847">
      <c r="B1847" s="52"/>
      <c r="C1847" s="52"/>
      <c r="D1847" s="51"/>
      <c r="E1847" s="12"/>
      <c r="F1847" s="7"/>
    </row>
    <row r="1848">
      <c r="B1848" s="52"/>
      <c r="C1848" s="52"/>
      <c r="D1848" s="51"/>
      <c r="E1848" s="12"/>
      <c r="F1848" s="7"/>
    </row>
    <row r="1849">
      <c r="B1849" s="52"/>
      <c r="C1849" s="52"/>
      <c r="D1849" s="51"/>
      <c r="E1849" s="12"/>
      <c r="F1849" s="7"/>
    </row>
    <row r="1850">
      <c r="B1850" s="52"/>
      <c r="C1850" s="52"/>
      <c r="D1850" s="51"/>
      <c r="E1850" s="12"/>
      <c r="F1850" s="7"/>
    </row>
    <row r="1851">
      <c r="B1851" s="52"/>
      <c r="C1851" s="52"/>
      <c r="D1851" s="51"/>
      <c r="E1851" s="12"/>
      <c r="F1851" s="7"/>
    </row>
    <row r="1852">
      <c r="B1852" s="52"/>
      <c r="C1852" s="52"/>
      <c r="D1852" s="51"/>
      <c r="E1852" s="12"/>
      <c r="F1852" s="7"/>
    </row>
    <row r="1853">
      <c r="B1853" s="52"/>
      <c r="C1853" s="52"/>
      <c r="D1853" s="51"/>
      <c r="E1853" s="12"/>
      <c r="F1853" s="7"/>
    </row>
    <row r="1854">
      <c r="B1854" s="52"/>
      <c r="C1854" s="52"/>
      <c r="D1854" s="51"/>
      <c r="E1854" s="12"/>
      <c r="F1854" s="7"/>
    </row>
    <row r="1855">
      <c r="B1855" s="52"/>
      <c r="C1855" s="52"/>
      <c r="D1855" s="51"/>
      <c r="E1855" s="12"/>
      <c r="F1855" s="7"/>
    </row>
    <row r="1856">
      <c r="B1856" s="52"/>
      <c r="C1856" s="52"/>
      <c r="D1856" s="51"/>
      <c r="E1856" s="12"/>
      <c r="F1856" s="7"/>
    </row>
    <row r="1857">
      <c r="B1857" s="52"/>
      <c r="C1857" s="52"/>
      <c r="D1857" s="51"/>
      <c r="E1857" s="12"/>
      <c r="F1857" s="7"/>
    </row>
    <row r="1858">
      <c r="B1858" s="52"/>
      <c r="C1858" s="52"/>
      <c r="D1858" s="51"/>
      <c r="E1858" s="12"/>
      <c r="F1858" s="7"/>
    </row>
    <row r="1859">
      <c r="B1859" s="52"/>
      <c r="C1859" s="52"/>
      <c r="D1859" s="51"/>
      <c r="E1859" s="12"/>
      <c r="F1859" s="7"/>
    </row>
    <row r="1860">
      <c r="B1860" s="52"/>
      <c r="C1860" s="52"/>
      <c r="D1860" s="51"/>
      <c r="E1860" s="12"/>
      <c r="F1860" s="7"/>
    </row>
    <row r="1861">
      <c r="B1861" s="52"/>
      <c r="C1861" s="52"/>
      <c r="D1861" s="51"/>
      <c r="E1861" s="12"/>
      <c r="F1861" s="7"/>
    </row>
    <row r="1862">
      <c r="B1862" s="52"/>
      <c r="C1862" s="52"/>
      <c r="D1862" s="51"/>
      <c r="E1862" s="12"/>
      <c r="F1862" s="7"/>
    </row>
    <row r="1863">
      <c r="B1863" s="52"/>
      <c r="C1863" s="52"/>
      <c r="D1863" s="51"/>
      <c r="E1863" s="12"/>
      <c r="F1863" s="7"/>
    </row>
    <row r="1864">
      <c r="B1864" s="52"/>
      <c r="C1864" s="52"/>
      <c r="D1864" s="51"/>
      <c r="E1864" s="12"/>
      <c r="F1864" s="7"/>
    </row>
    <row r="1865">
      <c r="B1865" s="52"/>
      <c r="C1865" s="52"/>
      <c r="D1865" s="51"/>
      <c r="E1865" s="12"/>
      <c r="F1865" s="7"/>
    </row>
    <row r="1866">
      <c r="B1866" s="52"/>
      <c r="C1866" s="52"/>
      <c r="D1866" s="51"/>
      <c r="E1866" s="12"/>
      <c r="F1866" s="7"/>
    </row>
    <row r="1867">
      <c r="B1867" s="52"/>
      <c r="C1867" s="52"/>
      <c r="D1867" s="51"/>
      <c r="E1867" s="12"/>
      <c r="F1867" s="7"/>
    </row>
    <row r="1868">
      <c r="B1868" s="52"/>
      <c r="C1868" s="52"/>
      <c r="D1868" s="51"/>
      <c r="E1868" s="12"/>
      <c r="F1868" s="7"/>
    </row>
    <row r="1869">
      <c r="B1869" s="52"/>
      <c r="C1869" s="52"/>
      <c r="D1869" s="51"/>
      <c r="E1869" s="12"/>
      <c r="F1869" s="7"/>
    </row>
    <row r="1870">
      <c r="B1870" s="52"/>
      <c r="C1870" s="52"/>
      <c r="D1870" s="51"/>
      <c r="E1870" s="12"/>
      <c r="F1870" s="7"/>
    </row>
    <row r="1871">
      <c r="B1871" s="52"/>
      <c r="C1871" s="52"/>
      <c r="D1871" s="51"/>
      <c r="E1871" s="12"/>
      <c r="F1871" s="7"/>
    </row>
    <row r="1872">
      <c r="B1872" s="52"/>
      <c r="C1872" s="52"/>
      <c r="D1872" s="51"/>
      <c r="E1872" s="12"/>
      <c r="F1872" s="7"/>
    </row>
    <row r="1873">
      <c r="B1873" s="52"/>
      <c r="C1873" s="52"/>
      <c r="D1873" s="51"/>
      <c r="E1873" s="12"/>
      <c r="F1873" s="7"/>
    </row>
    <row r="1874">
      <c r="B1874" s="52"/>
      <c r="C1874" s="52"/>
      <c r="D1874" s="51"/>
      <c r="E1874" s="12"/>
      <c r="F1874" s="7"/>
    </row>
    <row r="1875">
      <c r="B1875" s="52"/>
      <c r="C1875" s="52"/>
      <c r="D1875" s="51"/>
      <c r="E1875" s="12"/>
      <c r="F1875" s="7"/>
    </row>
    <row r="1876">
      <c r="B1876" s="52"/>
      <c r="C1876" s="52"/>
      <c r="D1876" s="51"/>
      <c r="E1876" s="12"/>
      <c r="F1876" s="7"/>
    </row>
    <row r="1877">
      <c r="B1877" s="52"/>
      <c r="C1877" s="52"/>
      <c r="D1877" s="51"/>
      <c r="E1877" s="12"/>
      <c r="F1877" s="7"/>
    </row>
    <row r="1878">
      <c r="B1878" s="52"/>
      <c r="C1878" s="52"/>
      <c r="D1878" s="51"/>
      <c r="E1878" s="12"/>
      <c r="F1878" s="7"/>
    </row>
    <row r="1879">
      <c r="B1879" s="52"/>
      <c r="C1879" s="52"/>
      <c r="D1879" s="51"/>
      <c r="E1879" s="12"/>
      <c r="F1879" s="7"/>
    </row>
    <row r="1880">
      <c r="B1880" s="52"/>
      <c r="C1880" s="52"/>
      <c r="D1880" s="51"/>
      <c r="E1880" s="12"/>
      <c r="F1880" s="7"/>
    </row>
    <row r="1881">
      <c r="B1881" s="52"/>
      <c r="C1881" s="52"/>
      <c r="D1881" s="51"/>
      <c r="E1881" s="12"/>
      <c r="F1881" s="7"/>
    </row>
    <row r="1882">
      <c r="B1882" s="52"/>
      <c r="C1882" s="52"/>
      <c r="D1882" s="51"/>
      <c r="E1882" s="12"/>
      <c r="F1882" s="7"/>
    </row>
    <row r="1883">
      <c r="B1883" s="52"/>
      <c r="C1883" s="52"/>
      <c r="D1883" s="51"/>
      <c r="E1883" s="12"/>
      <c r="F1883" s="7"/>
    </row>
    <row r="1884">
      <c r="B1884" s="52"/>
      <c r="C1884" s="52"/>
      <c r="D1884" s="51"/>
      <c r="E1884" s="12"/>
      <c r="F1884" s="7"/>
    </row>
    <row r="1885">
      <c r="B1885" s="52"/>
      <c r="C1885" s="52"/>
      <c r="D1885" s="51"/>
      <c r="E1885" s="12"/>
      <c r="F1885" s="7"/>
    </row>
    <row r="1886">
      <c r="B1886" s="52"/>
      <c r="C1886" s="52"/>
      <c r="D1886" s="51"/>
      <c r="E1886" s="12"/>
      <c r="F1886" s="7"/>
    </row>
    <row r="1887">
      <c r="B1887" s="52"/>
      <c r="C1887" s="52"/>
      <c r="D1887" s="51"/>
      <c r="E1887" s="12"/>
      <c r="F1887" s="7"/>
    </row>
    <row r="1888">
      <c r="B1888" s="52"/>
      <c r="C1888" s="52"/>
      <c r="D1888" s="51"/>
      <c r="E1888" s="12"/>
      <c r="F1888" s="7"/>
    </row>
    <row r="1889">
      <c r="B1889" s="52"/>
      <c r="C1889" s="52"/>
      <c r="D1889" s="51"/>
      <c r="E1889" s="12"/>
      <c r="F1889" s="7"/>
    </row>
    <row r="1890">
      <c r="B1890" s="52"/>
      <c r="C1890" s="52"/>
      <c r="D1890" s="51"/>
      <c r="E1890" s="12"/>
      <c r="F1890" s="7"/>
    </row>
    <row r="1891">
      <c r="B1891" s="52"/>
      <c r="C1891" s="52"/>
      <c r="D1891" s="51"/>
      <c r="E1891" s="12"/>
      <c r="F1891" s="7"/>
    </row>
    <row r="1892">
      <c r="B1892" s="52"/>
      <c r="C1892" s="52"/>
      <c r="D1892" s="51"/>
      <c r="E1892" s="12"/>
      <c r="F1892" s="7"/>
    </row>
    <row r="1893">
      <c r="B1893" s="52"/>
      <c r="C1893" s="52"/>
      <c r="D1893" s="51"/>
      <c r="E1893" s="12"/>
      <c r="F1893" s="7"/>
    </row>
    <row r="1894">
      <c r="B1894" s="52"/>
      <c r="C1894" s="52"/>
      <c r="D1894" s="51"/>
      <c r="E1894" s="12"/>
      <c r="F1894" s="7"/>
    </row>
    <row r="1895">
      <c r="B1895" s="52"/>
      <c r="C1895" s="52"/>
      <c r="D1895" s="51"/>
      <c r="E1895" s="12"/>
      <c r="F1895" s="7"/>
    </row>
    <row r="1896">
      <c r="B1896" s="52"/>
      <c r="C1896" s="52"/>
      <c r="D1896" s="51"/>
      <c r="E1896" s="12"/>
      <c r="F1896" s="7"/>
    </row>
    <row r="1897">
      <c r="B1897" s="52"/>
      <c r="C1897" s="52"/>
      <c r="D1897" s="51"/>
      <c r="E1897" s="12"/>
      <c r="F1897" s="7"/>
    </row>
    <row r="1898">
      <c r="B1898" s="52"/>
      <c r="C1898" s="52"/>
      <c r="D1898" s="51"/>
      <c r="E1898" s="12"/>
      <c r="F1898" s="7"/>
    </row>
    <row r="1899">
      <c r="B1899" s="52"/>
      <c r="C1899" s="52"/>
      <c r="D1899" s="51"/>
      <c r="E1899" s="12"/>
      <c r="F1899" s="7"/>
    </row>
    <row r="1900">
      <c r="B1900" s="52"/>
      <c r="C1900" s="52"/>
      <c r="D1900" s="51"/>
      <c r="E1900" s="12"/>
      <c r="F1900" s="7"/>
    </row>
    <row r="1901">
      <c r="B1901" s="52"/>
      <c r="C1901" s="52"/>
      <c r="D1901" s="51"/>
      <c r="E1901" s="12"/>
      <c r="F1901" s="7"/>
    </row>
    <row r="1902">
      <c r="B1902" s="52"/>
      <c r="C1902" s="52"/>
      <c r="D1902" s="51"/>
      <c r="E1902" s="12"/>
      <c r="F1902" s="7"/>
    </row>
    <row r="1903">
      <c r="B1903" s="52"/>
      <c r="C1903" s="52"/>
      <c r="D1903" s="51"/>
      <c r="E1903" s="12"/>
      <c r="F1903" s="7"/>
    </row>
    <row r="1904">
      <c r="B1904" s="52"/>
      <c r="C1904" s="52"/>
      <c r="D1904" s="51"/>
      <c r="E1904" s="12"/>
      <c r="F1904" s="7"/>
    </row>
    <row r="1905">
      <c r="B1905" s="52"/>
      <c r="C1905" s="52"/>
      <c r="D1905" s="51"/>
      <c r="E1905" s="12"/>
      <c r="F1905" s="7"/>
    </row>
    <row r="1906">
      <c r="B1906" s="52"/>
      <c r="C1906" s="52"/>
      <c r="D1906" s="51"/>
      <c r="E1906" s="12"/>
      <c r="F1906" s="7"/>
    </row>
    <row r="1907">
      <c r="B1907" s="52"/>
      <c r="C1907" s="52"/>
      <c r="D1907" s="51"/>
      <c r="E1907" s="12"/>
      <c r="F1907" s="7"/>
    </row>
    <row r="1908">
      <c r="B1908" s="52"/>
      <c r="C1908" s="52"/>
      <c r="D1908" s="51"/>
      <c r="E1908" s="12"/>
      <c r="F1908" s="7"/>
    </row>
    <row r="1909">
      <c r="B1909" s="52"/>
      <c r="C1909" s="52"/>
      <c r="D1909" s="51"/>
      <c r="E1909" s="12"/>
      <c r="F1909" s="7"/>
    </row>
    <row r="1910">
      <c r="B1910" s="52"/>
      <c r="C1910" s="52"/>
      <c r="D1910" s="51"/>
      <c r="E1910" s="12"/>
      <c r="F1910" s="7"/>
    </row>
    <row r="1911">
      <c r="B1911" s="52"/>
      <c r="C1911" s="52"/>
      <c r="D1911" s="51"/>
      <c r="E1911" s="12"/>
      <c r="F1911" s="7"/>
    </row>
    <row r="1912">
      <c r="B1912" s="52"/>
      <c r="C1912" s="52"/>
      <c r="D1912" s="51"/>
      <c r="E1912" s="12"/>
      <c r="F1912" s="7"/>
    </row>
    <row r="1913">
      <c r="B1913" s="52"/>
      <c r="C1913" s="52"/>
      <c r="D1913" s="51"/>
      <c r="E1913" s="12"/>
      <c r="F1913" s="7"/>
    </row>
    <row r="1914">
      <c r="B1914" s="52"/>
      <c r="C1914" s="52"/>
      <c r="D1914" s="51"/>
      <c r="E1914" s="12"/>
      <c r="F1914" s="7"/>
    </row>
    <row r="1915">
      <c r="B1915" s="52"/>
      <c r="C1915" s="52"/>
      <c r="D1915" s="51"/>
      <c r="E1915" s="12"/>
      <c r="F1915" s="7"/>
    </row>
    <row r="1916">
      <c r="B1916" s="52"/>
      <c r="C1916" s="52"/>
      <c r="D1916" s="51"/>
      <c r="E1916" s="12"/>
      <c r="F1916" s="7"/>
    </row>
    <row r="1917">
      <c r="B1917" s="52"/>
      <c r="C1917" s="52"/>
      <c r="D1917" s="51"/>
      <c r="E1917" s="12"/>
      <c r="F1917" s="7"/>
    </row>
    <row r="1918">
      <c r="B1918" s="52"/>
      <c r="C1918" s="52"/>
      <c r="D1918" s="51"/>
      <c r="E1918" s="12"/>
      <c r="F1918" s="7"/>
    </row>
    <row r="1919">
      <c r="B1919" s="52"/>
      <c r="C1919" s="52"/>
      <c r="D1919" s="51"/>
      <c r="E1919" s="12"/>
      <c r="F1919" s="7"/>
    </row>
    <row r="1920">
      <c r="B1920" s="52"/>
      <c r="C1920" s="52"/>
      <c r="D1920" s="51"/>
      <c r="E1920" s="12"/>
      <c r="F1920" s="7"/>
    </row>
    <row r="1921">
      <c r="B1921" s="52"/>
      <c r="C1921" s="52"/>
      <c r="D1921" s="51"/>
      <c r="E1921" s="12"/>
      <c r="F1921" s="7"/>
    </row>
    <row r="1922">
      <c r="B1922" s="52"/>
      <c r="C1922" s="52"/>
      <c r="D1922" s="51"/>
      <c r="E1922" s="12"/>
      <c r="F1922" s="7"/>
    </row>
    <row r="1923">
      <c r="B1923" s="52"/>
      <c r="C1923" s="52"/>
      <c r="D1923" s="51"/>
      <c r="E1923" s="12"/>
      <c r="F1923" s="7"/>
    </row>
    <row r="1924">
      <c r="B1924" s="52"/>
      <c r="C1924" s="52"/>
      <c r="D1924" s="51"/>
      <c r="E1924" s="12"/>
      <c r="F1924" s="7"/>
    </row>
    <row r="1925">
      <c r="B1925" s="52"/>
      <c r="C1925" s="52"/>
      <c r="D1925" s="51"/>
      <c r="E1925" s="12"/>
      <c r="F1925" s="7"/>
    </row>
    <row r="1926">
      <c r="B1926" s="52"/>
      <c r="C1926" s="52"/>
      <c r="D1926" s="51"/>
      <c r="E1926" s="12"/>
      <c r="F1926" s="7"/>
    </row>
    <row r="1927">
      <c r="B1927" s="52"/>
      <c r="C1927" s="52"/>
      <c r="D1927" s="51"/>
      <c r="E1927" s="12"/>
      <c r="F1927" s="7"/>
    </row>
    <row r="1928">
      <c r="B1928" s="52"/>
      <c r="C1928" s="52"/>
      <c r="D1928" s="51"/>
      <c r="E1928" s="12"/>
      <c r="F1928" s="7"/>
    </row>
    <row r="1929">
      <c r="B1929" s="52"/>
      <c r="C1929" s="52"/>
      <c r="D1929" s="51"/>
      <c r="E1929" s="12"/>
      <c r="F1929" s="7"/>
    </row>
    <row r="1930">
      <c r="B1930" s="52"/>
      <c r="C1930" s="52"/>
      <c r="D1930" s="51"/>
      <c r="E1930" s="12"/>
      <c r="F1930" s="7"/>
    </row>
    <row r="1931">
      <c r="B1931" s="52"/>
      <c r="C1931" s="52"/>
      <c r="D1931" s="51"/>
      <c r="E1931" s="12"/>
      <c r="F1931" s="7"/>
    </row>
    <row r="1932">
      <c r="B1932" s="52"/>
      <c r="C1932" s="52"/>
      <c r="D1932" s="51"/>
      <c r="E1932" s="12"/>
      <c r="F1932" s="7"/>
    </row>
    <row r="1933">
      <c r="B1933" s="52"/>
      <c r="C1933" s="52"/>
      <c r="D1933" s="51"/>
      <c r="E1933" s="12"/>
      <c r="F1933" s="7"/>
    </row>
    <row r="1934">
      <c r="B1934" s="52"/>
      <c r="C1934" s="52"/>
      <c r="D1934" s="51"/>
      <c r="E1934" s="12"/>
      <c r="F1934" s="7"/>
    </row>
    <row r="1935">
      <c r="B1935" s="52"/>
      <c r="C1935" s="52"/>
      <c r="D1935" s="51"/>
      <c r="E1935" s="12"/>
      <c r="F1935" s="7"/>
    </row>
    <row r="1936">
      <c r="B1936" s="52"/>
      <c r="C1936" s="52"/>
      <c r="D1936" s="51"/>
      <c r="E1936" s="12"/>
      <c r="F1936" s="7"/>
    </row>
    <row r="1937">
      <c r="B1937" s="52"/>
      <c r="C1937" s="52"/>
      <c r="D1937" s="51"/>
      <c r="E1937" s="12"/>
      <c r="F1937" s="7"/>
    </row>
    <row r="1938">
      <c r="B1938" s="52"/>
      <c r="C1938" s="52"/>
      <c r="D1938" s="51"/>
      <c r="E1938" s="12"/>
      <c r="F1938" s="7"/>
    </row>
    <row r="1939">
      <c r="B1939" s="52"/>
      <c r="C1939" s="52"/>
      <c r="D1939" s="51"/>
      <c r="E1939" s="12"/>
      <c r="F1939" s="7"/>
    </row>
    <row r="1940">
      <c r="B1940" s="52"/>
      <c r="C1940" s="52"/>
      <c r="D1940" s="51"/>
      <c r="E1940" s="12"/>
      <c r="F1940" s="7"/>
    </row>
    <row r="1941">
      <c r="B1941" s="52"/>
      <c r="C1941" s="52"/>
      <c r="D1941" s="51"/>
      <c r="E1941" s="12"/>
      <c r="F1941" s="7"/>
    </row>
    <row r="1942">
      <c r="B1942" s="52"/>
      <c r="C1942" s="52"/>
      <c r="D1942" s="51"/>
      <c r="E1942" s="12"/>
      <c r="F1942" s="7"/>
    </row>
    <row r="1943">
      <c r="B1943" s="52"/>
      <c r="C1943" s="52"/>
      <c r="D1943" s="51"/>
      <c r="E1943" s="12"/>
      <c r="F1943" s="7"/>
    </row>
    <row r="1944">
      <c r="B1944" s="52"/>
      <c r="C1944" s="52"/>
      <c r="D1944" s="51"/>
      <c r="E1944" s="12"/>
      <c r="F1944" s="7"/>
    </row>
    <row r="1945">
      <c r="B1945" s="52"/>
      <c r="C1945" s="52"/>
      <c r="D1945" s="51"/>
      <c r="E1945" s="12"/>
      <c r="F1945" s="7"/>
    </row>
    <row r="1946">
      <c r="B1946" s="52"/>
      <c r="C1946" s="52"/>
      <c r="D1946" s="51"/>
      <c r="E1946" s="12"/>
      <c r="F1946" s="7"/>
    </row>
    <row r="1947">
      <c r="B1947" s="52"/>
      <c r="C1947" s="52"/>
      <c r="D1947" s="51"/>
      <c r="E1947" s="12"/>
      <c r="F1947" s="7"/>
    </row>
    <row r="1948">
      <c r="B1948" s="52"/>
      <c r="C1948" s="52"/>
      <c r="D1948" s="51"/>
      <c r="E1948" s="12"/>
      <c r="F1948" s="7"/>
    </row>
    <row r="1949">
      <c r="B1949" s="52"/>
      <c r="C1949" s="52"/>
      <c r="D1949" s="51"/>
      <c r="E1949" s="12"/>
      <c r="F1949" s="7"/>
    </row>
    <row r="1950">
      <c r="B1950" s="52"/>
      <c r="C1950" s="52"/>
      <c r="D1950" s="51"/>
      <c r="E1950" s="12"/>
      <c r="F1950" s="7"/>
    </row>
    <row r="1951">
      <c r="B1951" s="52"/>
      <c r="C1951" s="52"/>
      <c r="D1951" s="51"/>
      <c r="E1951" s="12"/>
      <c r="F1951" s="7"/>
    </row>
    <row r="1952">
      <c r="B1952" s="52"/>
      <c r="C1952" s="52"/>
      <c r="D1952" s="51"/>
      <c r="E1952" s="12"/>
      <c r="F1952" s="7"/>
    </row>
    <row r="1953">
      <c r="B1953" s="52"/>
      <c r="C1953" s="52"/>
      <c r="D1953" s="51"/>
      <c r="E1953" s="12"/>
      <c r="F1953" s="7"/>
    </row>
    <row r="1954">
      <c r="B1954" s="52"/>
      <c r="C1954" s="52"/>
      <c r="D1954" s="51"/>
      <c r="E1954" s="12"/>
      <c r="F1954" s="7"/>
    </row>
    <row r="1955">
      <c r="B1955" s="52"/>
      <c r="C1955" s="52"/>
      <c r="D1955" s="51"/>
      <c r="E1955" s="12"/>
      <c r="F1955" s="7"/>
    </row>
    <row r="1956">
      <c r="B1956" s="52"/>
      <c r="C1956" s="52"/>
      <c r="D1956" s="51"/>
      <c r="E1956" s="12"/>
      <c r="F1956" s="7"/>
    </row>
    <row r="1957">
      <c r="B1957" s="52"/>
      <c r="C1957" s="52"/>
      <c r="D1957" s="51"/>
      <c r="E1957" s="12"/>
      <c r="F1957" s="7"/>
    </row>
    <row r="1958">
      <c r="B1958" s="52"/>
      <c r="C1958" s="52"/>
      <c r="D1958" s="51"/>
      <c r="E1958" s="12"/>
      <c r="F1958" s="7"/>
    </row>
    <row r="1959">
      <c r="B1959" s="52"/>
      <c r="C1959" s="52"/>
      <c r="D1959" s="51"/>
      <c r="E1959" s="12"/>
      <c r="F1959" s="7"/>
    </row>
    <row r="1960">
      <c r="B1960" s="52"/>
      <c r="C1960" s="52"/>
      <c r="D1960" s="51"/>
      <c r="E1960" s="12"/>
      <c r="F1960" s="7"/>
    </row>
    <row r="1961">
      <c r="B1961" s="52"/>
      <c r="C1961" s="52"/>
      <c r="D1961" s="51"/>
      <c r="E1961" s="12"/>
      <c r="F1961" s="7"/>
    </row>
    <row r="1962">
      <c r="B1962" s="52"/>
      <c r="C1962" s="52"/>
      <c r="D1962" s="51"/>
      <c r="E1962" s="12"/>
      <c r="F1962" s="7"/>
    </row>
    <row r="1963">
      <c r="B1963" s="52"/>
      <c r="C1963" s="52"/>
      <c r="D1963" s="51"/>
      <c r="E1963" s="12"/>
      <c r="F1963" s="7"/>
    </row>
    <row r="1964">
      <c r="B1964" s="52"/>
      <c r="C1964" s="52"/>
      <c r="D1964" s="51"/>
      <c r="E1964" s="12"/>
      <c r="F1964" s="7"/>
    </row>
    <row r="1965">
      <c r="B1965" s="52"/>
      <c r="C1965" s="52"/>
      <c r="D1965" s="51"/>
      <c r="E1965" s="12"/>
      <c r="F1965" s="7"/>
    </row>
    <row r="1966">
      <c r="B1966" s="52"/>
      <c r="C1966" s="52"/>
      <c r="D1966" s="51"/>
      <c r="E1966" s="12"/>
      <c r="F1966" s="7"/>
    </row>
    <row r="1967">
      <c r="B1967" s="52"/>
      <c r="C1967" s="52"/>
      <c r="D1967" s="51"/>
      <c r="E1967" s="12"/>
      <c r="F1967" s="7"/>
    </row>
    <row r="1968">
      <c r="B1968" s="52"/>
      <c r="C1968" s="52"/>
      <c r="D1968" s="51"/>
      <c r="E1968" s="12"/>
      <c r="F1968" s="7"/>
    </row>
    <row r="1969">
      <c r="B1969" s="52"/>
      <c r="C1969" s="52"/>
      <c r="D1969" s="51"/>
      <c r="E1969" s="12"/>
      <c r="F1969" s="7"/>
    </row>
    <row r="1970">
      <c r="B1970" s="52"/>
      <c r="C1970" s="52"/>
      <c r="D1970" s="51"/>
      <c r="E1970" s="12"/>
      <c r="F1970" s="7"/>
    </row>
    <row r="1971">
      <c r="B1971" s="52"/>
      <c r="C1971" s="52"/>
      <c r="D1971" s="51"/>
      <c r="E1971" s="12"/>
      <c r="F1971" s="7"/>
    </row>
    <row r="1972">
      <c r="B1972" s="52"/>
      <c r="C1972" s="52"/>
      <c r="D1972" s="51"/>
      <c r="E1972" s="12"/>
      <c r="F1972" s="7"/>
    </row>
    <row r="1973">
      <c r="B1973" s="52"/>
      <c r="C1973" s="52"/>
      <c r="D1973" s="51"/>
      <c r="E1973" s="12"/>
      <c r="F1973" s="7"/>
    </row>
    <row r="1974">
      <c r="B1974" s="52"/>
      <c r="C1974" s="52"/>
      <c r="D1974" s="51"/>
      <c r="E1974" s="12"/>
      <c r="F1974" s="7"/>
    </row>
    <row r="1975">
      <c r="B1975" s="52"/>
      <c r="C1975" s="52"/>
      <c r="D1975" s="51"/>
      <c r="E1975" s="12"/>
      <c r="F1975" s="7"/>
    </row>
    <row r="1976">
      <c r="B1976" s="52"/>
      <c r="C1976" s="52"/>
      <c r="D1976" s="51"/>
      <c r="E1976" s="12"/>
      <c r="F1976" s="7"/>
    </row>
    <row r="1977">
      <c r="B1977" s="52"/>
      <c r="C1977" s="52"/>
      <c r="D1977" s="51"/>
      <c r="E1977" s="12"/>
      <c r="F1977" s="7"/>
    </row>
    <row r="1978">
      <c r="B1978" s="52"/>
      <c r="C1978" s="52"/>
      <c r="D1978" s="51"/>
      <c r="E1978" s="12"/>
      <c r="F1978" s="7"/>
    </row>
    <row r="1979">
      <c r="B1979" s="52"/>
      <c r="C1979" s="52"/>
      <c r="D1979" s="51"/>
      <c r="E1979" s="12"/>
      <c r="F1979" s="7"/>
    </row>
    <row r="1980">
      <c r="B1980" s="52"/>
      <c r="C1980" s="52"/>
      <c r="D1980" s="51"/>
      <c r="E1980" s="12"/>
      <c r="F1980" s="7"/>
    </row>
    <row r="1981">
      <c r="B1981" s="52"/>
      <c r="C1981" s="52"/>
      <c r="D1981" s="51"/>
      <c r="E1981" s="12"/>
      <c r="F1981" s="7"/>
    </row>
    <row r="1982">
      <c r="B1982" s="52"/>
      <c r="C1982" s="52"/>
      <c r="D1982" s="51"/>
      <c r="E1982" s="12"/>
      <c r="F1982" s="7"/>
    </row>
    <row r="1983">
      <c r="B1983" s="52"/>
      <c r="C1983" s="52"/>
      <c r="D1983" s="51"/>
      <c r="E1983" s="12"/>
      <c r="F1983" s="7"/>
    </row>
    <row r="1984">
      <c r="B1984" s="52"/>
      <c r="C1984" s="52"/>
      <c r="D1984" s="51"/>
      <c r="E1984" s="12"/>
      <c r="F1984" s="7"/>
    </row>
    <row r="1985">
      <c r="B1985" s="52"/>
      <c r="C1985" s="52"/>
      <c r="D1985" s="51"/>
      <c r="E1985" s="12"/>
      <c r="F1985" s="7"/>
    </row>
    <row r="1986">
      <c r="B1986" s="52"/>
      <c r="C1986" s="52"/>
      <c r="D1986" s="51"/>
      <c r="E1986" s="12"/>
      <c r="F1986" s="7"/>
    </row>
    <row r="1987">
      <c r="B1987" s="52"/>
      <c r="C1987" s="52"/>
      <c r="D1987" s="51"/>
      <c r="E1987" s="12"/>
      <c r="F1987" s="7"/>
    </row>
    <row r="1988">
      <c r="B1988" s="52"/>
      <c r="C1988" s="52"/>
      <c r="D1988" s="51"/>
      <c r="E1988" s="12"/>
      <c r="F1988" s="7"/>
    </row>
    <row r="1989">
      <c r="B1989" s="52"/>
      <c r="C1989" s="52"/>
      <c r="D1989" s="51"/>
      <c r="E1989" s="12"/>
      <c r="F1989" s="7"/>
    </row>
    <row r="1990">
      <c r="B1990" s="52"/>
      <c r="C1990" s="52"/>
      <c r="D1990" s="51"/>
      <c r="E1990" s="12"/>
      <c r="F1990" s="7"/>
    </row>
    <row r="1991">
      <c r="B1991" s="52"/>
      <c r="C1991" s="52"/>
      <c r="D1991" s="51"/>
      <c r="E1991" s="12"/>
      <c r="F1991" s="7"/>
    </row>
    <row r="1992">
      <c r="B1992" s="52"/>
      <c r="C1992" s="52"/>
      <c r="D1992" s="51"/>
      <c r="E1992" s="12"/>
      <c r="F1992" s="7"/>
    </row>
    <row r="1993">
      <c r="B1993" s="52"/>
      <c r="C1993" s="52"/>
      <c r="D1993" s="51"/>
      <c r="E1993" s="12"/>
      <c r="F1993" s="7"/>
    </row>
    <row r="1994">
      <c r="B1994" s="52"/>
      <c r="C1994" s="52"/>
      <c r="D1994" s="51"/>
      <c r="E1994" s="12"/>
      <c r="F1994" s="7"/>
    </row>
    <row r="1995">
      <c r="B1995" s="52"/>
      <c r="C1995" s="52"/>
      <c r="D1995" s="51"/>
      <c r="E1995" s="12"/>
      <c r="F1995" s="7"/>
    </row>
    <row r="1996">
      <c r="B1996" s="52"/>
      <c r="C1996" s="52"/>
      <c r="D1996" s="51"/>
      <c r="E1996" s="12"/>
      <c r="F1996" s="7"/>
    </row>
    <row r="1997">
      <c r="B1997" s="52"/>
      <c r="C1997" s="52"/>
      <c r="D1997" s="51"/>
      <c r="E1997" s="12"/>
      <c r="F1997" s="7"/>
    </row>
    <row r="1998">
      <c r="B1998" s="52"/>
      <c r="C1998" s="52"/>
      <c r="D1998" s="51"/>
      <c r="E1998" s="12"/>
      <c r="F1998" s="7"/>
    </row>
    <row r="1999">
      <c r="B1999" s="52"/>
      <c r="C1999" s="52"/>
      <c r="D1999" s="51"/>
      <c r="E1999" s="12"/>
      <c r="F1999" s="7"/>
    </row>
    <row r="2000">
      <c r="B2000" s="52"/>
      <c r="C2000" s="52"/>
      <c r="D2000" s="51"/>
      <c r="E2000" s="12"/>
      <c r="F2000" s="7"/>
    </row>
    <row r="2001">
      <c r="B2001" s="52"/>
      <c r="C2001" s="52"/>
      <c r="D2001" s="51"/>
      <c r="E2001" s="12"/>
      <c r="F2001" s="7"/>
    </row>
    <row r="2002">
      <c r="B2002" s="52"/>
      <c r="C2002" s="52"/>
      <c r="D2002" s="51"/>
      <c r="E2002" s="12"/>
      <c r="F2002" s="7"/>
    </row>
    <row r="2003">
      <c r="B2003" s="52"/>
      <c r="C2003" s="52"/>
      <c r="D2003" s="51"/>
      <c r="E2003" s="12"/>
      <c r="F2003" s="7"/>
    </row>
    <row r="2004">
      <c r="B2004" s="52"/>
      <c r="C2004" s="52"/>
      <c r="D2004" s="51"/>
      <c r="E2004" s="12"/>
      <c r="F2004" s="7"/>
    </row>
    <row r="2005">
      <c r="B2005" s="52"/>
      <c r="C2005" s="52"/>
      <c r="D2005" s="51"/>
      <c r="E2005" s="12"/>
      <c r="F2005" s="7"/>
    </row>
    <row r="2006">
      <c r="B2006" s="52"/>
      <c r="C2006" s="52"/>
      <c r="D2006" s="51"/>
      <c r="E2006" s="12"/>
      <c r="F2006" s="7"/>
    </row>
    <row r="2007">
      <c r="B2007" s="52"/>
      <c r="C2007" s="52"/>
      <c r="D2007" s="51"/>
      <c r="E2007" s="12"/>
      <c r="F2007" s="7"/>
    </row>
    <row r="2008">
      <c r="B2008" s="52"/>
      <c r="C2008" s="52"/>
      <c r="D2008" s="51"/>
      <c r="E2008" s="12"/>
      <c r="F2008" s="7"/>
    </row>
  </sheetData>
  <customSheetViews>
    <customSheetView guid="{4A51F6C6-A0AB-485C-A304-CB1D6232200E}" filter="1" showAutoFilter="1">
      <autoFilter ref="$D$7:$F$127"/>
    </customSheetView>
  </customSheetViews>
  <conditionalFormatting sqref="B8:G8">
    <cfRule type="cellIs" dxfId="0" priority="1" operator="greaterThanOrEqual">
      <formula>75</formula>
    </cfRule>
  </conditionalFormatting>
  <conditionalFormatting sqref="B8:G8">
    <cfRule type="cellIs" dxfId="1" priority="2" operator="lessThan">
      <formula>75</formula>
    </cfRule>
  </conditionalFormatting>
  <conditionalFormatting sqref="D7:G7">
    <cfRule type="cellIs" dxfId="2" priority="3" operator="lessThan">
      <formula>452</formula>
    </cfRule>
  </conditionalFormatting>
  <conditionalFormatting sqref="D9:D2008 E369 G369 F528 F652 F654:F655 F725 F746 F789 F793 F799 F872 F881:F886">
    <cfRule type="containsText" dxfId="3" priority="4" operator="containsText" text="ok">
      <formula>NOT(ISERROR(SEARCH(("ok"),(D9))))</formula>
    </cfRule>
  </conditionalFormatting>
  <conditionalFormatting sqref="D9:D2008 E369 G369 F528:F530 E529:E530 F652 F654:F655 F725 F746 F789 F793 F799 F872 F881:F886">
    <cfRule type="containsText" dxfId="4" priority="5" operator="containsText" text="!">
      <formula>NOT(ISERROR(SEARCH(("!"),(D9))))</formula>
    </cfRule>
  </conditionalFormatting>
  <conditionalFormatting sqref="D9:D2008 E369 G369 F528:F530 E529:E530 F652 F654:F655 F725 F746 F789 F793 F799 F872 F881:F886">
    <cfRule type="containsText" dxfId="5" priority="6" operator="containsText" text="tle">
      <formula>NOT(ISERROR(SEARCH(("tle"),(D9))))</formula>
    </cfRule>
  </conditionalFormatting>
  <conditionalFormatting sqref="D9:D2008 E369 G369 F528:F530 E529:E530 F652 F654:F655 F725 F746 F789 F793 F799 F872 F881:F886">
    <cfRule type="containsText" dxfId="5" priority="7" operator="containsText" text="wa">
      <formula>NOT(ISERROR(SEARCH(("wa"),(D9))))</formula>
    </cfRule>
  </conditionalFormatting>
  <conditionalFormatting sqref="D182">
    <cfRule type="notContainsBlanks" dxfId="6" priority="8">
      <formula>LEN(TRIM(D182))&gt;0</formula>
    </cfRule>
  </conditionalFormatting>
  <conditionalFormatting sqref="E9:E1001 G371">
    <cfRule type="containsText" dxfId="7" priority="9" operator="containsText" text="ok">
      <formula>NOT(ISERROR(SEARCH(("ok"),(E9))))</formula>
    </cfRule>
  </conditionalFormatting>
  <conditionalFormatting sqref="B9:B1184 C9:C328">
    <cfRule type="cellIs" dxfId="8" priority="10" operator="equal">
      <formula>0</formula>
    </cfRule>
  </conditionalFormatting>
  <conditionalFormatting sqref="E508">
    <cfRule type="containsText" dxfId="9" priority="11" operator="containsText" text="OK">
      <formula>NOT(ISERROR(SEARCH(("OK"),(E508))))</formula>
    </cfRule>
  </conditionalFormatting>
  <conditionalFormatting sqref="B9:B1184 C9:C328">
    <cfRule type="cellIs" dxfId="10" priority="12" operator="lessThan">
      <formula>4</formula>
    </cfRule>
  </conditionalFormatting>
  <conditionalFormatting sqref="D9:D2008 E369 G369 F528:F530 E529:E530 F652 F654:F655 F725 F746 F789 F793 F799 F872 F881:F886">
    <cfRule type="containsText" dxfId="5" priority="13" operator="containsText" text="re">
      <formula>NOT(ISERROR(SEARCH(("re"),(D9))))</formula>
    </cfRule>
  </conditionalFormatting>
  <conditionalFormatting sqref="D9:D2008 E369 G369 F528:F530 E529:E530 F652 F654:F655 F725 F746 F789 F793 F799 F872 F881:F886">
    <cfRule type="containsText" dxfId="5" priority="14" operator="containsText" text="mle">
      <formula>NOT(ISERROR(SEARCH(("mle"),(D9))))</formula>
    </cfRule>
  </conditionalFormatting>
  <conditionalFormatting sqref="D9:D2008 E369 G369 F528:F530 E529:E530 F652 F654:F655 F725 F746 F789 F793 F799 F872 F881:F886">
    <cfRule type="containsText" dxfId="11" priority="15" operator="containsText" text="R">
      <formula>NOT(ISERROR(SEARCH(("R"),(D9))))</formula>
    </cfRule>
  </conditionalFormatting>
  <conditionalFormatting sqref="D9:D2008 E369 G369 F528 F652 F654:F655 F725 F746 F789 F793 F799 F872 F881:F886">
    <cfRule type="notContainsText" dxfId="12" priority="16" operator="notContains" text="ok">
      <formula>ISERROR(SEARCH(("ok"),(D9)))</formula>
    </cfRule>
  </conditionalFormatting>
  <conditionalFormatting sqref="F9:F1001 G369">
    <cfRule type="containsText" dxfId="3" priority="17" operator="containsText" text="OK">
      <formula>NOT(ISERROR(SEARCH(("OK"),(F9))))</formula>
    </cfRule>
  </conditionalFormatting>
  <hyperlinks>
    <hyperlink display="Top" location="Blue Regulars!B1" ref="A1"/>
    <hyperlink display="Bottom of the page" location="Blue Regulars!B1175" ref="A2"/>
    <hyperlink display="161-15-6764" location="Blue Regulars!D734" ref="D4"/>
  </hyperlinks>
  <printOptions gridLines="1" horizontalCentered="1"/>
  <pageMargins bottom="0.75" footer="0.0" header="0.0" left="0.25" right="0.25" top="0.75"/>
  <pageSetup paperSize="8" cellComments="atEnd" orientation="landscape" pageOrder="overThenDown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  <col customWidth="1" min="2" max="2" width="49.0"/>
  </cols>
  <sheetData>
    <row r="1">
      <c r="A1" s="1" t="s">
        <v>0</v>
      </c>
      <c r="B1" s="1" t="s">
        <v>1</v>
      </c>
    </row>
    <row r="2">
      <c r="A2" s="2" t="s">
        <v>2</v>
      </c>
      <c r="B2" s="18" t="s">
        <v>3</v>
      </c>
    </row>
    <row r="3">
      <c r="A3" s="2" t="s">
        <v>2</v>
      </c>
      <c r="B3" s="18" t="s">
        <v>17</v>
      </c>
    </row>
    <row r="4">
      <c r="A4" s="2" t="s">
        <v>2</v>
      </c>
      <c r="B4" s="18" t="s">
        <v>19</v>
      </c>
    </row>
    <row r="5">
      <c r="A5" s="2" t="s">
        <v>20</v>
      </c>
      <c r="B5" s="18" t="s">
        <v>21</v>
      </c>
    </row>
    <row r="6">
      <c r="A6" s="2" t="s">
        <v>22</v>
      </c>
      <c r="B6" s="18" t="s">
        <v>24</v>
      </c>
    </row>
    <row r="7">
      <c r="A7" s="2" t="s">
        <v>22</v>
      </c>
      <c r="B7" s="18" t="s">
        <v>25</v>
      </c>
    </row>
    <row r="8">
      <c r="A8" s="2" t="s">
        <v>22</v>
      </c>
      <c r="B8" s="18" t="s">
        <v>27</v>
      </c>
    </row>
    <row r="9">
      <c r="A9" s="2" t="s">
        <v>28</v>
      </c>
      <c r="B9" s="18" t="s">
        <v>29</v>
      </c>
    </row>
    <row r="10">
      <c r="A10" s="2" t="s">
        <v>28</v>
      </c>
      <c r="B10" s="18" t="s">
        <v>30</v>
      </c>
    </row>
    <row r="11">
      <c r="A11" s="2" t="s">
        <v>31</v>
      </c>
      <c r="B11" s="18" t="s">
        <v>32</v>
      </c>
    </row>
    <row r="12">
      <c r="A12" s="2" t="s">
        <v>33</v>
      </c>
      <c r="B12" s="18" t="s">
        <v>34</v>
      </c>
    </row>
    <row r="13">
      <c r="A13" s="2" t="s">
        <v>33</v>
      </c>
      <c r="B13" s="18" t="s">
        <v>35</v>
      </c>
    </row>
    <row r="14">
      <c r="A14" s="2" t="s">
        <v>36</v>
      </c>
      <c r="B14" s="18" t="s">
        <v>37</v>
      </c>
    </row>
    <row r="15">
      <c r="A15" s="2" t="s">
        <v>39</v>
      </c>
      <c r="B15" s="18" t="s">
        <v>40</v>
      </c>
    </row>
    <row r="16">
      <c r="A16" s="2" t="s">
        <v>41</v>
      </c>
      <c r="B16" s="18" t="s">
        <v>42</v>
      </c>
    </row>
    <row r="17">
      <c r="A17" s="2" t="s">
        <v>43</v>
      </c>
      <c r="B17" s="18" t="s">
        <v>44</v>
      </c>
    </row>
    <row r="18">
      <c r="A18" s="2" t="s">
        <v>45</v>
      </c>
      <c r="B18" s="18" t="s">
        <v>46</v>
      </c>
    </row>
    <row r="19">
      <c r="A19" s="2" t="s">
        <v>47</v>
      </c>
      <c r="B19" s="18" t="s">
        <v>48</v>
      </c>
    </row>
    <row r="20">
      <c r="A20" s="40" t="s">
        <v>49</v>
      </c>
      <c r="B20" s="18" t="s">
        <v>50</v>
      </c>
    </row>
    <row r="21">
      <c r="A21" s="40" t="s">
        <v>49</v>
      </c>
      <c r="B21" s="18" t="s">
        <v>51</v>
      </c>
    </row>
    <row r="22">
      <c r="A22" s="40" t="s">
        <v>52</v>
      </c>
      <c r="B22" s="18" t="s">
        <v>53</v>
      </c>
      <c r="F22" s="41" t="str">
        <f>HYPERLINK("https://docs.google.com/document/d/e/2PACX-1vQInByGiYHeHethgnzLHQ4945cKsQQ62enO26YiLCRTz72GUTy5liAf66EM4KKYaEaCdf7ESriS5ZLp/pub","better view")</f>
        <v>better view</v>
      </c>
    </row>
    <row r="23">
      <c r="A23" s="40" t="s">
        <v>54</v>
      </c>
      <c r="B23" s="18" t="s">
        <v>55</v>
      </c>
    </row>
    <row r="24">
      <c r="A24" s="40" t="s">
        <v>56</v>
      </c>
      <c r="B24" s="18" t="s">
        <v>57</v>
      </c>
    </row>
    <row r="25">
      <c r="A25" s="40" t="s">
        <v>58</v>
      </c>
      <c r="B25" s="18" t="s">
        <v>55</v>
      </c>
    </row>
    <row r="26">
      <c r="A26" s="40" t="s">
        <v>59</v>
      </c>
      <c r="B26" s="18" t="s">
        <v>60</v>
      </c>
    </row>
    <row r="27">
      <c r="A27" s="40" t="s">
        <v>61</v>
      </c>
      <c r="B27" s="18" t="s">
        <v>62</v>
      </c>
    </row>
    <row r="28">
      <c r="A28" s="40" t="s">
        <v>63</v>
      </c>
      <c r="B28" s="18" t="s">
        <v>64</v>
      </c>
    </row>
    <row r="29">
      <c r="A29" s="40" t="s">
        <v>65</v>
      </c>
      <c r="B29" s="18" t="s">
        <v>66</v>
      </c>
    </row>
    <row r="30">
      <c r="A30" s="40" t="s">
        <v>67</v>
      </c>
      <c r="B30" s="18" t="s">
        <v>68</v>
      </c>
    </row>
    <row r="31">
      <c r="A31" s="40" t="s">
        <v>69</v>
      </c>
      <c r="B31" s="18" t="s">
        <v>70</v>
      </c>
    </row>
    <row r="32">
      <c r="A32" s="40" t="s">
        <v>71</v>
      </c>
      <c r="B32" s="18" t="s">
        <v>72</v>
      </c>
    </row>
    <row r="33">
      <c r="A33" s="40" t="s">
        <v>71</v>
      </c>
      <c r="B33" s="18" t="s">
        <v>73</v>
      </c>
    </row>
    <row r="34">
      <c r="A34" s="40" t="s">
        <v>74</v>
      </c>
      <c r="B34" s="18" t="s">
        <v>75</v>
      </c>
      <c r="F34" s="32" t="str">
        <f>HYPERLINK("https://docs.google.com/document/d/e/2PACX-1vRij4Ktk0MVPd0kL_nPF0VZB0VaQ1DIfjYs5z8k2WZvG7xdpxr7aTOY-27XQiFP3ccMGqlzZR9X_ziY/pub","better view ")</f>
        <v>better view </v>
      </c>
    </row>
    <row r="35">
      <c r="A35" s="40" t="s">
        <v>76</v>
      </c>
      <c r="B35" s="18" t="s">
        <v>77</v>
      </c>
    </row>
    <row r="36">
      <c r="A36" s="40" t="s">
        <v>76</v>
      </c>
      <c r="B36" s="18" t="s">
        <v>78</v>
      </c>
    </row>
    <row r="37">
      <c r="A37" s="40" t="s">
        <v>79</v>
      </c>
      <c r="B37" s="18" t="s">
        <v>80</v>
      </c>
    </row>
    <row r="38">
      <c r="A38" s="40" t="s">
        <v>81</v>
      </c>
      <c r="B38" s="18" t="s">
        <v>82</v>
      </c>
    </row>
    <row r="39">
      <c r="A39" s="40" t="s">
        <v>81</v>
      </c>
      <c r="B39" s="18" t="s">
        <v>83</v>
      </c>
    </row>
    <row r="40">
      <c r="A40" s="40" t="s">
        <v>84</v>
      </c>
      <c r="B40" s="18" t="s">
        <v>85</v>
      </c>
    </row>
    <row r="41">
      <c r="A41" s="40" t="s">
        <v>86</v>
      </c>
      <c r="B41" s="18" t="s">
        <v>87</v>
      </c>
    </row>
    <row r="42">
      <c r="A42" s="40" t="s">
        <v>86</v>
      </c>
      <c r="B42" s="18" t="s">
        <v>88</v>
      </c>
    </row>
    <row r="43">
      <c r="A43" s="40" t="s">
        <v>86</v>
      </c>
      <c r="B43" s="18" t="s">
        <v>89</v>
      </c>
    </row>
    <row r="44">
      <c r="A44" s="40" t="s">
        <v>90</v>
      </c>
      <c r="B44" s="18" t="s">
        <v>91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0" t="s">
        <v>92</v>
      </c>
      <c r="B45" s="43" t="s">
        <v>93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0" t="s">
        <v>92</v>
      </c>
      <c r="B46" s="43" t="s">
        <v>94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0" t="s">
        <v>92</v>
      </c>
      <c r="B47" s="43" t="s">
        <v>95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0" t="s">
        <v>96</v>
      </c>
      <c r="B48" s="43" t="s">
        <v>97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0" t="s">
        <v>98</v>
      </c>
      <c r="B49" s="43" t="s">
        <v>99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0" t="s">
        <v>100</v>
      </c>
      <c r="B50" s="43" t="s">
        <v>101</v>
      </c>
    </row>
    <row r="51">
      <c r="A51" s="40" t="s">
        <v>102</v>
      </c>
      <c r="B51" s="43" t="s">
        <v>103</v>
      </c>
    </row>
    <row r="52">
      <c r="A52" s="40" t="s">
        <v>104</v>
      </c>
      <c r="B52" s="43" t="s">
        <v>105</v>
      </c>
    </row>
    <row r="53">
      <c r="A53" s="40" t="s">
        <v>106</v>
      </c>
      <c r="B53" s="43" t="s">
        <v>107</v>
      </c>
    </row>
    <row r="54">
      <c r="A54" s="40" t="s">
        <v>108</v>
      </c>
      <c r="B54" s="43" t="s">
        <v>109</v>
      </c>
      <c r="E54" s="44" t="str">
        <f>HYPERLINK("http://www.cs.jhu.edu/~langmea/resources/lecture_notes/dp_and_edit_dist.pdf","more")</f>
        <v>more</v>
      </c>
    </row>
    <row r="55">
      <c r="A55" s="40" t="s">
        <v>110</v>
      </c>
      <c r="B55" s="43" t="s">
        <v>111</v>
      </c>
    </row>
    <row r="56">
      <c r="A56" s="40" t="s">
        <v>112</v>
      </c>
      <c r="B56" s="18" t="s">
        <v>113</v>
      </c>
    </row>
    <row r="57">
      <c r="A57" s="40" t="s">
        <v>112</v>
      </c>
      <c r="B57" s="18" t="s">
        <v>114</v>
      </c>
    </row>
    <row r="58">
      <c r="A58" s="40" t="s">
        <v>115</v>
      </c>
      <c r="B58" s="18" t="s">
        <v>116</v>
      </c>
    </row>
    <row r="59">
      <c r="A59" s="40" t="s">
        <v>115</v>
      </c>
      <c r="B59" s="18" t="s">
        <v>117</v>
      </c>
    </row>
    <row r="60">
      <c r="A60" s="40" t="s">
        <v>118</v>
      </c>
      <c r="B60" s="18" t="s">
        <v>119</v>
      </c>
    </row>
    <row r="61">
      <c r="A61" s="11" t="s">
        <v>120</v>
      </c>
      <c r="B61" s="43" t="s">
        <v>121</v>
      </c>
      <c r="C61" s="42"/>
    </row>
    <row r="62">
      <c r="A62" s="11" t="s">
        <v>120</v>
      </c>
      <c r="B62" s="43" t="s">
        <v>122</v>
      </c>
      <c r="C62" s="42"/>
    </row>
    <row r="63">
      <c r="A63" s="11" t="s">
        <v>120</v>
      </c>
      <c r="B63" s="43" t="s">
        <v>123</v>
      </c>
      <c r="C63" s="42"/>
    </row>
    <row r="64">
      <c r="A64" s="11" t="s">
        <v>124</v>
      </c>
      <c r="B64" s="43" t="s">
        <v>125</v>
      </c>
    </row>
  </sheetData>
  <hyperlinks>
    <hyperlink r:id="rId1" ref="B2"/>
    <hyperlink r:id="rId2" ref="B3"/>
    <hyperlink r:id="rId3" ref="B4"/>
    <hyperlink r:id="rId4" location="BranchandBound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location="gcd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</hyperlinks>
  <drawing r:id="rId64"/>
</worksheet>
</file>