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425222_u_nus_edu/Documents/Desktop/20-21 Semester 1/ME2162/"/>
    </mc:Choice>
  </mc:AlternateContent>
  <xr:revisionPtr revIDLastSave="69" documentId="6_{C21F7507-AA60-4360-9BD4-D6A40EBD7464}" xr6:coauthVersionLast="45" xr6:coauthVersionMax="45" xr10:uidLastSave="{B63F4F02-775F-47DC-AFE3-0D9E828054A2}"/>
  <bookViews>
    <workbookView xWindow="5745" yWindow="3840" windowWidth="28800" windowHeight="15435" tabRatio="711" activeTab="4" xr2:uid="{6968B5C6-B1F7-4C11-89B8-9CB8E255F2FC}"/>
  </bookViews>
  <sheets>
    <sheet name="Force solvers" sheetId="1" r:id="rId1"/>
    <sheet name="Tool life" sheetId="2" r:id="rId2"/>
    <sheet name="Economics" sheetId="3" r:id="rId3"/>
    <sheet name="Roughness" sheetId="6" r:id="rId4"/>
    <sheet name="Shearing of sheet metal" sheetId="4" r:id="rId5"/>
    <sheet name="Cup draw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6" l="1"/>
  <c r="B5" i="6"/>
  <c r="B6" i="6" s="1"/>
  <c r="E22" i="1"/>
  <c r="E21" i="1"/>
  <c r="E20" i="1"/>
  <c r="B24" i="1"/>
  <c r="B23" i="1"/>
  <c r="B22" i="1"/>
  <c r="B20" i="1"/>
  <c r="B21" i="1"/>
  <c r="B25" i="1"/>
  <c r="B14" i="1" l="1"/>
  <c r="E17" i="1"/>
  <c r="E14" i="1"/>
  <c r="E23" i="1"/>
  <c r="E13" i="1"/>
  <c r="E11" i="1" s="1"/>
  <c r="B17" i="4"/>
  <c r="B16" i="4" s="1"/>
  <c r="G7" i="3"/>
  <c r="E19" i="1" l="1"/>
  <c r="E18" i="1"/>
  <c r="E29" i="1"/>
  <c r="E28" i="1"/>
  <c r="E9" i="5"/>
  <c r="E10" i="5" s="1"/>
  <c r="D9" i="5"/>
  <c r="D32" i="5" s="1"/>
  <c r="C9" i="5"/>
  <c r="C15" i="5" s="1"/>
  <c r="D6" i="5"/>
  <c r="G5" i="5"/>
  <c r="G4" i="5"/>
  <c r="E32" i="5" l="1"/>
  <c r="E40" i="5" s="1"/>
  <c r="E15" i="5"/>
  <c r="E16" i="5" s="1"/>
  <c r="G16" i="5" s="1"/>
  <c r="C23" i="5"/>
  <c r="C10" i="5"/>
  <c r="D15" i="5"/>
  <c r="D24" i="5" s="1"/>
  <c r="C24" i="5"/>
  <c r="C16" i="5"/>
  <c r="D40" i="5"/>
  <c r="D33" i="5"/>
  <c r="C39" i="5"/>
  <c r="D39" i="5"/>
  <c r="E39" i="5"/>
  <c r="D23" i="5"/>
  <c r="D10" i="5"/>
  <c r="E23" i="5"/>
  <c r="C32" i="5"/>
  <c r="G8" i="3"/>
  <c r="B6" i="3"/>
  <c r="B5" i="3"/>
  <c r="B15" i="4"/>
  <c r="B7" i="4"/>
  <c r="B6" i="4"/>
  <c r="G15" i="5" l="1"/>
  <c r="B8" i="4"/>
  <c r="E17" i="5"/>
  <c r="G17" i="5" s="1"/>
  <c r="E25" i="5"/>
  <c r="G32" i="5"/>
  <c r="E24" i="5"/>
  <c r="E33" i="5"/>
  <c r="D16" i="5"/>
  <c r="D25" i="5" s="1"/>
  <c r="E41" i="5"/>
  <c r="E34" i="5"/>
  <c r="G33" i="5"/>
  <c r="C40" i="5"/>
  <c r="C33" i="5"/>
  <c r="E26" i="5"/>
  <c r="E18" i="5"/>
  <c r="D41" i="5"/>
  <c r="D34" i="5"/>
  <c r="C17" i="5"/>
  <c r="C25" i="5"/>
  <c r="B28" i="2"/>
  <c r="B29" i="2" s="1"/>
  <c r="B30" i="2" s="1"/>
  <c r="B31" i="2" s="1"/>
  <c r="B21" i="2"/>
  <c r="B22" i="2" s="1"/>
  <c r="B23" i="2" s="1"/>
  <c r="B11" i="2"/>
  <c r="B7" i="2"/>
  <c r="B6" i="2"/>
  <c r="F5" i="2"/>
  <c r="E5" i="2"/>
  <c r="D5" i="2"/>
  <c r="C5" i="2"/>
  <c r="B5" i="2"/>
  <c r="F4" i="2"/>
  <c r="E4" i="2"/>
  <c r="D4" i="2"/>
  <c r="C4" i="2"/>
  <c r="B4" i="2"/>
  <c r="D17" i="5" l="1"/>
  <c r="D18" i="5" s="1"/>
  <c r="C18" i="5"/>
  <c r="C26" i="5"/>
  <c r="E27" i="5"/>
  <c r="E19" i="5"/>
  <c r="G19" i="5" s="1"/>
  <c r="G18" i="5"/>
  <c r="C41" i="5"/>
  <c r="C34" i="5"/>
  <c r="E35" i="5"/>
  <c r="G35" i="5" s="1"/>
  <c r="G34" i="5"/>
  <c r="E42" i="5"/>
  <c r="D42" i="5"/>
  <c r="D35" i="5"/>
  <c r="B24" i="2"/>
  <c r="B33" i="2" s="1"/>
  <c r="B34" i="2" s="1"/>
  <c r="D26" i="5" l="1"/>
  <c r="C27" i="5"/>
  <c r="C19" i="5"/>
  <c r="C42" i="5"/>
  <c r="C35" i="5"/>
  <c r="D27" i="5"/>
  <c r="D19" i="5"/>
  <c r="B11" i="1" l="1"/>
  <c r="C29" i="1" s="1"/>
  <c r="B19" i="1"/>
  <c r="B17" i="1"/>
  <c r="B18" i="1" s="1"/>
  <c r="D29" i="1" l="1"/>
  <c r="D28" i="1"/>
  <c r="B13" i="1"/>
  <c r="B12" i="1"/>
  <c r="B29" i="1"/>
  <c r="B31" i="1" s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<sst xmlns="http://schemas.openxmlformats.org/spreadsheetml/2006/main" count="174" uniqueCount="107">
  <si>
    <t>Shear plane angle ϕ</t>
  </si>
  <si>
    <t>Clearance angle α</t>
  </si>
  <si>
    <r>
      <t xml:space="preserve">Friction angle </t>
    </r>
    <r>
      <rPr>
        <sz val="11"/>
        <color theme="1"/>
        <rFont val="Calibri"/>
        <family val="2"/>
      </rPr>
      <t>β</t>
    </r>
  </si>
  <si>
    <t>Quantities</t>
  </si>
  <si>
    <t>Relations and forces</t>
  </si>
  <si>
    <t>Chip thickness ratio</t>
  </si>
  <si>
    <t>Cutting ratio</t>
  </si>
  <si>
    <t>Cutting force Fc</t>
  </si>
  <si>
    <t>Shear force Fs</t>
  </si>
  <si>
    <t>Frictional force Ff</t>
  </si>
  <si>
    <t>Thrust force Ft</t>
  </si>
  <si>
    <t>Tool normal force Fn</t>
  </si>
  <si>
    <t>Plane normal force N</t>
  </si>
  <si>
    <t>Resultant force R</t>
  </si>
  <si>
    <t>Dimensions and angles</t>
  </si>
  <si>
    <t>Area of shear plane</t>
  </si>
  <si>
    <r>
      <t xml:space="preserve">Friction coefficient </t>
    </r>
    <r>
      <rPr>
        <sz val="11"/>
        <color theme="1"/>
        <rFont val="Calibri"/>
        <family val="2"/>
      </rPr>
      <t>µ</t>
    </r>
  </si>
  <si>
    <t>Fc coefficient</t>
  </si>
  <si>
    <t>Ft coefficient</t>
  </si>
  <si>
    <t>Right</t>
  </si>
  <si>
    <t>shear strength (N/mm2)</t>
  </si>
  <si>
    <t>width of cut (mm)</t>
  </si>
  <si>
    <t>chip thickness (mm)</t>
  </si>
  <si>
    <t>undeformed chip thickness (mm)</t>
  </si>
  <si>
    <t>Rake angle γ (deg)</t>
  </si>
  <si>
    <t>Given data</t>
  </si>
  <si>
    <t>T(min)</t>
  </si>
  <si>
    <t>V(m/s)</t>
  </si>
  <si>
    <t xml:space="preserve">lg V </t>
  </si>
  <si>
    <t>lgT</t>
  </si>
  <si>
    <t>n</t>
  </si>
  <si>
    <t>C</t>
  </si>
  <si>
    <t>Prediction</t>
  </si>
  <si>
    <t>cutting speed</t>
  </si>
  <si>
    <t>Tool life desired (min)</t>
  </si>
  <si>
    <t>Given cutting conditions</t>
  </si>
  <si>
    <t>No. of inserts on tool</t>
  </si>
  <si>
    <t>Number of pieces completed 1</t>
  </si>
  <si>
    <t>Number of pieces completed 2</t>
  </si>
  <si>
    <t>Cutter diameter (mm)</t>
  </si>
  <si>
    <t>Feed (mm/tooth)</t>
  </si>
  <si>
    <t>Cutting speed 1 (mm/min)</t>
  </si>
  <si>
    <t>Cutting speed 2 (mm/min)</t>
  </si>
  <si>
    <t>rev/min</t>
  </si>
  <si>
    <t>length of part (mm)</t>
  </si>
  <si>
    <t>Feed rate (mm/rev)</t>
  </si>
  <si>
    <t>Machining time per part (min)</t>
  </si>
  <si>
    <t>Tool life (min)</t>
  </si>
  <si>
    <t>Maximum production rate</t>
  </si>
  <si>
    <t>Minimum cost</t>
  </si>
  <si>
    <t>Piercing</t>
  </si>
  <si>
    <t>Clearance % of thickness</t>
  </si>
  <si>
    <t>Thickness</t>
  </si>
  <si>
    <t>Blanking</t>
  </si>
  <si>
    <t>Thickness (mm)</t>
  </si>
  <si>
    <t>Allowance (mm)</t>
  </si>
  <si>
    <t>Hole diameter (mm)</t>
  </si>
  <si>
    <t>Clearance (mm)</t>
  </si>
  <si>
    <t>Die size (mm)</t>
  </si>
  <si>
    <t>Punch size (mm)</t>
  </si>
  <si>
    <t>Tool life</t>
  </si>
  <si>
    <t>Tool change time</t>
  </si>
  <si>
    <t>Cost per tool life</t>
  </si>
  <si>
    <t>Cost rate for operator and machine</t>
  </si>
  <si>
    <t>Cutting speed</t>
  </si>
  <si>
    <t>Cup or shell diameter</t>
  </si>
  <si>
    <t>d (mm)</t>
  </si>
  <si>
    <t>Yield Strength (in Pa)</t>
  </si>
  <si>
    <t>For drawing</t>
  </si>
  <si>
    <t>Cup or shell height/depth</t>
  </si>
  <si>
    <t>h (mm)</t>
  </si>
  <si>
    <t>UTS</t>
  </si>
  <si>
    <t>For Blanking/Piercing</t>
  </si>
  <si>
    <t xml:space="preserve">Corner radius </t>
  </si>
  <si>
    <t>r (mm)</t>
  </si>
  <si>
    <t>t (mm)</t>
  </si>
  <si>
    <t>d(in m)</t>
  </si>
  <si>
    <t>t (in m)</t>
  </si>
  <si>
    <t>d/r</t>
  </si>
  <si>
    <t>10 &lt;d/r &lt; 15</t>
  </si>
  <si>
    <t>15 &lt;d/r &lt;20</t>
  </si>
  <si>
    <t>d/r &gt;20</t>
  </si>
  <si>
    <t>Blank diameter, D</t>
  </si>
  <si>
    <t>%reduction in area required</t>
  </si>
  <si>
    <t>Annealing required?</t>
  </si>
  <si>
    <t xml:space="preserve">%reduction in area by tensile </t>
  </si>
  <si>
    <t>&lt;--CHECK--&gt;</t>
  </si>
  <si>
    <t>Draw no.</t>
  </si>
  <si>
    <t>Estimated</t>
  </si>
  <si>
    <t>Moderate work-hardening (estimates)</t>
  </si>
  <si>
    <t>Estimated Percentage reduction</t>
  </si>
  <si>
    <t>Punch Force (Drawing)</t>
  </si>
  <si>
    <t>cup diameter,d</t>
  </si>
  <si>
    <t>% reduction needed left</t>
  </si>
  <si>
    <t>Severe work hardening materials</t>
  </si>
  <si>
    <t>Stainless Steel, Ti</t>
  </si>
  <si>
    <t>Severe work hardening  (estimates)</t>
  </si>
  <si>
    <t>Moderate work hardening materials</t>
  </si>
  <si>
    <t>Ratio, Ractual/Rideal</t>
  </si>
  <si>
    <t>Nose radius (mm)</t>
  </si>
  <si>
    <t>Feed (mm/rev)</t>
  </si>
  <si>
    <t>Ractual (mm)</t>
  </si>
  <si>
    <t>Rideal (mm)</t>
  </si>
  <si>
    <t>Given ratio, feed, NR</t>
  </si>
  <si>
    <t>Given desired surface finish, find feed</t>
  </si>
  <si>
    <t>Rdesired (mm)</t>
  </si>
  <si>
    <t>f (mm/rev)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</si>
</sst>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3" borderId="0" xfId="0" applyFill="1" applyBorder="1"/>
    <xf numFmtId="0" fontId="0" fillId="0" borderId="5" xfId="0" applyBorder="1"/>
    <xf numFmtId="0" fontId="1" fillId="0" borderId="4" xfId="0" applyFont="1" applyBorder="1"/>
    <xf numFmtId="0" fontId="0" fillId="3" borderId="6" xfId="0" applyFill="1" applyBorder="1" applyAlignment="1">
      <alignment horizontal="center"/>
    </xf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3" borderId="5" xfId="0" applyFill="1" applyBorder="1"/>
    <xf numFmtId="0" fontId="0" fillId="3" borderId="8" xfId="0" applyFill="1" applyBorder="1"/>
    <xf numFmtId="0" fontId="0" fillId="0" borderId="5" xfId="0" applyFill="1" applyBorder="1"/>
    <xf numFmtId="0" fontId="0" fillId="3" borderId="4" xfId="0" applyFill="1" applyBorder="1"/>
    <xf numFmtId="0" fontId="1" fillId="0" borderId="3" xfId="0" applyFont="1" applyBorder="1"/>
    <xf numFmtId="0" fontId="0" fillId="0" borderId="9" xfId="0" applyBorder="1" applyAlignment="1">
      <alignment horizontal="right"/>
    </xf>
    <xf numFmtId="11" fontId="0" fillId="2" borderId="9" xfId="0" applyNumberFormat="1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9" fontId="0" fillId="2" borderId="9" xfId="0" applyNumberFormat="1" applyFill="1" applyBorder="1"/>
    <xf numFmtId="0" fontId="0" fillId="0" borderId="9" xfId="0" applyBorder="1"/>
    <xf numFmtId="0" fontId="1" fillId="3" borderId="9" xfId="0" applyFont="1" applyFill="1" applyBorder="1"/>
    <xf numFmtId="0" fontId="1" fillId="0" borderId="9" xfId="0" applyFont="1" applyBorder="1"/>
    <xf numFmtId="11" fontId="0" fillId="3" borderId="9" xfId="0" applyNumberFormat="1" applyFill="1" applyBorder="1"/>
    <xf numFmtId="0" fontId="1" fillId="0" borderId="2" xfId="0" applyFont="1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9" fontId="0" fillId="0" borderId="0" xfId="0" applyNumberFormat="1" applyBorder="1"/>
    <xf numFmtId="0" fontId="3" fillId="0" borderId="1" xfId="0" applyFont="1" applyBorder="1"/>
    <xf numFmtId="9" fontId="3" fillId="0" borderId="0" xfId="0" applyNumberFormat="1" applyFont="1" applyBorder="1"/>
    <xf numFmtId="0" fontId="3" fillId="0" borderId="0" xfId="0" applyFont="1" applyAlignment="1">
      <alignment horizontal="center"/>
    </xf>
    <xf numFmtId="0" fontId="0" fillId="3" borderId="6" xfId="0" applyFill="1" applyBorder="1"/>
    <xf numFmtId="0" fontId="1" fillId="0" borderId="1" xfId="0" applyFont="1" applyFill="1" applyBorder="1"/>
    <xf numFmtId="0" fontId="0" fillId="0" borderId="4" xfId="0" applyFill="1" applyBorder="1"/>
    <xf numFmtId="0" fontId="0" fillId="2" borderId="4" xfId="0" applyFill="1" applyBorder="1"/>
    <xf numFmtId="0" fontId="0" fillId="2" borderId="6" xfId="0" applyFill="1" applyBorder="1"/>
    <xf numFmtId="2" fontId="0" fillId="3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3" xfId="0" applyNumberFormat="1" applyBorder="1"/>
    <xf numFmtId="0" fontId="0" fillId="3" borderId="0" xfId="0" applyFill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123825</xdr:rowOff>
    </xdr:from>
    <xdr:to>
      <xdr:col>10</xdr:col>
      <xdr:colOff>571920</xdr:colOff>
      <xdr:row>10</xdr:row>
      <xdr:rowOff>76435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BAF93-6AC2-46E4-ACE8-604EC9E18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23850"/>
          <a:ext cx="3010320" cy="168616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34</xdr:row>
      <xdr:rowOff>47625</xdr:rowOff>
    </xdr:from>
    <xdr:to>
      <xdr:col>6</xdr:col>
      <xdr:colOff>448607</xdr:colOff>
      <xdr:row>38</xdr:row>
      <xdr:rowOff>104889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C704D5-C1BC-4A3B-AB4D-8942E5962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6400800"/>
          <a:ext cx="6677957" cy="819264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152400</xdr:rowOff>
    </xdr:from>
    <xdr:to>
      <xdr:col>3</xdr:col>
      <xdr:colOff>800633</xdr:colOff>
      <xdr:row>52</xdr:row>
      <xdr:rowOff>152533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974A7-6DD2-4DF0-83D3-5ADD18469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8982075"/>
          <a:ext cx="3820058" cy="952633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19</xdr:row>
      <xdr:rowOff>19050</xdr:rowOff>
    </xdr:from>
    <xdr:to>
      <xdr:col>9</xdr:col>
      <xdr:colOff>552709</xdr:colOff>
      <xdr:row>25</xdr:row>
      <xdr:rowOff>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433AEE-F503-4631-ADFC-EC07D0BC6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6125" y="3495675"/>
          <a:ext cx="1857634" cy="114316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85726</xdr:rowOff>
    </xdr:from>
    <xdr:to>
      <xdr:col>5</xdr:col>
      <xdr:colOff>9525</xdr:colOff>
      <xdr:row>46</xdr:row>
      <xdr:rowOff>62296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D7384C-B7E1-41B0-83F6-6E0A3B151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7772401"/>
          <a:ext cx="5829300" cy="929070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752475</xdr:colOff>
      <xdr:row>30</xdr:row>
      <xdr:rowOff>180975</xdr:rowOff>
    </xdr:from>
    <xdr:to>
      <xdr:col>4</xdr:col>
      <xdr:colOff>381237</xdr:colOff>
      <xdr:row>34</xdr:row>
      <xdr:rowOff>104871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589D88-5DFE-4C80-963C-535BC8B37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38600" y="5772150"/>
          <a:ext cx="1695687" cy="685896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10</xdr:row>
      <xdr:rowOff>9526</xdr:rowOff>
    </xdr:from>
    <xdr:to>
      <xdr:col>10</xdr:col>
      <xdr:colOff>85725</xdr:colOff>
      <xdr:row>14</xdr:row>
      <xdr:rowOff>82185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18C0F6-CD45-43BF-9B84-3D4DEF328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86575" y="1943101"/>
          <a:ext cx="2209800" cy="653684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14</xdr:row>
      <xdr:rowOff>85725</xdr:rowOff>
    </xdr:from>
    <xdr:to>
      <xdr:col>10</xdr:col>
      <xdr:colOff>0</xdr:colOff>
      <xdr:row>16</xdr:row>
      <xdr:rowOff>168827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D571E4-D4A1-49EA-B9B0-CCD23F848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72275" y="2600325"/>
          <a:ext cx="2238375" cy="473627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17</xdr:row>
      <xdr:rowOff>19050</xdr:rowOff>
    </xdr:from>
    <xdr:to>
      <xdr:col>10</xdr:col>
      <xdr:colOff>28575</xdr:colOff>
      <xdr:row>19</xdr:row>
      <xdr:rowOff>69525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B07D31-02C1-478D-9BF3-D00E5ACE2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81800" y="3114675"/>
          <a:ext cx="2257425" cy="4314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25</xdr:row>
      <xdr:rowOff>19050</xdr:rowOff>
    </xdr:from>
    <xdr:to>
      <xdr:col>14</xdr:col>
      <xdr:colOff>448397</xdr:colOff>
      <xdr:row>47</xdr:row>
      <xdr:rowOff>19635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5C3BED0-6480-4C35-8819-930D98B0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24650" y="4657725"/>
          <a:ext cx="5172797" cy="4191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E021-A419-47B6-8127-5A4077D30AC2}">
  <dimension ref="A1:E32"/>
  <sheetViews>
    <sheetView workbookViewId="0">
      <selection activeCell="N18" sqref="N18"/>
    </sheetView>
  </sheetViews>
  <sheetFormatPr defaultRowHeight="15" x14ac:dyDescent="0.25"/>
  <cols>
    <col min="1" max="1" width="31" bestFit="1" customWidth="1"/>
    <col min="4" max="4" width="31" bestFit="1" customWidth="1"/>
    <col min="6" max="8" width="9.140625" customWidth="1"/>
  </cols>
  <sheetData>
    <row r="1" spans="1:5" ht="15.75" thickBot="1" x14ac:dyDescent="0.3"/>
    <row r="2" spans="1:5" x14ac:dyDescent="0.25">
      <c r="A2" s="5" t="s">
        <v>3</v>
      </c>
      <c r="B2" s="7"/>
      <c r="D2" s="5" t="s">
        <v>3</v>
      </c>
      <c r="E2" s="7"/>
    </row>
    <row r="3" spans="1:5" x14ac:dyDescent="0.25">
      <c r="A3" s="46" t="s">
        <v>24</v>
      </c>
      <c r="B3" s="11">
        <v>12</v>
      </c>
      <c r="D3" s="46" t="s">
        <v>24</v>
      </c>
      <c r="E3" s="11">
        <v>12</v>
      </c>
    </row>
    <row r="4" spans="1:5" x14ac:dyDescent="0.25">
      <c r="A4" s="46" t="s">
        <v>23</v>
      </c>
      <c r="B4" s="11">
        <v>0.15</v>
      </c>
      <c r="D4" s="46" t="s">
        <v>23</v>
      </c>
      <c r="E4" s="11">
        <v>0.15</v>
      </c>
    </row>
    <row r="5" spans="1:5" x14ac:dyDescent="0.25">
      <c r="A5" s="46" t="s">
        <v>22</v>
      </c>
      <c r="B5" s="11">
        <v>0.26666666999999999</v>
      </c>
      <c r="D5" s="46" t="s">
        <v>21</v>
      </c>
      <c r="E5" s="11">
        <v>1.5</v>
      </c>
    </row>
    <row r="6" spans="1:5" x14ac:dyDescent="0.25">
      <c r="A6" s="46" t="s">
        <v>21</v>
      </c>
      <c r="B6" s="11">
        <v>1.5</v>
      </c>
      <c r="D6" s="46" t="s">
        <v>20</v>
      </c>
      <c r="E6" s="11">
        <v>380</v>
      </c>
    </row>
    <row r="7" spans="1:5" ht="15.75" thickBot="1" x14ac:dyDescent="0.3">
      <c r="A7" s="47" t="s">
        <v>20</v>
      </c>
      <c r="B7" s="16">
        <v>380</v>
      </c>
      <c r="D7" s="47" t="s">
        <v>16</v>
      </c>
      <c r="E7" s="16">
        <v>0.64</v>
      </c>
    </row>
    <row r="9" spans="1:5" ht="15.75" thickBot="1" x14ac:dyDescent="0.3"/>
    <row r="10" spans="1:5" x14ac:dyDescent="0.25">
      <c r="A10" s="44" t="s">
        <v>14</v>
      </c>
      <c r="B10" s="7"/>
      <c r="D10" s="44" t="s">
        <v>14</v>
      </c>
      <c r="E10" s="7"/>
    </row>
    <row r="11" spans="1:5" x14ac:dyDescent="0.25">
      <c r="A11" s="21" t="s">
        <v>0</v>
      </c>
      <c r="B11" s="59">
        <f>DEGREES(ATAN((B17*COS(RADIANS(B3)))/(1-B17*SIN(RADIANS(B3)))))</f>
        <v>31.926087866401424</v>
      </c>
      <c r="D11" s="21" t="s">
        <v>0</v>
      </c>
      <c r="E11" s="59">
        <f>45+E3/2-E13/2</f>
        <v>34.690378464403587</v>
      </c>
    </row>
    <row r="12" spans="1:5" hidden="1" x14ac:dyDescent="0.25">
      <c r="A12" s="45" t="s">
        <v>1</v>
      </c>
      <c r="B12" s="59" t="e">
        <f>(B11-45+#REF!/2)*2</f>
        <v>#REF!</v>
      </c>
      <c r="D12" s="45" t="s">
        <v>1</v>
      </c>
      <c r="E12" s="59"/>
    </row>
    <row r="13" spans="1:5" x14ac:dyDescent="0.25">
      <c r="A13" s="21" t="s">
        <v>2</v>
      </c>
      <c r="B13" s="59">
        <f>90+B3-2*B11</f>
        <v>38.147824267197151</v>
      </c>
      <c r="D13" s="21" t="s">
        <v>2</v>
      </c>
      <c r="E13" s="59">
        <f>DEGREES(ATAN(E7))</f>
        <v>32.619243071192827</v>
      </c>
    </row>
    <row r="14" spans="1:5" ht="15.75" thickBot="1" x14ac:dyDescent="0.3">
      <c r="A14" s="43" t="s">
        <v>15</v>
      </c>
      <c r="B14" s="60">
        <f>B6*B5</f>
        <v>0.40000000499999999</v>
      </c>
      <c r="D14" s="43" t="s">
        <v>15</v>
      </c>
      <c r="E14" s="60">
        <f>E4*E5/SIN(RADIANS(E11))</f>
        <v>0.39533229936054243</v>
      </c>
    </row>
    <row r="15" spans="1:5" ht="15.75" thickBot="1" x14ac:dyDescent="0.3">
      <c r="B15" s="61"/>
      <c r="E15" s="61"/>
    </row>
    <row r="16" spans="1:5" x14ac:dyDescent="0.25">
      <c r="A16" s="5" t="s">
        <v>4</v>
      </c>
      <c r="B16" s="62"/>
      <c r="D16" s="5" t="s">
        <v>4</v>
      </c>
      <c r="E16" s="62"/>
    </row>
    <row r="17" spans="1:5" x14ac:dyDescent="0.25">
      <c r="A17" s="8" t="s">
        <v>5</v>
      </c>
      <c r="B17" s="59">
        <f>B4/B5</f>
        <v>0.56249999296875008</v>
      </c>
      <c r="D17" s="21" t="s">
        <v>8</v>
      </c>
      <c r="E17" s="59">
        <f>E6*E14</f>
        <v>150.22627375700611</v>
      </c>
    </row>
    <row r="18" spans="1:5" x14ac:dyDescent="0.25">
      <c r="A18" s="8" t="s">
        <v>6</v>
      </c>
      <c r="B18" s="59">
        <f>1/B17</f>
        <v>1.7777778</v>
      </c>
      <c r="D18" s="21" t="s">
        <v>7</v>
      </c>
      <c r="E18" s="59">
        <f>E23*COS(RADIANS(E13-E3))</f>
        <v>247.04399063255886</v>
      </c>
    </row>
    <row r="19" spans="1:5" x14ac:dyDescent="0.25">
      <c r="A19" s="21" t="s">
        <v>8</v>
      </c>
      <c r="B19" s="59">
        <f>B14*B7</f>
        <v>152.0000019</v>
      </c>
      <c r="D19" s="21" t="s">
        <v>10</v>
      </c>
      <c r="E19" s="59">
        <f>E23*SIN(RADIANS(E13-E3))</f>
        <v>92.952436572104673</v>
      </c>
    </row>
    <row r="20" spans="1:5" x14ac:dyDescent="0.25">
      <c r="A20" s="21" t="s">
        <v>7</v>
      </c>
      <c r="B20" s="59">
        <f>B25*COS(RADIANS(B13-B3))</f>
        <v>258.01422465163665</v>
      </c>
      <c r="D20" s="21" t="s">
        <v>9</v>
      </c>
      <c r="E20" s="59">
        <f>E18*SIN(RADIANS(E3))+E19*COS(RADIANS(E3))</f>
        <v>142.28453661414744</v>
      </c>
    </row>
    <row r="21" spans="1:5" x14ac:dyDescent="0.25">
      <c r="A21" s="21" t="s">
        <v>10</v>
      </c>
      <c r="B21" s="59">
        <f>B25*SIN(RADIANS(B13-B3))</f>
        <v>126.66702211615085</v>
      </c>
      <c r="D21" s="21" t="s">
        <v>11</v>
      </c>
      <c r="E21" s="59">
        <f>E18*SIN(RADIANS(E11))+E19*COS(RADIANS(E11))</f>
        <v>217.03215302216398</v>
      </c>
    </row>
    <row r="22" spans="1:5" x14ac:dyDescent="0.25">
      <c r="A22" s="21" t="s">
        <v>9</v>
      </c>
      <c r="B22" s="59">
        <f>B20*SIN(RADIANS(B3))+B21*COS(RADIANS(B3))</f>
        <v>177.54321747736384</v>
      </c>
      <c r="D22" s="21" t="s">
        <v>12</v>
      </c>
      <c r="E22" s="59">
        <f>E18*COS(RADIANS(E3))-E19*SIN(RADIANS(E3))</f>
        <v>222.3195884596054</v>
      </c>
    </row>
    <row r="23" spans="1:5" ht="15.75" thickBot="1" x14ac:dyDescent="0.3">
      <c r="A23" s="21" t="s">
        <v>11</v>
      </c>
      <c r="B23" s="59">
        <f>B20*SIN(RADIANS(B11))+B21*COS(RADIANS(B11))</f>
        <v>243.95055654119477</v>
      </c>
      <c r="D23" s="43" t="s">
        <v>13</v>
      </c>
      <c r="E23" s="60">
        <f>E17/(COS(RADIANS(E11+E13-E3)))</f>
        <v>263.95243657210472</v>
      </c>
    </row>
    <row r="24" spans="1:5" x14ac:dyDescent="0.25">
      <c r="A24" s="21" t="s">
        <v>12</v>
      </c>
      <c r="B24" s="59">
        <f>B20*COS(RADIANS(B3))-B21*SIN(RADIANS(B3))</f>
        <v>226.04044005917208</v>
      </c>
    </row>
    <row r="25" spans="1:5" ht="15.75" thickBot="1" x14ac:dyDescent="0.3">
      <c r="A25" s="43" t="s">
        <v>13</v>
      </c>
      <c r="B25" s="60">
        <f>B19/COS(RADIANS(B11+B13-B3))</f>
        <v>287.42977336100495</v>
      </c>
    </row>
    <row r="27" spans="1:5" x14ac:dyDescent="0.25">
      <c r="B27" t="s">
        <v>17</v>
      </c>
      <c r="C27" t="s">
        <v>18</v>
      </c>
      <c r="D27" t="s">
        <v>19</v>
      </c>
    </row>
    <row r="28" spans="1:5" x14ac:dyDescent="0.25">
      <c r="B28">
        <v>1</v>
      </c>
      <c r="C28">
        <v>1</v>
      </c>
      <c r="D28">
        <f>2*B19*COS(RADIANS(B11))</f>
        <v>258.0142246516366</v>
      </c>
      <c r="E28">
        <f>2*E17*COS(RADIANS(E11))</f>
        <v>247.04399063255877</v>
      </c>
    </row>
    <row r="29" spans="1:5" x14ac:dyDescent="0.25">
      <c r="B29">
        <f>COS(RADIANS(B11))</f>
        <v>0.84873099153440401</v>
      </c>
      <c r="C29">
        <f>-1*SIN(RADIANS(B11))</f>
        <v>-0.52882483301092009</v>
      </c>
      <c r="D29" s="61">
        <f>B19</f>
        <v>152.0000019</v>
      </c>
      <c r="E29">
        <f>E17</f>
        <v>150.22627375700611</v>
      </c>
    </row>
    <row r="31" spans="1:5" x14ac:dyDescent="0.25">
      <c r="B31" cm="1">
        <f t="array" ref="B31:C32">MINVERSE(B28:C29)</f>
        <v>0.38388631777261295</v>
      </c>
      <c r="C31">
        <v>0.72592339430604191</v>
      </c>
    </row>
    <row r="32" spans="1:5" x14ac:dyDescent="0.25">
      <c r="B32">
        <v>0.61611368222738705</v>
      </c>
      <c r="C32">
        <v>-0.72592339430604191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F964-E8C3-4BC4-B508-F6F4E0F61004}">
  <dimension ref="A1:F34"/>
  <sheetViews>
    <sheetView workbookViewId="0">
      <selection activeCell="D28" sqref="D28"/>
    </sheetView>
  </sheetViews>
  <sheetFormatPr defaultRowHeight="15" x14ac:dyDescent="0.25"/>
  <cols>
    <col min="1" max="1" width="28.7109375" bestFit="1" customWidth="1"/>
  </cols>
  <sheetData>
    <row r="1" spans="1:6" x14ac:dyDescent="0.25">
      <c r="A1" s="5" t="s">
        <v>25</v>
      </c>
      <c r="B1" s="6"/>
      <c r="C1" s="6"/>
      <c r="D1" s="6"/>
      <c r="E1" s="6"/>
      <c r="F1" s="7"/>
    </row>
    <row r="2" spans="1:6" x14ac:dyDescent="0.25">
      <c r="A2" s="8" t="s">
        <v>26</v>
      </c>
      <c r="B2" s="3">
        <v>0.5</v>
      </c>
      <c r="C2" s="3">
        <v>1</v>
      </c>
      <c r="D2" s="3">
        <v>1.5</v>
      </c>
      <c r="E2" s="3">
        <v>1.8</v>
      </c>
      <c r="F2" s="9">
        <v>2</v>
      </c>
    </row>
    <row r="3" spans="1:6" x14ac:dyDescent="0.25">
      <c r="A3" s="8" t="s">
        <v>27</v>
      </c>
      <c r="B3" s="3">
        <v>420</v>
      </c>
      <c r="C3" s="3">
        <v>27</v>
      </c>
      <c r="D3" s="3">
        <v>5</v>
      </c>
      <c r="E3" s="3">
        <v>2.6</v>
      </c>
      <c r="F3" s="9">
        <v>1.7</v>
      </c>
    </row>
    <row r="4" spans="1:6" x14ac:dyDescent="0.25">
      <c r="A4" s="8" t="s">
        <v>28</v>
      </c>
      <c r="B4" s="3">
        <f>LOG10(B2)</f>
        <v>-0.3010299956639812</v>
      </c>
      <c r="C4" s="3">
        <f t="shared" ref="C4:F5" si="0">LOG10(C2)</f>
        <v>0</v>
      </c>
      <c r="D4" s="3">
        <f t="shared" si="0"/>
        <v>0.17609125905568124</v>
      </c>
      <c r="E4" s="3">
        <f t="shared" si="0"/>
        <v>0.25527250510330607</v>
      </c>
      <c r="F4" s="9">
        <f t="shared" si="0"/>
        <v>0.3010299956639812</v>
      </c>
    </row>
    <row r="5" spans="1:6" x14ac:dyDescent="0.25">
      <c r="A5" s="8" t="s">
        <v>29</v>
      </c>
      <c r="B5" s="3">
        <f>LOG10(B3)</f>
        <v>2.6232492903979003</v>
      </c>
      <c r="C5" s="3">
        <f t="shared" si="0"/>
        <v>1.4313637641589874</v>
      </c>
      <c r="D5" s="3">
        <f t="shared" si="0"/>
        <v>0.69897000433601886</v>
      </c>
      <c r="E5" s="3">
        <f t="shared" si="0"/>
        <v>0.41497334797081797</v>
      </c>
      <c r="F5" s="9">
        <f t="shared" si="0"/>
        <v>0.23044892137827391</v>
      </c>
    </row>
    <row r="6" spans="1:6" x14ac:dyDescent="0.25">
      <c r="A6" s="8" t="s">
        <v>30</v>
      </c>
      <c r="B6" s="10">
        <f>-1/SLOPE(B5:F5,B4:F4)</f>
        <v>0.25096739755939529</v>
      </c>
      <c r="C6" s="2"/>
      <c r="D6" s="2"/>
      <c r="E6" s="2"/>
      <c r="F6" s="11"/>
    </row>
    <row r="7" spans="1:6" x14ac:dyDescent="0.25">
      <c r="A7" s="8" t="s">
        <v>31</v>
      </c>
      <c r="B7" s="10">
        <f>10^(INTERCEPT(B5:F5,B4:F4)*B6)</f>
        <v>2.2764997982691932</v>
      </c>
      <c r="C7" s="2"/>
      <c r="D7" s="2"/>
      <c r="E7" s="2"/>
      <c r="F7" s="11"/>
    </row>
    <row r="8" spans="1:6" x14ac:dyDescent="0.25">
      <c r="A8" s="8"/>
      <c r="B8" s="2"/>
      <c r="C8" s="2"/>
      <c r="D8" s="2"/>
      <c r="E8" s="2"/>
      <c r="F8" s="11"/>
    </row>
    <row r="9" spans="1:6" x14ac:dyDescent="0.25">
      <c r="A9" s="12" t="s">
        <v>32</v>
      </c>
      <c r="B9" s="2"/>
      <c r="C9" s="2"/>
      <c r="D9" s="2"/>
      <c r="E9" s="2"/>
      <c r="F9" s="11"/>
    </row>
    <row r="10" spans="1:6" x14ac:dyDescent="0.25">
      <c r="A10" s="8" t="s">
        <v>34</v>
      </c>
      <c r="B10" s="2" t="s">
        <v>33</v>
      </c>
      <c r="C10" s="2"/>
      <c r="D10" s="2"/>
      <c r="E10" s="2"/>
      <c r="F10" s="11"/>
    </row>
    <row r="11" spans="1:6" ht="15.75" thickBot="1" x14ac:dyDescent="0.3">
      <c r="A11" s="13">
        <v>20</v>
      </c>
      <c r="B11" s="14">
        <f>B7/(A11^B6)</f>
        <v>1.0733750694357655</v>
      </c>
      <c r="C11" s="15"/>
      <c r="D11" s="15"/>
      <c r="E11" s="15"/>
      <c r="F11" s="16"/>
    </row>
    <row r="12" spans="1:6" ht="15.75" thickBot="1" x14ac:dyDescent="0.3">
      <c r="A12" s="4"/>
    </row>
    <row r="13" spans="1:6" x14ac:dyDescent="0.25">
      <c r="A13" s="5" t="s">
        <v>35</v>
      </c>
      <c r="B13" s="7"/>
    </row>
    <row r="14" spans="1:6" x14ac:dyDescent="0.25">
      <c r="A14" s="8" t="s">
        <v>39</v>
      </c>
      <c r="B14" s="9">
        <v>6</v>
      </c>
    </row>
    <row r="15" spans="1:6" x14ac:dyDescent="0.25">
      <c r="A15" s="8" t="s">
        <v>40</v>
      </c>
      <c r="B15" s="9">
        <v>8.0000000000000002E-3</v>
      </c>
    </row>
    <row r="16" spans="1:6" x14ac:dyDescent="0.25">
      <c r="A16" s="8" t="s">
        <v>36</v>
      </c>
      <c r="B16" s="9">
        <v>12</v>
      </c>
    </row>
    <row r="17" spans="1:2" x14ac:dyDescent="0.25">
      <c r="A17" s="8" t="s">
        <v>44</v>
      </c>
      <c r="B17" s="9">
        <v>22</v>
      </c>
    </row>
    <row r="18" spans="1:2" x14ac:dyDescent="0.25">
      <c r="A18" s="8"/>
      <c r="B18" s="11"/>
    </row>
    <row r="19" spans="1:2" x14ac:dyDescent="0.25">
      <c r="A19" s="8" t="s">
        <v>41</v>
      </c>
      <c r="B19" s="9">
        <v>500</v>
      </c>
    </row>
    <row r="20" spans="1:2" x14ac:dyDescent="0.25">
      <c r="A20" s="8" t="s">
        <v>37</v>
      </c>
      <c r="B20" s="9">
        <v>7</v>
      </c>
    </row>
    <row r="21" spans="1:2" x14ac:dyDescent="0.25">
      <c r="A21" s="8" t="s">
        <v>43</v>
      </c>
      <c r="B21" s="18">
        <f>B19/(PI()*$B$14)</f>
        <v>26.525823848649225</v>
      </c>
    </row>
    <row r="22" spans="1:2" x14ac:dyDescent="0.25">
      <c r="A22" s="8" t="s">
        <v>45</v>
      </c>
      <c r="B22" s="18">
        <f>B21*$B$15*$B$16</f>
        <v>2.5464790894703255</v>
      </c>
    </row>
    <row r="23" spans="1:2" x14ac:dyDescent="0.25">
      <c r="A23" s="8" t="s">
        <v>46</v>
      </c>
      <c r="B23" s="18">
        <f>$B$17/B22</f>
        <v>8.6393797973719302</v>
      </c>
    </row>
    <row r="24" spans="1:2" x14ac:dyDescent="0.25">
      <c r="A24" s="8" t="s">
        <v>47</v>
      </c>
      <c r="B24" s="18">
        <f>B20*B23</f>
        <v>60.475658581603511</v>
      </c>
    </row>
    <row r="25" spans="1:2" x14ac:dyDescent="0.25">
      <c r="A25" s="8"/>
      <c r="B25" s="20"/>
    </row>
    <row r="26" spans="1:2" x14ac:dyDescent="0.25">
      <c r="A26" s="8" t="s">
        <v>42</v>
      </c>
      <c r="B26" s="9">
        <v>250</v>
      </c>
    </row>
    <row r="27" spans="1:2" x14ac:dyDescent="0.25">
      <c r="A27" s="8" t="s">
        <v>38</v>
      </c>
      <c r="B27" s="9">
        <v>47</v>
      </c>
    </row>
    <row r="28" spans="1:2" x14ac:dyDescent="0.25">
      <c r="A28" s="8" t="s">
        <v>43</v>
      </c>
      <c r="B28" s="18">
        <f>B26/(PI()*$B$14)</f>
        <v>13.262911924324612</v>
      </c>
    </row>
    <row r="29" spans="1:2" x14ac:dyDescent="0.25">
      <c r="A29" s="8" t="s">
        <v>45</v>
      </c>
      <c r="B29" s="18">
        <f>B28*$B$15*$B$16</f>
        <v>1.2732395447351628</v>
      </c>
    </row>
    <row r="30" spans="1:2" x14ac:dyDescent="0.25">
      <c r="A30" s="8" t="s">
        <v>46</v>
      </c>
      <c r="B30" s="18">
        <f>$B$17/B29</f>
        <v>17.27875959474386</v>
      </c>
    </row>
    <row r="31" spans="1:2" x14ac:dyDescent="0.25">
      <c r="A31" s="8" t="s">
        <v>47</v>
      </c>
      <c r="B31" s="18">
        <f>B27*B30</f>
        <v>812.10170095296144</v>
      </c>
    </row>
    <row r="32" spans="1:2" x14ac:dyDescent="0.25">
      <c r="A32" s="8"/>
      <c r="B32" s="11"/>
    </row>
    <row r="33" spans="1:2" x14ac:dyDescent="0.25">
      <c r="A33" s="8" t="s">
        <v>30</v>
      </c>
      <c r="B33" s="18">
        <f>LN(B19/B26)/LN(B31/B24)</f>
        <v>0.26686351020028237</v>
      </c>
    </row>
    <row r="34" spans="1:2" ht="15.75" thickBot="1" x14ac:dyDescent="0.3">
      <c r="A34" s="17" t="s">
        <v>31</v>
      </c>
      <c r="B34" s="19">
        <f>B26*B31^B33</f>
        <v>1494.2004356684561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0306-C1CB-47D2-8DD1-AE18AE90DEFA}">
  <dimension ref="A1:G8"/>
  <sheetViews>
    <sheetView workbookViewId="0">
      <selection activeCell="G4" sqref="G4"/>
    </sheetView>
  </sheetViews>
  <sheetFormatPr defaultRowHeight="15" x14ac:dyDescent="0.25"/>
  <cols>
    <col min="1" max="1" width="24.5703125" bestFit="1" customWidth="1"/>
    <col min="6" max="6" width="32.42578125" bestFit="1" customWidth="1"/>
  </cols>
  <sheetData>
    <row r="1" spans="1:7" x14ac:dyDescent="0.25">
      <c r="A1" s="5" t="s">
        <v>48</v>
      </c>
      <c r="B1" s="7"/>
      <c r="F1" s="5" t="s">
        <v>49</v>
      </c>
      <c r="G1" s="7"/>
    </row>
    <row r="2" spans="1:7" x14ac:dyDescent="0.25">
      <c r="A2" s="8" t="s">
        <v>30</v>
      </c>
      <c r="B2" s="9"/>
      <c r="F2" s="8" t="s">
        <v>62</v>
      </c>
      <c r="G2" s="9">
        <v>10</v>
      </c>
    </row>
    <row r="3" spans="1:7" x14ac:dyDescent="0.25">
      <c r="A3" s="8" t="s">
        <v>31</v>
      </c>
      <c r="B3" s="9"/>
      <c r="F3" s="8" t="s">
        <v>30</v>
      </c>
      <c r="G3" s="9">
        <v>0.2</v>
      </c>
    </row>
    <row r="4" spans="1:7" x14ac:dyDescent="0.25">
      <c r="A4" s="8" t="s">
        <v>61</v>
      </c>
      <c r="B4" s="9"/>
      <c r="F4" s="8" t="s">
        <v>31</v>
      </c>
      <c r="G4" s="9">
        <v>1</v>
      </c>
    </row>
    <row r="5" spans="1:7" x14ac:dyDescent="0.25">
      <c r="A5" s="8" t="s">
        <v>64</v>
      </c>
      <c r="B5" s="18" t="e">
        <f>B3*(((B2/(1-B2))*(1/B4))^B2)</f>
        <v>#DIV/0!</v>
      </c>
      <c r="F5" s="8" t="s">
        <v>61</v>
      </c>
      <c r="G5" s="9">
        <v>10</v>
      </c>
    </row>
    <row r="6" spans="1:7" ht="15.75" thickBot="1" x14ac:dyDescent="0.3">
      <c r="A6" s="17" t="s">
        <v>60</v>
      </c>
      <c r="B6" s="19" t="e">
        <f>(1/B2-1)*B4</f>
        <v>#DIV/0!</v>
      </c>
      <c r="F6" s="8" t="s">
        <v>63</v>
      </c>
      <c r="G6" s="9">
        <v>10</v>
      </c>
    </row>
    <row r="7" spans="1:7" x14ac:dyDescent="0.25">
      <c r="F7" s="8" t="s">
        <v>64</v>
      </c>
      <c r="G7" s="18">
        <f>G4*(((G3/(1-G3))*(G6/(G6*G5+G2)))^G3)</f>
        <v>0.46914756298902682</v>
      </c>
    </row>
    <row r="8" spans="1:7" ht="15.75" thickBot="1" x14ac:dyDescent="0.3">
      <c r="F8" s="17" t="s">
        <v>60</v>
      </c>
      <c r="G8" s="19">
        <f>(1/G3-1)*((G6*G5+G2)/G6)</f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754E-7508-4A35-A7B3-B463F82F1F79}">
  <dimension ref="A1:E6"/>
  <sheetViews>
    <sheetView workbookViewId="0">
      <selection activeCell="D10" sqref="D10"/>
    </sheetView>
  </sheetViews>
  <sheetFormatPr defaultRowHeight="15" x14ac:dyDescent="0.25"/>
  <cols>
    <col min="1" max="1" width="19.7109375" bestFit="1" customWidth="1"/>
    <col min="4" max="4" width="35.5703125" bestFit="1" customWidth="1"/>
  </cols>
  <sheetData>
    <row r="1" spans="1:5" x14ac:dyDescent="0.25">
      <c r="A1" s="1" t="s">
        <v>103</v>
      </c>
      <c r="D1" s="1" t="s">
        <v>104</v>
      </c>
    </row>
    <row r="2" spans="1:5" x14ac:dyDescent="0.25">
      <c r="A2" s="64" t="s">
        <v>98</v>
      </c>
      <c r="B2">
        <v>1</v>
      </c>
      <c r="D2" s="64" t="s">
        <v>98</v>
      </c>
      <c r="E2">
        <v>1</v>
      </c>
    </row>
    <row r="3" spans="1:5" x14ac:dyDescent="0.25">
      <c r="A3" s="64" t="s">
        <v>99</v>
      </c>
      <c r="B3">
        <v>1.5</v>
      </c>
      <c r="D3" s="64" t="s">
        <v>99</v>
      </c>
      <c r="E3">
        <v>1.5</v>
      </c>
    </row>
    <row r="4" spans="1:5" x14ac:dyDescent="0.25">
      <c r="A4" s="64" t="s">
        <v>100</v>
      </c>
      <c r="B4">
        <v>0.27700000000000002</v>
      </c>
      <c r="D4" s="64" t="s">
        <v>105</v>
      </c>
      <c r="E4">
        <v>1.6000000000000001E-3</v>
      </c>
    </row>
    <row r="5" spans="1:5" x14ac:dyDescent="0.25">
      <c r="A5" s="63" t="s">
        <v>102</v>
      </c>
      <c r="B5">
        <f>(B4^2)/(32*B3)</f>
        <v>1.5985208333333337E-3</v>
      </c>
      <c r="D5" s="63" t="s">
        <v>106</v>
      </c>
      <c r="E5">
        <f>SQRT(E4*32*E3/E2)</f>
        <v>0.27712812921102037</v>
      </c>
    </row>
    <row r="6" spans="1:5" x14ac:dyDescent="0.25">
      <c r="A6" s="63" t="s">
        <v>101</v>
      </c>
      <c r="B6">
        <f>B2*B5</f>
        <v>1.5985208333333337E-3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E9A0-C3B4-4BDD-B33D-05C15922912B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bestFit="1" customWidth="1"/>
  </cols>
  <sheetData>
    <row r="1" spans="1:2" x14ac:dyDescent="0.25">
      <c r="A1" s="5" t="s">
        <v>50</v>
      </c>
      <c r="B1" s="22"/>
    </row>
    <row r="2" spans="1:2" x14ac:dyDescent="0.25">
      <c r="A2" s="8" t="s">
        <v>51</v>
      </c>
      <c r="B2" s="9">
        <v>10</v>
      </c>
    </row>
    <row r="3" spans="1:2" x14ac:dyDescent="0.25">
      <c r="A3" s="8" t="s">
        <v>54</v>
      </c>
      <c r="B3" s="9">
        <v>1</v>
      </c>
    </row>
    <row r="4" spans="1:2" x14ac:dyDescent="0.25">
      <c r="A4" s="8" t="s">
        <v>55</v>
      </c>
      <c r="B4" s="9">
        <v>0.05</v>
      </c>
    </row>
    <row r="5" spans="1:2" x14ac:dyDescent="0.25">
      <c r="A5" s="8" t="s">
        <v>56</v>
      </c>
      <c r="B5" s="9">
        <v>25</v>
      </c>
    </row>
    <row r="6" spans="1:2" x14ac:dyDescent="0.25">
      <c r="A6" s="8" t="s">
        <v>57</v>
      </c>
      <c r="B6" s="18">
        <f>(B2/100)*B3</f>
        <v>0.1</v>
      </c>
    </row>
    <row r="7" spans="1:2" x14ac:dyDescent="0.25">
      <c r="A7" s="8" t="s">
        <v>59</v>
      </c>
      <c r="B7" s="18">
        <f>B5+B4</f>
        <v>25.05</v>
      </c>
    </row>
    <row r="8" spans="1:2" ht="15.75" thickBot="1" x14ac:dyDescent="0.3">
      <c r="A8" s="17" t="s">
        <v>58</v>
      </c>
      <c r="B8" s="19">
        <f>B7+2*B6</f>
        <v>25.25</v>
      </c>
    </row>
    <row r="9" spans="1:2" ht="15.75" thickBot="1" x14ac:dyDescent="0.3"/>
    <row r="10" spans="1:2" x14ac:dyDescent="0.25">
      <c r="A10" s="5" t="s">
        <v>53</v>
      </c>
      <c r="B10" s="7"/>
    </row>
    <row r="11" spans="1:2" x14ac:dyDescent="0.25">
      <c r="A11" s="8" t="s">
        <v>51</v>
      </c>
      <c r="B11" s="9">
        <v>10</v>
      </c>
    </row>
    <row r="12" spans="1:2" x14ac:dyDescent="0.25">
      <c r="A12" s="8" t="s">
        <v>54</v>
      </c>
      <c r="B12" s="9">
        <v>1</v>
      </c>
    </row>
    <row r="13" spans="1:2" x14ac:dyDescent="0.25">
      <c r="A13" s="8" t="s">
        <v>55</v>
      </c>
      <c r="B13" s="9">
        <v>0.05</v>
      </c>
    </row>
    <row r="14" spans="1:2" x14ac:dyDescent="0.25">
      <c r="A14" s="8" t="s">
        <v>56</v>
      </c>
      <c r="B14" s="9">
        <v>400</v>
      </c>
    </row>
    <row r="15" spans="1:2" x14ac:dyDescent="0.25">
      <c r="A15" s="8" t="s">
        <v>57</v>
      </c>
      <c r="B15" s="18">
        <f>(B11/100)*B12</f>
        <v>0.1</v>
      </c>
    </row>
    <row r="16" spans="1:2" x14ac:dyDescent="0.25">
      <c r="A16" s="8" t="s">
        <v>59</v>
      </c>
      <c r="B16" s="18">
        <f>B17-2*B15</f>
        <v>399.75</v>
      </c>
    </row>
    <row r="17" spans="1:2" ht="15.75" thickBot="1" x14ac:dyDescent="0.3">
      <c r="A17" s="17" t="s">
        <v>58</v>
      </c>
      <c r="B17" s="19">
        <f>B14-B13</f>
        <v>399.95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9E9A-1FF9-4C1C-9A6C-A8AD002F4935}">
  <dimension ref="A1:I43"/>
  <sheetViews>
    <sheetView workbookViewId="0">
      <selection activeCell="F18" sqref="F17:F18"/>
    </sheetView>
  </sheetViews>
  <sheetFormatPr defaultRowHeight="15" x14ac:dyDescent="0.25"/>
  <cols>
    <col min="1" max="1" width="8.85546875" bestFit="1" customWidth="1"/>
    <col min="2" max="2" width="26.28515625" bestFit="1" customWidth="1"/>
    <col min="3" max="3" width="26.85546875" customWidth="1"/>
    <col min="6" max="6" width="30" bestFit="1" customWidth="1"/>
  </cols>
  <sheetData>
    <row r="1" spans="1:9" x14ac:dyDescent="0.25">
      <c r="A1" s="72" t="s">
        <v>65</v>
      </c>
      <c r="B1" s="72"/>
      <c r="C1" s="49" t="s">
        <v>66</v>
      </c>
      <c r="D1" s="50">
        <v>85</v>
      </c>
      <c r="E1" s="29"/>
      <c r="F1" s="23" t="s">
        <v>67</v>
      </c>
      <c r="G1" s="24">
        <v>200000000</v>
      </c>
      <c r="H1" s="1" t="s">
        <v>68</v>
      </c>
    </row>
    <row r="2" spans="1:9" x14ac:dyDescent="0.25">
      <c r="A2" s="72" t="s">
        <v>69</v>
      </c>
      <c r="B2" s="72"/>
      <c r="C2" s="49" t="s">
        <v>70</v>
      </c>
      <c r="D2" s="50">
        <v>160</v>
      </c>
      <c r="E2" s="29"/>
      <c r="F2" s="23" t="s">
        <v>71</v>
      </c>
      <c r="G2" s="25">
        <v>400</v>
      </c>
      <c r="H2" s="1" t="s">
        <v>72</v>
      </c>
    </row>
    <row r="3" spans="1:9" x14ac:dyDescent="0.25">
      <c r="A3" s="72" t="s">
        <v>73</v>
      </c>
      <c r="B3" s="72"/>
      <c r="C3" s="49" t="s">
        <v>74</v>
      </c>
      <c r="D3" s="50">
        <v>2</v>
      </c>
      <c r="E3" s="29"/>
    </row>
    <row r="4" spans="1:9" x14ac:dyDescent="0.25">
      <c r="A4" s="72" t="s">
        <v>52</v>
      </c>
      <c r="B4" s="73"/>
      <c r="C4" s="49" t="s">
        <v>75</v>
      </c>
      <c r="D4" s="50">
        <v>1.5</v>
      </c>
      <c r="E4" s="29"/>
      <c r="F4" s="26" t="s">
        <v>76</v>
      </c>
      <c r="G4" s="27">
        <f>D1*10^-3</f>
        <v>8.5000000000000006E-2</v>
      </c>
    </row>
    <row r="5" spans="1:9" x14ac:dyDescent="0.25">
      <c r="C5" s="29"/>
      <c r="D5" s="29"/>
      <c r="E5" s="29"/>
      <c r="F5" s="26" t="s">
        <v>77</v>
      </c>
      <c r="G5" s="27">
        <f>D4*10^-3</f>
        <v>1.5E-3</v>
      </c>
    </row>
    <row r="6" spans="1:9" x14ac:dyDescent="0.25">
      <c r="C6" s="51" t="s">
        <v>78</v>
      </c>
      <c r="D6" s="51">
        <f>D1/D3</f>
        <v>42.5</v>
      </c>
      <c r="E6" s="29"/>
    </row>
    <row r="7" spans="1:9" x14ac:dyDescent="0.25">
      <c r="C7" s="29"/>
      <c r="D7" s="29"/>
      <c r="E7" s="29"/>
    </row>
    <row r="8" spans="1:9" x14ac:dyDescent="0.25">
      <c r="C8" s="28" t="s">
        <v>79</v>
      </c>
      <c r="D8" s="28" t="s">
        <v>80</v>
      </c>
      <c r="E8" s="28" t="s">
        <v>81</v>
      </c>
    </row>
    <row r="9" spans="1:9" x14ac:dyDescent="0.25">
      <c r="A9" s="76" t="s">
        <v>82</v>
      </c>
      <c r="B9" s="77"/>
      <c r="C9" s="48">
        <f>SQRT((D1^2+4*D1*D2)-D3)</f>
        <v>248.23980341597115</v>
      </c>
      <c r="D9" s="48">
        <f>SQRT((D1^2+4*D1*D2)-0.5*D3)</f>
        <v>248.24181758922086</v>
      </c>
      <c r="E9" s="48">
        <f>SQRT((D1^2+4*D1*D2))</f>
        <v>248.24383174612819</v>
      </c>
    </row>
    <row r="10" spans="1:9" x14ac:dyDescent="0.25">
      <c r="A10" s="67" t="s">
        <v>83</v>
      </c>
      <c r="B10" s="68"/>
      <c r="C10" s="74">
        <f>1-$D$1/C9</f>
        <v>0.65758915842530308</v>
      </c>
      <c r="D10" s="74">
        <f>1-$D$1/D9</f>
        <v>0.65759193666292726</v>
      </c>
      <c r="E10" s="74">
        <f>1-$D$1/E9</f>
        <v>0.65759471483292664</v>
      </c>
      <c r="F10" s="29" t="s">
        <v>84</v>
      </c>
      <c r="G10" s="1" t="s">
        <v>85</v>
      </c>
    </row>
    <row r="11" spans="1:9" x14ac:dyDescent="0.25">
      <c r="A11" s="69"/>
      <c r="B11" s="70"/>
      <c r="C11" s="75"/>
      <c r="D11" s="75"/>
      <c r="E11" s="75"/>
      <c r="F11" s="42" t="s">
        <v>86</v>
      </c>
      <c r="G11" s="30">
        <v>0.66</v>
      </c>
    </row>
    <row r="12" spans="1:9" ht="15.75" thickBot="1" x14ac:dyDescent="0.3">
      <c r="C12" s="29"/>
      <c r="D12" s="29"/>
      <c r="E12" s="29"/>
    </row>
    <row r="13" spans="1:9" x14ac:dyDescent="0.25">
      <c r="A13" s="40" t="s">
        <v>97</v>
      </c>
      <c r="B13" s="35"/>
      <c r="C13" s="52"/>
      <c r="D13" s="52"/>
      <c r="E13" s="52"/>
      <c r="F13" s="6"/>
      <c r="G13" s="6"/>
      <c r="H13" s="6"/>
      <c r="I13" s="7"/>
    </row>
    <row r="14" spans="1:9" x14ac:dyDescent="0.25">
      <c r="A14" s="36" t="s">
        <v>87</v>
      </c>
      <c r="B14" s="31" t="s">
        <v>88</v>
      </c>
      <c r="C14" s="71" t="s">
        <v>89</v>
      </c>
      <c r="D14" s="71"/>
      <c r="E14" s="71"/>
      <c r="F14" s="2" t="s">
        <v>90</v>
      </c>
      <c r="G14" s="32" t="s">
        <v>91</v>
      </c>
      <c r="H14" s="2" t="s">
        <v>87</v>
      </c>
      <c r="I14" s="11"/>
    </row>
    <row r="15" spans="1:9" x14ac:dyDescent="0.25">
      <c r="A15" s="36">
        <v>1</v>
      </c>
      <c r="B15" s="33" t="s">
        <v>92</v>
      </c>
      <c r="C15" s="53">
        <f>(1-I15)*C9</f>
        <v>148.9438820495827</v>
      </c>
      <c r="D15" s="53">
        <f>(1-I15)*D9</f>
        <v>148.94509055353251</v>
      </c>
      <c r="E15" s="54">
        <f>(1-I15)*E9</f>
        <v>148.94629904767692</v>
      </c>
      <c r="F15" s="41">
        <v>0.4</v>
      </c>
      <c r="G15" s="34">
        <f>PI()*E15*(10^-3)*$G$5*$G$1</f>
        <v>140378.57966027106</v>
      </c>
      <c r="H15" s="2">
        <v>1</v>
      </c>
      <c r="I15" s="11">
        <v>0.4</v>
      </c>
    </row>
    <row r="16" spans="1:9" x14ac:dyDescent="0.25">
      <c r="A16" s="36">
        <v>2</v>
      </c>
      <c r="B16" s="33" t="s">
        <v>92</v>
      </c>
      <c r="C16" s="55">
        <f>(1-I16)*C15</f>
        <v>104.26071743470789</v>
      </c>
      <c r="D16" s="55">
        <f>(1-I16)*D15</f>
        <v>104.26156338747275</v>
      </c>
      <c r="E16" s="48">
        <f>(1-I16)*E15</f>
        <v>104.26240933337384</v>
      </c>
      <c r="F16" s="41">
        <v>0.3</v>
      </c>
      <c r="G16" s="34">
        <f>PI()*E16*(10^-3)*$G$5*$G$1</f>
        <v>98265.005762189758</v>
      </c>
      <c r="H16" s="2">
        <v>2</v>
      </c>
      <c r="I16" s="11">
        <v>0.3</v>
      </c>
    </row>
    <row r="17" spans="1:9" x14ac:dyDescent="0.25">
      <c r="A17" s="36">
        <v>3</v>
      </c>
      <c r="B17" s="33" t="s">
        <v>92</v>
      </c>
      <c r="C17" s="55">
        <f>(1-I17)*C16</f>
        <v>78.195538076030914</v>
      </c>
      <c r="D17" s="55">
        <f>(1-I17)*D16</f>
        <v>78.196172540604564</v>
      </c>
      <c r="E17" s="48">
        <f>(1-I17)*E16</f>
        <v>78.196807000030375</v>
      </c>
      <c r="F17" s="41">
        <v>0.25</v>
      </c>
      <c r="G17" s="34">
        <f>PI()*E17*(10^-3)*$G$5*$G$1</f>
        <v>73698.754321642293</v>
      </c>
      <c r="H17" s="2">
        <v>3</v>
      </c>
      <c r="I17" s="11">
        <v>0.25</v>
      </c>
    </row>
    <row r="18" spans="1:9" x14ac:dyDescent="0.25">
      <c r="A18" s="36">
        <v>4</v>
      </c>
      <c r="B18" s="33" t="s">
        <v>92</v>
      </c>
      <c r="C18" s="55">
        <f>(1-I18)*C17</f>
        <v>65.684251983865963</v>
      </c>
      <c r="D18" s="55">
        <f>(1-I18)*D17</f>
        <v>65.684784934107839</v>
      </c>
      <c r="E18" s="48">
        <f>(1-I18)*E17</f>
        <v>65.685317880025508</v>
      </c>
      <c r="F18" s="41">
        <v>0.16</v>
      </c>
      <c r="G18" s="34">
        <f>PI()*E18*(10^-3)*$G$5*$G$1</f>
        <v>61906.953630179538</v>
      </c>
      <c r="H18" s="2">
        <v>4</v>
      </c>
      <c r="I18" s="11">
        <v>0.16</v>
      </c>
    </row>
    <row r="19" spans="1:9" x14ac:dyDescent="0.25">
      <c r="A19" s="36">
        <v>5</v>
      </c>
      <c r="B19" s="33" t="s">
        <v>92</v>
      </c>
      <c r="C19" s="55">
        <f>(1-I19)*C18</f>
        <v>57.145299225963385</v>
      </c>
      <c r="D19" s="55">
        <f>(1-I19)*D18</f>
        <v>57.145762892673822</v>
      </c>
      <c r="E19" s="48">
        <f>(1-I19)*E18</f>
        <v>57.146226555622192</v>
      </c>
      <c r="F19" s="41">
        <v>0.13</v>
      </c>
      <c r="G19" s="34">
        <f>PI()*E19*(10^-3)*$G$5*$G$1</f>
        <v>53859.04965825619</v>
      </c>
      <c r="H19" s="2">
        <v>5</v>
      </c>
      <c r="I19" s="11">
        <v>0.13</v>
      </c>
    </row>
    <row r="20" spans="1:9" x14ac:dyDescent="0.25">
      <c r="A20" s="8"/>
      <c r="B20" s="2"/>
      <c r="C20" s="56"/>
      <c r="D20" s="56"/>
      <c r="E20" s="56"/>
      <c r="F20" s="2"/>
      <c r="G20" s="2"/>
      <c r="H20" s="2"/>
      <c r="I20" s="11"/>
    </row>
    <row r="21" spans="1:9" x14ac:dyDescent="0.25">
      <c r="A21" s="8"/>
      <c r="B21" s="2"/>
      <c r="C21" s="56"/>
      <c r="D21" s="56"/>
      <c r="E21" s="56"/>
      <c r="F21" s="2"/>
      <c r="G21" s="2"/>
      <c r="H21" s="2"/>
      <c r="I21" s="11"/>
    </row>
    <row r="22" spans="1:9" x14ac:dyDescent="0.25">
      <c r="A22" s="36" t="s">
        <v>87</v>
      </c>
      <c r="B22" s="31"/>
      <c r="C22" s="71" t="s">
        <v>89</v>
      </c>
      <c r="D22" s="71"/>
      <c r="E22" s="71"/>
      <c r="F22" s="2"/>
      <c r="G22" s="2"/>
      <c r="H22" s="2"/>
      <c r="I22" s="11"/>
    </row>
    <row r="23" spans="1:9" x14ac:dyDescent="0.25">
      <c r="A23" s="36">
        <v>1</v>
      </c>
      <c r="B23" s="33" t="s">
        <v>93</v>
      </c>
      <c r="C23" s="53">
        <f>(1-($D$1/C9))*100</f>
        <v>65.758915842530314</v>
      </c>
      <c r="D23" s="53">
        <f>(1-($D$1/D9))*100</f>
        <v>65.759193666292731</v>
      </c>
      <c r="E23" s="53">
        <f>(1-($D$1/E9))*100</f>
        <v>65.759471483292657</v>
      </c>
      <c r="F23" s="2"/>
      <c r="G23" s="2"/>
      <c r="H23" s="2"/>
      <c r="I23" s="11"/>
    </row>
    <row r="24" spans="1:9" x14ac:dyDescent="0.25">
      <c r="A24" s="36">
        <v>2</v>
      </c>
      <c r="B24" s="33" t="s">
        <v>93</v>
      </c>
      <c r="C24" s="55">
        <f>(1-($D$1/C15))*100</f>
        <v>42.931526404217188</v>
      </c>
      <c r="D24" s="55">
        <f>(1-($D$1/D15))*100</f>
        <v>42.931989443821209</v>
      </c>
      <c r="E24" s="55">
        <f>(1-($D$1/E15))*100</f>
        <v>42.932452472154438</v>
      </c>
      <c r="F24" s="2"/>
      <c r="G24" s="2"/>
      <c r="H24" s="2"/>
      <c r="I24" s="11"/>
    </row>
    <row r="25" spans="1:9" x14ac:dyDescent="0.25">
      <c r="A25" s="36">
        <v>3</v>
      </c>
      <c r="B25" s="33" t="s">
        <v>93</v>
      </c>
      <c r="C25" s="55">
        <f t="shared" ref="C25:D27" si="0">(1-($D$1/C16))*100</f>
        <v>18.473609148881685</v>
      </c>
      <c r="D25" s="55">
        <f t="shared" si="0"/>
        <v>18.474270634030287</v>
      </c>
      <c r="E25" s="55">
        <f>(1-$D$1/E16)*100</f>
        <v>18.474932103077769</v>
      </c>
      <c r="F25" s="2"/>
      <c r="G25" s="2"/>
      <c r="H25" s="2"/>
      <c r="I25" s="11"/>
    </row>
    <row r="26" spans="1:9" x14ac:dyDescent="0.25">
      <c r="A26" s="36">
        <v>4</v>
      </c>
      <c r="B26" s="33" t="s">
        <v>93</v>
      </c>
      <c r="C26" s="55">
        <f t="shared" si="0"/>
        <v>-8.7018544681577445</v>
      </c>
      <c r="D26" s="55">
        <f t="shared" si="0"/>
        <v>-8.7009724879596249</v>
      </c>
      <c r="E26" s="55">
        <f>(1-$D$1/E17)*100</f>
        <v>-8.7000905292296427</v>
      </c>
      <c r="F26" s="2"/>
      <c r="G26" s="2"/>
      <c r="H26" s="2"/>
      <c r="I26" s="11"/>
    </row>
    <row r="27" spans="1:9" ht="15.75" thickBot="1" x14ac:dyDescent="0.3">
      <c r="A27" s="37">
        <v>5</v>
      </c>
      <c r="B27" s="38" t="s">
        <v>93</v>
      </c>
      <c r="C27" s="57">
        <f t="shared" si="0"/>
        <v>-29.406969604949708</v>
      </c>
      <c r="D27" s="57">
        <f t="shared" si="0"/>
        <v>-29.405919628523346</v>
      </c>
      <c r="E27" s="57">
        <f>(1-$D$1/E18)*100</f>
        <v>-29.404869677654343</v>
      </c>
      <c r="F27" s="15"/>
      <c r="G27" s="15"/>
      <c r="H27" s="15"/>
      <c r="I27" s="16"/>
    </row>
    <row r="28" spans="1:9" x14ac:dyDescent="0.25">
      <c r="C28" s="29"/>
      <c r="D28" s="29"/>
      <c r="E28" s="29"/>
    </row>
    <row r="29" spans="1:9" ht="15.75" thickBot="1" x14ac:dyDescent="0.3">
      <c r="C29" s="29"/>
      <c r="D29" s="29"/>
      <c r="E29" s="29"/>
    </row>
    <row r="30" spans="1:9" x14ac:dyDescent="0.25">
      <c r="A30" s="65" t="s">
        <v>94</v>
      </c>
      <c r="B30" s="66"/>
      <c r="C30" s="52" t="s">
        <v>95</v>
      </c>
      <c r="D30" s="52"/>
      <c r="E30" s="52"/>
      <c r="F30" s="6"/>
      <c r="G30" s="6"/>
      <c r="H30" s="6"/>
      <c r="I30" s="7"/>
    </row>
    <row r="31" spans="1:9" x14ac:dyDescent="0.25">
      <c r="A31" s="36" t="s">
        <v>87</v>
      </c>
      <c r="B31" s="31" t="s">
        <v>88</v>
      </c>
      <c r="C31" s="71" t="s">
        <v>96</v>
      </c>
      <c r="D31" s="71"/>
      <c r="E31" s="71"/>
      <c r="F31" s="2" t="s">
        <v>90</v>
      </c>
      <c r="G31" s="32" t="s">
        <v>91</v>
      </c>
      <c r="H31" s="2" t="s">
        <v>87</v>
      </c>
      <c r="I31" s="11"/>
    </row>
    <row r="32" spans="1:9" x14ac:dyDescent="0.25">
      <c r="A32" s="36">
        <v>1</v>
      </c>
      <c r="B32" s="33" t="s">
        <v>92</v>
      </c>
      <c r="C32" s="53">
        <f>(1-$I$32)*C9</f>
        <v>148.9438820495827</v>
      </c>
      <c r="D32" s="53">
        <f>(1-$I$32)*D9</f>
        <v>148.94509055353251</v>
      </c>
      <c r="E32" s="54">
        <f>(1-$I$32)*E9</f>
        <v>148.94629904767692</v>
      </c>
      <c r="F32" s="41">
        <v>0.4</v>
      </c>
      <c r="G32" s="34">
        <f>PI()*E32*(10^-3)*$G$5*$G$1</f>
        <v>140378.57966027106</v>
      </c>
      <c r="H32" s="2">
        <v>1</v>
      </c>
      <c r="I32" s="11">
        <v>0.4</v>
      </c>
    </row>
    <row r="33" spans="1:9" x14ac:dyDescent="0.25">
      <c r="A33" s="36">
        <v>2</v>
      </c>
      <c r="B33" s="33" t="s">
        <v>92</v>
      </c>
      <c r="C33" s="55">
        <f>(1-I33)*C32</f>
        <v>111.70791153718702</v>
      </c>
      <c r="D33" s="55">
        <f>(1-I33)*D32</f>
        <v>111.70881791514938</v>
      </c>
      <c r="E33" s="48">
        <f>(1-I33)*E32</f>
        <v>111.70972428575769</v>
      </c>
      <c r="F33" s="41">
        <v>0.25</v>
      </c>
      <c r="G33" s="34">
        <f>PI()*E33*(10^-3)*$G$5*$G$1</f>
        <v>105283.93474520331</v>
      </c>
      <c r="H33" s="2">
        <v>2</v>
      </c>
      <c r="I33" s="11">
        <v>0.25</v>
      </c>
    </row>
    <row r="34" spans="1:9" x14ac:dyDescent="0.25">
      <c r="A34" s="36">
        <v>3</v>
      </c>
      <c r="B34" s="33" t="s">
        <v>92</v>
      </c>
      <c r="C34" s="55">
        <f>(1-I34)*C33</f>
        <v>94.951724806608965</v>
      </c>
      <c r="D34" s="55">
        <f>(1-I34)*D33</f>
        <v>94.952495227876966</v>
      </c>
      <c r="E34" s="48">
        <f>(1-I34)*E33</f>
        <v>94.953265642894038</v>
      </c>
      <c r="F34" s="41">
        <v>0.15</v>
      </c>
      <c r="G34" s="34">
        <f>PI()*E34*(10^-3)*$G$5*$G$1</f>
        <v>89491.344533422802</v>
      </c>
      <c r="H34" s="2">
        <v>3</v>
      </c>
      <c r="I34" s="11">
        <v>0.15</v>
      </c>
    </row>
    <row r="35" spans="1:9" x14ac:dyDescent="0.25">
      <c r="A35" s="36">
        <v>4</v>
      </c>
      <c r="B35" s="33" t="s">
        <v>92</v>
      </c>
      <c r="C35" s="55">
        <f>(1-I35)*C34</f>
        <v>85.456552325948067</v>
      </c>
      <c r="D35" s="55">
        <f>(1-I35)*D34</f>
        <v>85.457245705089278</v>
      </c>
      <c r="E35" s="48">
        <f>(1-I35)*E34</f>
        <v>85.457939078604639</v>
      </c>
      <c r="F35" s="41">
        <v>0.1</v>
      </c>
      <c r="G35" s="34">
        <f>PI()*E35*(10^-3)*$G$5*$G$1</f>
        <v>80542.21008008052</v>
      </c>
      <c r="H35" s="2">
        <v>4</v>
      </c>
      <c r="I35" s="11">
        <v>0.1</v>
      </c>
    </row>
    <row r="36" spans="1:9" x14ac:dyDescent="0.25">
      <c r="A36" s="8"/>
      <c r="B36" s="2"/>
      <c r="C36" s="56"/>
      <c r="D36" s="56"/>
      <c r="E36" s="56"/>
      <c r="F36" s="39"/>
      <c r="G36" s="2"/>
      <c r="H36" s="2"/>
      <c r="I36" s="11"/>
    </row>
    <row r="37" spans="1:9" x14ac:dyDescent="0.25">
      <c r="A37" s="8"/>
      <c r="B37" s="2"/>
      <c r="C37" s="56"/>
      <c r="D37" s="56"/>
      <c r="E37" s="56"/>
      <c r="F37" s="2"/>
      <c r="G37" s="2"/>
      <c r="H37" s="2"/>
      <c r="I37" s="11"/>
    </row>
    <row r="38" spans="1:9" x14ac:dyDescent="0.25">
      <c r="A38" s="36" t="s">
        <v>87</v>
      </c>
      <c r="B38" s="31"/>
      <c r="C38" s="71" t="s">
        <v>96</v>
      </c>
      <c r="D38" s="71"/>
      <c r="E38" s="71"/>
      <c r="F38" s="2"/>
      <c r="G38" s="2"/>
      <c r="H38" s="2"/>
      <c r="I38" s="11"/>
    </row>
    <row r="39" spans="1:9" x14ac:dyDescent="0.25">
      <c r="A39" s="36">
        <v>1</v>
      </c>
      <c r="B39" s="33" t="s">
        <v>93</v>
      </c>
      <c r="C39" s="53">
        <f>(1-($D$1/C9))*100</f>
        <v>65.758915842530314</v>
      </c>
      <c r="D39" s="53">
        <f>(1-($D$1/D9))*100</f>
        <v>65.759193666292731</v>
      </c>
      <c r="E39" s="53">
        <f>(1-($D$1/E9))*100</f>
        <v>65.759471483292657</v>
      </c>
      <c r="F39" s="2"/>
      <c r="G39" s="2"/>
      <c r="H39" s="2"/>
      <c r="I39" s="11"/>
    </row>
    <row r="40" spans="1:9" x14ac:dyDescent="0.25">
      <c r="A40" s="36">
        <v>2</v>
      </c>
      <c r="B40" s="33" t="s">
        <v>93</v>
      </c>
      <c r="C40" s="55">
        <f t="shared" ref="C40:E42" si="1">(1-($D$1/C32))*100</f>
        <v>42.931526404217188</v>
      </c>
      <c r="D40" s="55">
        <f t="shared" si="1"/>
        <v>42.931989443821209</v>
      </c>
      <c r="E40" s="55">
        <f t="shared" si="1"/>
        <v>42.932452472154438</v>
      </c>
      <c r="F40" s="2"/>
      <c r="G40" s="2"/>
      <c r="H40" s="2"/>
      <c r="I40" s="11"/>
    </row>
    <row r="41" spans="1:9" x14ac:dyDescent="0.25">
      <c r="A41" s="36">
        <v>3</v>
      </c>
      <c r="B41" s="33" t="s">
        <v>93</v>
      </c>
      <c r="C41" s="55">
        <f t="shared" si="1"/>
        <v>23.908701872289573</v>
      </c>
      <c r="D41" s="55">
        <f t="shared" si="1"/>
        <v>23.909319258428276</v>
      </c>
      <c r="E41" s="55">
        <f t="shared" si="1"/>
        <v>23.909936629539253</v>
      </c>
      <c r="F41" s="2"/>
      <c r="G41" s="2"/>
      <c r="H41" s="2"/>
      <c r="I41" s="11"/>
    </row>
    <row r="42" spans="1:9" x14ac:dyDescent="0.25">
      <c r="A42" s="36">
        <v>4</v>
      </c>
      <c r="B42" s="33" t="s">
        <v>93</v>
      </c>
      <c r="C42" s="55">
        <f t="shared" si="1"/>
        <v>10.48082573210538</v>
      </c>
      <c r="D42" s="55">
        <f t="shared" si="1"/>
        <v>10.481552068739131</v>
      </c>
      <c r="E42" s="55">
        <f t="shared" si="1"/>
        <v>10.482278387693245</v>
      </c>
      <c r="F42" s="2"/>
      <c r="G42" s="2"/>
      <c r="H42" s="2"/>
      <c r="I42" s="11"/>
    </row>
    <row r="43" spans="1:9" ht="15.75" thickBot="1" x14ac:dyDescent="0.3">
      <c r="A43" s="37"/>
      <c r="B43" s="38" t="s">
        <v>93</v>
      </c>
      <c r="C43" s="58"/>
      <c r="D43" s="58"/>
      <c r="E43" s="58"/>
      <c r="F43" s="15"/>
      <c r="G43" s="15"/>
      <c r="H43" s="15"/>
      <c r="I43" s="16"/>
    </row>
  </sheetData>
  <mergeCells count="14">
    <mergeCell ref="A30:B30"/>
    <mergeCell ref="A10:B11"/>
    <mergeCell ref="C31:E31"/>
    <mergeCell ref="C38:E38"/>
    <mergeCell ref="A1:B1"/>
    <mergeCell ref="A3:B3"/>
    <mergeCell ref="A2:B2"/>
    <mergeCell ref="C14:E14"/>
    <mergeCell ref="C22:E22"/>
    <mergeCell ref="A4:B4"/>
    <mergeCell ref="C10:C11"/>
    <mergeCell ref="D10:D11"/>
    <mergeCell ref="E10:E11"/>
    <mergeCell ref="A9:B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C458F4391F54C8D2FAE54977D0812" ma:contentTypeVersion="13" ma:contentTypeDescription="Create a new document." ma:contentTypeScope="" ma:versionID="e14d45c207fa198e773ca4e1d81f3b65">
  <xsd:schema xmlns:xsd="http://www.w3.org/2001/XMLSchema" xmlns:xs="http://www.w3.org/2001/XMLSchema" xmlns:p="http://schemas.microsoft.com/office/2006/metadata/properties" xmlns:ns3="5c260146-559e-4bb7-b538-93c857a2a783" xmlns:ns4="a62565c3-ed3b-4859-87fc-13d23a87a464" targetNamespace="http://schemas.microsoft.com/office/2006/metadata/properties" ma:root="true" ma:fieldsID="c45821864a6e9e749dff4c96b7fb54ef" ns3:_="" ns4:_="">
    <xsd:import namespace="5c260146-559e-4bb7-b538-93c857a2a783"/>
    <xsd:import namespace="a62565c3-ed3b-4859-87fc-13d23a87a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60146-559e-4bb7-b538-93c857a2a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565c3-ed3b-4859-87fc-13d23a87a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4871F-1969-42EA-ABC8-93D810345C2F}">
  <ds:schemaRefs>
    <ds:schemaRef ds:uri="a62565c3-ed3b-4859-87fc-13d23a87a464"/>
    <ds:schemaRef ds:uri="5c260146-559e-4bb7-b538-93c857a2a783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9981B6-18F1-4E57-B9D5-3930B7835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60146-559e-4bb7-b538-93c857a2a783"/>
    <ds:schemaRef ds:uri="a62565c3-ed3b-4859-87fc-13d23a87a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9E4CB5-97DC-4C3B-BA96-67D2C9BFC4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Force solvers</vt:lpstr>
      <vt:lpstr>Tool life</vt:lpstr>
      <vt:lpstr>Economics</vt:lpstr>
      <vt:lpstr>Roughness</vt:lpstr>
      <vt:lpstr>Shearing of sheet metal</vt:lpstr>
      <vt:lpstr>Cup 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Naaman Tan</dc:creator>
  <cp:lastModifiedBy>Naaman Tan</cp:lastModifiedBy>
  <dcterms:created xsi:type="dcterms:W3CDTF">2020-11-19T02:48:38Z</dcterms:created>
  <dcterms:modified xsi:type="dcterms:W3CDTF">2020-11-21T01:17:56Z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0x010100B04C458F4391F54C8D2FAE54977D0812</vt:lpwstr>
  </property>
</Properties>
</file>