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115" yWindow="405" windowWidth="14160" windowHeight="11010" tabRatio="749" firstSheet="2" activeTab="2"/>
  </bookViews>
  <sheets>
    <sheet name="5.1a" sheetId="16" state="hidden" r:id="rId1"/>
    <sheet name="5.1b" sheetId="15" state="hidden" r:id="rId2"/>
    <sheet name="Banjul" sheetId="27" r:id="rId3"/>
    <sheet name="5.3" sheetId="28" state="hidden" r:id="rId4"/>
    <sheet name="5.4" sheetId="29" state="hidden" r:id="rId5"/>
    <sheet name="5.5" sheetId="11" state="hidden" r:id="rId6"/>
    <sheet name="5.6" sheetId="13" state="hidden" r:id="rId7"/>
    <sheet name="5.7" sheetId="30" state="hidden" r:id="rId8"/>
    <sheet name="5.8" sheetId="12" state="hidden" r:id="rId9"/>
    <sheet name="5.9" sheetId="34" state="hidden" r:id="rId10"/>
    <sheet name="5.10" sheetId="26" state="hidden" r:id="rId11"/>
    <sheet name="5.11" sheetId="25" state="hidden" r:id="rId12"/>
    <sheet name="5.12" sheetId="24" state="hidden" r:id="rId13"/>
    <sheet name="5.13" sheetId="23" state="hidden" r:id="rId14"/>
    <sheet name="CB_DATA_" sheetId="33" state="hidden" r:id="rId15"/>
  </sheets>
  <definedNames>
    <definedName name="CBWorkbookPriority" hidden="1">-1783723858</definedName>
    <definedName name="CBx_13cf642d615347d1ad64163cc14e7dc7" localSheetId="14" hidden="1">"'Mega-Micro'!$A$1"</definedName>
    <definedName name="CBx_9e19c5a8ab9a40fb96c0729081241357" localSheetId="14" hidden="1">"'National Leasing'!$A$1"</definedName>
    <definedName name="CBx_fd070b24b68b4b7e9c44f4c3d3ede81d" localSheetId="14" hidden="1">"'CB_DATA_'!$A$1"</definedName>
    <definedName name="CBx_Sheet_Guid" localSheetId="14" hidden="1">"'fd070b24b68b4b7e9c44f4c3d3ede81d"</definedName>
    <definedName name="CracdInPrem">#REF!</definedName>
    <definedName name="CrackdInPrem">#REF!</definedName>
    <definedName name="CrackdInReg">#REF!</definedName>
    <definedName name="CrackedDistillate">#REF!</definedName>
    <definedName name="CrackedLow">#REF!</definedName>
    <definedName name="Crude1">#REF!</definedName>
    <definedName name="Crude2">#REF!</definedName>
    <definedName name="Crude3">#REF!</definedName>
    <definedName name="Distillate">#REF!</definedName>
    <definedName name="Feedstock">#REF!</definedName>
    <definedName name="GasInPrem">#REF!</definedName>
    <definedName name="GasInReg">#REF!</definedName>
    <definedName name="Gasoil">#REF!</definedName>
    <definedName name="GasoilBlended">#REF!</definedName>
    <definedName name="GasoilCracked">#REF!</definedName>
    <definedName name="Gasoline">#REF!</definedName>
    <definedName name="HighOctane">#REF!</definedName>
    <definedName name="HiOctInPrem">#REF!</definedName>
    <definedName name="HiOctInReg">#REF!</definedName>
    <definedName name="solver_adj" localSheetId="6" hidden="1">'5.6'!$C$13:$E$13</definedName>
    <definedName name="solver_cvg" localSheetId="6" hidden="1">0.0001</definedName>
    <definedName name="solver_drv" localSheetId="6" hidden="1">1</definedName>
    <definedName name="solver_est" localSheetId="6" hidden="1">1</definedName>
    <definedName name="solver_itr" localSheetId="6" hidden="1">100</definedName>
    <definedName name="solver_lin" localSheetId="6" hidden="1">2</definedName>
    <definedName name="solver_neg" localSheetId="6" hidden="1">1</definedName>
    <definedName name="solver_num" localSheetId="6" hidden="1">0</definedName>
    <definedName name="solver_nwt" localSheetId="6" hidden="1">1</definedName>
    <definedName name="solver_opt" localSheetId="6" hidden="1">'5.6'!$G$30</definedName>
    <definedName name="solver_pre" localSheetId="6" hidden="1">0.000001</definedName>
    <definedName name="solver_scl" localSheetId="6" hidden="1">2</definedName>
    <definedName name="solver_sho" localSheetId="6" hidden="1">2</definedName>
    <definedName name="solver_tim" localSheetId="6" hidden="1">100</definedName>
    <definedName name="solver_tol" localSheetId="6" hidden="1">0.05</definedName>
    <definedName name="solver_typ" localSheetId="6" hidden="1">1</definedName>
    <definedName name="solver_typ" localSheetId="7" hidden="1">2</definedName>
    <definedName name="solver_userid" localSheetId="2" hidden="1">118556</definedName>
    <definedName name="solver_val" localSheetId="6" hidden="1">0</definedName>
    <definedName name="solver_ver" localSheetId="7" hidden="1">10</definedName>
  </definedNames>
  <calcPr calcId="145621"/>
</workbook>
</file>

<file path=xl/calcChain.xml><?xml version="1.0" encoding="utf-8"?>
<calcChain xmlns="http://schemas.openxmlformats.org/spreadsheetml/2006/main">
  <c r="C30" i="34" l="1"/>
  <c r="U30" i="34" s="1"/>
  <c r="U35" i="34" s="1"/>
  <c r="E30" i="34"/>
  <c r="V30" i="34"/>
  <c r="V35" i="34" s="1"/>
  <c r="C44" i="34"/>
  <c r="D44" i="34"/>
  <c r="E44" i="34" s="1"/>
  <c r="F44" i="34" s="1"/>
  <c r="V56" i="34"/>
  <c r="V50" i="34"/>
  <c r="V57" i="34" s="1"/>
  <c r="U56" i="34"/>
  <c r="U50" i="34"/>
  <c r="U57" i="34" s="1"/>
  <c r="T56" i="34"/>
  <c r="T50" i="34"/>
  <c r="T57" i="34" s="1"/>
  <c r="S30" i="34"/>
  <c r="S35" i="34" s="1"/>
  <c r="S56" i="34"/>
  <c r="S50" i="34"/>
  <c r="S57" i="34" s="1"/>
  <c r="R30" i="34"/>
  <c r="R35" i="34" s="1"/>
  <c r="R56" i="34"/>
  <c r="R50" i="34"/>
  <c r="R57" i="34" s="1"/>
  <c r="Q30" i="34"/>
  <c r="Q35" i="34" s="1"/>
  <c r="Q56" i="34"/>
  <c r="Q50" i="34"/>
  <c r="Q57" i="34"/>
  <c r="P30" i="34"/>
  <c r="P35" i="34" s="1"/>
  <c r="P56" i="34"/>
  <c r="P50" i="34"/>
  <c r="P57" i="34" s="1"/>
  <c r="O30" i="34"/>
  <c r="O35" i="34" s="1"/>
  <c r="O56" i="34"/>
  <c r="O50" i="34"/>
  <c r="O57" i="34"/>
  <c r="N30" i="34"/>
  <c r="N35" i="34" s="1"/>
  <c r="N56" i="34"/>
  <c r="N50" i="34"/>
  <c r="N57" i="34" s="1"/>
  <c r="M30" i="34"/>
  <c r="M35" i="34" s="1"/>
  <c r="M56" i="34"/>
  <c r="M50" i="34"/>
  <c r="M57" i="34" s="1"/>
  <c r="L30" i="34"/>
  <c r="L35" i="34" s="1"/>
  <c r="L56" i="34"/>
  <c r="L50" i="34"/>
  <c r="L57" i="34" s="1"/>
  <c r="K30" i="34"/>
  <c r="K35" i="34" s="1"/>
  <c r="K56" i="34"/>
  <c r="K50" i="34"/>
  <c r="K57" i="34" s="1"/>
  <c r="J30" i="34"/>
  <c r="J35" i="34" s="1"/>
  <c r="J56" i="34"/>
  <c r="J50" i="34"/>
  <c r="J57" i="34" s="1"/>
  <c r="I30" i="34"/>
  <c r="I35" i="34" s="1"/>
  <c r="I56" i="34"/>
  <c r="I50" i="34"/>
  <c r="I57" i="34"/>
  <c r="H30" i="34"/>
  <c r="H35" i="34" s="1"/>
  <c r="H56" i="34"/>
  <c r="H50" i="34"/>
  <c r="H57" i="34" s="1"/>
  <c r="G30" i="34"/>
  <c r="G35" i="34" s="1"/>
  <c r="G56" i="34"/>
  <c r="G50" i="34"/>
  <c r="G57" i="34" s="1"/>
  <c r="F30" i="34"/>
  <c r="F35" i="34" s="1"/>
  <c r="F56" i="34"/>
  <c r="F48" i="34"/>
  <c r="F49" i="34"/>
  <c r="E55" i="34"/>
  <c r="E56" i="34"/>
  <c r="E50" i="34"/>
  <c r="E57" i="34" s="1"/>
  <c r="D30" i="34"/>
  <c r="D35" i="34" s="1"/>
  <c r="D36" i="34" s="1"/>
  <c r="D37" i="34" s="1"/>
  <c r="D54" i="34" s="1"/>
  <c r="D46" i="34"/>
  <c r="D47" i="34"/>
  <c r="C31" i="34"/>
  <c r="C32" i="34" s="1"/>
  <c r="C53" i="34" s="1"/>
  <c r="C35" i="34"/>
  <c r="C36" i="34" s="1"/>
  <c r="C37" i="34" s="1"/>
  <c r="C54" i="34" s="1"/>
  <c r="C46" i="34"/>
  <c r="C47" i="34"/>
  <c r="E35" i="30"/>
  <c r="B56" i="30" s="1"/>
  <c r="B55" i="30"/>
  <c r="E36" i="30"/>
  <c r="C56" i="30" s="1"/>
  <c r="C55" i="30"/>
  <c r="E37" i="30"/>
  <c r="D56" i="30" s="1"/>
  <c r="D55" i="30"/>
  <c r="E31" i="30"/>
  <c r="B51" i="30" s="1"/>
  <c r="B53" i="30" s="1"/>
  <c r="B50" i="30"/>
  <c r="E32" i="30"/>
  <c r="C51" i="30" s="1"/>
  <c r="C50" i="30"/>
  <c r="E33" i="30"/>
  <c r="D51" i="30" s="1"/>
  <c r="D50" i="30"/>
  <c r="C43" i="30"/>
  <c r="C44" i="30"/>
  <c r="C45" i="30"/>
  <c r="D43" i="30"/>
  <c r="D44" i="30"/>
  <c r="D45" i="30"/>
  <c r="C34" i="30"/>
  <c r="C38" i="30"/>
  <c r="I38" i="30" s="1"/>
  <c r="D34" i="30"/>
  <c r="D38" i="30"/>
  <c r="J38" i="30" s="1"/>
  <c r="C41" i="30"/>
  <c r="E41" i="30" s="1"/>
  <c r="D41" i="30"/>
  <c r="C40" i="30"/>
  <c r="D40" i="30"/>
  <c r="E40" i="30" s="1"/>
  <c r="J37" i="30"/>
  <c r="C39" i="30"/>
  <c r="D39" i="30"/>
  <c r="C27" i="30"/>
  <c r="C28" i="30"/>
  <c r="D27" i="30"/>
  <c r="D28" i="30"/>
  <c r="E4" i="30"/>
  <c r="H5" i="30" s="1"/>
  <c r="E5" i="30"/>
  <c r="I5" i="30" s="1"/>
  <c r="C13" i="29"/>
  <c r="D13" i="29" s="1"/>
  <c r="C11" i="29"/>
  <c r="D20" i="29"/>
  <c r="E20" i="29" s="1"/>
  <c r="D22" i="29"/>
  <c r="E22" i="29" s="1"/>
  <c r="F22" i="29" s="1"/>
  <c r="G22" i="29" s="1"/>
  <c r="D23" i="29"/>
  <c r="E23" i="29" s="1"/>
  <c r="F23" i="29" s="1"/>
  <c r="G23" i="29" s="1"/>
  <c r="D21" i="29"/>
  <c r="D24" i="29" s="1"/>
  <c r="C21" i="29"/>
  <c r="C24" i="29"/>
  <c r="C21" i="28"/>
  <c r="I17" i="28"/>
  <c r="H15" i="28"/>
  <c r="I16" i="28"/>
  <c r="H13" i="28"/>
  <c r="I10" i="28"/>
  <c r="I8" i="28"/>
  <c r="I9" i="28" s="1"/>
  <c r="H4" i="27"/>
  <c r="I4" i="27" s="1"/>
  <c r="L4" i="27" s="1"/>
  <c r="M4" i="27" s="1"/>
  <c r="H5" i="27"/>
  <c r="I5" i="27" s="1"/>
  <c r="L5" i="27" s="1"/>
  <c r="M5" i="27" s="1"/>
  <c r="H6" i="27"/>
  <c r="I6" i="27" s="1"/>
  <c r="L6" i="27" s="1"/>
  <c r="M6" i="27" s="1"/>
  <c r="I8" i="27"/>
  <c r="L8" i="27" s="1"/>
  <c r="M8" i="27" s="1"/>
  <c r="H7" i="27"/>
  <c r="D17" i="23"/>
  <c r="C17" i="23"/>
  <c r="B17" i="23"/>
  <c r="G17" i="23" s="1"/>
  <c r="H17" i="23"/>
  <c r="D18" i="23"/>
  <c r="C18" i="23"/>
  <c r="E18" i="23" s="1"/>
  <c r="H18" i="23"/>
  <c r="D19" i="23"/>
  <c r="E19" i="23" s="1"/>
  <c r="C19" i="23"/>
  <c r="H19" i="23"/>
  <c r="D20" i="23"/>
  <c r="C20" i="23"/>
  <c r="E20" i="23" s="1"/>
  <c r="H20" i="23"/>
  <c r="D21" i="23"/>
  <c r="E21" i="23" s="1"/>
  <c r="C21" i="23"/>
  <c r="H21" i="23"/>
  <c r="D22" i="23"/>
  <c r="C22" i="23"/>
  <c r="E22" i="23" s="1"/>
  <c r="H22" i="23"/>
  <c r="D23" i="23"/>
  <c r="C23" i="23"/>
  <c r="E23" i="23" s="1"/>
  <c r="H23" i="23"/>
  <c r="D24" i="23"/>
  <c r="C24" i="23"/>
  <c r="E24" i="23" s="1"/>
  <c r="H24" i="23"/>
  <c r="D25" i="23"/>
  <c r="C25" i="23"/>
  <c r="H25" i="23"/>
  <c r="D26" i="23"/>
  <c r="C26" i="23"/>
  <c r="E26" i="23" s="1"/>
  <c r="H26" i="23"/>
  <c r="D10" i="24"/>
  <c r="E10" i="24" s="1"/>
  <c r="F10" i="24" s="1"/>
  <c r="C10" i="24"/>
  <c r="D11" i="24"/>
  <c r="E11" i="24" s="1"/>
  <c r="F11" i="24" s="1"/>
  <c r="B11" i="24"/>
  <c r="C11" i="24" s="1"/>
  <c r="G2" i="24"/>
  <c r="C11" i="25"/>
  <c r="C20" i="25"/>
  <c r="D20" i="25" s="1"/>
  <c r="E20" i="25" s="1"/>
  <c r="F20" i="25" s="1"/>
  <c r="G20" i="25" s="1"/>
  <c r="H20" i="25" s="1"/>
  <c r="I20" i="25" s="1"/>
  <c r="D21" i="25"/>
  <c r="E21" i="25" s="1"/>
  <c r="F21" i="25" s="1"/>
  <c r="G21" i="25" s="1"/>
  <c r="H21" i="25" s="1"/>
  <c r="I21" i="25" s="1"/>
  <c r="I31" i="25" s="1"/>
  <c r="E13" i="25"/>
  <c r="F13" i="25" s="1"/>
  <c r="G13" i="25" s="1"/>
  <c r="E22" i="25"/>
  <c r="F22" i="25"/>
  <c r="G22" i="25" s="1"/>
  <c r="H22" i="25" s="1"/>
  <c r="I22" i="25" s="1"/>
  <c r="F14" i="25"/>
  <c r="F23" i="25"/>
  <c r="G23" i="25" s="1"/>
  <c r="H23" i="25" s="1"/>
  <c r="I23" i="25" s="1"/>
  <c r="G15" i="25"/>
  <c r="H15" i="25" s="1"/>
  <c r="G24" i="25"/>
  <c r="H16" i="25"/>
  <c r="H25" i="25"/>
  <c r="I25" i="25" s="1"/>
  <c r="I17" i="25"/>
  <c r="I26" i="25"/>
  <c r="I36" i="25" s="1"/>
  <c r="I37" i="25"/>
  <c r="D12" i="25"/>
  <c r="E12" i="25" s="1"/>
  <c r="F12" i="25" s="1"/>
  <c r="H36" i="25"/>
  <c r="G35" i="25"/>
  <c r="F34" i="25"/>
  <c r="E32" i="25"/>
  <c r="E33" i="25"/>
  <c r="D31" i="25"/>
  <c r="D32" i="25"/>
  <c r="C31" i="25"/>
  <c r="B30" i="25"/>
  <c r="B41" i="25" s="1"/>
  <c r="B47" i="25" s="1"/>
  <c r="B39" i="25"/>
  <c r="B44" i="25" s="1"/>
  <c r="H22" i="26"/>
  <c r="C22" i="26"/>
  <c r="D22" i="26" s="1"/>
  <c r="E39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D65" i="26"/>
  <c r="C65" i="26"/>
  <c r="D64" i="26"/>
  <c r="C64" i="26"/>
  <c r="D63" i="26"/>
  <c r="C63" i="26"/>
  <c r="D62" i="26"/>
  <c r="C62" i="26"/>
  <c r="D61" i="26"/>
  <c r="C61" i="26"/>
  <c r="D60" i="26"/>
  <c r="C60" i="26"/>
  <c r="D59" i="26"/>
  <c r="C59" i="26"/>
  <c r="D58" i="26"/>
  <c r="C58" i="26"/>
  <c r="D57" i="26"/>
  <c r="C57" i="26"/>
  <c r="D56" i="26"/>
  <c r="C56" i="26"/>
  <c r="D55" i="26"/>
  <c r="C55" i="26"/>
  <c r="D54" i="26"/>
  <c r="C54" i="26"/>
  <c r="D53" i="26"/>
  <c r="C53" i="26"/>
  <c r="D52" i="26"/>
  <c r="C52" i="26"/>
  <c r="D51" i="26"/>
  <c r="C51" i="26"/>
  <c r="D50" i="26"/>
  <c r="C50" i="26"/>
  <c r="D49" i="26"/>
  <c r="C49" i="26"/>
  <c r="D48" i="26"/>
  <c r="C48" i="26"/>
  <c r="D47" i="26"/>
  <c r="C47" i="26"/>
  <c r="D46" i="26"/>
  <c r="C46" i="26"/>
  <c r="D45" i="26"/>
  <c r="C45" i="26"/>
  <c r="D44" i="26"/>
  <c r="C44" i="26"/>
  <c r="D43" i="26"/>
  <c r="C43" i="26"/>
  <c r="D42" i="26"/>
  <c r="C42" i="26"/>
  <c r="D41" i="26"/>
  <c r="C41" i="26"/>
  <c r="D40" i="26"/>
  <c r="C40" i="26"/>
  <c r="E38" i="26"/>
  <c r="F38" i="26"/>
  <c r="G38" i="26" s="1"/>
  <c r="E37" i="26"/>
  <c r="F37" i="26"/>
  <c r="E36" i="26"/>
  <c r="G36" i="26" s="1"/>
  <c r="F36" i="26"/>
  <c r="E35" i="26"/>
  <c r="F35" i="26"/>
  <c r="E34" i="26"/>
  <c r="G34" i="26" s="1"/>
  <c r="F34" i="26"/>
  <c r="E33" i="26"/>
  <c r="F33" i="26"/>
  <c r="E32" i="26"/>
  <c r="G32" i="26" s="1"/>
  <c r="F32" i="26"/>
  <c r="E31" i="26"/>
  <c r="F31" i="26"/>
  <c r="G31" i="26" s="1"/>
  <c r="E30" i="26"/>
  <c r="G30" i="26" s="1"/>
  <c r="F30" i="26"/>
  <c r="E29" i="26"/>
  <c r="F29" i="26"/>
  <c r="E28" i="26"/>
  <c r="G28" i="26" s="1"/>
  <c r="F28" i="26"/>
  <c r="E27" i="26"/>
  <c r="F27" i="26"/>
  <c r="E26" i="26"/>
  <c r="G26" i="26" s="1"/>
  <c r="F26" i="26"/>
  <c r="E25" i="26"/>
  <c r="F25" i="26"/>
  <c r="E24" i="26"/>
  <c r="F24" i="26"/>
  <c r="G24" i="26"/>
  <c r="E23" i="26"/>
  <c r="F23" i="26"/>
  <c r="G23" i="26" s="1"/>
  <c r="E22" i="26"/>
  <c r="F22" i="26"/>
  <c r="F31" i="12"/>
  <c r="B27" i="12"/>
  <c r="F28" i="12"/>
  <c r="F34" i="12"/>
  <c r="B40" i="12"/>
  <c r="B41" i="12"/>
  <c r="F41" i="12" s="1"/>
  <c r="F44" i="12"/>
  <c r="B6" i="12"/>
  <c r="F4" i="12" s="1"/>
  <c r="F9" i="12" s="1"/>
  <c r="F5" i="12"/>
  <c r="B9" i="12"/>
  <c r="B11" i="12" s="1"/>
  <c r="F11" i="12" s="1"/>
  <c r="B15" i="12"/>
  <c r="B17" i="12" s="1"/>
  <c r="B15" i="11"/>
  <c r="C15" i="11"/>
  <c r="D15" i="11"/>
  <c r="J11" i="11"/>
  <c r="B22" i="11"/>
  <c r="B16" i="11"/>
  <c r="C16" i="11"/>
  <c r="D16" i="11"/>
  <c r="B17" i="11"/>
  <c r="C17" i="11"/>
  <c r="D17" i="11"/>
  <c r="E17" i="11"/>
  <c r="F17" i="11" s="1"/>
  <c r="B18" i="11"/>
  <c r="E18" i="11" s="1"/>
  <c r="F18" i="11" s="1"/>
  <c r="C18" i="11"/>
  <c r="D18" i="11"/>
  <c r="B23" i="11"/>
  <c r="B24" i="11"/>
  <c r="B25" i="11"/>
  <c r="C17" i="13"/>
  <c r="D17" i="13"/>
  <c r="E17" i="13"/>
  <c r="F17" i="13"/>
  <c r="G17" i="13" s="1"/>
  <c r="E26" i="13" s="1"/>
  <c r="C16" i="13"/>
  <c r="D16" i="13"/>
  <c r="F16" i="13" s="1"/>
  <c r="E16" i="13"/>
  <c r="C18" i="13"/>
  <c r="F18" i="13" s="1"/>
  <c r="D18" i="13"/>
  <c r="E18" i="13"/>
  <c r="C19" i="13"/>
  <c r="D19" i="13"/>
  <c r="E19" i="13"/>
  <c r="C20" i="13"/>
  <c r="D20" i="13"/>
  <c r="E20" i="13"/>
  <c r="C11" i="16"/>
  <c r="C12" i="16"/>
  <c r="C18" i="16"/>
  <c r="C19" i="16"/>
  <c r="D11" i="16"/>
  <c r="D10" i="16"/>
  <c r="D15" i="16" s="1"/>
  <c r="D18" i="16"/>
  <c r="C15" i="16"/>
  <c r="D14" i="16"/>
  <c r="E11" i="16"/>
  <c r="E18" i="16"/>
  <c r="F11" i="16"/>
  <c r="F18" i="16"/>
  <c r="G11" i="16"/>
  <c r="G18" i="16"/>
  <c r="H11" i="16"/>
  <c r="H18" i="16"/>
  <c r="C20" i="15"/>
  <c r="C22" i="15"/>
  <c r="C23" i="15"/>
  <c r="C12" i="15"/>
  <c r="C17" i="15" s="1"/>
  <c r="C26" i="15"/>
  <c r="D20" i="15" s="1"/>
  <c r="D22" i="15"/>
  <c r="D11" i="15"/>
  <c r="E11" i="15" s="1"/>
  <c r="C15" i="15"/>
  <c r="C27" i="15" s="1"/>
  <c r="D12" i="15"/>
  <c r="D17" i="15" s="1"/>
  <c r="E22" i="15"/>
  <c r="E12" i="15"/>
  <c r="F22" i="15"/>
  <c r="F12" i="15"/>
  <c r="G22" i="15"/>
  <c r="G12" i="15"/>
  <c r="H22" i="15"/>
  <c r="H12" i="15"/>
  <c r="C18" i="15"/>
  <c r="C25" i="15" s="1"/>
  <c r="E14" i="16" l="1"/>
  <c r="D22" i="16"/>
  <c r="D14" i="29"/>
  <c r="D16" i="29" s="1"/>
  <c r="D17" i="29" s="1"/>
  <c r="D18" i="29" s="1"/>
  <c r="D26" i="29" s="1"/>
  <c r="D28" i="29" s="1"/>
  <c r="E13" i="29"/>
  <c r="E14" i="29" s="1"/>
  <c r="E16" i="29" s="1"/>
  <c r="E17" i="29" s="1"/>
  <c r="E18" i="29" s="1"/>
  <c r="F11" i="15"/>
  <c r="E18" i="15"/>
  <c r="E17" i="15"/>
  <c r="E15" i="15"/>
  <c r="G18" i="13"/>
  <c r="E27" i="13" s="1"/>
  <c r="G32" i="25"/>
  <c r="H13" i="25"/>
  <c r="I13" i="25" s="1"/>
  <c r="I32" i="25" s="1"/>
  <c r="E50" i="30"/>
  <c r="F10" i="12"/>
  <c r="F20" i="12" s="1"/>
  <c r="F22" i="12" s="1"/>
  <c r="C28" i="15"/>
  <c r="D28" i="15" s="1"/>
  <c r="C23" i="26"/>
  <c r="B18" i="23"/>
  <c r="G18" i="23" s="1"/>
  <c r="I18" i="23" s="1"/>
  <c r="I17" i="23"/>
  <c r="D26" i="15"/>
  <c r="E20" i="15" s="1"/>
  <c r="D15" i="15"/>
  <c r="D27" i="15" s="1"/>
  <c r="F20" i="13"/>
  <c r="F19" i="13"/>
  <c r="G19" i="13" s="1"/>
  <c r="E28" i="13" s="1"/>
  <c r="G17" i="11"/>
  <c r="C24" i="11" s="1"/>
  <c r="E15" i="11"/>
  <c r="G27" i="26"/>
  <c r="E25" i="23"/>
  <c r="C14" i="29"/>
  <c r="C16" i="29" s="1"/>
  <c r="D31" i="34"/>
  <c r="D32" i="34" s="1"/>
  <c r="D53" i="34" s="1"/>
  <c r="D18" i="15"/>
  <c r="D25" i="15" s="1"/>
  <c r="D14" i="15"/>
  <c r="C22" i="16"/>
  <c r="D12" i="16"/>
  <c r="E16" i="11"/>
  <c r="G22" i="26"/>
  <c r="G35" i="26"/>
  <c r="E17" i="23"/>
  <c r="D50" i="34"/>
  <c r="D57" i="34" s="1"/>
  <c r="F50" i="34"/>
  <c r="F57" i="34" s="1"/>
  <c r="T30" i="34"/>
  <c r="T35" i="34" s="1"/>
  <c r="I34" i="30"/>
  <c r="C42" i="30"/>
  <c r="I33" i="30"/>
  <c r="I37" i="30"/>
  <c r="K37" i="30" s="1"/>
  <c r="I42" i="30"/>
  <c r="J33" i="30"/>
  <c r="K38" i="30"/>
  <c r="I41" i="30"/>
  <c r="I43" i="30" s="1"/>
  <c r="E38" i="30"/>
  <c r="E44" i="30"/>
  <c r="J39" i="30"/>
  <c r="E45" i="30"/>
  <c r="G16" i="13"/>
  <c r="E25" i="13" s="1"/>
  <c r="H16" i="13"/>
  <c r="G20" i="13"/>
  <c r="E29" i="13" s="1"/>
  <c r="H20" i="13"/>
  <c r="F15" i="11"/>
  <c r="G15" i="11"/>
  <c r="C22" i="11" s="1"/>
  <c r="F16" i="11"/>
  <c r="G16" i="11" s="1"/>
  <c r="C23" i="11" s="1"/>
  <c r="G25" i="26"/>
  <c r="G33" i="26"/>
  <c r="G39" i="26"/>
  <c r="F32" i="25"/>
  <c r="G12" i="25"/>
  <c r="F31" i="25"/>
  <c r="D12" i="24"/>
  <c r="C12" i="29"/>
  <c r="D12" i="29" s="1"/>
  <c r="E12" i="29" s="1"/>
  <c r="F12" i="29" s="1"/>
  <c r="G12" i="29" s="1"/>
  <c r="D11" i="29"/>
  <c r="E11" i="29" s="1"/>
  <c r="F11" i="29" s="1"/>
  <c r="G11" i="29" s="1"/>
  <c r="I15" i="25"/>
  <c r="E14" i="15"/>
  <c r="D21" i="15"/>
  <c r="D23" i="15" s="1"/>
  <c r="G11" i="15"/>
  <c r="F15" i="15"/>
  <c r="F18" i="15"/>
  <c r="G14" i="25"/>
  <c r="F33" i="25"/>
  <c r="E35" i="34"/>
  <c r="E31" i="34"/>
  <c r="F17" i="15"/>
  <c r="D17" i="16"/>
  <c r="D19" i="16" s="1"/>
  <c r="D21" i="16" s="1"/>
  <c r="C21" i="16"/>
  <c r="C23" i="16"/>
  <c r="H17" i="13"/>
  <c r="G18" i="11"/>
  <c r="C25" i="11" s="1"/>
  <c r="B18" i="12"/>
  <c r="F18" i="12" s="1"/>
  <c r="B29" i="12"/>
  <c r="F27" i="12" s="1"/>
  <c r="F32" i="12" s="1"/>
  <c r="F33" i="12" s="1"/>
  <c r="F43" i="12" s="1"/>
  <c r="F45" i="12" s="1"/>
  <c r="B32" i="12"/>
  <c r="G29" i="26"/>
  <c r="G37" i="26"/>
  <c r="H23" i="26"/>
  <c r="L22" i="26"/>
  <c r="H24" i="25"/>
  <c r="I24" i="25" s="1"/>
  <c r="G34" i="25"/>
  <c r="C30" i="25"/>
  <c r="C41" i="25" s="1"/>
  <c r="C47" i="25" s="1"/>
  <c r="D11" i="25"/>
  <c r="C39" i="25"/>
  <c r="C44" i="25" s="1"/>
  <c r="B58" i="30"/>
  <c r="B59" i="30" s="1"/>
  <c r="E56" i="30"/>
  <c r="E10" i="16"/>
  <c r="E12" i="16" s="1"/>
  <c r="E31" i="25"/>
  <c r="I16" i="25"/>
  <c r="I35" i="25" s="1"/>
  <c r="H35" i="25"/>
  <c r="C17" i="29"/>
  <c r="C18" i="29" s="1"/>
  <c r="C26" i="29" s="1"/>
  <c r="C28" i="29" s="1"/>
  <c r="C46" i="30"/>
  <c r="E43" i="30"/>
  <c r="B12" i="24"/>
  <c r="E21" i="29"/>
  <c r="E24" i="29" s="1"/>
  <c r="F20" i="29"/>
  <c r="J5" i="30"/>
  <c r="I7" i="27"/>
  <c r="L7" i="27" s="1"/>
  <c r="M7" i="27" s="1"/>
  <c r="M10" i="27" s="1"/>
  <c r="H21" i="28"/>
  <c r="H4" i="28"/>
  <c r="E34" i="30"/>
  <c r="D42" i="30"/>
  <c r="J41" i="30"/>
  <c r="K41" i="30" s="1"/>
  <c r="E51" i="30"/>
  <c r="B19" i="23"/>
  <c r="E39" i="30"/>
  <c r="G44" i="34"/>
  <c r="F55" i="34"/>
  <c r="E55" i="30"/>
  <c r="J42" i="30"/>
  <c r="K42" i="30" s="1"/>
  <c r="J34" i="30"/>
  <c r="D46" i="30"/>
  <c r="C50" i="34"/>
  <c r="C57" i="34" s="1"/>
  <c r="C58" i="34" s="1"/>
  <c r="E27" i="15" l="1"/>
  <c r="F14" i="15"/>
  <c r="F21" i="15" s="1"/>
  <c r="F23" i="15" s="1"/>
  <c r="F13" i="29"/>
  <c r="G13" i="29" s="1"/>
  <c r="G14" i="29" s="1"/>
  <c r="G16" i="29" s="1"/>
  <c r="G17" i="29" s="1"/>
  <c r="G18" i="29" s="1"/>
  <c r="K33" i="30"/>
  <c r="H18" i="13"/>
  <c r="E21" i="15"/>
  <c r="E23" i="15" s="1"/>
  <c r="E26" i="15"/>
  <c r="F20" i="15" s="1"/>
  <c r="E25" i="15"/>
  <c r="H32" i="25"/>
  <c r="H34" i="25"/>
  <c r="I39" i="30"/>
  <c r="K39" i="30" s="1"/>
  <c r="I35" i="30"/>
  <c r="D58" i="34"/>
  <c r="C24" i="26"/>
  <c r="D23" i="26"/>
  <c r="E42" i="30"/>
  <c r="J35" i="30"/>
  <c r="K35" i="30"/>
  <c r="C30" i="29"/>
  <c r="C31" i="29" s="1"/>
  <c r="B20" i="23"/>
  <c r="G19" i="23"/>
  <c r="I19" i="23" s="1"/>
  <c r="C52" i="30"/>
  <c r="H7" i="28"/>
  <c r="H5" i="28"/>
  <c r="H6" i="28" s="1"/>
  <c r="F14" i="29"/>
  <c r="F16" i="29" s="1"/>
  <c r="F17" i="29" s="1"/>
  <c r="F18" i="29" s="1"/>
  <c r="D23" i="16"/>
  <c r="H14" i="25"/>
  <c r="G33" i="25"/>
  <c r="G14" i="15"/>
  <c r="F27" i="15"/>
  <c r="E28" i="15"/>
  <c r="C29" i="13"/>
  <c r="D29" i="13" s="1"/>
  <c r="F29" i="13"/>
  <c r="C25" i="13"/>
  <c r="D25" i="13" s="1"/>
  <c r="F25" i="13"/>
  <c r="K34" i="30"/>
  <c r="B13" i="24"/>
  <c r="C12" i="24"/>
  <c r="E26" i="29"/>
  <c r="E28" i="29" s="1"/>
  <c r="E15" i="16"/>
  <c r="F10" i="16"/>
  <c r="C57" i="30"/>
  <c r="F26" i="15"/>
  <c r="G20" i="15" s="1"/>
  <c r="F25" i="15"/>
  <c r="G15" i="15"/>
  <c r="G17" i="15"/>
  <c r="H11" i="15"/>
  <c r="G18" i="15"/>
  <c r="G31" i="25"/>
  <c r="H12" i="25"/>
  <c r="H31" i="25" s="1"/>
  <c r="G55" i="34"/>
  <c r="H44" i="34"/>
  <c r="J43" i="30"/>
  <c r="K43" i="30" s="1"/>
  <c r="E11" i="25"/>
  <c r="D30" i="25"/>
  <c r="D41" i="25" s="1"/>
  <c r="D47" i="25" s="1"/>
  <c r="D39" i="25"/>
  <c r="D44" i="25" s="1"/>
  <c r="H19" i="13"/>
  <c r="C26" i="11"/>
  <c r="E23" i="11" s="1"/>
  <c r="D30" i="29"/>
  <c r="D31" i="29" s="1"/>
  <c r="F21" i="29"/>
  <c r="F24" i="29" s="1"/>
  <c r="G20" i="29"/>
  <c r="G21" i="29" s="1"/>
  <c r="G24" i="29" s="1"/>
  <c r="E46" i="30"/>
  <c r="H24" i="26"/>
  <c r="L23" i="26"/>
  <c r="F26" i="13"/>
  <c r="C26" i="13"/>
  <c r="D26" i="13" s="1"/>
  <c r="F31" i="34"/>
  <c r="E36" i="34"/>
  <c r="E37" i="34" s="1"/>
  <c r="E54" i="34" s="1"/>
  <c r="E32" i="34"/>
  <c r="E53" i="34" s="1"/>
  <c r="I34" i="25"/>
  <c r="D13" i="24"/>
  <c r="E12" i="24"/>
  <c r="F12" i="24" s="1"/>
  <c r="B54" i="30"/>
  <c r="C25" i="26" l="1"/>
  <c r="D24" i="26"/>
  <c r="E58" i="34"/>
  <c r="C27" i="13"/>
  <c r="D27" i="13" s="1"/>
  <c r="G27" i="13" s="1"/>
  <c r="F27" i="13"/>
  <c r="F28" i="15"/>
  <c r="F28" i="13"/>
  <c r="C28" i="13"/>
  <c r="D28" i="13" s="1"/>
  <c r="G28" i="13" s="1"/>
  <c r="G26" i="15"/>
  <c r="H20" i="15" s="1"/>
  <c r="G25" i="15"/>
  <c r="F12" i="16"/>
  <c r="F17" i="16"/>
  <c r="F19" i="16" s="1"/>
  <c r="G10" i="16"/>
  <c r="F15" i="16"/>
  <c r="D22" i="13"/>
  <c r="G27" i="15"/>
  <c r="H14" i="15"/>
  <c r="C58" i="30"/>
  <c r="C59" i="30"/>
  <c r="E22" i="16"/>
  <c r="F14" i="16"/>
  <c r="G29" i="13"/>
  <c r="H17" i="28"/>
  <c r="H8" i="28"/>
  <c r="H10" i="28" s="1"/>
  <c r="H16" i="28"/>
  <c r="E13" i="24"/>
  <c r="F13" i="24" s="1"/>
  <c r="F36" i="34"/>
  <c r="F37" i="34" s="1"/>
  <c r="F54" i="34" s="1"/>
  <c r="G31" i="34"/>
  <c r="F32" i="34"/>
  <c r="H55" i="34"/>
  <c r="I44" i="34"/>
  <c r="G21" i="15"/>
  <c r="G23" i="15" s="1"/>
  <c r="G28" i="15" s="1"/>
  <c r="C22" i="13"/>
  <c r="E30" i="13" s="1"/>
  <c r="H33" i="25"/>
  <c r="I14" i="25"/>
  <c r="I33" i="25" s="1"/>
  <c r="G26" i="13"/>
  <c r="E30" i="25"/>
  <c r="E41" i="25" s="1"/>
  <c r="E47" i="25" s="1"/>
  <c r="E39" i="25"/>
  <c r="E44" i="25" s="1"/>
  <c r="F11" i="25"/>
  <c r="H15" i="15"/>
  <c r="H27" i="15" s="1"/>
  <c r="H18" i="15"/>
  <c r="H17" i="15"/>
  <c r="E17" i="16"/>
  <c r="E19" i="16" s="1"/>
  <c r="E21" i="16" s="1"/>
  <c r="G25" i="13"/>
  <c r="G27" i="29"/>
  <c r="G26" i="29"/>
  <c r="G28" i="29" s="1"/>
  <c r="C53" i="30"/>
  <c r="C54" i="30" s="1"/>
  <c r="B14" i="24"/>
  <c r="C13" i="24"/>
  <c r="D14" i="24" s="1"/>
  <c r="M24" i="26"/>
  <c r="E22" i="13"/>
  <c r="B21" i="23"/>
  <c r="G20" i="23"/>
  <c r="I20" i="23" s="1"/>
  <c r="H25" i="26"/>
  <c r="L24" i="26"/>
  <c r="E30" i="29"/>
  <c r="E31" i="29" s="1"/>
  <c r="F26" i="29"/>
  <c r="F28" i="29" s="1"/>
  <c r="M23" i="26"/>
  <c r="D25" i="26" l="1"/>
  <c r="C26" i="26"/>
  <c r="G21" i="23"/>
  <c r="I21" i="23" s="1"/>
  <c r="B22" i="23"/>
  <c r="C14" i="24"/>
  <c r="D15" i="24" s="1"/>
  <c r="B15" i="24"/>
  <c r="G30" i="29"/>
  <c r="G31" i="29" s="1"/>
  <c r="G30" i="13"/>
  <c r="G32" i="34"/>
  <c r="F53" i="34"/>
  <c r="F58" i="34" s="1"/>
  <c r="E14" i="24"/>
  <c r="F14" i="24" s="1"/>
  <c r="G15" i="16"/>
  <c r="H10" i="16"/>
  <c r="G12" i="16"/>
  <c r="F30" i="29"/>
  <c r="F31" i="29" s="1"/>
  <c r="H26" i="15"/>
  <c r="H25" i="15"/>
  <c r="F30" i="25"/>
  <c r="F41" i="25" s="1"/>
  <c r="F47" i="25" s="1"/>
  <c r="G11" i="25"/>
  <c r="F39" i="25"/>
  <c r="F44" i="25" s="1"/>
  <c r="H31" i="34"/>
  <c r="G36" i="34"/>
  <c r="H18" i="28"/>
  <c r="D57" i="30"/>
  <c r="H26" i="26"/>
  <c r="L25" i="26"/>
  <c r="M25" i="26" s="1"/>
  <c r="E23" i="16"/>
  <c r="F23" i="16" s="1"/>
  <c r="I55" i="34"/>
  <c r="J44" i="34"/>
  <c r="F21" i="16"/>
  <c r="D52" i="30"/>
  <c r="H21" i="15"/>
  <c r="H23" i="15" s="1"/>
  <c r="H28" i="15" s="1"/>
  <c r="H9" i="28"/>
  <c r="H11" i="28"/>
  <c r="H12" i="28" s="1"/>
  <c r="H19" i="28" s="1"/>
  <c r="H23" i="28" s="1"/>
  <c r="H26" i="28" s="1"/>
  <c r="G14" i="16"/>
  <c r="F22" i="16"/>
  <c r="D26" i="26" l="1"/>
  <c r="H27" i="26" s="1"/>
  <c r="C27" i="26"/>
  <c r="F8" i="29"/>
  <c r="G17" i="16"/>
  <c r="G19" i="16" s="1"/>
  <c r="G23" i="16" s="1"/>
  <c r="K44" i="34"/>
  <c r="J55" i="34"/>
  <c r="L26" i="26"/>
  <c r="D53" i="30"/>
  <c r="E53" i="30" s="1"/>
  <c r="I45" i="30" s="1"/>
  <c r="D58" i="30"/>
  <c r="E58" i="30" s="1"/>
  <c r="I46" i="30" s="1"/>
  <c r="I6" i="30" s="1"/>
  <c r="I7" i="30" s="1"/>
  <c r="D59" i="30"/>
  <c r="E59" i="30" s="1"/>
  <c r="H15" i="16"/>
  <c r="H22" i="16" s="1"/>
  <c r="H12" i="16"/>
  <c r="E15" i="24"/>
  <c r="F15" i="24" s="1"/>
  <c r="G22" i="23"/>
  <c r="I22" i="23" s="1"/>
  <c r="B23" i="23"/>
  <c r="M26" i="26"/>
  <c r="G30" i="25"/>
  <c r="G41" i="25" s="1"/>
  <c r="G47" i="25" s="1"/>
  <c r="G39" i="25"/>
  <c r="G44" i="25" s="1"/>
  <c r="H11" i="25"/>
  <c r="G22" i="16"/>
  <c r="H14" i="16"/>
  <c r="H17" i="16" s="1"/>
  <c r="H19" i="16" s="1"/>
  <c r="G21" i="16"/>
  <c r="H32" i="34"/>
  <c r="G53" i="34"/>
  <c r="G37" i="34"/>
  <c r="G54" i="34" s="1"/>
  <c r="C15" i="24"/>
  <c r="D16" i="24" s="1"/>
  <c r="B16" i="24"/>
  <c r="I31" i="34"/>
  <c r="H36" i="34"/>
  <c r="D54" i="30" l="1"/>
  <c r="E54" i="30" s="1"/>
  <c r="C28" i="26"/>
  <c r="D27" i="26"/>
  <c r="E16" i="24"/>
  <c r="F16" i="24" s="1"/>
  <c r="H28" i="26"/>
  <c r="L27" i="26"/>
  <c r="C16" i="24"/>
  <c r="D17" i="24" s="1"/>
  <c r="B17" i="24"/>
  <c r="H53" i="34"/>
  <c r="I32" i="34"/>
  <c r="H37" i="34"/>
  <c r="H54" i="34" s="1"/>
  <c r="I11" i="25"/>
  <c r="H30" i="25"/>
  <c r="H41" i="25" s="1"/>
  <c r="H47" i="25" s="1"/>
  <c r="H39" i="25"/>
  <c r="H44" i="25" s="1"/>
  <c r="G23" i="23"/>
  <c r="I23" i="23" s="1"/>
  <c r="B24" i="23"/>
  <c r="H21" i="16"/>
  <c r="M27" i="26"/>
  <c r="H23" i="16"/>
  <c r="I36" i="34"/>
  <c r="J31" i="34"/>
  <c r="G58" i="34"/>
  <c r="I47" i="30"/>
  <c r="H6" i="30"/>
  <c r="L44" i="34"/>
  <c r="K55" i="34"/>
  <c r="C29" i="26" l="1"/>
  <c r="D28" i="26"/>
  <c r="E17" i="24"/>
  <c r="F17" i="24" s="1"/>
  <c r="J32" i="34"/>
  <c r="I53" i="34"/>
  <c r="I37" i="34"/>
  <c r="I54" i="34" s="1"/>
  <c r="L55" i="34"/>
  <c r="M44" i="34"/>
  <c r="K31" i="34"/>
  <c r="J36" i="34"/>
  <c r="H58" i="34"/>
  <c r="J6" i="30"/>
  <c r="J7" i="30" s="1"/>
  <c r="H9" i="30" s="1"/>
  <c r="H7" i="30"/>
  <c r="B25" i="23"/>
  <c r="G24" i="23"/>
  <c r="I24" i="23" s="1"/>
  <c r="I30" i="25"/>
  <c r="I41" i="25" s="1"/>
  <c r="I47" i="25" s="1"/>
  <c r="I39" i="25"/>
  <c r="I44" i="25" s="1"/>
  <c r="B18" i="24"/>
  <c r="C17" i="24"/>
  <c r="D18" i="24" s="1"/>
  <c r="L28" i="26"/>
  <c r="H29" i="26"/>
  <c r="D29" i="26" l="1"/>
  <c r="C30" i="26"/>
  <c r="E18" i="24"/>
  <c r="F18" i="24" s="1"/>
  <c r="D19" i="24"/>
  <c r="L29" i="26"/>
  <c r="H30" i="26"/>
  <c r="C18" i="24"/>
  <c r="B19" i="24"/>
  <c r="B26" i="23"/>
  <c r="G26" i="23" s="1"/>
  <c r="I26" i="23" s="1"/>
  <c r="G25" i="23"/>
  <c r="I25" i="23" s="1"/>
  <c r="J53" i="34"/>
  <c r="J58" i="34" s="1"/>
  <c r="K32" i="34"/>
  <c r="J37" i="34"/>
  <c r="J54" i="34" s="1"/>
  <c r="L31" i="34"/>
  <c r="K36" i="34"/>
  <c r="I58" i="34"/>
  <c r="M55" i="34"/>
  <c r="N44" i="34"/>
  <c r="M29" i="26"/>
  <c r="M28" i="26"/>
  <c r="C31" i="26" l="1"/>
  <c r="D30" i="26"/>
  <c r="M31" i="34"/>
  <c r="L36" i="34"/>
  <c r="C19" i="24"/>
  <c r="B20" i="24"/>
  <c r="H31" i="26"/>
  <c r="L30" i="26"/>
  <c r="M30" i="26" s="1"/>
  <c r="C28" i="23"/>
  <c r="O44" i="34"/>
  <c r="N55" i="34"/>
  <c r="L32" i="34"/>
  <c r="K53" i="34"/>
  <c r="K37" i="34"/>
  <c r="K54" i="34" s="1"/>
  <c r="D20" i="24"/>
  <c r="E19" i="24"/>
  <c r="F19" i="24" s="1"/>
  <c r="K58" i="34" l="1"/>
  <c r="C32" i="26"/>
  <c r="D31" i="26"/>
  <c r="B21" i="24"/>
  <c r="C20" i="24"/>
  <c r="L53" i="34"/>
  <c r="L37" i="34"/>
  <c r="L54" i="34" s="1"/>
  <c r="M32" i="34"/>
  <c r="D21" i="24"/>
  <c r="E20" i="24"/>
  <c r="F20" i="24" s="1"/>
  <c r="M31" i="26"/>
  <c r="O55" i="34"/>
  <c r="P44" i="34"/>
  <c r="H32" i="26"/>
  <c r="L31" i="26"/>
  <c r="M36" i="34"/>
  <c r="N31" i="34"/>
  <c r="D32" i="26" l="1"/>
  <c r="C33" i="26"/>
  <c r="L58" i="34"/>
  <c r="N36" i="34"/>
  <c r="O31" i="34"/>
  <c r="P55" i="34"/>
  <c r="Q44" i="34"/>
  <c r="E21" i="24"/>
  <c r="F21" i="24" s="1"/>
  <c r="H33" i="26"/>
  <c r="L32" i="26"/>
  <c r="M32" i="26" s="1"/>
  <c r="N32" i="34"/>
  <c r="M53" i="34"/>
  <c r="M37" i="34"/>
  <c r="M54" i="34" s="1"/>
  <c r="B22" i="24"/>
  <c r="C21" i="24"/>
  <c r="D22" i="24" s="1"/>
  <c r="D33" i="26" l="1"/>
  <c r="C34" i="26"/>
  <c r="M58" i="34"/>
  <c r="D23" i="24"/>
  <c r="E22" i="24"/>
  <c r="F22" i="24" s="1"/>
  <c r="N53" i="34"/>
  <c r="O32" i="34"/>
  <c r="N37" i="34"/>
  <c r="N54" i="34" s="1"/>
  <c r="B23" i="24"/>
  <c r="C22" i="24"/>
  <c r="P31" i="34"/>
  <c r="O36" i="34"/>
  <c r="H34" i="26"/>
  <c r="L33" i="26"/>
  <c r="M33" i="26" s="1"/>
  <c r="Q55" i="34"/>
  <c r="R44" i="34"/>
  <c r="D34" i="26" l="1"/>
  <c r="C35" i="26"/>
  <c r="P36" i="34"/>
  <c r="Q31" i="34"/>
  <c r="H35" i="26"/>
  <c r="L34" i="26"/>
  <c r="S44" i="34"/>
  <c r="R55" i="34"/>
  <c r="P32" i="34"/>
  <c r="O53" i="34"/>
  <c r="O58" i="34" s="1"/>
  <c r="O37" i="34"/>
  <c r="O54" i="34" s="1"/>
  <c r="N58" i="34"/>
  <c r="M34" i="26"/>
  <c r="C23" i="24"/>
  <c r="D24" i="24" s="1"/>
  <c r="B24" i="24"/>
  <c r="E23" i="24"/>
  <c r="F23" i="24" s="1"/>
  <c r="D35" i="26" l="1"/>
  <c r="H36" i="26" s="1"/>
  <c r="C36" i="26"/>
  <c r="E24" i="24"/>
  <c r="F24" i="24" s="1"/>
  <c r="Q36" i="34"/>
  <c r="R31" i="34"/>
  <c r="P53" i="34"/>
  <c r="Q32" i="34"/>
  <c r="P37" i="34"/>
  <c r="P54" i="34" s="1"/>
  <c r="M35" i="26"/>
  <c r="C24" i="24"/>
  <c r="D25" i="24" s="1"/>
  <c r="B25" i="24"/>
  <c r="S55" i="34"/>
  <c r="T44" i="34"/>
  <c r="L35" i="26"/>
  <c r="C37" i="26" l="1"/>
  <c r="D36" i="26"/>
  <c r="E25" i="24"/>
  <c r="F25" i="24" s="1"/>
  <c r="L36" i="26"/>
  <c r="M36" i="26" s="1"/>
  <c r="H37" i="26"/>
  <c r="P58" i="34"/>
  <c r="B26" i="24"/>
  <c r="C25" i="24"/>
  <c r="D26" i="24" s="1"/>
  <c r="R36" i="34"/>
  <c r="S31" i="34"/>
  <c r="T55" i="34"/>
  <c r="U44" i="34"/>
  <c r="Q53" i="34"/>
  <c r="R32" i="34"/>
  <c r="Q37" i="34"/>
  <c r="Q54" i="34" s="1"/>
  <c r="D37" i="26" l="1"/>
  <c r="H38" i="26" s="1"/>
  <c r="C38" i="26"/>
  <c r="R53" i="34"/>
  <c r="S32" i="34"/>
  <c r="R37" i="34"/>
  <c r="R54" i="34" s="1"/>
  <c r="T31" i="34"/>
  <c r="S36" i="34"/>
  <c r="L37" i="26"/>
  <c r="Q58" i="34"/>
  <c r="B27" i="24"/>
  <c r="C26" i="24"/>
  <c r="M37" i="26"/>
  <c r="V44" i="34"/>
  <c r="V55" i="34" s="1"/>
  <c r="U55" i="34"/>
  <c r="E26" i="24"/>
  <c r="F26" i="24" s="1"/>
  <c r="D27" i="24"/>
  <c r="D38" i="26" l="1"/>
  <c r="H39" i="26" s="1"/>
  <c r="C39" i="26"/>
  <c r="M38" i="26"/>
  <c r="L38" i="26"/>
  <c r="T32" i="34"/>
  <c r="S53" i="34"/>
  <c r="S37" i="34"/>
  <c r="S54" i="34" s="1"/>
  <c r="C27" i="24"/>
  <c r="B28" i="24"/>
  <c r="R58" i="34"/>
  <c r="T36" i="34"/>
  <c r="U31" i="34"/>
  <c r="E27" i="24"/>
  <c r="F27" i="24" s="1"/>
  <c r="D28" i="24"/>
  <c r="C16" i="26" l="1"/>
  <c r="C17" i="26" s="1"/>
  <c r="D39" i="26"/>
  <c r="E28" i="24"/>
  <c r="F28" i="24" s="1"/>
  <c r="S58" i="34"/>
  <c r="B29" i="24"/>
  <c r="C28" i="24"/>
  <c r="D29" i="24" s="1"/>
  <c r="T53" i="34"/>
  <c r="T58" i="34" s="1"/>
  <c r="U32" i="34"/>
  <c r="T37" i="34"/>
  <c r="T54" i="34" s="1"/>
  <c r="U36" i="34"/>
  <c r="V31" i="34"/>
  <c r="V36" i="34" s="1"/>
  <c r="H40" i="26"/>
  <c r="L39" i="26"/>
  <c r="M39" i="26" s="1"/>
  <c r="E42" i="26" l="1"/>
  <c r="G42" i="26" s="1"/>
  <c r="E46" i="26"/>
  <c r="G46" i="26" s="1"/>
  <c r="E50" i="26"/>
  <c r="G50" i="26" s="1"/>
  <c r="E54" i="26"/>
  <c r="G54" i="26" s="1"/>
  <c r="E58" i="26"/>
  <c r="G58" i="26" s="1"/>
  <c r="E62" i="26"/>
  <c r="G62" i="26" s="1"/>
  <c r="E47" i="26"/>
  <c r="G47" i="26" s="1"/>
  <c r="E55" i="26"/>
  <c r="G55" i="26" s="1"/>
  <c r="E63" i="26"/>
  <c r="G63" i="26" s="1"/>
  <c r="E40" i="26"/>
  <c r="G40" i="26" s="1"/>
  <c r="E44" i="26"/>
  <c r="G44" i="26" s="1"/>
  <c r="E52" i="26"/>
  <c r="G52" i="26" s="1"/>
  <c r="E60" i="26"/>
  <c r="G60" i="26" s="1"/>
  <c r="E41" i="26"/>
  <c r="G41" i="26" s="1"/>
  <c r="E45" i="26"/>
  <c r="G45" i="26" s="1"/>
  <c r="E49" i="26"/>
  <c r="G49" i="26" s="1"/>
  <c r="E53" i="26"/>
  <c r="G53" i="26" s="1"/>
  <c r="E57" i="26"/>
  <c r="G57" i="26" s="1"/>
  <c r="E61" i="26"/>
  <c r="G61" i="26" s="1"/>
  <c r="E64" i="26"/>
  <c r="G64" i="26" s="1"/>
  <c r="E43" i="26"/>
  <c r="G43" i="26" s="1"/>
  <c r="E51" i="26"/>
  <c r="G51" i="26" s="1"/>
  <c r="E59" i="26"/>
  <c r="G59" i="26" s="1"/>
  <c r="E48" i="26"/>
  <c r="G48" i="26" s="1"/>
  <c r="E56" i="26"/>
  <c r="G56" i="26" s="1"/>
  <c r="E65" i="26"/>
  <c r="G65" i="26" s="1"/>
  <c r="E29" i="24"/>
  <c r="F29" i="24" s="1"/>
  <c r="V32" i="34"/>
  <c r="U53" i="34"/>
  <c r="U37" i="34"/>
  <c r="U54" i="34" s="1"/>
  <c r="M40" i="26"/>
  <c r="L40" i="26"/>
  <c r="B30" i="24"/>
  <c r="C29" i="24"/>
  <c r="D30" i="24" s="1"/>
  <c r="H41" i="26" l="1"/>
  <c r="E30" i="24"/>
  <c r="F30" i="24" s="1"/>
  <c r="L41" i="26"/>
  <c r="M41" i="26" s="1"/>
  <c r="H42" i="26"/>
  <c r="V53" i="34"/>
  <c r="V37" i="34"/>
  <c r="V54" i="34" s="1"/>
  <c r="C30" i="24"/>
  <c r="D31" i="24" s="1"/>
  <c r="B31" i="24"/>
  <c r="U58" i="34"/>
  <c r="C31" i="24" l="1"/>
  <c r="B32" i="24"/>
  <c r="H43" i="26"/>
  <c r="L42" i="26"/>
  <c r="M42" i="26" s="1"/>
  <c r="V58" i="34"/>
  <c r="G4" i="34" s="1"/>
  <c r="D32" i="24"/>
  <c r="E31" i="24"/>
  <c r="F31" i="24" s="1"/>
  <c r="L43" i="26" l="1"/>
  <c r="H44" i="26"/>
  <c r="E32" i="24"/>
  <c r="F32" i="24" s="1"/>
  <c r="C32" i="24"/>
  <c r="D33" i="24" s="1"/>
  <c r="B33" i="24"/>
  <c r="E33" i="24" l="1"/>
  <c r="F33" i="24" s="1"/>
  <c r="B34" i="24"/>
  <c r="C33" i="24"/>
  <c r="D34" i="24" s="1"/>
  <c r="M43" i="26"/>
  <c r="L44" i="26"/>
  <c r="H45" i="26"/>
  <c r="E34" i="24" l="1"/>
  <c r="F34" i="24" s="1"/>
  <c r="M44" i="26"/>
  <c r="L45" i="26"/>
  <c r="H46" i="26"/>
  <c r="C34" i="24"/>
  <c r="D35" i="24" s="1"/>
  <c r="B35" i="24"/>
  <c r="C35" i="24" l="1"/>
  <c r="D36" i="24" s="1"/>
  <c r="B36" i="24"/>
  <c r="M45" i="26"/>
  <c r="L46" i="26"/>
  <c r="H47" i="26"/>
  <c r="E35" i="24"/>
  <c r="F35" i="24" s="1"/>
  <c r="E36" i="24" l="1"/>
  <c r="F36" i="24" s="1"/>
  <c r="L47" i="26"/>
  <c r="H48" i="26"/>
  <c r="B37" i="24"/>
  <c r="C36" i="24"/>
  <c r="D37" i="24" s="1"/>
  <c r="M47" i="26"/>
  <c r="M46" i="26"/>
  <c r="E37" i="24" l="1"/>
  <c r="F37" i="24" s="1"/>
  <c r="L48" i="26"/>
  <c r="M48" i="26" s="1"/>
  <c r="H49" i="26"/>
  <c r="B38" i="24"/>
  <c r="C37" i="24"/>
  <c r="D38" i="24" s="1"/>
  <c r="L49" i="26" l="1"/>
  <c r="H50" i="26"/>
  <c r="M49" i="26"/>
  <c r="B39" i="24"/>
  <c r="C38" i="24"/>
  <c r="D39" i="24"/>
  <c r="E38" i="24"/>
  <c r="F38" i="24" s="1"/>
  <c r="L50" i="26" l="1"/>
  <c r="H51" i="26"/>
  <c r="C39" i="24"/>
  <c r="D40" i="24" s="1"/>
  <c r="B40" i="24"/>
  <c r="E39" i="24"/>
  <c r="F39" i="24" s="1"/>
  <c r="M50" i="26"/>
  <c r="E40" i="24" l="1"/>
  <c r="F40" i="24" s="1"/>
  <c r="L51" i="26"/>
  <c r="M51" i="26" s="1"/>
  <c r="H52" i="26"/>
  <c r="C40" i="24"/>
  <c r="D41" i="24" s="1"/>
  <c r="B41" i="24"/>
  <c r="E41" i="24" l="1"/>
  <c r="F41" i="24" s="1"/>
  <c r="D42" i="24"/>
  <c r="B42" i="24"/>
  <c r="C41" i="24"/>
  <c r="L52" i="26"/>
  <c r="H53" i="26"/>
  <c r="L53" i="26" l="1"/>
  <c r="M53" i="26" s="1"/>
  <c r="H54" i="26"/>
  <c r="D43" i="24"/>
  <c r="E42" i="24"/>
  <c r="F42" i="24" s="1"/>
  <c r="M52" i="26"/>
  <c r="B43" i="24"/>
  <c r="C42" i="24"/>
  <c r="C43" i="24" l="1"/>
  <c r="B44" i="24"/>
  <c r="L54" i="26"/>
  <c r="H55" i="26"/>
  <c r="E43" i="24"/>
  <c r="F43" i="24" s="1"/>
  <c r="D44" i="24"/>
  <c r="M54" i="26"/>
  <c r="E44" i="24" l="1"/>
  <c r="F44" i="24" s="1"/>
  <c r="B45" i="24"/>
  <c r="C44" i="24"/>
  <c r="D45" i="24" s="1"/>
  <c r="L55" i="26"/>
  <c r="H56" i="26"/>
  <c r="M55" i="26"/>
  <c r="L56" i="26" l="1"/>
  <c r="M56" i="26" s="1"/>
  <c r="H57" i="26"/>
  <c r="E45" i="24"/>
  <c r="F45" i="24" s="1"/>
  <c r="B46" i="24"/>
  <c r="C45" i="24"/>
  <c r="D46" i="24" s="1"/>
  <c r="E46" i="24" l="1"/>
  <c r="F46" i="24" s="1"/>
  <c r="L57" i="26"/>
  <c r="M57" i="26" s="1"/>
  <c r="H58" i="26"/>
  <c r="C46" i="24"/>
  <c r="D47" i="24" s="1"/>
  <c r="B47" i="24"/>
  <c r="E47" i="24" l="1"/>
  <c r="F47" i="24" s="1"/>
  <c r="L58" i="26"/>
  <c r="M58" i="26" s="1"/>
  <c r="H59" i="26"/>
  <c r="C47" i="24"/>
  <c r="D48" i="24" s="1"/>
  <c r="B48" i="24"/>
  <c r="E48" i="24" l="1"/>
  <c r="F48" i="24" s="1"/>
  <c r="L59" i="26"/>
  <c r="H60" i="26"/>
  <c r="C48" i="24"/>
  <c r="D49" i="24" s="1"/>
  <c r="B49" i="24"/>
  <c r="M59" i="26"/>
  <c r="E49" i="24" l="1"/>
  <c r="F49" i="24" s="1"/>
  <c r="L60" i="26"/>
  <c r="M60" i="26" s="1"/>
  <c r="H61" i="26"/>
  <c r="B50" i="24"/>
  <c r="C49" i="24"/>
  <c r="D50" i="24" s="1"/>
  <c r="E50" i="24" l="1"/>
  <c r="F50" i="24" s="1"/>
  <c r="L61" i="26"/>
  <c r="H62" i="26"/>
  <c r="C50" i="24"/>
  <c r="D51" i="24" s="1"/>
  <c r="B51" i="24"/>
  <c r="E51" i="24" l="1"/>
  <c r="F51" i="24" s="1"/>
  <c r="L62" i="26"/>
  <c r="H63" i="26"/>
  <c r="C51" i="24"/>
  <c r="D52" i="24" s="1"/>
  <c r="B52" i="24"/>
  <c r="M62" i="26"/>
  <c r="M61" i="26"/>
  <c r="E52" i="24" l="1"/>
  <c r="F52" i="24" s="1"/>
  <c r="B53" i="24"/>
  <c r="C52" i="24"/>
  <c r="D53" i="24" s="1"/>
  <c r="L63" i="26"/>
  <c r="M63" i="26" s="1"/>
  <c r="H64" i="26"/>
  <c r="E53" i="24" l="1"/>
  <c r="F53" i="24" s="1"/>
  <c r="B54" i="24"/>
  <c r="C53" i="24"/>
  <c r="D54" i="24" s="1"/>
  <c r="L64" i="26"/>
  <c r="M64" i="26" s="1"/>
  <c r="H65" i="26"/>
  <c r="L65" i="26" s="1"/>
  <c r="E54" i="24" l="1"/>
  <c r="F54" i="24" s="1"/>
  <c r="C54" i="24"/>
  <c r="D55" i="24" s="1"/>
  <c r="B55" i="24"/>
  <c r="M65" i="26"/>
  <c r="L21" i="26" s="1"/>
  <c r="C18" i="26" s="1"/>
  <c r="C55" i="24" l="1"/>
  <c r="B56" i="24"/>
  <c r="D56" i="24"/>
  <c r="E55" i="24"/>
  <c r="F55" i="24" s="1"/>
  <c r="E56" i="24" l="1"/>
  <c r="F56" i="24" s="1"/>
  <c r="B57" i="24"/>
  <c r="C56" i="24"/>
  <c r="D57" i="24" s="1"/>
  <c r="E57" i="24" l="1"/>
  <c r="F57" i="24" s="1"/>
  <c r="B58" i="24"/>
  <c r="C57" i="24"/>
  <c r="D58" i="24" s="1"/>
  <c r="E58" i="24" l="1"/>
  <c r="F58" i="24" s="1"/>
  <c r="C58" i="24"/>
  <c r="D59" i="24" s="1"/>
  <c r="B59" i="24"/>
  <c r="E59" i="24" l="1"/>
  <c r="F59" i="24" s="1"/>
  <c r="C59" i="24"/>
  <c r="D60" i="24" s="1"/>
  <c r="B60" i="24"/>
  <c r="D61" i="24" l="1"/>
  <c r="E60" i="24"/>
  <c r="F60" i="24" s="1"/>
  <c r="B61" i="24"/>
  <c r="C60" i="24"/>
  <c r="B62" i="24" l="1"/>
  <c r="C61" i="24"/>
  <c r="D62" i="24" s="1"/>
  <c r="E61" i="24"/>
  <c r="F61" i="24" s="1"/>
  <c r="E62" i="24" l="1"/>
  <c r="F62" i="24" s="1"/>
  <c r="D63" i="24"/>
  <c r="C62" i="24"/>
  <c r="B63" i="24"/>
  <c r="E63" i="24" l="1"/>
  <c r="F63" i="24" s="1"/>
  <c r="C63" i="24"/>
  <c r="D64" i="24" s="1"/>
  <c r="B64" i="24"/>
  <c r="B65" i="24" l="1"/>
  <c r="C64" i="24"/>
  <c r="D65" i="24" s="1"/>
  <c r="E64" i="24"/>
  <c r="F64" i="24" s="1"/>
  <c r="E65" i="24" l="1"/>
  <c r="F65" i="24" s="1"/>
  <c r="B66" i="24"/>
  <c r="C65" i="24"/>
  <c r="D66" i="24" s="1"/>
  <c r="E66" i="24" l="1"/>
  <c r="F66" i="24" s="1"/>
  <c r="C66" i="24"/>
  <c r="D67" i="24" s="1"/>
  <c r="B67" i="24"/>
  <c r="E67" i="24" l="1"/>
  <c r="F67" i="24" s="1"/>
  <c r="C67" i="24"/>
  <c r="D68" i="24" s="1"/>
  <c r="B68" i="24"/>
  <c r="E68" i="24" l="1"/>
  <c r="F68" i="24" s="1"/>
  <c r="B69" i="24"/>
  <c r="C68" i="24"/>
  <c r="D69" i="24" s="1"/>
  <c r="E69" i="24" l="1"/>
  <c r="F69" i="24" s="1"/>
  <c r="B70" i="24"/>
  <c r="C69" i="24"/>
  <c r="D70" i="24" s="1"/>
  <c r="E70" i="24" l="1"/>
  <c r="F70" i="24" s="1"/>
  <c r="C70" i="24"/>
  <c r="D71" i="24" s="1"/>
  <c r="B71" i="24"/>
  <c r="C71" i="24" l="1"/>
  <c r="D72" i="24" s="1"/>
  <c r="B72" i="24"/>
  <c r="E71" i="24"/>
  <c r="F71" i="24" s="1"/>
  <c r="E72" i="24" l="1"/>
  <c r="F72" i="24" s="1"/>
  <c r="B73" i="24"/>
  <c r="C72" i="24"/>
  <c r="D73" i="24" s="1"/>
  <c r="D74" i="24" l="1"/>
  <c r="E73" i="24"/>
  <c r="F73" i="24" s="1"/>
  <c r="B74" i="24"/>
  <c r="C73" i="24"/>
  <c r="E74" i="24" l="1"/>
  <c r="F74" i="24" s="1"/>
  <c r="C74" i="24"/>
  <c r="D75" i="24" s="1"/>
  <c r="B75" i="24"/>
  <c r="E75" i="24" l="1"/>
  <c r="F75" i="24" s="1"/>
  <c r="C75" i="24"/>
  <c r="D76" i="24" s="1"/>
  <c r="B76" i="24"/>
  <c r="E76" i="24" l="1"/>
  <c r="F76" i="24" s="1"/>
  <c r="B77" i="24"/>
  <c r="C76" i="24"/>
  <c r="D77" i="24" s="1"/>
  <c r="E77" i="24" l="1"/>
  <c r="F77" i="24" s="1"/>
  <c r="B78" i="24"/>
  <c r="C77" i="24"/>
  <c r="D78" i="24" s="1"/>
  <c r="C78" i="24" l="1"/>
  <c r="D79" i="24" s="1"/>
  <c r="B79" i="24"/>
  <c r="E78" i="24"/>
  <c r="F78" i="24" s="1"/>
  <c r="E79" i="24" l="1"/>
  <c r="F79" i="24" s="1"/>
  <c r="C79" i="24"/>
  <c r="D80" i="24" s="1"/>
  <c r="B80" i="24"/>
  <c r="E80" i="24" l="1"/>
  <c r="F80" i="24" s="1"/>
  <c r="B81" i="24"/>
  <c r="C80" i="24"/>
  <c r="D81" i="24" s="1"/>
  <c r="E81" i="24" l="1"/>
  <c r="F81" i="24" s="1"/>
  <c r="B82" i="24"/>
  <c r="C81" i="24"/>
  <c r="D82" i="24" s="1"/>
  <c r="E82" i="24" l="1"/>
  <c r="F82" i="24" s="1"/>
  <c r="C82" i="24"/>
  <c r="D83" i="24" s="1"/>
  <c r="B83" i="24"/>
  <c r="E83" i="24" l="1"/>
  <c r="F83" i="24" s="1"/>
  <c r="C83" i="24"/>
  <c r="D84" i="24" s="1"/>
  <c r="B84" i="24"/>
  <c r="E84" i="24" l="1"/>
  <c r="F84" i="24" s="1"/>
  <c r="B85" i="24"/>
  <c r="C84" i="24"/>
  <c r="D85" i="24" s="1"/>
  <c r="E85" i="24" l="1"/>
  <c r="F85" i="24" s="1"/>
  <c r="B86" i="24"/>
  <c r="C85" i="24"/>
  <c r="D86" i="24" s="1"/>
  <c r="E86" i="24" l="1"/>
  <c r="F86" i="24" s="1"/>
  <c r="C86" i="24"/>
  <c r="D87" i="24" s="1"/>
  <c r="B87" i="24"/>
  <c r="E87" i="24" l="1"/>
  <c r="F87" i="24" s="1"/>
  <c r="C87" i="24"/>
  <c r="D88" i="24" s="1"/>
  <c r="B88" i="24"/>
  <c r="B89" i="24" l="1"/>
  <c r="C88" i="24"/>
  <c r="D89" i="24" s="1"/>
  <c r="E88" i="24"/>
  <c r="F88" i="24" s="1"/>
  <c r="E89" i="24" l="1"/>
  <c r="F89" i="24" s="1"/>
  <c r="C89" i="24"/>
  <c r="D90" i="24" s="1"/>
  <c r="E90" i="24" s="1"/>
  <c r="B90" i="24"/>
  <c r="C90" i="24" s="1"/>
  <c r="F90" i="24" l="1"/>
  <c r="G3" i="24" s="1"/>
  <c r="G4" i="24" s="1"/>
  <c r="G5" i="24"/>
  <c r="G6" i="24" l="1"/>
</calcChain>
</file>

<file path=xl/sharedStrings.xml><?xml version="1.0" encoding="utf-8"?>
<sst xmlns="http://schemas.openxmlformats.org/spreadsheetml/2006/main" count="609" uniqueCount="403">
  <si>
    <t>After breaking even in February, the XYZ Company anticipates increasing profits.</t>
  </si>
  <si>
    <t>with payment lags and accrual accounting</t>
  </si>
  <si>
    <t>Initial Receivables</t>
  </si>
  <si>
    <t>Sales value</t>
  </si>
  <si>
    <t>Cost of sales</t>
  </si>
  <si>
    <t>Cash In</t>
  </si>
  <si>
    <t>Cash Out</t>
  </si>
  <si>
    <t>Receivables</t>
  </si>
  <si>
    <t>In spite of increasing net income, the XYZ Company will run short of cash at the end of April.</t>
  </si>
  <si>
    <t>Versioning</t>
  </si>
  <si>
    <t>Product</t>
  </si>
  <si>
    <t>Size (000)</t>
  </si>
  <si>
    <t>Cost (000)</t>
  </si>
  <si>
    <t>Segment</t>
  </si>
  <si>
    <t>Students</t>
  </si>
  <si>
    <t>Laboratories</t>
  </si>
  <si>
    <t>Consultants</t>
  </si>
  <si>
    <t>Small Cos.</t>
  </si>
  <si>
    <t>Large Cos.</t>
  </si>
  <si>
    <t>Fixed cost (000)</t>
  </si>
  <si>
    <t>Value</t>
  </si>
  <si>
    <t>Max</t>
  </si>
  <si>
    <t>Active?</t>
  </si>
  <si>
    <t>Choice</t>
  </si>
  <si>
    <t>Entry</t>
  </si>
  <si>
    <t>1 if yes; 0 if no</t>
  </si>
  <si>
    <t>Price paid</t>
  </si>
  <si>
    <t>Adv. Cost</t>
  </si>
  <si>
    <t>Vbl cost</t>
  </si>
  <si>
    <t>Fixed cost</t>
  </si>
  <si>
    <t>Educational</t>
  </si>
  <si>
    <t>Large Scale</t>
  </si>
  <si>
    <t>High Speed</t>
  </si>
  <si>
    <t xml:space="preserve"> </t>
  </si>
  <si>
    <t>Revenue</t>
  </si>
  <si>
    <t>Cost</t>
  </si>
  <si>
    <t>Capacity</t>
  </si>
  <si>
    <t>Data</t>
  </si>
  <si>
    <t>Demand</t>
  </si>
  <si>
    <t>Supply</t>
  </si>
  <si>
    <t>BMW Analysis</t>
  </si>
  <si>
    <t>Base Year 89</t>
  </si>
  <si>
    <t>BMW in 89</t>
  </si>
  <si>
    <t>BMW mkt share</t>
  </si>
  <si>
    <t>Vehicles recycled (000)</t>
  </si>
  <si>
    <t>Given</t>
  </si>
  <si>
    <t>From share</t>
  </si>
  <si>
    <t>Percent recycled</t>
  </si>
  <si>
    <t>Same as industry</t>
  </si>
  <si>
    <t>Total EOL vehicles (000)</t>
  </si>
  <si>
    <t>Calculated</t>
  </si>
  <si>
    <t>Avg. vehicle weight (kg)</t>
  </si>
  <si>
    <t>Based roughly on Ex.1</t>
  </si>
  <si>
    <t>Weight recycled (KT)</t>
  </si>
  <si>
    <t>Weight ASR</t>
  </si>
  <si>
    <t>Disposal components</t>
  </si>
  <si>
    <t xml:space="preserve">  Landfill cost per T</t>
  </si>
  <si>
    <t xml:space="preserve">   Percent of mix</t>
  </si>
  <si>
    <t>Nat'l figure 65:35</t>
  </si>
  <si>
    <t xml:space="preserve">  Incineration cost per T</t>
  </si>
  <si>
    <t>Twice landfill</t>
  </si>
  <si>
    <t>Complement</t>
  </si>
  <si>
    <t>Weighted average cost/T</t>
  </si>
  <si>
    <t>With "business as usual," disposal-related costs will rise to over 21% of net income.</t>
  </si>
  <si>
    <t>Assets</t>
  </si>
  <si>
    <t>Family</t>
  </si>
  <si>
    <t>Enter 3</t>
  </si>
  <si>
    <t>Annual</t>
  </si>
  <si>
    <t>Parent</t>
  </si>
  <si>
    <t>Child</t>
  </si>
  <si>
    <t>Total</t>
  </si>
  <si>
    <t>Parameters</t>
  </si>
  <si>
    <t>Size</t>
  </si>
  <si>
    <t>for Family</t>
  </si>
  <si>
    <t>Expenses</t>
  </si>
  <si>
    <t>Plan</t>
  </si>
  <si>
    <t>Deductible</t>
  </si>
  <si>
    <t>Co-Ins</t>
  </si>
  <si>
    <t>Outlays</t>
  </si>
  <si>
    <t>Pay</t>
  </si>
  <si>
    <t>Co-Pay</t>
  </si>
  <si>
    <t>Premium Data</t>
  </si>
  <si>
    <t>Premium</t>
  </si>
  <si>
    <t>w/ Premium</t>
  </si>
  <si>
    <t>Best Plan</t>
  </si>
  <si>
    <t>min</t>
  </si>
  <si>
    <t>Size 1</t>
  </si>
  <si>
    <t>Size 2</t>
  </si>
  <si>
    <t>Size &gt;2</t>
  </si>
  <si>
    <t>Employee</t>
  </si>
  <si>
    <t>Costs</t>
  </si>
  <si>
    <t>Policy Parameters</t>
  </si>
  <si>
    <t>Pct. ASR</t>
  </si>
  <si>
    <t>Net Income</t>
  </si>
  <si>
    <t>Inflation</t>
  </si>
  <si>
    <t>Variable cost</t>
  </si>
  <si>
    <t>Profit</t>
  </si>
  <si>
    <t>Other</t>
  </si>
  <si>
    <t>XYZ Company</t>
  </si>
  <si>
    <t>with cash accounting and no payment lags</t>
  </si>
  <si>
    <t>Price</t>
  </si>
  <si>
    <t>Initial cash</t>
  </si>
  <si>
    <t>Sales delta</t>
  </si>
  <si>
    <t>Calculations</t>
  </si>
  <si>
    <t>Jan</t>
  </si>
  <si>
    <t>Feb</t>
  </si>
  <si>
    <t>Mar</t>
  </si>
  <si>
    <t>Apr</t>
  </si>
  <si>
    <t>May</t>
  </si>
  <si>
    <t>Jun</t>
  </si>
  <si>
    <t>Sales units</t>
  </si>
  <si>
    <t>Unit price</t>
  </si>
  <si>
    <t>Begin Inventory</t>
  </si>
  <si>
    <t>Ending Inventory</t>
  </si>
  <si>
    <t xml:space="preserve">  </t>
  </si>
  <si>
    <t>Production units</t>
  </si>
  <si>
    <t>Unit cost</t>
  </si>
  <si>
    <t>Production cost</t>
  </si>
  <si>
    <t>Results</t>
  </si>
  <si>
    <t>Inventory value</t>
  </si>
  <si>
    <t>Net Cash</t>
  </si>
  <si>
    <t>Taxes</t>
  </si>
  <si>
    <t>Salary</t>
  </si>
  <si>
    <t>Flexible Insurance Coverage</t>
  </si>
  <si>
    <t>BMW disposal cost (M)</t>
  </si>
  <si>
    <t>BMW net income (M)</t>
  </si>
  <si>
    <t>Percentage</t>
  </si>
  <si>
    <t>Projected 99</t>
  </si>
  <si>
    <t>BMW in 99</t>
  </si>
  <si>
    <t>Growth</t>
  </si>
  <si>
    <t>From growth</t>
  </si>
  <si>
    <t>Computed</t>
  </si>
  <si>
    <t>Unchanged</t>
  </si>
  <si>
    <t>Based on Ex.1</t>
  </si>
  <si>
    <t>600 - 1800</t>
  </si>
  <si>
    <t>Twice L/F?</t>
  </si>
  <si>
    <t>Initial assets</t>
  </si>
  <si>
    <t>Savings rate</t>
  </si>
  <si>
    <t>Age</t>
  </si>
  <si>
    <t>Retirement</t>
  </si>
  <si>
    <t>Contributions</t>
  </si>
  <si>
    <t xml:space="preserve">Retirement </t>
  </si>
  <si>
    <t>Post-retirement</t>
  </si>
  <si>
    <t>Last salary</t>
  </si>
  <si>
    <t>Retire date</t>
  </si>
  <si>
    <t>Post-retirement withdrawal rate</t>
  </si>
  <si>
    <t>Salary growth</t>
  </si>
  <si>
    <t>Investment return pre-retire</t>
  </si>
  <si>
    <t>Investment return post-retire</t>
  </si>
  <si>
    <t>Initial post-retirement income</t>
  </si>
  <si>
    <t>Post-retirement tax rate</t>
  </si>
  <si>
    <t>Model</t>
  </si>
  <si>
    <t>Year Assets = 0</t>
  </si>
  <si>
    <t>SS</t>
  </si>
  <si>
    <t>Income</t>
  </si>
  <si>
    <t>SS Income at retirement</t>
  </si>
  <si>
    <t>Needs</t>
  </si>
  <si>
    <t>Year assets = 0</t>
  </si>
  <si>
    <t>Draft TV Commercials</t>
  </si>
  <si>
    <t>Budget</t>
  </si>
  <si>
    <t xml:space="preserve">   </t>
  </si>
  <si>
    <t>Ad Cost</t>
  </si>
  <si>
    <t>SD Impress</t>
  </si>
  <si>
    <t>SD Reliability</t>
  </si>
  <si>
    <t>Drafts</t>
  </si>
  <si>
    <t>True Impressions</t>
  </si>
  <si>
    <t>per dollar</t>
  </si>
  <si>
    <t>Reliability (%)</t>
  </si>
  <si>
    <t>Apparent</t>
  </si>
  <si>
    <t>Impressions</t>
  </si>
  <si>
    <t>True Best</t>
  </si>
  <si>
    <t>Apparent Best</t>
  </si>
  <si>
    <t>True Retained</t>
  </si>
  <si>
    <t>Apparent Retained</t>
  </si>
  <si>
    <t>Icebergs for Kuwait</t>
  </si>
  <si>
    <t>Rental</t>
  </si>
  <si>
    <t>Fuel</t>
  </si>
  <si>
    <t>Parameters:</t>
  </si>
  <si>
    <t>Speed</t>
  </si>
  <si>
    <t>Volume</t>
  </si>
  <si>
    <t>Day</t>
  </si>
  <si>
    <t>Distance</t>
  </si>
  <si>
    <t>Melting</t>
  </si>
  <si>
    <t>Radius</t>
  </si>
  <si>
    <t>Fuel Cost</t>
  </si>
  <si>
    <t>Racquetball</t>
  </si>
  <si>
    <t>variable costs</t>
  </si>
  <si>
    <t>dollars</t>
  </si>
  <si>
    <t>initial players</t>
  </si>
  <si>
    <t>millions</t>
  </si>
  <si>
    <t>players growth</t>
  </si>
  <si>
    <t>%/yr</t>
  </si>
  <si>
    <t>Woodrow price</t>
  </si>
  <si>
    <t>our price</t>
  </si>
  <si>
    <t>balls/buyer</t>
  </si>
  <si>
    <t>plant cost</t>
  </si>
  <si>
    <t>share a</t>
  </si>
  <si>
    <t>share b</t>
  </si>
  <si>
    <t>discount rate</t>
  </si>
  <si>
    <t xml:space="preserve">Woodrow </t>
  </si>
  <si>
    <t>Our</t>
  </si>
  <si>
    <t>Demand/</t>
  </si>
  <si>
    <t>Time</t>
  </si>
  <si>
    <t>Players</t>
  </si>
  <si>
    <t>Ratio</t>
  </si>
  <si>
    <t>Share</t>
  </si>
  <si>
    <t>Buyers</t>
  </si>
  <si>
    <t>Buyer</t>
  </si>
  <si>
    <t>Contribution</t>
  </si>
  <si>
    <t>NPV (millions)</t>
  </si>
  <si>
    <t>Medical Supplies</t>
  </si>
  <si>
    <t>Item</t>
  </si>
  <si>
    <t>Children</t>
  </si>
  <si>
    <t>Teens</t>
  </si>
  <si>
    <t>Seniors</t>
  </si>
  <si>
    <t>Stock</t>
  </si>
  <si>
    <t>Order</t>
  </si>
  <si>
    <t>A bandage</t>
  </si>
  <si>
    <t>packages</t>
  </si>
  <si>
    <t>B bandage</t>
  </si>
  <si>
    <t>C bandage</t>
  </si>
  <si>
    <t>Rolls</t>
  </si>
  <si>
    <t>rolls</t>
  </si>
  <si>
    <t>Aids</t>
  </si>
  <si>
    <t>aids</t>
  </si>
  <si>
    <t>Population</t>
  </si>
  <si>
    <t>Reid's Raisin Co.</t>
  </si>
  <si>
    <t>Financial</t>
  </si>
  <si>
    <t>Fixed values</t>
  </si>
  <si>
    <t>Coating cost</t>
  </si>
  <si>
    <t>per lb</t>
  </si>
  <si>
    <t>Sales</t>
  </si>
  <si>
    <t>Raisins (lb)</t>
  </si>
  <si>
    <t>Grapes/unit</t>
  </si>
  <si>
    <t>lbs per lb</t>
  </si>
  <si>
    <t>Raw Material</t>
  </si>
  <si>
    <t>Sugar coat (lb)</t>
  </si>
  <si>
    <t>Coat/unit</t>
  </si>
  <si>
    <t>Coat costs</t>
  </si>
  <si>
    <t>Vbl. Cost</t>
  </si>
  <si>
    <t>Grapes</t>
  </si>
  <si>
    <t>Outsource</t>
  </si>
  <si>
    <t xml:space="preserve">  Used</t>
  </si>
  <si>
    <t xml:space="preserve">  Unused</t>
  </si>
  <si>
    <t xml:space="preserve">lbs  </t>
  </si>
  <si>
    <t xml:space="preserve"> Open Mkt</t>
  </si>
  <si>
    <t>Fixed Cost</t>
  </si>
  <si>
    <t>Grape cost</t>
  </si>
  <si>
    <t>Unknowns</t>
  </si>
  <si>
    <t>Grape Price</t>
  </si>
  <si>
    <t>per lb.</t>
  </si>
  <si>
    <t>R.M. cost</t>
  </si>
  <si>
    <t>Base case</t>
  </si>
  <si>
    <t>Processing</t>
  </si>
  <si>
    <t>lbs</t>
  </si>
  <si>
    <t>In house</t>
  </si>
  <si>
    <t>Raisin Market</t>
  </si>
  <si>
    <t>Base price</t>
  </si>
  <si>
    <t>Sub</t>
  </si>
  <si>
    <t>Base Qty</t>
  </si>
  <si>
    <t>Process cost</t>
  </si>
  <si>
    <t>Factor</t>
  </si>
  <si>
    <t>lbs/penny</t>
  </si>
  <si>
    <t>Total cost</t>
  </si>
  <si>
    <t>Raisin Price</t>
  </si>
  <si>
    <t>Actual Qty</t>
  </si>
  <si>
    <t>Delta</t>
  </si>
  <si>
    <t>Big Rig Trucks</t>
  </si>
  <si>
    <t>Trucks</t>
  </si>
  <si>
    <t>Investment</t>
  </si>
  <si>
    <t>Tax increase</t>
  </si>
  <si>
    <t>Tax Rate</t>
  </si>
  <si>
    <t>Base rent</t>
  </si>
  <si>
    <t>Maint. Incr.</t>
  </si>
  <si>
    <t>Discount Rate</t>
  </si>
  <si>
    <t>Base utilizn</t>
  </si>
  <si>
    <t>Multiplier</t>
  </si>
  <si>
    <t>Delta demand</t>
  </si>
  <si>
    <t>Price Adjust</t>
  </si>
  <si>
    <t>NPV</t>
  </si>
  <si>
    <t>Year 1</t>
  </si>
  <si>
    <t>Year 2</t>
  </si>
  <si>
    <t>Year 3</t>
  </si>
  <si>
    <t>Year 4</t>
  </si>
  <si>
    <t>Year 5</t>
  </si>
  <si>
    <t>Revenues</t>
  </si>
  <si>
    <t>Base Price</t>
  </si>
  <si>
    <t>Adjusted Price</t>
  </si>
  <si>
    <t>Base Util</t>
  </si>
  <si>
    <t>Adjusted Util</t>
  </si>
  <si>
    <t>Trucks used</t>
  </si>
  <si>
    <t>Sales/mo</t>
  </si>
  <si>
    <t>Maintenance</t>
  </si>
  <si>
    <t>Prop Taxes</t>
  </si>
  <si>
    <t>Fixed</t>
  </si>
  <si>
    <t>Sale</t>
  </si>
  <si>
    <t>Total income</t>
  </si>
  <si>
    <t>Cash Flow</t>
  </si>
  <si>
    <t>Cox Cable &amp; Wire</t>
  </si>
  <si>
    <t>Customer Demand</t>
  </si>
  <si>
    <t>June</t>
  </si>
  <si>
    <t>July</t>
  </si>
  <si>
    <t>August</t>
  </si>
  <si>
    <t>Income Summary</t>
  </si>
  <si>
    <t>Reels - Plastic</t>
  </si>
  <si>
    <t>Plastic</t>
  </si>
  <si>
    <t>Teflon</t>
  </si>
  <si>
    <t>Reels - Teflon</t>
  </si>
  <si>
    <t>Revenue/Reel</t>
  </si>
  <si>
    <t>Machine Capacity</t>
  </si>
  <si>
    <t>Profitability</t>
  </si>
  <si>
    <t>Hours Available</t>
  </si>
  <si>
    <t>General</t>
  </si>
  <si>
    <t>National</t>
  </si>
  <si>
    <t>Hours per Reel</t>
  </si>
  <si>
    <t>Material Cost/Reel</t>
  </si>
  <si>
    <t>Packaging Cost/Reel</t>
  </si>
  <si>
    <t>Inventory Cost/Reel/Mo.</t>
  </si>
  <si>
    <t>Machine Cost/Hour</t>
  </si>
  <si>
    <t>Machine Cost/Reel</t>
  </si>
  <si>
    <t>Production Plan</t>
  </si>
  <si>
    <t>Cost Accounting</t>
  </si>
  <si>
    <t>Reels Produced</t>
  </si>
  <si>
    <t>Plastic -June</t>
  </si>
  <si>
    <t>Plastic -July</t>
  </si>
  <si>
    <t>Machine Costs</t>
  </si>
  <si>
    <t>Plastic -August</t>
  </si>
  <si>
    <t>Plastic-Total</t>
  </si>
  <si>
    <t>Teflon-June</t>
  </si>
  <si>
    <t>Teflon-July</t>
  </si>
  <si>
    <t>Material Cost</t>
  </si>
  <si>
    <t>Teflon-August</t>
  </si>
  <si>
    <t>Teflon-Total</t>
  </si>
  <si>
    <t>Total-June</t>
  </si>
  <si>
    <t>Total-July</t>
  </si>
  <si>
    <t>Packaging Cost</t>
  </si>
  <si>
    <t>Total-August</t>
  </si>
  <si>
    <t>Grand Total</t>
  </si>
  <si>
    <t>Hours Scheduled</t>
  </si>
  <si>
    <t>Inventory Cost</t>
  </si>
  <si>
    <t>Shipping</t>
  </si>
  <si>
    <t>Plastic Demand</t>
  </si>
  <si>
    <t>Plastic Production</t>
  </si>
  <si>
    <t>Plastic Inventory In</t>
  </si>
  <si>
    <t>Plastic Inventory Out</t>
  </si>
  <si>
    <t>Plastic Shipped</t>
  </si>
  <si>
    <t>Teflon Demand</t>
  </si>
  <si>
    <t>Teflon Production</t>
  </si>
  <si>
    <t>Teflon Inventory In</t>
  </si>
  <si>
    <t>Teflon Inventory Out</t>
  </si>
  <si>
    <t>Teflon Shipped</t>
  </si>
  <si>
    <t>The ERP/CRM Decision</t>
  </si>
  <si>
    <t>NPV Gains</t>
  </si>
  <si>
    <t>Assumptions</t>
  </si>
  <si>
    <t>($Millions)</t>
  </si>
  <si>
    <t>ERP (1) or ERP and CRM (2)</t>
  </si>
  <si>
    <t>Initial sales</t>
  </si>
  <si>
    <t>Sales growth ERP</t>
  </si>
  <si>
    <t>Sales growth CRM</t>
  </si>
  <si>
    <t>Legacy maintenance initial</t>
  </si>
  <si>
    <t>Legacy maintenance increase</t>
  </si>
  <si>
    <t>ERP hardware 2005</t>
  </si>
  <si>
    <t>ERP hardware 2006</t>
  </si>
  <si>
    <t>ERP software 2005</t>
  </si>
  <si>
    <t>ERP software 2006</t>
  </si>
  <si>
    <t>CRM hardware 2006</t>
  </si>
  <si>
    <t>CRM software 2007</t>
  </si>
  <si>
    <t>Consultant days</t>
  </si>
  <si>
    <t>Inventory turns without ERP</t>
  </si>
  <si>
    <t>Inventory turns with ERP</t>
  </si>
  <si>
    <t>Management optimism (O,N,P)</t>
  </si>
  <si>
    <t>N</t>
  </si>
  <si>
    <t>Efficiency gains O</t>
  </si>
  <si>
    <t>O</t>
  </si>
  <si>
    <t>Efficiency gains N</t>
  </si>
  <si>
    <t>Efficiency gains P</t>
  </si>
  <si>
    <t>P</t>
  </si>
  <si>
    <t>Hurdle rate</t>
  </si>
  <si>
    <t>COGS</t>
  </si>
  <si>
    <t>Cost of inventory</t>
  </si>
  <si>
    <t>No ERP</t>
  </si>
  <si>
    <t>ERP only</t>
  </si>
  <si>
    <t>ERP and CRM</t>
  </si>
  <si>
    <t>Inventory</t>
  </si>
  <si>
    <t>ERP consultants</t>
  </si>
  <si>
    <t>CRM consultants</t>
  </si>
  <si>
    <t>Added employees</t>
  </si>
  <si>
    <t>Cost of added employees</t>
  </si>
  <si>
    <t>Legacy maintenance</t>
  </si>
  <si>
    <t>Training costs</t>
  </si>
  <si>
    <t>ERP hardware</t>
  </si>
  <si>
    <t>ERP software</t>
  </si>
  <si>
    <t>CRM hardware</t>
  </si>
  <si>
    <t>CRM software</t>
  </si>
  <si>
    <t>Net Gains</t>
  </si>
  <si>
    <t>Revenue increase</t>
  </si>
  <si>
    <t>Inventory decrease</t>
  </si>
  <si>
    <t>Legacy cost savings</t>
  </si>
  <si>
    <t>Efficiency gains</t>
  </si>
  <si>
    <t>Net gain</t>
  </si>
  <si>
    <t xml:space="preserve">Retirement Planning </t>
  </si>
  <si>
    <t>Computed qty</t>
  </si>
  <si>
    <t>Line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</si>
</sst>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  <numFmt numFmtId="167" formatCode="#,##0.0"/>
    <numFmt numFmtId="168" formatCode="0.0000"/>
    <numFmt numFmtId="169" formatCode="0.0%"/>
    <numFmt numFmtId="170" formatCode="_(&quot;$&quot;* #,##0_);_(&quot;$&quot;* \(#,##0\);_(&quot;$&quot;* &quot;-&quot;??_);_(@_)"/>
    <numFmt numFmtId="171" formatCode="&quot;$&quot;#,##0.00"/>
    <numFmt numFmtId="172" formatCode="&quot;$&quot;#,##0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indexed="1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color indexed="36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2" fontId="0" fillId="0" borderId="0" xfId="0" applyNumberFormat="1"/>
    <xf numFmtId="0" fontId="4" fillId="0" borderId="0" xfId="0" applyFont="1" applyAlignment="1">
      <alignment horizontal="center"/>
    </xf>
    <xf numFmtId="1" fontId="0" fillId="0" borderId="0" xfId="0" applyNumberFormat="1"/>
    <xf numFmtId="0" fontId="0" fillId="0" borderId="1" xfId="0" applyBorder="1"/>
    <xf numFmtId="0" fontId="0" fillId="0" borderId="2" xfId="0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2" fontId="5" fillId="0" borderId="0" xfId="0" applyNumberFormat="1" applyFont="1"/>
    <xf numFmtId="1" fontId="5" fillId="0" borderId="0" xfId="0" applyNumberFormat="1" applyFont="1"/>
    <xf numFmtId="0" fontId="5" fillId="0" borderId="2" xfId="0" applyFont="1" applyBorder="1"/>
    <xf numFmtId="0" fontId="0" fillId="0" borderId="0" xfId="0" applyAlignment="1">
      <alignment horizontal="right"/>
    </xf>
    <xf numFmtId="0" fontId="5" fillId="0" borderId="11" xfId="0" applyFont="1" applyBorder="1"/>
    <xf numFmtId="0" fontId="5" fillId="0" borderId="13" xfId="0" applyFont="1" applyBorder="1"/>
    <xf numFmtId="0" fontId="5" fillId="0" borderId="0" xfId="0" applyFont="1" applyBorder="1"/>
    <xf numFmtId="166" fontId="0" fillId="3" borderId="14" xfId="1" applyNumberFormat="1" applyFont="1" applyFill="1" applyBorder="1"/>
    <xf numFmtId="0" fontId="2" fillId="0" borderId="0" xfId="0" applyFont="1" applyBorder="1"/>
    <xf numFmtId="0" fontId="4" fillId="0" borderId="0" xfId="0" applyFont="1" applyBorder="1" applyAlignment="1">
      <alignment horizontal="right"/>
    </xf>
    <xf numFmtId="165" fontId="0" fillId="0" borderId="0" xfId="0" applyNumberFormat="1"/>
    <xf numFmtId="1" fontId="0" fillId="0" borderId="0" xfId="0" applyNumberFormat="1" applyBorder="1"/>
    <xf numFmtId="2" fontId="5" fillId="0" borderId="0" xfId="0" applyNumberFormat="1" applyFont="1" applyBorder="1"/>
    <xf numFmtId="2" fontId="0" fillId="0" borderId="0" xfId="0" applyNumberFormat="1" applyBorder="1"/>
    <xf numFmtId="2" fontId="5" fillId="0" borderId="11" xfId="0" applyNumberFormat="1" applyFont="1" applyBorder="1"/>
    <xf numFmtId="2" fontId="0" fillId="0" borderId="11" xfId="0" applyNumberFormat="1" applyBorder="1"/>
    <xf numFmtId="0" fontId="0" fillId="0" borderId="13" xfId="0" applyBorder="1"/>
    <xf numFmtId="0" fontId="4" fillId="0" borderId="11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14" xfId="0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5" xfId="0" applyBorder="1"/>
    <xf numFmtId="0" fontId="2" fillId="2" borderId="14" xfId="0" applyFont="1" applyFill="1" applyBorder="1"/>
    <xf numFmtId="0" fontId="4" fillId="0" borderId="0" xfId="0" applyFont="1"/>
    <xf numFmtId="9" fontId="1" fillId="0" borderId="7" xfId="3" applyBorder="1"/>
    <xf numFmtId="9" fontId="1" fillId="0" borderId="9" xfId="3" applyBorder="1"/>
    <xf numFmtId="9" fontId="1" fillId="0" borderId="12" xfId="3" applyBorder="1"/>
    <xf numFmtId="0" fontId="2" fillId="0" borderId="0" xfId="0" applyFont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" fillId="0" borderId="0" xfId="0" applyFont="1"/>
    <xf numFmtId="0" fontId="9" fillId="0" borderId="0" xfId="0" applyFont="1"/>
    <xf numFmtId="170" fontId="0" fillId="3" borderId="14" xfId="2" applyNumberFormat="1" applyFont="1" applyFill="1" applyBorder="1"/>
    <xf numFmtId="2" fontId="0" fillId="0" borderId="6" xfId="2" applyNumberFormat="1" applyFont="1" applyBorder="1"/>
    <xf numFmtId="1" fontId="0" fillId="0" borderId="6" xfId="0" applyNumberFormat="1" applyBorder="1"/>
    <xf numFmtId="1" fontId="0" fillId="0" borderId="7" xfId="2" applyNumberFormat="1" applyFont="1" applyBorder="1"/>
    <xf numFmtId="2" fontId="0" fillId="0" borderId="11" xfId="2" applyNumberFormat="1" applyFont="1" applyBorder="1"/>
    <xf numFmtId="1" fontId="0" fillId="0" borderId="11" xfId="0" applyNumberFormat="1" applyBorder="1"/>
    <xf numFmtId="1" fontId="0" fillId="0" borderId="12" xfId="0" applyNumberFormat="1" applyBorder="1"/>
    <xf numFmtId="0" fontId="5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1" fontId="0" fillId="0" borderId="0" xfId="0" applyNumberFormat="1" applyBorder="1"/>
    <xf numFmtId="171" fontId="0" fillId="0" borderId="9" xfId="0" applyNumberFormat="1" applyBorder="1"/>
    <xf numFmtId="170" fontId="0" fillId="0" borderId="0" xfId="2" applyNumberFormat="1" applyFont="1" applyBorder="1"/>
    <xf numFmtId="170" fontId="0" fillId="0" borderId="9" xfId="2" applyNumberFormat="1" applyFont="1" applyBorder="1"/>
    <xf numFmtId="1" fontId="0" fillId="0" borderId="0" xfId="2" applyNumberFormat="1" applyFont="1" applyBorder="1"/>
    <xf numFmtId="1" fontId="0" fillId="0" borderId="9" xfId="2" applyNumberFormat="1" applyFont="1" applyBorder="1"/>
    <xf numFmtId="1" fontId="0" fillId="0" borderId="9" xfId="0" applyNumberFormat="1" applyBorder="1"/>
    <xf numFmtId="7" fontId="0" fillId="0" borderId="0" xfId="2" applyNumberFormat="1" applyFont="1" applyBorder="1"/>
    <xf numFmtId="7" fontId="0" fillId="0" borderId="9" xfId="2" applyNumberFormat="1" applyFont="1" applyBorder="1"/>
    <xf numFmtId="170" fontId="0" fillId="0" borderId="11" xfId="2" applyNumberFormat="1" applyFont="1" applyBorder="1"/>
    <xf numFmtId="170" fontId="0" fillId="0" borderId="12" xfId="2" applyNumberFormat="1" applyFont="1" applyBorder="1"/>
    <xf numFmtId="0" fontId="0" fillId="4" borderId="15" xfId="0" applyFill="1" applyBorder="1"/>
    <xf numFmtId="170" fontId="0" fillId="4" borderId="6" xfId="0" applyNumberFormat="1" applyFill="1" applyBorder="1"/>
    <xf numFmtId="170" fontId="0" fillId="4" borderId="7" xfId="0" applyNumberFormat="1" applyFill="1" applyBorder="1"/>
    <xf numFmtId="0" fontId="0" fillId="4" borderId="8" xfId="0" applyFill="1" applyBorder="1"/>
    <xf numFmtId="170" fontId="0" fillId="4" borderId="0" xfId="2" applyNumberFormat="1" applyFont="1" applyFill="1" applyBorder="1"/>
    <xf numFmtId="170" fontId="0" fillId="4" borderId="9" xfId="2" applyNumberFormat="1" applyFont="1" applyFill="1" applyBorder="1"/>
    <xf numFmtId="0" fontId="0" fillId="4" borderId="10" xfId="0" applyFill="1" applyBorder="1"/>
    <xf numFmtId="170" fontId="0" fillId="4" borderId="11" xfId="2" applyNumberFormat="1" applyFont="1" applyFill="1" applyBorder="1"/>
    <xf numFmtId="170" fontId="0" fillId="4" borderId="12" xfId="2" applyNumberFormat="1" applyFont="1" applyFill="1" applyBorder="1"/>
    <xf numFmtId="0" fontId="10" fillId="0" borderId="0" xfId="0" applyFont="1" applyFill="1" applyBorder="1"/>
    <xf numFmtId="44" fontId="0" fillId="0" borderId="6" xfId="2" applyFont="1" applyBorder="1"/>
    <xf numFmtId="0" fontId="0" fillId="0" borderId="6" xfId="0" applyBorder="1" applyAlignment="1">
      <alignment horizontal="right"/>
    </xf>
    <xf numFmtId="44" fontId="0" fillId="0" borderId="0" xfId="2" applyFont="1" applyBorder="1"/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2" fontId="0" fillId="0" borderId="9" xfId="0" applyNumberFormat="1" applyBorder="1"/>
    <xf numFmtId="1" fontId="1" fillId="0" borderId="0" xfId="2" applyNumberFormat="1" applyBorder="1"/>
    <xf numFmtId="1" fontId="1" fillId="0" borderId="9" xfId="2" applyNumberFormat="1" applyBorder="1"/>
    <xf numFmtId="170" fontId="1" fillId="0" borderId="0" xfId="2" applyNumberFormat="1" applyBorder="1"/>
    <xf numFmtId="170" fontId="1" fillId="0" borderId="9" xfId="2" applyNumberFormat="1" applyBorder="1"/>
    <xf numFmtId="44" fontId="1" fillId="0" borderId="0" xfId="2" applyNumberFormat="1" applyBorder="1"/>
    <xf numFmtId="44" fontId="1" fillId="0" borderId="9" xfId="2" applyNumberFormat="1" applyBorder="1"/>
    <xf numFmtId="170" fontId="1" fillId="0" borderId="11" xfId="2" applyNumberFormat="1" applyBorder="1"/>
    <xf numFmtId="170" fontId="1" fillId="0" borderId="12" xfId="2" applyNumberFormat="1" applyBorder="1"/>
    <xf numFmtId="170" fontId="0" fillId="4" borderId="0" xfId="0" applyNumberFormat="1" applyFill="1" applyBorder="1"/>
    <xf numFmtId="170" fontId="0" fillId="4" borderId="9" xfId="0" applyNumberFormat="1" applyFill="1" applyBorder="1"/>
    <xf numFmtId="170" fontId="1" fillId="4" borderId="0" xfId="2" applyNumberFormat="1" applyFill="1" applyBorder="1"/>
    <xf numFmtId="170" fontId="1" fillId="4" borderId="9" xfId="2" applyNumberFormat="1" applyFill="1" applyBorder="1"/>
    <xf numFmtId="170" fontId="1" fillId="4" borderId="11" xfId="2" applyNumberFormat="1" applyFill="1" applyBorder="1"/>
    <xf numFmtId="170" fontId="1" fillId="4" borderId="12" xfId="2" applyNumberFormat="1" applyFill="1" applyBorder="1"/>
    <xf numFmtId="3" fontId="0" fillId="0" borderId="13" xfId="1" applyNumberFormat="1" applyFont="1" applyBorder="1"/>
    <xf numFmtId="3" fontId="0" fillId="0" borderId="1" xfId="1" applyNumberFormat="1" applyFont="1" applyBorder="1"/>
    <xf numFmtId="3" fontId="0" fillId="0" borderId="2" xfId="1" applyNumberFormat="1" applyFont="1" applyBorder="1"/>
    <xf numFmtId="3" fontId="0" fillId="0" borderId="0" xfId="1" applyNumberFormat="1" applyFont="1"/>
    <xf numFmtId="168" fontId="0" fillId="0" borderId="0" xfId="0" applyNumberFormat="1"/>
    <xf numFmtId="164" fontId="0" fillId="0" borderId="0" xfId="0" applyNumberFormat="1"/>
    <xf numFmtId="4" fontId="0" fillId="0" borderId="0" xfId="2" applyNumberFormat="1" applyFont="1"/>
    <xf numFmtId="166" fontId="0" fillId="0" borderId="0" xfId="1" applyNumberFormat="1" applyFont="1"/>
    <xf numFmtId="0" fontId="5" fillId="0" borderId="0" xfId="0" applyFont="1" applyBorder="1" applyAlignment="1">
      <alignment horizontal="right"/>
    </xf>
    <xf numFmtId="10" fontId="1" fillId="0" borderId="0" xfId="0" applyNumberFormat="1" applyFont="1"/>
    <xf numFmtId="9" fontId="1" fillId="0" borderId="0" xfId="0" applyNumberFormat="1" applyFont="1"/>
    <xf numFmtId="1" fontId="1" fillId="0" borderId="0" xfId="0" applyNumberFormat="1" applyFont="1"/>
    <xf numFmtId="9" fontId="1" fillId="0" borderId="0" xfId="3" applyFont="1"/>
    <xf numFmtId="165" fontId="1" fillId="0" borderId="0" xfId="0" applyNumberFormat="1" applyFont="1"/>
    <xf numFmtId="165" fontId="1" fillId="4" borderId="14" xfId="0" applyNumberFormat="1" applyFont="1" applyFill="1" applyBorder="1"/>
    <xf numFmtId="0" fontId="1" fillId="4" borderId="1" xfId="0" applyFont="1" applyFill="1" applyBorder="1"/>
    <xf numFmtId="169" fontId="1" fillId="4" borderId="14" xfId="3" applyNumberFormat="1" applyFont="1" applyFill="1" applyBorder="1"/>
    <xf numFmtId="1" fontId="1" fillId="4" borderId="1" xfId="0" applyNumberFormat="1" applyFont="1" applyFill="1" applyBorder="1"/>
    <xf numFmtId="0" fontId="0" fillId="4" borderId="14" xfId="0" applyFill="1" applyBorder="1"/>
    <xf numFmtId="0" fontId="1" fillId="4" borderId="3" xfId="0" applyFont="1" applyFill="1" applyBorder="1"/>
    <xf numFmtId="0" fontId="0" fillId="4" borderId="4" xfId="0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/>
    <xf numFmtId="0" fontId="4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6" fillId="0" borderId="0" xfId="0" applyFont="1"/>
    <xf numFmtId="0" fontId="9" fillId="0" borderId="0" xfId="0" applyFont="1" applyAlignment="1">
      <alignment horizontal="right"/>
    </xf>
    <xf numFmtId="0" fontId="5" fillId="0" borderId="6" xfId="0" applyFont="1" applyBorder="1"/>
    <xf numFmtId="0" fontId="5" fillId="0" borderId="8" xfId="0" applyFont="1" applyBorder="1"/>
    <xf numFmtId="0" fontId="5" fillId="0" borderId="10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2" xfId="0" applyFont="1" applyBorder="1"/>
    <xf numFmtId="0" fontId="5" fillId="0" borderId="15" xfId="0" applyFont="1" applyBorder="1"/>
    <xf numFmtId="2" fontId="5" fillId="0" borderId="6" xfId="0" applyNumberFormat="1" applyFont="1" applyBorder="1"/>
    <xf numFmtId="166" fontId="0" fillId="0" borderId="11" xfId="1" applyNumberFormat="1" applyFont="1" applyBorder="1"/>
    <xf numFmtId="0" fontId="14" fillId="0" borderId="0" xfId="0" applyFont="1"/>
    <xf numFmtId="0" fontId="12" fillId="0" borderId="0" xfId="0" applyFont="1"/>
    <xf numFmtId="1" fontId="0" fillId="5" borderId="0" xfId="0" applyNumberFormat="1" applyFill="1"/>
    <xf numFmtId="1" fontId="0" fillId="0" borderId="0" xfId="0" applyNumberFormat="1" applyFill="1"/>
    <xf numFmtId="2" fontId="0" fillId="5" borderId="0" xfId="0" applyNumberFormat="1" applyFill="1"/>
    <xf numFmtId="2" fontId="0" fillId="0" borderId="0" xfId="0" applyNumberFormat="1" applyFill="1"/>
    <xf numFmtId="15" fontId="9" fillId="0" borderId="0" xfId="0" applyNumberFormat="1" applyFont="1"/>
    <xf numFmtId="14" fontId="2" fillId="0" borderId="0" xfId="0" applyNumberFormat="1" applyFont="1"/>
    <xf numFmtId="166" fontId="5" fillId="0" borderId="0" xfId="1" applyNumberFormat="1" applyFont="1"/>
    <xf numFmtId="0" fontId="3" fillId="0" borderId="0" xfId="0" applyFont="1" applyAlignment="1">
      <alignment horizontal="right"/>
    </xf>
    <xf numFmtId="166" fontId="0" fillId="0" borderId="6" xfId="0" applyNumberFormat="1" applyBorder="1"/>
    <xf numFmtId="166" fontId="0" fillId="0" borderId="0" xfId="0" applyNumberFormat="1" applyBorder="1"/>
    <xf numFmtId="44" fontId="0" fillId="0" borderId="9" xfId="0" applyNumberFormat="1" applyBorder="1"/>
    <xf numFmtId="0" fontId="0" fillId="0" borderId="0" xfId="0" applyFill="1" applyBorder="1"/>
    <xf numFmtId="166" fontId="0" fillId="0" borderId="0" xfId="1" applyNumberFormat="1" applyFont="1" applyBorder="1"/>
    <xf numFmtId="7" fontId="0" fillId="6" borderId="14" xfId="2" applyNumberFormat="1" applyFont="1" applyFill="1" applyBorder="1"/>
    <xf numFmtId="0" fontId="0" fillId="0" borderId="12" xfId="0" applyFill="1" applyBorder="1"/>
    <xf numFmtId="170" fontId="0" fillId="0" borderId="0" xfId="0" applyNumberFormat="1" applyBorder="1"/>
    <xf numFmtId="37" fontId="0" fillId="0" borderId="0" xfId="2" applyNumberFormat="1" applyFont="1" applyBorder="1"/>
    <xf numFmtId="7" fontId="0" fillId="2" borderId="14" xfId="2" applyNumberFormat="1" applyFont="1" applyFill="1" applyBorder="1"/>
    <xf numFmtId="166" fontId="0" fillId="0" borderId="11" xfId="0" applyNumberFormat="1" applyBorder="1"/>
    <xf numFmtId="170" fontId="0" fillId="3" borderId="14" xfId="0" applyNumberFormat="1" applyFill="1" applyBorder="1"/>
    <xf numFmtId="42" fontId="0" fillId="0" borderId="14" xfId="2" applyNumberFormat="1" applyFont="1" applyBorder="1"/>
    <xf numFmtId="42" fontId="0" fillId="0" borderId="0" xfId="0" applyNumberFormat="1"/>
    <xf numFmtId="9" fontId="0" fillId="0" borderId="9" xfId="0" applyNumberFormat="1" applyBorder="1"/>
    <xf numFmtId="9" fontId="0" fillId="0" borderId="0" xfId="3" applyFont="1" applyBorder="1"/>
    <xf numFmtId="9" fontId="0" fillId="0" borderId="0" xfId="3" applyNumberFormat="1" applyFont="1" applyBorder="1"/>
    <xf numFmtId="9" fontId="0" fillId="0" borderId="11" xfId="3" applyNumberFormat="1" applyFont="1" applyBorder="1"/>
    <xf numFmtId="9" fontId="0" fillId="0" borderId="11" xfId="3" applyFont="1" applyBorder="1"/>
    <xf numFmtId="1" fontId="0" fillId="2" borderId="14" xfId="0" applyNumberFormat="1" applyFill="1" applyBorder="1"/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0" fontId="0" fillId="0" borderId="15" xfId="2" applyNumberFormat="1" applyFont="1" applyBorder="1"/>
    <xf numFmtId="170" fontId="0" fillId="0" borderId="6" xfId="0" applyNumberFormat="1" applyBorder="1"/>
    <xf numFmtId="170" fontId="0" fillId="0" borderId="7" xfId="0" applyNumberFormat="1" applyBorder="1"/>
    <xf numFmtId="170" fontId="0" fillId="0" borderId="8" xfId="2" applyNumberFormat="1" applyFont="1" applyBorder="1"/>
    <xf numFmtId="5" fontId="0" fillId="0" borderId="0" xfId="2" applyNumberFormat="1" applyFont="1" applyBorder="1"/>
    <xf numFmtId="5" fontId="0" fillId="0" borderId="9" xfId="2" applyNumberFormat="1" applyFont="1" applyBorder="1"/>
    <xf numFmtId="9" fontId="0" fillId="0" borderId="8" xfId="0" applyNumberFormat="1" applyBorder="1"/>
    <xf numFmtId="9" fontId="0" fillId="0" borderId="0" xfId="0" applyNumberFormat="1" applyBorder="1"/>
    <xf numFmtId="1" fontId="0" fillId="0" borderId="8" xfId="0" applyNumberFormat="1" applyBorder="1"/>
    <xf numFmtId="170" fontId="0" fillId="0" borderId="8" xfId="0" applyNumberFormat="1" applyBorder="1"/>
    <xf numFmtId="170" fontId="0" fillId="0" borderId="9" xfId="0" applyNumberFormat="1" applyBorder="1"/>
    <xf numFmtId="3" fontId="0" fillId="0" borderId="8" xfId="0" applyNumberForma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8" xfId="2" applyNumberFormat="1" applyFont="1" applyBorder="1"/>
    <xf numFmtId="170" fontId="0" fillId="0" borderId="10" xfId="0" applyNumberFormat="1" applyBorder="1"/>
    <xf numFmtId="170" fontId="0" fillId="0" borderId="11" xfId="0" applyNumberFormat="1" applyBorder="1"/>
    <xf numFmtId="170" fontId="0" fillId="0" borderId="12" xfId="0" applyNumberFormat="1" applyBorder="1"/>
    <xf numFmtId="170" fontId="0" fillId="0" borderId="0" xfId="2" applyNumberFormat="1" applyFont="1"/>
    <xf numFmtId="170" fontId="0" fillId="0" borderId="6" xfId="2" applyNumberFormat="1" applyFont="1" applyBorder="1"/>
    <xf numFmtId="9" fontId="0" fillId="0" borderId="7" xfId="0" applyNumberFormat="1" applyBorder="1"/>
    <xf numFmtId="0" fontId="4" fillId="0" borderId="0" xfId="0" applyFont="1" applyBorder="1" applyAlignment="1">
      <alignment horizontal="center"/>
    </xf>
    <xf numFmtId="170" fontId="5" fillId="0" borderId="15" xfId="2" applyNumberFormat="1" applyFont="1" applyBorder="1"/>
    <xf numFmtId="170" fontId="5" fillId="0" borderId="6" xfId="2" applyNumberFormat="1" applyFont="1" applyBorder="1"/>
    <xf numFmtId="170" fontId="5" fillId="0" borderId="13" xfId="2" applyNumberFormat="1" applyFont="1" applyBorder="1"/>
    <xf numFmtId="170" fontId="5" fillId="0" borderId="8" xfId="2" applyNumberFormat="1" applyFont="1" applyBorder="1"/>
    <xf numFmtId="170" fontId="5" fillId="0" borderId="0" xfId="2" applyNumberFormat="1" applyFont="1" applyBorder="1"/>
    <xf numFmtId="170" fontId="15" fillId="0" borderId="1" xfId="2" applyNumberFormat="1" applyFont="1" applyBorder="1"/>
    <xf numFmtId="170" fontId="5" fillId="0" borderId="10" xfId="2" applyNumberFormat="1" applyFont="1" applyBorder="1"/>
    <xf numFmtId="170" fontId="5" fillId="0" borderId="11" xfId="2" applyNumberFormat="1" applyFont="1" applyBorder="1"/>
    <xf numFmtId="170" fontId="11" fillId="0" borderId="2" xfId="2" applyNumberFormat="1" applyFont="1" applyBorder="1"/>
    <xf numFmtId="0" fontId="2" fillId="0" borderId="3" xfId="0" applyFont="1" applyBorder="1"/>
    <xf numFmtId="0" fontId="3" fillId="0" borderId="0" xfId="0" applyFont="1" applyBorder="1" applyAlignment="1">
      <alignment horizontal="right"/>
    </xf>
    <xf numFmtId="165" fontId="5" fillId="0" borderId="14" xfId="0" applyNumberFormat="1" applyFont="1" applyBorder="1"/>
    <xf numFmtId="170" fontId="5" fillId="0" borderId="0" xfId="0" applyNumberFormat="1" applyFont="1"/>
    <xf numFmtId="170" fontId="5" fillId="0" borderId="2" xfId="2" applyNumberFormat="1" applyFont="1" applyBorder="1"/>
    <xf numFmtId="170" fontId="4" fillId="0" borderId="11" xfId="0" applyNumberFormat="1" applyFont="1" applyBorder="1" applyAlignment="1">
      <alignment horizontal="center"/>
    </xf>
    <xf numFmtId="170" fontId="5" fillId="0" borderId="14" xfId="2" applyNumberFormat="1" applyFont="1" applyBorder="1"/>
    <xf numFmtId="170" fontId="5" fillId="0" borderId="5" xfId="2" applyNumberFormat="1" applyFont="1" applyBorder="1"/>
    <xf numFmtId="2" fontId="5" fillId="0" borderId="7" xfId="0" applyNumberFormat="1" applyFont="1" applyBorder="1"/>
    <xf numFmtId="2" fontId="5" fillId="0" borderId="9" xfId="0" applyNumberFormat="1" applyFont="1" applyBorder="1"/>
    <xf numFmtId="0" fontId="4" fillId="0" borderId="0" xfId="0" applyFont="1" applyBorder="1"/>
    <xf numFmtId="2" fontId="5" fillId="0" borderId="10" xfId="0" applyNumberFormat="1" applyFont="1" applyBorder="1"/>
    <xf numFmtId="2" fontId="5" fillId="0" borderId="12" xfId="0" applyNumberFormat="1" applyFont="1" applyBorder="1"/>
    <xf numFmtId="170" fontId="5" fillId="0" borderId="1" xfId="2" applyNumberFormat="1" applyFont="1" applyBorder="1"/>
    <xf numFmtId="170" fontId="5" fillId="0" borderId="0" xfId="2" applyNumberFormat="1" applyFont="1"/>
    <xf numFmtId="2" fontId="5" fillId="0" borderId="15" xfId="0" applyNumberFormat="1" applyFont="1" applyBorder="1"/>
    <xf numFmtId="2" fontId="5" fillId="0" borderId="8" xfId="0" applyNumberFormat="1" applyFont="1" applyBorder="1"/>
    <xf numFmtId="169" fontId="11" fillId="3" borderId="14" xfId="3" applyNumberFormat="1" applyFont="1" applyFill="1" applyBorder="1"/>
    <xf numFmtId="0" fontId="2" fillId="0" borderId="15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8" xfId="0" applyFont="1" applyBorder="1"/>
    <xf numFmtId="8" fontId="9" fillId="3" borderId="14" xfId="0" applyNumberFormat="1" applyFont="1" applyFill="1" applyBorder="1"/>
    <xf numFmtId="15" fontId="9" fillId="0" borderId="15" xfId="0" applyNumberFormat="1" applyFont="1" applyBorder="1"/>
    <xf numFmtId="0" fontId="9" fillId="0" borderId="6" xfId="0" applyFont="1" applyBorder="1"/>
    <xf numFmtId="0" fontId="9" fillId="0" borderId="7" xfId="0" applyFont="1" applyBorder="1"/>
    <xf numFmtId="15" fontId="9" fillId="0" borderId="8" xfId="0" applyNumberFormat="1" applyFont="1" applyBorder="1"/>
    <xf numFmtId="165" fontId="0" fillId="0" borderId="0" xfId="0" applyNumberFormat="1" applyBorder="1"/>
    <xf numFmtId="15" fontId="9" fillId="0" borderId="10" xfId="0" applyNumberFormat="1" applyFont="1" applyBorder="1"/>
    <xf numFmtId="166" fontId="5" fillId="3" borderId="14" xfId="1" applyNumberFormat="1" applyFont="1" applyFill="1" applyBorder="1"/>
    <xf numFmtId="3" fontId="2" fillId="2" borderId="13" xfId="0" applyNumberFormat="1" applyFont="1" applyFill="1" applyBorder="1"/>
    <xf numFmtId="3" fontId="2" fillId="2" borderId="2" xfId="1" applyNumberFormat="1" applyFont="1" applyFill="1" applyBorder="1"/>
    <xf numFmtId="1" fontId="2" fillId="7" borderId="3" xfId="0" applyNumberFormat="1" applyFont="1" applyFill="1" applyBorder="1"/>
    <xf numFmtId="1" fontId="2" fillId="7" borderId="4" xfId="0" applyNumberFormat="1" applyFont="1" applyFill="1" applyBorder="1"/>
    <xf numFmtId="1" fontId="2" fillId="7" borderId="5" xfId="0" applyNumberFormat="1" applyFont="1" applyFill="1" applyBorder="1"/>
    <xf numFmtId="3" fontId="0" fillId="0" borderId="0" xfId="0" applyNumberFormat="1"/>
    <xf numFmtId="8" fontId="2" fillId="3" borderId="14" xfId="0" applyNumberFormat="1" applyFont="1" applyFill="1" applyBorder="1"/>
    <xf numFmtId="167" fontId="0" fillId="0" borderId="13" xfId="0" applyNumberFormat="1" applyFill="1" applyBorder="1"/>
    <xf numFmtId="0" fontId="0" fillId="0" borderId="2" xfId="0" applyFill="1" applyBorder="1" applyAlignment="1">
      <alignment horizontal="right"/>
    </xf>
    <xf numFmtId="3" fontId="5" fillId="0" borderId="9" xfId="0" applyNumberFormat="1" applyFont="1" applyBorder="1"/>
    <xf numFmtId="167" fontId="0" fillId="0" borderId="9" xfId="0" applyNumberFormat="1" applyBorder="1"/>
    <xf numFmtId="2" fontId="16" fillId="8" borderId="15" xfId="0" applyNumberFormat="1" applyFont="1" applyFill="1" applyBorder="1"/>
    <xf numFmtId="2" fontId="16" fillId="8" borderId="6" xfId="0" applyNumberFormat="1" applyFont="1" applyFill="1" applyBorder="1"/>
    <xf numFmtId="2" fontId="16" fillId="8" borderId="8" xfId="0" applyNumberFormat="1" applyFont="1" applyFill="1" applyBorder="1"/>
    <xf numFmtId="2" fontId="16" fillId="8" borderId="0" xfId="0" applyNumberFormat="1" applyFont="1" applyFill="1" applyBorder="1"/>
    <xf numFmtId="2" fontId="17" fillId="9" borderId="8" xfId="0" applyNumberFormat="1" applyFont="1" applyFill="1" applyBorder="1"/>
    <xf numFmtId="2" fontId="17" fillId="9" borderId="0" xfId="0" applyNumberFormat="1" applyFont="1" applyFill="1" applyBorder="1"/>
    <xf numFmtId="0" fontId="2" fillId="0" borderId="0" xfId="0" applyFont="1" applyAlignment="1">
      <alignment horizontal="center"/>
    </xf>
    <xf numFmtId="0" fontId="0" fillId="10" borderId="15" xfId="0" applyFill="1" applyBorder="1"/>
    <xf numFmtId="0" fontId="0" fillId="10" borderId="6" xfId="0" applyFill="1" applyBorder="1"/>
    <xf numFmtId="171" fontId="0" fillId="10" borderId="7" xfId="0" applyNumberFormat="1" applyFill="1" applyBorder="1"/>
    <xf numFmtId="0" fontId="0" fillId="10" borderId="8" xfId="0" applyFill="1" applyBorder="1"/>
    <xf numFmtId="0" fontId="0" fillId="10" borderId="0" xfId="0" applyFill="1" applyBorder="1"/>
    <xf numFmtId="171" fontId="0" fillId="10" borderId="9" xfId="0" applyNumberFormat="1" applyFill="1" applyBorder="1"/>
    <xf numFmtId="0" fontId="0" fillId="10" borderId="10" xfId="0" applyFill="1" applyBorder="1"/>
    <xf numFmtId="0" fontId="0" fillId="10" borderId="11" xfId="0" applyFill="1" applyBorder="1"/>
    <xf numFmtId="171" fontId="0" fillId="10" borderId="12" xfId="0" applyNumberFormat="1" applyFill="1" applyBorder="1"/>
    <xf numFmtId="172" fontId="2" fillId="12" borderId="14" xfId="0" applyNumberFormat="1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11" borderId="15" xfId="0" applyNumberFormat="1" applyFill="1" applyBorder="1"/>
    <xf numFmtId="0" fontId="0" fillId="11" borderId="7" xfId="0" applyFill="1" applyBorder="1"/>
    <xf numFmtId="1" fontId="0" fillId="11" borderId="8" xfId="0" applyNumberFormat="1" applyFill="1" applyBorder="1"/>
    <xf numFmtId="0" fontId="0" fillId="11" borderId="9" xfId="0" applyFill="1" applyBorder="1"/>
    <xf numFmtId="1" fontId="0" fillId="11" borderId="10" xfId="0" applyNumberFormat="1" applyFill="1" applyBorder="1"/>
    <xf numFmtId="0" fontId="0" fillId="11" borderId="12" xfId="0" applyFill="1" applyBorder="1"/>
    <xf numFmtId="0" fontId="2" fillId="0" borderId="0" xfId="0" applyFont="1" applyFill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/>
    <xf numFmtId="0" fontId="0" fillId="10" borderId="4" xfId="0" applyFill="1" applyBorder="1"/>
    <xf numFmtId="0" fontId="0" fillId="10" borderId="5" xfId="0" applyFill="1" applyBorder="1"/>
    <xf numFmtId="1" fontId="0" fillId="10" borderId="13" xfId="0" applyNumberFormat="1" applyFill="1" applyBorder="1"/>
    <xf numFmtId="1" fontId="0" fillId="10" borderId="1" xfId="0" applyNumberFormat="1" applyFill="1" applyBorder="1"/>
    <xf numFmtId="1" fontId="0" fillId="10" borderId="2" xfId="0" applyNumberFormat="1" applyFill="1" applyBorder="1"/>
    <xf numFmtId="9" fontId="0" fillId="0" borderId="11" xfId="0" applyNumberFormat="1" applyBorder="1"/>
    <xf numFmtId="0" fontId="2" fillId="0" borderId="0" xfId="0" applyFont="1" applyAlignment="1">
      <alignment horizontal="right"/>
    </xf>
    <xf numFmtId="0" fontId="2" fillId="0" borderId="9" xfId="0" applyFont="1" applyBorder="1" applyAlignment="1">
      <alignment horizontal="right"/>
    </xf>
    <xf numFmtId="1" fontId="0" fillId="0" borderId="15" xfId="0" applyNumberFormat="1" applyBorder="1"/>
    <xf numFmtId="171" fontId="0" fillId="0" borderId="7" xfId="0" applyNumberFormat="1" applyBorder="1"/>
    <xf numFmtId="1" fontId="0" fillId="0" borderId="10" xfId="0" applyNumberFormat="1" applyBorder="1"/>
    <xf numFmtId="171" fontId="0" fillId="0" borderId="1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4991023339318"/>
          <c:y val="8.7108013937282236E-2"/>
          <c:w val="0.84021543985637348"/>
          <c:h val="0.7526132404181185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'5.10'!$B$22:$B$65</c:f>
              <c:numCache>
                <c:formatCode>General</c:formatCode>
                <c:ptCount val="4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</c:numCache>
            </c:numRef>
          </c:cat>
          <c:val>
            <c:numRef>
              <c:f>'5.10'!$H$22:$H$65</c:f>
              <c:numCache>
                <c:formatCode>0</c:formatCode>
                <c:ptCount val="44"/>
                <c:pt idx="0">
                  <c:v>167</c:v>
                </c:pt>
                <c:pt idx="1">
                  <c:v>205.23000000000002</c:v>
                </c:pt>
                <c:pt idx="2">
                  <c:v>248.06070000000005</c:v>
                </c:pt>
                <c:pt idx="3">
                  <c:v>295.9641630000001</c:v>
                </c:pt>
                <c:pt idx="4">
                  <c:v>349.45783767000012</c:v>
                </c:pt>
                <c:pt idx="5">
                  <c:v>409.10878806030018</c:v>
                </c:pt>
                <c:pt idx="6">
                  <c:v>475.53831123572724</c:v>
                </c:pt>
                <c:pt idx="7">
                  <c:v>549.42697810944276</c:v>
                </c:pt>
                <c:pt idx="8">
                  <c:v>631.52013594491768</c:v>
                </c:pt>
                <c:pt idx="9">
                  <c:v>722.63391447586662</c:v>
                </c:pt>
                <c:pt idx="10">
                  <c:v>823.66178138939631</c:v>
                </c:pt>
                <c:pt idx="11">
                  <c:v>935.58169705567866</c:v>
                </c:pt>
                <c:pt idx="12">
                  <c:v>1059.4639228989884</c:v>
                </c:pt>
                <c:pt idx="13">
                  <c:v>1196.4795427236108</c:v>
                </c:pt>
                <c:pt idx="14">
                  <c:v>1347.9097616706349</c:v>
                </c:pt>
                <c:pt idx="15">
                  <c:v>1515.1560533279862</c:v>
                </c:pt>
                <c:pt idx="16">
                  <c:v>1699.7512318898489</c:v>
                </c:pt>
                <c:pt idx="17">
                  <c:v>1903.3715332103964</c:v>
                </c:pt>
                <c:pt idx="18">
                  <c:v>1998.5401098709162</c:v>
                </c:pt>
                <c:pt idx="19">
                  <c:v>1964.6489342022642</c:v>
                </c:pt>
                <c:pt idx="20">
                  <c:v>1926.3868361269356</c:v>
                </c:pt>
                <c:pt idx="21">
                  <c:v>1883.4817422521317</c:v>
                </c:pt>
                <c:pt idx="22">
                  <c:v>1835.6469049699647</c:v>
                </c:pt>
                <c:pt idx="23">
                  <c:v>1782.5801473357938</c:v>
                </c:pt>
                <c:pt idx="24">
                  <c:v>1723.9630697622611</c:v>
                </c:pt>
                <c:pt idx="25">
                  <c:v>1659.460216611245</c:v>
                </c:pt>
                <c:pt idx="26">
                  <c:v>1588.7182006698959</c:v>
                </c:pt>
                <c:pt idx="27">
                  <c:v>1511.3647833960408</c:v>
                </c:pt>
                <c:pt idx="28">
                  <c:v>1427.0079087123461</c:v>
                </c:pt>
                <c:pt idx="29">
                  <c:v>1335.2346880173968</c:v>
                </c:pt>
                <c:pt idx="30">
                  <c:v>1235.6103339650886</c:v>
                </c:pt>
                <c:pt idx="31">
                  <c:v>1127.6770404411013</c:v>
                </c:pt>
                <c:pt idx="32">
                  <c:v>1010.9528060364701</c:v>
                </c:pt>
                <c:pt idx="33">
                  <c:v>884.93019818307323</c:v>
                </c:pt>
                <c:pt idx="34">
                  <c:v>749.0750549739023</c:v>
                </c:pt>
                <c:pt idx="35">
                  <c:v>602.82512154190636</c:v>
                </c:pt>
                <c:pt idx="36">
                  <c:v>445.5886177146968</c:v>
                </c:pt>
                <c:pt idx="37">
                  <c:v>276.74273349804059</c:v>
                </c:pt>
                <c:pt idx="38">
                  <c:v>95.632048768503779</c:v>
                </c:pt>
                <c:pt idx="39">
                  <c:v>-98.433126625598689</c:v>
                </c:pt>
                <c:pt idx="40">
                  <c:v>-306.17849634605687</c:v>
                </c:pt>
                <c:pt idx="41">
                  <c:v>-528.36760882032149</c:v>
                </c:pt>
                <c:pt idx="42">
                  <c:v>-765.80378067143863</c:v>
                </c:pt>
                <c:pt idx="43">
                  <c:v>-1019.3321169433136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66528"/>
        <c:axId val="76994432"/>
      </c:lineChart>
      <c:catAx>
        <c:axId val="7696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3141831238779169"/>
              <c:y val="0.87456445993031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994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699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Assets</a:t>
                </a:r>
              </a:p>
            </c:rich>
          </c:tx>
          <c:layout>
            <c:manualLayout>
              <c:xMode val="edge"/>
              <c:yMode val="edge"/>
              <c:x val="2.8725314183123879E-2"/>
              <c:y val="0.386759581881533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96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0</xdr:rowOff>
    </xdr:from>
    <xdr:to>
      <xdr:col>10</xdr:col>
      <xdr:colOff>600075</xdr:colOff>
      <xdr:row>17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5"/>
  <sheetViews>
    <sheetView workbookViewId="0">
      <selection activeCell="A3" sqref="A3"/>
    </sheetView>
  </sheetViews>
  <sheetFormatPr defaultColWidth="8.85546875" defaultRowHeight="12.75" x14ac:dyDescent="0.2"/>
  <cols>
    <col min="1" max="1" width="14.42578125" customWidth="1"/>
    <col min="2" max="2" width="14.7109375" customWidth="1"/>
    <col min="3" max="4" width="8.85546875" customWidth="1"/>
    <col min="5" max="5" width="9.85546875" customWidth="1"/>
    <col min="6" max="10" width="8.85546875" customWidth="1"/>
    <col min="11" max="14" width="8.7109375" customWidth="1"/>
  </cols>
  <sheetData>
    <row r="1" spans="1:14" x14ac:dyDescent="0.2">
      <c r="A1" s="1" t="s">
        <v>98</v>
      </c>
    </row>
    <row r="2" spans="1:14" x14ac:dyDescent="0.2">
      <c r="A2" s="3" t="s">
        <v>99</v>
      </c>
    </row>
    <row r="3" spans="1:14" x14ac:dyDescent="0.2">
      <c r="A3" s="22"/>
    </row>
    <row r="4" spans="1:14" x14ac:dyDescent="0.2">
      <c r="A4" s="1" t="s">
        <v>71</v>
      </c>
    </row>
    <row r="5" spans="1:14" x14ac:dyDescent="0.2">
      <c r="B5" s="48" t="s">
        <v>100</v>
      </c>
      <c r="C5" s="64">
        <v>1</v>
      </c>
      <c r="D5" s="65"/>
      <c r="E5" s="65" t="s">
        <v>101</v>
      </c>
      <c r="F5" s="66">
        <v>875</v>
      </c>
    </row>
    <row r="6" spans="1:14" x14ac:dyDescent="0.2">
      <c r="B6" s="19" t="s">
        <v>35</v>
      </c>
      <c r="C6" s="67">
        <v>0.75</v>
      </c>
      <c r="D6" s="68"/>
      <c r="E6" s="68" t="s">
        <v>102</v>
      </c>
      <c r="F6" s="69">
        <v>500</v>
      </c>
    </row>
    <row r="7" spans="1:14" x14ac:dyDescent="0.2">
      <c r="C7" s="6"/>
    </row>
    <row r="8" spans="1:14" x14ac:dyDescent="0.2">
      <c r="A8" s="1" t="s">
        <v>103</v>
      </c>
      <c r="C8" s="6"/>
    </row>
    <row r="9" spans="1:14" s="23" customFormat="1" x14ac:dyDescent="0.2">
      <c r="B9" s="70"/>
      <c r="C9" s="71" t="s">
        <v>104</v>
      </c>
      <c r="D9" s="71" t="s">
        <v>105</v>
      </c>
      <c r="E9" s="71" t="s">
        <v>106</v>
      </c>
      <c r="F9" s="71" t="s">
        <v>107</v>
      </c>
      <c r="G9" s="71" t="s">
        <v>108</v>
      </c>
      <c r="H9" s="72" t="s">
        <v>109</v>
      </c>
      <c r="I9"/>
      <c r="J9"/>
      <c r="K9"/>
      <c r="L9"/>
      <c r="M9"/>
      <c r="N9"/>
    </row>
    <row r="10" spans="1:14" x14ac:dyDescent="0.2">
      <c r="B10" s="16" t="s">
        <v>110</v>
      </c>
      <c r="C10" s="17">
        <v>1000</v>
      </c>
      <c r="D10" s="17">
        <f>C10+$F$6</f>
        <v>1500</v>
      </c>
      <c r="E10" s="17">
        <f>D10+$F$6</f>
        <v>2000</v>
      </c>
      <c r="F10" s="17">
        <f>E10+$F$6</f>
        <v>2500</v>
      </c>
      <c r="G10" s="17">
        <f>F10+$F$6</f>
        <v>3000</v>
      </c>
      <c r="H10" s="18">
        <f>G10+$F$6</f>
        <v>3500</v>
      </c>
    </row>
    <row r="11" spans="1:14" x14ac:dyDescent="0.2">
      <c r="B11" s="16" t="s">
        <v>111</v>
      </c>
      <c r="C11" s="73">
        <f t="shared" ref="C11:H11" si="0">$C$5</f>
        <v>1</v>
      </c>
      <c r="D11" s="73">
        <f t="shared" si="0"/>
        <v>1</v>
      </c>
      <c r="E11" s="73">
        <f t="shared" si="0"/>
        <v>1</v>
      </c>
      <c r="F11" s="73">
        <f t="shared" si="0"/>
        <v>1</v>
      </c>
      <c r="G11" s="73">
        <f t="shared" si="0"/>
        <v>1</v>
      </c>
      <c r="H11" s="74">
        <f t="shared" si="0"/>
        <v>1</v>
      </c>
    </row>
    <row r="12" spans="1:14" x14ac:dyDescent="0.2">
      <c r="B12" s="16" t="s">
        <v>34</v>
      </c>
      <c r="C12" s="75">
        <f t="shared" ref="C12:H12" si="1">C11*C10</f>
        <v>1000</v>
      </c>
      <c r="D12" s="75">
        <f t="shared" si="1"/>
        <v>1500</v>
      </c>
      <c r="E12" s="75">
        <f t="shared" si="1"/>
        <v>2000</v>
      </c>
      <c r="F12" s="75">
        <f t="shared" si="1"/>
        <v>2500</v>
      </c>
      <c r="G12" s="75">
        <f t="shared" si="1"/>
        <v>3000</v>
      </c>
      <c r="H12" s="76">
        <f t="shared" si="1"/>
        <v>3500</v>
      </c>
    </row>
    <row r="13" spans="1:14" x14ac:dyDescent="0.2">
      <c r="B13" s="16"/>
      <c r="C13" s="75"/>
      <c r="D13" s="75"/>
      <c r="E13" s="75"/>
      <c r="F13" s="75"/>
      <c r="G13" s="75"/>
      <c r="H13" s="76"/>
    </row>
    <row r="14" spans="1:14" x14ac:dyDescent="0.2">
      <c r="B14" s="16" t="s">
        <v>112</v>
      </c>
      <c r="C14" s="77">
        <v>1000</v>
      </c>
      <c r="D14" s="77">
        <f>C15</f>
        <v>1000</v>
      </c>
      <c r="E14" s="77">
        <f>D15</f>
        <v>1500</v>
      </c>
      <c r="F14" s="77">
        <f>E15</f>
        <v>2000</v>
      </c>
      <c r="G14" s="77">
        <f>F15</f>
        <v>2500</v>
      </c>
      <c r="H14" s="78">
        <f>G15</f>
        <v>3000</v>
      </c>
    </row>
    <row r="15" spans="1:14" x14ac:dyDescent="0.2">
      <c r="B15" s="16" t="s">
        <v>113</v>
      </c>
      <c r="C15" s="77">
        <f>C14+C17-C10</f>
        <v>1000</v>
      </c>
      <c r="D15" s="77">
        <f>D10</f>
        <v>1500</v>
      </c>
      <c r="E15" s="77">
        <f>E10</f>
        <v>2000</v>
      </c>
      <c r="F15" s="77">
        <f>F10</f>
        <v>2500</v>
      </c>
      <c r="G15" s="77">
        <f>G10</f>
        <v>3000</v>
      </c>
      <c r="H15" s="78">
        <f>H10</f>
        <v>3500</v>
      </c>
    </row>
    <row r="16" spans="1:14" x14ac:dyDescent="0.2">
      <c r="B16" s="16"/>
      <c r="C16" s="17" t="s">
        <v>114</v>
      </c>
      <c r="D16" s="17" t="s">
        <v>33</v>
      </c>
      <c r="E16" s="17" t="s">
        <v>33</v>
      </c>
      <c r="F16" s="17" t="s">
        <v>33</v>
      </c>
      <c r="G16" s="17" t="s">
        <v>33</v>
      </c>
      <c r="H16" s="18" t="s">
        <v>33</v>
      </c>
    </row>
    <row r="17" spans="1:8" x14ac:dyDescent="0.2">
      <c r="B17" s="16" t="s">
        <v>115</v>
      </c>
      <c r="C17" s="17">
        <v>1000</v>
      </c>
      <c r="D17" s="36">
        <f>D10+D15-D14</f>
        <v>2000</v>
      </c>
      <c r="E17" s="36">
        <f>E10+E15-E14</f>
        <v>2500</v>
      </c>
      <c r="F17" s="36">
        <f>F10+F15-F14</f>
        <v>3000</v>
      </c>
      <c r="G17" s="36">
        <f>G10+G15-G14</f>
        <v>3500</v>
      </c>
      <c r="H17" s="79">
        <f>H10+H15-H14</f>
        <v>4000</v>
      </c>
    </row>
    <row r="18" spans="1:8" x14ac:dyDescent="0.2">
      <c r="B18" s="16" t="s">
        <v>116</v>
      </c>
      <c r="C18" s="80">
        <f t="shared" ref="C18:H18" si="2">$C$6</f>
        <v>0.75</v>
      </c>
      <c r="D18" s="80">
        <f t="shared" si="2"/>
        <v>0.75</v>
      </c>
      <c r="E18" s="80">
        <f t="shared" si="2"/>
        <v>0.75</v>
      </c>
      <c r="F18" s="80">
        <f t="shared" si="2"/>
        <v>0.75</v>
      </c>
      <c r="G18" s="80">
        <f t="shared" si="2"/>
        <v>0.75</v>
      </c>
      <c r="H18" s="81">
        <f t="shared" si="2"/>
        <v>0.75</v>
      </c>
    </row>
    <row r="19" spans="1:8" x14ac:dyDescent="0.2">
      <c r="B19" s="19" t="s">
        <v>117</v>
      </c>
      <c r="C19" s="82">
        <f t="shared" ref="C19:H19" si="3">C18*C17</f>
        <v>750</v>
      </c>
      <c r="D19" s="82">
        <f t="shared" si="3"/>
        <v>1500</v>
      </c>
      <c r="E19" s="82">
        <f t="shared" si="3"/>
        <v>1875</v>
      </c>
      <c r="F19" s="82">
        <f t="shared" si="3"/>
        <v>2250</v>
      </c>
      <c r="G19" s="82">
        <f t="shared" si="3"/>
        <v>2625</v>
      </c>
      <c r="H19" s="83">
        <f t="shared" si="3"/>
        <v>3000</v>
      </c>
    </row>
    <row r="20" spans="1:8" x14ac:dyDescent="0.2">
      <c r="A20" s="1" t="s">
        <v>118</v>
      </c>
    </row>
    <row r="21" spans="1:8" x14ac:dyDescent="0.2">
      <c r="B21" s="84" t="s">
        <v>96</v>
      </c>
      <c r="C21" s="85">
        <f t="shared" ref="C21:H21" si="4">C12-C19</f>
        <v>250</v>
      </c>
      <c r="D21" s="85">
        <f t="shared" si="4"/>
        <v>0</v>
      </c>
      <c r="E21" s="85">
        <f t="shared" si="4"/>
        <v>125</v>
      </c>
      <c r="F21" s="85">
        <f t="shared" si="4"/>
        <v>250</v>
      </c>
      <c r="G21" s="85">
        <f t="shared" si="4"/>
        <v>375</v>
      </c>
      <c r="H21" s="86">
        <f t="shared" si="4"/>
        <v>500</v>
      </c>
    </row>
    <row r="22" spans="1:8" x14ac:dyDescent="0.2">
      <c r="B22" s="87" t="s">
        <v>119</v>
      </c>
      <c r="C22" s="88">
        <f t="shared" ref="C22:H22" si="5">C15*C18</f>
        <v>750</v>
      </c>
      <c r="D22" s="88">
        <f t="shared" si="5"/>
        <v>1125</v>
      </c>
      <c r="E22" s="88">
        <f t="shared" si="5"/>
        <v>1500</v>
      </c>
      <c r="F22" s="88">
        <f t="shared" si="5"/>
        <v>1875</v>
      </c>
      <c r="G22" s="88">
        <f t="shared" si="5"/>
        <v>2250</v>
      </c>
      <c r="H22" s="89">
        <f t="shared" si="5"/>
        <v>2625</v>
      </c>
    </row>
    <row r="23" spans="1:8" x14ac:dyDescent="0.2">
      <c r="B23" s="90" t="s">
        <v>120</v>
      </c>
      <c r="C23" s="91">
        <f>F5+C12-C19</f>
        <v>1125</v>
      </c>
      <c r="D23" s="91">
        <f>C23+D12-D19</f>
        <v>1125</v>
      </c>
      <c r="E23" s="91">
        <f>D23+E12-E19</f>
        <v>1250</v>
      </c>
      <c r="F23" s="91">
        <f>E23+F12-F19</f>
        <v>1500</v>
      </c>
      <c r="G23" s="91">
        <f>F23+G12-G19</f>
        <v>1875</v>
      </c>
      <c r="H23" s="92">
        <f>G23+H12-H19</f>
        <v>2375</v>
      </c>
    </row>
    <row r="25" spans="1:8" x14ac:dyDescent="0.2">
      <c r="B25" s="93" t="s">
        <v>0</v>
      </c>
    </row>
  </sheetData>
  <phoneticPr fontId="1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A2" sqref="A2"/>
    </sheetView>
  </sheetViews>
  <sheetFormatPr defaultRowHeight="12.75" x14ac:dyDescent="0.2"/>
  <cols>
    <col min="1" max="1" width="12.85546875" style="1" customWidth="1"/>
    <col min="2" max="2" width="27.140625" customWidth="1"/>
    <col min="3" max="3" width="12.5703125" bestFit="1" customWidth="1"/>
    <col min="4" max="5" width="12.28515625" bestFit="1" customWidth="1"/>
    <col min="6" max="6" width="12.85546875" bestFit="1" customWidth="1"/>
    <col min="7" max="22" width="12.28515625" bestFit="1" customWidth="1"/>
  </cols>
  <sheetData>
    <row r="1" spans="1:7" x14ac:dyDescent="0.2">
      <c r="A1" s="1" t="s">
        <v>351</v>
      </c>
    </row>
    <row r="2" spans="1:7" x14ac:dyDescent="0.2">
      <c r="A2"/>
    </row>
    <row r="3" spans="1:7" x14ac:dyDescent="0.2">
      <c r="A3" s="241" t="s">
        <v>353</v>
      </c>
      <c r="B3" s="14"/>
      <c r="C3" s="15"/>
      <c r="F3" s="1" t="s">
        <v>352</v>
      </c>
    </row>
    <row r="4" spans="1:7" x14ac:dyDescent="0.2">
      <c r="A4" s="244"/>
      <c r="B4" s="17" t="s">
        <v>355</v>
      </c>
      <c r="C4" s="44">
        <v>2</v>
      </c>
      <c r="F4" s="1" t="s">
        <v>354</v>
      </c>
      <c r="G4" s="259">
        <f>(C58+NPV(C23,D58:V58))/1000000</f>
        <v>-2.8108187639091908</v>
      </c>
    </row>
    <row r="5" spans="1:7" x14ac:dyDescent="0.2">
      <c r="A5" s="244"/>
      <c r="B5" s="17" t="s">
        <v>356</v>
      </c>
      <c r="C5" s="262">
        <v>100000000</v>
      </c>
    </row>
    <row r="6" spans="1:7" x14ac:dyDescent="0.2">
      <c r="A6" s="244"/>
      <c r="B6" s="17" t="s">
        <v>357</v>
      </c>
      <c r="C6" s="18">
        <v>0.01</v>
      </c>
    </row>
    <row r="7" spans="1:7" x14ac:dyDescent="0.2">
      <c r="A7" s="244"/>
      <c r="B7" s="17" t="s">
        <v>358</v>
      </c>
      <c r="C7" s="18">
        <v>0.02</v>
      </c>
    </row>
    <row r="8" spans="1:7" x14ac:dyDescent="0.2">
      <c r="A8" s="244"/>
      <c r="B8" s="17" t="s">
        <v>359</v>
      </c>
      <c r="C8" s="205">
        <v>5000000</v>
      </c>
    </row>
    <row r="9" spans="1:7" x14ac:dyDescent="0.2">
      <c r="A9" s="244"/>
      <c r="B9" s="17" t="s">
        <v>360</v>
      </c>
      <c r="C9" s="205">
        <v>100000</v>
      </c>
    </row>
    <row r="10" spans="1:7" x14ac:dyDescent="0.2">
      <c r="A10" s="244"/>
      <c r="B10" s="17" t="s">
        <v>361</v>
      </c>
      <c r="C10" s="205">
        <v>5000000</v>
      </c>
    </row>
    <row r="11" spans="1:7" x14ac:dyDescent="0.2">
      <c r="A11" s="244"/>
      <c r="B11" s="17" t="s">
        <v>362</v>
      </c>
      <c r="C11" s="205">
        <v>1000000</v>
      </c>
    </row>
    <row r="12" spans="1:7" x14ac:dyDescent="0.2">
      <c r="A12" s="244"/>
      <c r="B12" s="17" t="s">
        <v>363</v>
      </c>
      <c r="C12" s="205">
        <v>10000000</v>
      </c>
    </row>
    <row r="13" spans="1:7" x14ac:dyDescent="0.2">
      <c r="A13" s="244"/>
      <c r="B13" s="17" t="s">
        <v>364</v>
      </c>
      <c r="C13" s="205">
        <v>1000000</v>
      </c>
    </row>
    <row r="14" spans="1:7" x14ac:dyDescent="0.2">
      <c r="A14" s="244"/>
      <c r="B14" s="17" t="s">
        <v>365</v>
      </c>
      <c r="C14" s="205">
        <v>1000000</v>
      </c>
    </row>
    <row r="15" spans="1:7" x14ac:dyDescent="0.2">
      <c r="A15" s="244"/>
      <c r="B15" s="17" t="s">
        <v>366</v>
      </c>
      <c r="C15" s="205">
        <v>1000000</v>
      </c>
    </row>
    <row r="16" spans="1:7" x14ac:dyDescent="0.2">
      <c r="A16" s="244"/>
      <c r="B16" s="17" t="s">
        <v>367</v>
      </c>
      <c r="C16" s="205">
        <v>225</v>
      </c>
    </row>
    <row r="17" spans="1:22" x14ac:dyDescent="0.2">
      <c r="A17" s="244"/>
      <c r="B17" s="17" t="s">
        <v>368</v>
      </c>
      <c r="C17" s="263">
        <v>11</v>
      </c>
    </row>
    <row r="18" spans="1:22" x14ac:dyDescent="0.2">
      <c r="A18" s="244"/>
      <c r="B18" s="17" t="s">
        <v>369</v>
      </c>
      <c r="C18" s="260">
        <v>13</v>
      </c>
    </row>
    <row r="19" spans="1:22" x14ac:dyDescent="0.2">
      <c r="A19" s="244"/>
      <c r="B19" s="17" t="s">
        <v>370</v>
      </c>
      <c r="C19" s="261" t="s">
        <v>371</v>
      </c>
    </row>
    <row r="20" spans="1:22" x14ac:dyDescent="0.2">
      <c r="A20" s="244"/>
      <c r="B20" s="17" t="s">
        <v>372</v>
      </c>
      <c r="C20" s="205">
        <v>5000000</v>
      </c>
      <c r="D20" t="s">
        <v>373</v>
      </c>
    </row>
    <row r="21" spans="1:22" x14ac:dyDescent="0.2">
      <c r="A21" s="244"/>
      <c r="B21" s="17" t="s">
        <v>374</v>
      </c>
      <c r="C21" s="205">
        <v>0</v>
      </c>
      <c r="D21" t="s">
        <v>371</v>
      </c>
    </row>
    <row r="22" spans="1:22" x14ac:dyDescent="0.2">
      <c r="A22" s="244"/>
      <c r="B22" s="17" t="s">
        <v>375</v>
      </c>
      <c r="C22" s="205">
        <v>-5000000</v>
      </c>
      <c r="D22" t="s">
        <v>376</v>
      </c>
    </row>
    <row r="23" spans="1:22" x14ac:dyDescent="0.2">
      <c r="A23" s="244"/>
      <c r="B23" s="17" t="s">
        <v>377</v>
      </c>
      <c r="C23" s="99">
        <v>0.1</v>
      </c>
    </row>
    <row r="24" spans="1:22" x14ac:dyDescent="0.2">
      <c r="A24" s="244"/>
      <c r="B24" s="17" t="s">
        <v>378</v>
      </c>
      <c r="C24" s="18">
        <v>0.75</v>
      </c>
    </row>
    <row r="25" spans="1:22" x14ac:dyDescent="0.2">
      <c r="A25" s="242"/>
      <c r="B25" s="20" t="s">
        <v>379</v>
      </c>
      <c r="C25" s="235">
        <v>0.5</v>
      </c>
    </row>
    <row r="27" spans="1:22" s="1" customFormat="1" x14ac:dyDescent="0.2">
      <c r="C27" s="1">
        <v>2005</v>
      </c>
      <c r="D27" s="1">
        <v>2006</v>
      </c>
      <c r="E27" s="1">
        <v>2007</v>
      </c>
      <c r="F27" s="1">
        <v>2008</v>
      </c>
      <c r="G27" s="1">
        <v>2009</v>
      </c>
      <c r="H27" s="1">
        <v>2010</v>
      </c>
      <c r="I27" s="1">
        <v>2011</v>
      </c>
      <c r="J27" s="1">
        <v>2012</v>
      </c>
      <c r="K27" s="1">
        <v>2013</v>
      </c>
      <c r="L27" s="1">
        <v>2014</v>
      </c>
      <c r="M27" s="1">
        <v>2015</v>
      </c>
      <c r="N27" s="1">
        <v>2016</v>
      </c>
      <c r="O27" s="1">
        <v>2017</v>
      </c>
      <c r="P27" s="1">
        <v>2018</v>
      </c>
      <c r="Q27" s="1">
        <v>2019</v>
      </c>
      <c r="R27" s="1">
        <v>2020</v>
      </c>
      <c r="S27" s="1">
        <v>2021</v>
      </c>
      <c r="T27" s="1">
        <v>2022</v>
      </c>
      <c r="U27" s="1">
        <v>2023</v>
      </c>
      <c r="V27" s="1">
        <v>2024</v>
      </c>
    </row>
    <row r="29" spans="1:22" x14ac:dyDescent="0.2">
      <c r="A29" s="1" t="s">
        <v>231</v>
      </c>
    </row>
    <row r="30" spans="1:22" x14ac:dyDescent="0.2">
      <c r="B30" t="s">
        <v>380</v>
      </c>
      <c r="C30" s="258">
        <f>C5</f>
        <v>100000000</v>
      </c>
      <c r="D30" s="258">
        <f>$C$30</f>
        <v>100000000</v>
      </c>
      <c r="E30" s="258">
        <f t="shared" ref="E30:V30" si="0">$C$30</f>
        <v>100000000</v>
      </c>
      <c r="F30" s="258">
        <f t="shared" si="0"/>
        <v>100000000</v>
      </c>
      <c r="G30" s="258">
        <f t="shared" si="0"/>
        <v>100000000</v>
      </c>
      <c r="H30" s="258">
        <f t="shared" si="0"/>
        <v>100000000</v>
      </c>
      <c r="I30" s="258">
        <f t="shared" si="0"/>
        <v>100000000</v>
      </c>
      <c r="J30" s="258">
        <f t="shared" si="0"/>
        <v>100000000</v>
      </c>
      <c r="K30" s="258">
        <f t="shared" si="0"/>
        <v>100000000</v>
      </c>
      <c r="L30" s="258">
        <f t="shared" si="0"/>
        <v>100000000</v>
      </c>
      <c r="M30" s="258">
        <f t="shared" si="0"/>
        <v>100000000</v>
      </c>
      <c r="N30" s="258">
        <f t="shared" si="0"/>
        <v>100000000</v>
      </c>
      <c r="O30" s="258">
        <f t="shared" si="0"/>
        <v>100000000</v>
      </c>
      <c r="P30" s="258">
        <f t="shared" si="0"/>
        <v>100000000</v>
      </c>
      <c r="Q30" s="258">
        <f t="shared" si="0"/>
        <v>100000000</v>
      </c>
      <c r="R30" s="258">
        <f t="shared" si="0"/>
        <v>100000000</v>
      </c>
      <c r="S30" s="258">
        <f t="shared" si="0"/>
        <v>100000000</v>
      </c>
      <c r="T30" s="258">
        <f t="shared" si="0"/>
        <v>100000000</v>
      </c>
      <c r="U30" s="258">
        <f t="shared" si="0"/>
        <v>100000000</v>
      </c>
      <c r="V30" s="258">
        <f t="shared" si="0"/>
        <v>100000000</v>
      </c>
    </row>
    <row r="31" spans="1:22" x14ac:dyDescent="0.2">
      <c r="B31" t="s">
        <v>381</v>
      </c>
      <c r="C31" s="258">
        <f>C30</f>
        <v>100000000</v>
      </c>
      <c r="D31" s="258">
        <f>D30</f>
        <v>100000000</v>
      </c>
      <c r="E31" s="258">
        <f>E30*(1+$C$6)</f>
        <v>101000000</v>
      </c>
      <c r="F31" s="258">
        <f t="shared" ref="F31:Q31" si="1">E31*(1+$C$6)</f>
        <v>102010000</v>
      </c>
      <c r="G31" s="258">
        <f t="shared" si="1"/>
        <v>103030100</v>
      </c>
      <c r="H31" s="258">
        <f t="shared" si="1"/>
        <v>104060401</v>
      </c>
      <c r="I31" s="258">
        <f t="shared" si="1"/>
        <v>105101005.01000001</v>
      </c>
      <c r="J31" s="258">
        <f t="shared" si="1"/>
        <v>106152015.0601</v>
      </c>
      <c r="K31" s="258">
        <f t="shared" si="1"/>
        <v>107213535.210701</v>
      </c>
      <c r="L31" s="258">
        <f t="shared" si="1"/>
        <v>108285670.56280802</v>
      </c>
      <c r="M31" s="258">
        <f t="shared" si="1"/>
        <v>109368527.2684361</v>
      </c>
      <c r="N31" s="258">
        <f t="shared" si="1"/>
        <v>110462212.54112047</v>
      </c>
      <c r="O31" s="258">
        <f t="shared" si="1"/>
        <v>111566834.66653168</v>
      </c>
      <c r="P31" s="258">
        <f t="shared" si="1"/>
        <v>112682503.013197</v>
      </c>
      <c r="Q31" s="258">
        <f t="shared" si="1"/>
        <v>113809328.04332897</v>
      </c>
      <c r="R31" s="258">
        <f>Q31*(1+$C$6)</f>
        <v>114947421.32376227</v>
      </c>
      <c r="S31" s="258">
        <f>R31*(1+$C$6)</f>
        <v>116096895.5369999</v>
      </c>
      <c r="T31" s="258">
        <f>S31*(1+$C$6)</f>
        <v>117257864.49236989</v>
      </c>
      <c r="U31" s="258">
        <f>T31*(1+$C$6)</f>
        <v>118430443.13729359</v>
      </c>
      <c r="V31" s="258">
        <f>U31*(1+$C$6)</f>
        <v>119614747.56866653</v>
      </c>
    </row>
    <row r="32" spans="1:22" x14ac:dyDescent="0.2">
      <c r="B32" t="s">
        <v>382</v>
      </c>
      <c r="C32" s="258">
        <f>C31</f>
        <v>100000000</v>
      </c>
      <c r="D32" s="258">
        <f>D31</f>
        <v>100000000</v>
      </c>
      <c r="E32" s="258">
        <f>E31</f>
        <v>101000000</v>
      </c>
      <c r="F32" s="258">
        <f>F31</f>
        <v>102010000</v>
      </c>
      <c r="G32" s="258">
        <f t="shared" ref="G32:Q32" si="2">F32*(1+$C$7)</f>
        <v>104050200</v>
      </c>
      <c r="H32" s="258">
        <f t="shared" si="2"/>
        <v>106131204</v>
      </c>
      <c r="I32" s="258">
        <f t="shared" si="2"/>
        <v>108253828.08</v>
      </c>
      <c r="J32" s="258">
        <f t="shared" si="2"/>
        <v>110418904.6416</v>
      </c>
      <c r="K32" s="258">
        <f t="shared" si="2"/>
        <v>112627282.734432</v>
      </c>
      <c r="L32" s="258">
        <f t="shared" si="2"/>
        <v>114879828.38912064</v>
      </c>
      <c r="M32" s="258">
        <f t="shared" si="2"/>
        <v>117177424.95690306</v>
      </c>
      <c r="N32" s="258">
        <f t="shared" si="2"/>
        <v>119520973.45604111</v>
      </c>
      <c r="O32" s="258">
        <f t="shared" si="2"/>
        <v>121911392.92516194</v>
      </c>
      <c r="P32" s="258">
        <f t="shared" si="2"/>
        <v>124349620.78366518</v>
      </c>
      <c r="Q32" s="258">
        <f t="shared" si="2"/>
        <v>126836613.19933848</v>
      </c>
      <c r="R32" s="258">
        <f>Q32*(1+$C$7)</f>
        <v>129373345.46332525</v>
      </c>
      <c r="S32" s="258">
        <f>R32*(1+$C$7)</f>
        <v>131960812.37259175</v>
      </c>
      <c r="T32" s="258">
        <f>S32*(1+$C$7)</f>
        <v>134600028.62004358</v>
      </c>
      <c r="U32" s="258">
        <f>T32*(1+$C$7)</f>
        <v>137292029.19244444</v>
      </c>
      <c r="V32" s="258">
        <f>U32*(1+$C$7)</f>
        <v>140037869.77629334</v>
      </c>
    </row>
    <row r="34" spans="1:22" x14ac:dyDescent="0.2">
      <c r="A34" s="1" t="s">
        <v>383</v>
      </c>
      <c r="D34" s="258"/>
    </row>
    <row r="35" spans="1:22" x14ac:dyDescent="0.2">
      <c r="B35" t="s">
        <v>380</v>
      </c>
      <c r="C35" s="258">
        <f>C30/$C$17</f>
        <v>9090909.0909090918</v>
      </c>
      <c r="D35" s="258">
        <f t="shared" ref="D35:V35" si="3">D30/$C$17</f>
        <v>9090909.0909090918</v>
      </c>
      <c r="E35" s="258">
        <f t="shared" si="3"/>
        <v>9090909.0909090918</v>
      </c>
      <c r="F35" s="258">
        <f t="shared" si="3"/>
        <v>9090909.0909090918</v>
      </c>
      <c r="G35" s="258">
        <f t="shared" si="3"/>
        <v>9090909.0909090918</v>
      </c>
      <c r="H35" s="258">
        <f t="shared" si="3"/>
        <v>9090909.0909090918</v>
      </c>
      <c r="I35" s="258">
        <f t="shared" si="3"/>
        <v>9090909.0909090918</v>
      </c>
      <c r="J35" s="258">
        <f t="shared" si="3"/>
        <v>9090909.0909090918</v>
      </c>
      <c r="K35" s="258">
        <f t="shared" si="3"/>
        <v>9090909.0909090918</v>
      </c>
      <c r="L35" s="258">
        <f t="shared" si="3"/>
        <v>9090909.0909090918</v>
      </c>
      <c r="M35" s="258">
        <f t="shared" si="3"/>
        <v>9090909.0909090918</v>
      </c>
      <c r="N35" s="258">
        <f t="shared" si="3"/>
        <v>9090909.0909090918</v>
      </c>
      <c r="O35" s="258">
        <f t="shared" si="3"/>
        <v>9090909.0909090918</v>
      </c>
      <c r="P35" s="258">
        <f t="shared" si="3"/>
        <v>9090909.0909090918</v>
      </c>
      <c r="Q35" s="258">
        <f t="shared" si="3"/>
        <v>9090909.0909090918</v>
      </c>
      <c r="R35" s="258">
        <f t="shared" si="3"/>
        <v>9090909.0909090918</v>
      </c>
      <c r="S35" s="258">
        <f t="shared" si="3"/>
        <v>9090909.0909090918</v>
      </c>
      <c r="T35" s="258">
        <f t="shared" si="3"/>
        <v>9090909.0909090918</v>
      </c>
      <c r="U35" s="258">
        <f t="shared" si="3"/>
        <v>9090909.0909090918</v>
      </c>
      <c r="V35" s="258">
        <f t="shared" si="3"/>
        <v>9090909.0909090918</v>
      </c>
    </row>
    <row r="36" spans="1:22" x14ac:dyDescent="0.2">
      <c r="B36" t="s">
        <v>381</v>
      </c>
      <c r="C36" s="258">
        <f>C35</f>
        <v>9090909.0909090918</v>
      </c>
      <c r="D36" s="258">
        <f>D35</f>
        <v>9090909.0909090918</v>
      </c>
      <c r="E36" s="258">
        <f t="shared" ref="E36:V36" si="4">E31/$C$18</f>
        <v>7769230.769230769</v>
      </c>
      <c r="F36" s="258">
        <f t="shared" si="4"/>
        <v>7846923.076923077</v>
      </c>
      <c r="G36" s="258">
        <f t="shared" si="4"/>
        <v>7925392.307692308</v>
      </c>
      <c r="H36" s="258">
        <f t="shared" si="4"/>
        <v>8004646.230769231</v>
      </c>
      <c r="I36" s="258">
        <f t="shared" si="4"/>
        <v>8084692.6930769235</v>
      </c>
      <c r="J36" s="258">
        <f t="shared" si="4"/>
        <v>8165539.6200076928</v>
      </c>
      <c r="K36" s="258">
        <f t="shared" si="4"/>
        <v>8247195.0162077695</v>
      </c>
      <c r="L36" s="258">
        <f t="shared" si="4"/>
        <v>8329666.9663698478</v>
      </c>
      <c r="M36" s="258">
        <f t="shared" si="4"/>
        <v>8412963.6360335462</v>
      </c>
      <c r="N36" s="258">
        <f t="shared" si="4"/>
        <v>8497093.2723938823</v>
      </c>
      <c r="O36" s="258">
        <f t="shared" si="4"/>
        <v>8582064.2051178217</v>
      </c>
      <c r="P36" s="258">
        <f t="shared" si="4"/>
        <v>8667884.8471690007</v>
      </c>
      <c r="Q36" s="258">
        <f t="shared" si="4"/>
        <v>8754563.6956406906</v>
      </c>
      <c r="R36" s="258">
        <f t="shared" si="4"/>
        <v>8842109.3325970974</v>
      </c>
      <c r="S36" s="258">
        <f t="shared" si="4"/>
        <v>8930530.4259230681</v>
      </c>
      <c r="T36" s="258">
        <f t="shared" si="4"/>
        <v>9019835.7301822994</v>
      </c>
      <c r="U36" s="258">
        <f t="shared" si="4"/>
        <v>9110034.0874841232</v>
      </c>
      <c r="V36" s="258">
        <f t="shared" si="4"/>
        <v>9201134.4283589646</v>
      </c>
    </row>
    <row r="37" spans="1:22" x14ac:dyDescent="0.2">
      <c r="B37" t="s">
        <v>382</v>
      </c>
      <c r="C37" s="258">
        <f>C36</f>
        <v>9090909.0909090918</v>
      </c>
      <c r="D37" s="258">
        <f>D36</f>
        <v>9090909.0909090918</v>
      </c>
      <c r="E37" s="258">
        <f>E36</f>
        <v>7769230.769230769</v>
      </c>
      <c r="F37" s="258">
        <f>F36</f>
        <v>7846923.076923077</v>
      </c>
      <c r="G37" s="258">
        <f t="shared" ref="G37:V37" si="5">G32/$C$18</f>
        <v>8003861.538461538</v>
      </c>
      <c r="H37" s="258">
        <f t="shared" si="5"/>
        <v>8163938.769230769</v>
      </c>
      <c r="I37" s="258">
        <f t="shared" si="5"/>
        <v>8327217.5446153842</v>
      </c>
      <c r="J37" s="258">
        <f t="shared" si="5"/>
        <v>8493761.8955076914</v>
      </c>
      <c r="K37" s="258">
        <f t="shared" si="5"/>
        <v>8663637.1334178466</v>
      </c>
      <c r="L37" s="258">
        <f t="shared" si="5"/>
        <v>8836909.8760862034</v>
      </c>
      <c r="M37" s="258">
        <f t="shared" si="5"/>
        <v>9013648.0736079272</v>
      </c>
      <c r="N37" s="258">
        <f t="shared" si="5"/>
        <v>9193921.0350800864</v>
      </c>
      <c r="O37" s="258">
        <f t="shared" si="5"/>
        <v>9377799.4557816871</v>
      </c>
      <c r="P37" s="258">
        <f t="shared" si="5"/>
        <v>9565355.444897322</v>
      </c>
      <c r="Q37" s="258">
        <f t="shared" si="5"/>
        <v>9756662.5537952669</v>
      </c>
      <c r="R37" s="258">
        <f t="shared" si="5"/>
        <v>9951795.8048711736</v>
      </c>
      <c r="S37" s="258">
        <f t="shared" si="5"/>
        <v>10150831.720968597</v>
      </c>
      <c r="T37" s="258">
        <f t="shared" si="5"/>
        <v>10353848.355387967</v>
      </c>
      <c r="U37" s="258">
        <f t="shared" si="5"/>
        <v>10560925.322495727</v>
      </c>
      <c r="V37" s="258">
        <f t="shared" si="5"/>
        <v>10772143.82894564</v>
      </c>
    </row>
    <row r="39" spans="1:22" x14ac:dyDescent="0.2">
      <c r="A39" s="1" t="s">
        <v>90</v>
      </c>
      <c r="C39" s="258"/>
      <c r="D39" s="258"/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8"/>
      <c r="P39" s="258"/>
      <c r="Q39" s="258"/>
      <c r="R39" s="258"/>
      <c r="S39" s="258"/>
      <c r="T39" s="258"/>
      <c r="U39" s="258"/>
    </row>
    <row r="40" spans="1:22" x14ac:dyDescent="0.2">
      <c r="B40" t="s">
        <v>384</v>
      </c>
      <c r="C40" s="258">
        <v>3375000</v>
      </c>
      <c r="D40" s="258">
        <v>2727000</v>
      </c>
      <c r="E40" s="258">
        <v>2065500</v>
      </c>
      <c r="F40" s="258">
        <v>1390500</v>
      </c>
      <c r="G40" s="258">
        <v>702000</v>
      </c>
      <c r="H40" s="258">
        <v>354375</v>
      </c>
      <c r="I40" s="258">
        <v>0</v>
      </c>
      <c r="J40" s="258">
        <v>0</v>
      </c>
      <c r="K40" s="258">
        <v>0</v>
      </c>
      <c r="L40" s="258">
        <v>0</v>
      </c>
      <c r="M40" s="258">
        <v>0</v>
      </c>
      <c r="N40" s="258">
        <v>0</v>
      </c>
      <c r="O40" s="258">
        <v>0</v>
      </c>
      <c r="P40" s="258">
        <v>0</v>
      </c>
      <c r="Q40" s="258">
        <v>0</v>
      </c>
      <c r="R40" s="258">
        <v>0</v>
      </c>
      <c r="S40" s="258">
        <v>0</v>
      </c>
      <c r="T40" s="258">
        <v>0</v>
      </c>
      <c r="U40" s="258">
        <v>0</v>
      </c>
      <c r="V40" s="258">
        <v>0</v>
      </c>
    </row>
    <row r="41" spans="1:22" x14ac:dyDescent="0.2">
      <c r="B41" t="s">
        <v>385</v>
      </c>
      <c r="C41" s="258">
        <v>0</v>
      </c>
      <c r="D41" s="258">
        <v>0</v>
      </c>
      <c r="E41" s="258">
        <v>0</v>
      </c>
      <c r="F41" s="258">
        <v>695250</v>
      </c>
      <c r="G41" s="258">
        <v>351000</v>
      </c>
      <c r="H41" s="258">
        <v>354375</v>
      </c>
      <c r="I41" s="258">
        <v>0</v>
      </c>
      <c r="J41" s="258">
        <v>0</v>
      </c>
      <c r="K41" s="258">
        <v>0</v>
      </c>
      <c r="L41" s="258">
        <v>0</v>
      </c>
      <c r="M41" s="258">
        <v>0</v>
      </c>
      <c r="N41" s="258">
        <v>0</v>
      </c>
      <c r="O41" s="258">
        <v>0</v>
      </c>
      <c r="P41" s="258">
        <v>0</v>
      </c>
      <c r="Q41" s="258">
        <v>0</v>
      </c>
      <c r="R41" s="258">
        <v>0</v>
      </c>
      <c r="S41" s="258">
        <v>0</v>
      </c>
      <c r="T41" s="258">
        <v>0</v>
      </c>
      <c r="U41" s="258">
        <v>0</v>
      </c>
      <c r="V41" s="258">
        <v>0</v>
      </c>
    </row>
    <row r="42" spans="1:22" x14ac:dyDescent="0.2">
      <c r="B42" t="s">
        <v>386</v>
      </c>
      <c r="C42" s="258">
        <v>10</v>
      </c>
      <c r="D42" s="258">
        <v>18</v>
      </c>
      <c r="E42" s="258">
        <v>24</v>
      </c>
      <c r="F42" s="258">
        <v>28</v>
      </c>
      <c r="G42" s="258">
        <v>30</v>
      </c>
      <c r="H42" s="258">
        <v>31</v>
      </c>
      <c r="I42" s="258">
        <v>32</v>
      </c>
      <c r="J42" s="258">
        <v>32</v>
      </c>
      <c r="K42" s="258">
        <v>32</v>
      </c>
      <c r="L42" s="258">
        <v>32</v>
      </c>
      <c r="M42" s="258">
        <v>32</v>
      </c>
      <c r="N42" s="258">
        <v>32</v>
      </c>
      <c r="O42" s="258">
        <v>32</v>
      </c>
      <c r="P42" s="258">
        <v>32</v>
      </c>
      <c r="Q42" s="258">
        <v>32</v>
      </c>
      <c r="R42" s="258">
        <v>32</v>
      </c>
      <c r="S42" s="258">
        <v>32</v>
      </c>
      <c r="T42" s="258">
        <v>32</v>
      </c>
      <c r="U42" s="258">
        <v>32</v>
      </c>
      <c r="V42" s="258">
        <v>32</v>
      </c>
    </row>
    <row r="43" spans="1:22" x14ac:dyDescent="0.2">
      <c r="B43" t="s">
        <v>387</v>
      </c>
      <c r="C43" s="258">
        <v>1000000</v>
      </c>
      <c r="D43" s="258">
        <v>1890000</v>
      </c>
      <c r="E43" s="258">
        <v>2646000</v>
      </c>
      <c r="F43" s="258">
        <v>3241336</v>
      </c>
      <c r="G43" s="258">
        <v>3646500</v>
      </c>
      <c r="H43" s="258">
        <v>3956437</v>
      </c>
      <c r="I43" s="258">
        <v>4288256</v>
      </c>
      <c r="J43" s="258">
        <v>4502656</v>
      </c>
      <c r="K43" s="258">
        <v>4726656</v>
      </c>
      <c r="L43" s="258">
        <v>4964160</v>
      </c>
      <c r="M43" s="258">
        <v>5212352</v>
      </c>
      <c r="N43" s="258">
        <v>5472960</v>
      </c>
      <c r="O43" s="258">
        <v>5746592</v>
      </c>
      <c r="P43" s="258">
        <v>6033920</v>
      </c>
      <c r="Q43" s="258">
        <v>6312117.3333333442</v>
      </c>
      <c r="R43" s="258">
        <v>6592597.3333333442</v>
      </c>
      <c r="S43" s="258">
        <v>6873077.3333333442</v>
      </c>
      <c r="T43" s="258">
        <v>7153557.3333333442</v>
      </c>
      <c r="U43" s="258">
        <v>7434037.3333333442</v>
      </c>
      <c r="V43" s="258">
        <v>7714528</v>
      </c>
    </row>
    <row r="44" spans="1:22" x14ac:dyDescent="0.2">
      <c r="B44" t="s">
        <v>388</v>
      </c>
      <c r="C44" s="258">
        <f>C8</f>
        <v>5000000</v>
      </c>
      <c r="D44" s="258">
        <f>C44+$C$9</f>
        <v>5100000</v>
      </c>
      <c r="E44" s="258">
        <f t="shared" ref="E44:V44" si="6">D44+$C$9</f>
        <v>5200000</v>
      </c>
      <c r="F44" s="258">
        <f t="shared" si="6"/>
        <v>5300000</v>
      </c>
      <c r="G44" s="258">
        <f t="shared" si="6"/>
        <v>5400000</v>
      </c>
      <c r="H44" s="258">
        <f t="shared" si="6"/>
        <v>5500000</v>
      </c>
      <c r="I44" s="258">
        <f t="shared" si="6"/>
        <v>5600000</v>
      </c>
      <c r="J44" s="258">
        <f t="shared" si="6"/>
        <v>5700000</v>
      </c>
      <c r="K44" s="258">
        <f t="shared" si="6"/>
        <v>5800000</v>
      </c>
      <c r="L44" s="258">
        <f t="shared" si="6"/>
        <v>5900000</v>
      </c>
      <c r="M44" s="258">
        <f t="shared" si="6"/>
        <v>6000000</v>
      </c>
      <c r="N44" s="258">
        <f t="shared" si="6"/>
        <v>6100000</v>
      </c>
      <c r="O44" s="258">
        <f t="shared" si="6"/>
        <v>6200000</v>
      </c>
      <c r="P44" s="258">
        <f t="shared" si="6"/>
        <v>6300000</v>
      </c>
      <c r="Q44" s="258">
        <f t="shared" si="6"/>
        <v>6400000</v>
      </c>
      <c r="R44" s="258">
        <f t="shared" si="6"/>
        <v>6500000</v>
      </c>
      <c r="S44" s="258">
        <f t="shared" si="6"/>
        <v>6600000</v>
      </c>
      <c r="T44" s="258">
        <f t="shared" si="6"/>
        <v>6700000</v>
      </c>
      <c r="U44" s="258">
        <f t="shared" si="6"/>
        <v>6800000</v>
      </c>
      <c r="V44" s="258">
        <f t="shared" si="6"/>
        <v>6900000</v>
      </c>
    </row>
    <row r="45" spans="1:22" x14ac:dyDescent="0.2">
      <c r="B45" t="s">
        <v>389</v>
      </c>
      <c r="C45" s="258">
        <v>3000000</v>
      </c>
      <c r="D45" s="258">
        <v>2000000</v>
      </c>
      <c r="E45" s="258">
        <v>1000000</v>
      </c>
      <c r="F45" s="258">
        <v>500000</v>
      </c>
      <c r="G45" s="258">
        <v>200000</v>
      </c>
      <c r="H45" s="258">
        <v>100000</v>
      </c>
      <c r="I45" s="258">
        <v>0</v>
      </c>
      <c r="J45" s="258">
        <v>0</v>
      </c>
      <c r="K45" s="258">
        <v>0</v>
      </c>
      <c r="L45" s="258">
        <v>0</v>
      </c>
      <c r="M45" s="258">
        <v>0</v>
      </c>
      <c r="N45" s="258">
        <v>0</v>
      </c>
      <c r="O45" s="258">
        <v>0</v>
      </c>
      <c r="P45" s="258">
        <v>0</v>
      </c>
      <c r="Q45" s="258">
        <v>0</v>
      </c>
      <c r="R45" s="258">
        <v>0</v>
      </c>
      <c r="S45" s="258">
        <v>0</v>
      </c>
      <c r="T45" s="258">
        <v>0</v>
      </c>
      <c r="U45" s="258">
        <v>0</v>
      </c>
      <c r="V45" s="258">
        <v>0</v>
      </c>
    </row>
    <row r="46" spans="1:22" x14ac:dyDescent="0.2">
      <c r="B46" t="s">
        <v>390</v>
      </c>
      <c r="C46" s="258">
        <f>C10</f>
        <v>5000000</v>
      </c>
      <c r="D46" s="258">
        <f>C11</f>
        <v>1000000</v>
      </c>
      <c r="E46" s="258">
        <v>0</v>
      </c>
      <c r="F46" s="258">
        <v>0</v>
      </c>
      <c r="G46" s="258">
        <v>0</v>
      </c>
      <c r="H46" s="258">
        <v>0</v>
      </c>
      <c r="I46" s="258">
        <v>0</v>
      </c>
      <c r="J46" s="258">
        <v>0</v>
      </c>
      <c r="K46" s="258">
        <v>0</v>
      </c>
      <c r="L46" s="258">
        <v>0</v>
      </c>
      <c r="M46" s="258">
        <v>0</v>
      </c>
      <c r="N46" s="258">
        <v>0</v>
      </c>
      <c r="O46" s="258">
        <v>0</v>
      </c>
      <c r="P46" s="258">
        <v>0</v>
      </c>
      <c r="Q46" s="258">
        <v>0</v>
      </c>
      <c r="R46" s="258">
        <v>0</v>
      </c>
      <c r="S46" s="258">
        <v>0</v>
      </c>
      <c r="T46" s="258">
        <v>0</v>
      </c>
      <c r="U46" s="258">
        <v>0</v>
      </c>
      <c r="V46" s="258">
        <v>0</v>
      </c>
    </row>
    <row r="47" spans="1:22" x14ac:dyDescent="0.2">
      <c r="B47" t="s">
        <v>391</v>
      </c>
      <c r="C47" s="258">
        <f>C12</f>
        <v>10000000</v>
      </c>
      <c r="D47" s="258">
        <f>C13</f>
        <v>1000000</v>
      </c>
      <c r="E47" s="258">
        <v>0</v>
      </c>
      <c r="F47" s="258">
        <v>0</v>
      </c>
      <c r="G47" s="258">
        <v>0</v>
      </c>
      <c r="H47" s="258">
        <v>0</v>
      </c>
      <c r="I47" s="258">
        <v>0</v>
      </c>
      <c r="J47" s="258">
        <v>0</v>
      </c>
      <c r="K47" s="258">
        <v>0</v>
      </c>
      <c r="L47" s="258">
        <v>0</v>
      </c>
      <c r="M47" s="258">
        <v>0</v>
      </c>
      <c r="N47" s="258">
        <v>0</v>
      </c>
      <c r="O47" s="258">
        <v>0</v>
      </c>
      <c r="P47" s="258">
        <v>0</v>
      </c>
      <c r="Q47" s="258">
        <v>0</v>
      </c>
      <c r="R47" s="258">
        <v>0</v>
      </c>
      <c r="S47" s="258">
        <v>0</v>
      </c>
      <c r="T47" s="258">
        <v>0</v>
      </c>
      <c r="U47" s="258">
        <v>0</v>
      </c>
      <c r="V47" s="258">
        <v>0</v>
      </c>
    </row>
    <row r="48" spans="1:22" x14ac:dyDescent="0.2">
      <c r="B48" t="s">
        <v>392</v>
      </c>
      <c r="C48" s="258">
        <v>0</v>
      </c>
      <c r="D48" s="258">
        <v>0</v>
      </c>
      <c r="E48" s="258">
        <v>0</v>
      </c>
      <c r="F48" s="258">
        <f>C14</f>
        <v>1000000</v>
      </c>
      <c r="G48" s="258">
        <v>0</v>
      </c>
      <c r="H48" s="258">
        <v>0</v>
      </c>
      <c r="I48" s="258">
        <v>0</v>
      </c>
      <c r="J48" s="258">
        <v>0</v>
      </c>
      <c r="K48" s="258">
        <v>0</v>
      </c>
      <c r="L48" s="258">
        <v>0</v>
      </c>
      <c r="M48" s="258">
        <v>0</v>
      </c>
      <c r="N48" s="258">
        <v>0</v>
      </c>
      <c r="O48" s="258">
        <v>0</v>
      </c>
      <c r="P48" s="258">
        <v>0</v>
      </c>
      <c r="Q48" s="258">
        <v>0</v>
      </c>
      <c r="R48" s="258">
        <v>0</v>
      </c>
      <c r="S48" s="258">
        <v>0</v>
      </c>
      <c r="T48" s="258">
        <v>0</v>
      </c>
      <c r="U48" s="258">
        <v>0</v>
      </c>
      <c r="V48" s="258">
        <v>0</v>
      </c>
    </row>
    <row r="49" spans="1:22" x14ac:dyDescent="0.2">
      <c r="B49" t="s">
        <v>393</v>
      </c>
      <c r="C49" s="258">
        <v>0</v>
      </c>
      <c r="D49" s="258">
        <v>0</v>
      </c>
      <c r="E49" s="258">
        <v>0</v>
      </c>
      <c r="F49" s="258">
        <f>C15</f>
        <v>1000000</v>
      </c>
      <c r="G49" s="258">
        <v>0</v>
      </c>
      <c r="H49" s="258">
        <v>0</v>
      </c>
      <c r="I49" s="258">
        <v>0</v>
      </c>
      <c r="J49" s="258">
        <v>0</v>
      </c>
      <c r="K49" s="258">
        <v>0</v>
      </c>
      <c r="L49" s="258">
        <v>0</v>
      </c>
      <c r="M49" s="258">
        <v>0</v>
      </c>
      <c r="N49" s="258">
        <v>0</v>
      </c>
      <c r="O49" s="258">
        <v>0</v>
      </c>
      <c r="P49" s="258">
        <v>0</v>
      </c>
      <c r="Q49" s="258">
        <v>0</v>
      </c>
      <c r="R49" s="258">
        <v>0</v>
      </c>
      <c r="S49" s="258">
        <v>0</v>
      </c>
      <c r="T49" s="258">
        <v>0</v>
      </c>
      <c r="U49" s="258">
        <v>0</v>
      </c>
      <c r="V49" s="258">
        <v>0</v>
      </c>
    </row>
    <row r="50" spans="1:22" x14ac:dyDescent="0.2">
      <c r="B50" t="s">
        <v>70</v>
      </c>
      <c r="C50" s="258">
        <f>IF($C$4=1,C40+C43+SUM(C45:C47),C40+C41+C43+SUM(C45:C49))</f>
        <v>22375000</v>
      </c>
      <c r="D50" s="258">
        <f>IF($C$4=1,D40+D43+SUM(D45:D47),D40+D41+D43+SUM(D45:D49))</f>
        <v>8617000</v>
      </c>
      <c r="E50" s="258">
        <f t="shared" ref="E50:V50" si="7">IF($C$4=1,E40+E43+SUM(E45:E47),E40+E41+E43+SUM(E45:E49))</f>
        <v>5711500</v>
      </c>
      <c r="F50" s="258">
        <f t="shared" si="7"/>
        <v>7827086</v>
      </c>
      <c r="G50" s="258">
        <f t="shared" si="7"/>
        <v>4899500</v>
      </c>
      <c r="H50" s="258">
        <f t="shared" si="7"/>
        <v>4765187</v>
      </c>
      <c r="I50" s="258">
        <f t="shared" si="7"/>
        <v>4288256</v>
      </c>
      <c r="J50" s="258">
        <f t="shared" si="7"/>
        <v>4502656</v>
      </c>
      <c r="K50" s="258">
        <f t="shared" si="7"/>
        <v>4726656</v>
      </c>
      <c r="L50" s="258">
        <f t="shared" si="7"/>
        <v>4964160</v>
      </c>
      <c r="M50" s="258">
        <f t="shared" si="7"/>
        <v>5212352</v>
      </c>
      <c r="N50" s="258">
        <f t="shared" si="7"/>
        <v>5472960</v>
      </c>
      <c r="O50" s="258">
        <f t="shared" si="7"/>
        <v>5746592</v>
      </c>
      <c r="P50" s="258">
        <f t="shared" si="7"/>
        <v>6033920</v>
      </c>
      <c r="Q50" s="258">
        <f t="shared" si="7"/>
        <v>6312117.3333333442</v>
      </c>
      <c r="R50" s="258">
        <f t="shared" si="7"/>
        <v>6592597.3333333442</v>
      </c>
      <c r="S50" s="258">
        <f t="shared" si="7"/>
        <v>6873077.3333333442</v>
      </c>
      <c r="T50" s="258">
        <f t="shared" si="7"/>
        <v>7153557.3333333442</v>
      </c>
      <c r="U50" s="258">
        <f t="shared" si="7"/>
        <v>7434037.3333333442</v>
      </c>
      <c r="V50" s="258">
        <f t="shared" si="7"/>
        <v>7714528</v>
      </c>
    </row>
    <row r="51" spans="1:22" x14ac:dyDescent="0.2"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</row>
    <row r="52" spans="1:22" x14ac:dyDescent="0.2">
      <c r="A52" s="1" t="s">
        <v>394</v>
      </c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</row>
    <row r="53" spans="1:22" x14ac:dyDescent="0.2">
      <c r="B53" t="s">
        <v>395</v>
      </c>
      <c r="C53" s="258">
        <f>(1-$C$24)*IF($C$4=1,C31-C30,C32-C30)</f>
        <v>0</v>
      </c>
      <c r="D53" s="258">
        <f t="shared" ref="D53:Q53" si="8">(1-$C$24)*IF($C$4=1,D31-D30,D32-D30)</f>
        <v>0</v>
      </c>
      <c r="E53" s="258">
        <f t="shared" si="8"/>
        <v>250000</v>
      </c>
      <c r="F53" s="258">
        <f t="shared" si="8"/>
        <v>502500</v>
      </c>
      <c r="G53" s="258">
        <f t="shared" si="8"/>
        <v>1012550</v>
      </c>
      <c r="H53" s="258">
        <f t="shared" si="8"/>
        <v>1532801</v>
      </c>
      <c r="I53" s="258">
        <f t="shared" si="8"/>
        <v>2063457.0199999996</v>
      </c>
      <c r="J53" s="258">
        <f t="shared" si="8"/>
        <v>2604726.1603999995</v>
      </c>
      <c r="K53" s="258">
        <f t="shared" si="8"/>
        <v>3156820.6836079992</v>
      </c>
      <c r="L53" s="258">
        <f t="shared" si="8"/>
        <v>3719957.0972801596</v>
      </c>
      <c r="M53" s="258">
        <f t="shared" si="8"/>
        <v>4294356.2392257638</v>
      </c>
      <c r="N53" s="258">
        <f t="shared" si="8"/>
        <v>4880243.3640102781</v>
      </c>
      <c r="O53" s="258">
        <f t="shared" si="8"/>
        <v>5477848.2312904857</v>
      </c>
      <c r="P53" s="258">
        <f t="shared" si="8"/>
        <v>6087405.1959162951</v>
      </c>
      <c r="Q53" s="258">
        <f t="shared" si="8"/>
        <v>6709153.2998346202</v>
      </c>
      <c r="R53" s="258">
        <f>(1-$C$24)*IF($C$4=1,R31-R30,R32-R30)</f>
        <v>7343336.3658313118</v>
      </c>
      <c r="S53" s="258">
        <f>(1-$C$24)*IF($C$4=1,S31-S30,S32-S30)</f>
        <v>7990203.0931479372</v>
      </c>
      <c r="T53" s="258">
        <f>(1-$C$24)*IF($C$4=1,T31-T30,T32-T30)</f>
        <v>8650007.1550108939</v>
      </c>
      <c r="U53" s="258">
        <f>(1-$C$24)*IF($C$4=1,U31-U30,U32-U30)</f>
        <v>9323007.2981111109</v>
      </c>
      <c r="V53" s="258">
        <f>(1-$C$24)*IF($C$4=1,V31-V30,V32-V30)</f>
        <v>10009467.444073334</v>
      </c>
    </row>
    <row r="54" spans="1:22" x14ac:dyDescent="0.2">
      <c r="B54" t="s">
        <v>396</v>
      </c>
      <c r="C54" s="258">
        <f>-$C$25*IF($C$4=1,C36-C35,C37-C35)</f>
        <v>0</v>
      </c>
      <c r="D54" s="258">
        <f t="shared" ref="D54:Q54" si="9">-$C$25*IF($C$4=1,D36-D35,D37-D35)</f>
        <v>0</v>
      </c>
      <c r="E54" s="258">
        <f t="shared" si="9"/>
        <v>660839.16083916137</v>
      </c>
      <c r="F54" s="258">
        <f t="shared" si="9"/>
        <v>621993.00699300738</v>
      </c>
      <c r="G54" s="258">
        <f t="shared" si="9"/>
        <v>543523.77622377686</v>
      </c>
      <c r="H54" s="258">
        <f t="shared" si="9"/>
        <v>463485.16083916137</v>
      </c>
      <c r="I54" s="258">
        <f t="shared" si="9"/>
        <v>381845.77314685378</v>
      </c>
      <c r="J54" s="258">
        <f t="shared" si="9"/>
        <v>298573.59770070016</v>
      </c>
      <c r="K54" s="258">
        <f t="shared" si="9"/>
        <v>213635.97874562256</v>
      </c>
      <c r="L54" s="258">
        <f t="shared" si="9"/>
        <v>126999.60741144419</v>
      </c>
      <c r="M54" s="258">
        <f t="shared" si="9"/>
        <v>38630.508650582284</v>
      </c>
      <c r="N54" s="258">
        <f t="shared" si="9"/>
        <v>-51505.972085497342</v>
      </c>
      <c r="O54" s="258">
        <f t="shared" si="9"/>
        <v>-143445.18243629765</v>
      </c>
      <c r="P54" s="258">
        <f t="shared" si="9"/>
        <v>-237223.17699411511</v>
      </c>
      <c r="Q54" s="258">
        <f t="shared" si="9"/>
        <v>-332876.73144308757</v>
      </c>
      <c r="R54" s="258">
        <f>-$C$25*IF($C$4=1,R36-R35,R37-R35)</f>
        <v>-430443.35698104091</v>
      </c>
      <c r="S54" s="258">
        <f>-$C$25*IF($C$4=1,S36-S35,S37-S35)</f>
        <v>-529961.31502975244</v>
      </c>
      <c r="T54" s="258">
        <f>-$C$25*IF($C$4=1,T36-T35,T37-T35)</f>
        <v>-631469.63223943766</v>
      </c>
      <c r="U54" s="258">
        <f>-$C$25*IF($C$4=1,U36-U35,U37-U35)</f>
        <v>-735008.11579331756</v>
      </c>
      <c r="V54" s="258">
        <f>-$C$25*IF($C$4=1,V36-V35,V37-V35)</f>
        <v>-840617.36901827436</v>
      </c>
    </row>
    <row r="55" spans="1:22" x14ac:dyDescent="0.2">
      <c r="B55" t="s">
        <v>397</v>
      </c>
      <c r="C55" s="258">
        <v>0</v>
      </c>
      <c r="D55" s="258">
        <v>0</v>
      </c>
      <c r="E55" s="258">
        <f t="shared" ref="E55:Q55" si="10">E44</f>
        <v>5200000</v>
      </c>
      <c r="F55" s="258">
        <f t="shared" si="10"/>
        <v>5300000</v>
      </c>
      <c r="G55" s="258">
        <f t="shared" si="10"/>
        <v>5400000</v>
      </c>
      <c r="H55" s="258">
        <f t="shared" si="10"/>
        <v>5500000</v>
      </c>
      <c r="I55" s="258">
        <f t="shared" si="10"/>
        <v>5600000</v>
      </c>
      <c r="J55" s="258">
        <f t="shared" si="10"/>
        <v>5700000</v>
      </c>
      <c r="K55" s="258">
        <f t="shared" si="10"/>
        <v>5800000</v>
      </c>
      <c r="L55" s="258">
        <f t="shared" si="10"/>
        <v>5900000</v>
      </c>
      <c r="M55" s="258">
        <f t="shared" si="10"/>
        <v>6000000</v>
      </c>
      <c r="N55" s="258">
        <f t="shared" si="10"/>
        <v>6100000</v>
      </c>
      <c r="O55" s="258">
        <f t="shared" si="10"/>
        <v>6200000</v>
      </c>
      <c r="P55" s="258">
        <f t="shared" si="10"/>
        <v>6300000</v>
      </c>
      <c r="Q55" s="258">
        <f t="shared" si="10"/>
        <v>6400000</v>
      </c>
      <c r="R55" s="258">
        <f>R44</f>
        <v>6500000</v>
      </c>
      <c r="S55" s="258">
        <f>S44</f>
        <v>6600000</v>
      </c>
      <c r="T55" s="258">
        <f>T44</f>
        <v>6700000</v>
      </c>
      <c r="U55" s="258">
        <f>U44</f>
        <v>6800000</v>
      </c>
      <c r="V55" s="258">
        <f>V44</f>
        <v>6900000</v>
      </c>
    </row>
    <row r="56" spans="1:22" x14ac:dyDescent="0.2">
      <c r="B56" t="s">
        <v>398</v>
      </c>
      <c r="C56" s="258">
        <v>0</v>
      </c>
      <c r="D56" s="258">
        <v>0</v>
      </c>
      <c r="E56" s="258">
        <f t="shared" ref="E56:V56" si="11">IF($C$19="o",$C$20,IF($C$19="n",$C$21,$C$22))</f>
        <v>0</v>
      </c>
      <c r="F56" s="258">
        <f t="shared" si="11"/>
        <v>0</v>
      </c>
      <c r="G56" s="258">
        <f t="shared" si="11"/>
        <v>0</v>
      </c>
      <c r="H56" s="258">
        <f t="shared" si="11"/>
        <v>0</v>
      </c>
      <c r="I56" s="258">
        <f t="shared" si="11"/>
        <v>0</v>
      </c>
      <c r="J56" s="258">
        <f t="shared" si="11"/>
        <v>0</v>
      </c>
      <c r="K56" s="258">
        <f t="shared" si="11"/>
        <v>0</v>
      </c>
      <c r="L56" s="258">
        <f t="shared" si="11"/>
        <v>0</v>
      </c>
      <c r="M56" s="258">
        <f t="shared" si="11"/>
        <v>0</v>
      </c>
      <c r="N56" s="258">
        <f t="shared" si="11"/>
        <v>0</v>
      </c>
      <c r="O56" s="258">
        <f t="shared" si="11"/>
        <v>0</v>
      </c>
      <c r="P56" s="258">
        <f t="shared" si="11"/>
        <v>0</v>
      </c>
      <c r="Q56" s="258">
        <f t="shared" si="11"/>
        <v>0</v>
      </c>
      <c r="R56" s="258">
        <f t="shared" si="11"/>
        <v>0</v>
      </c>
      <c r="S56" s="258">
        <f t="shared" si="11"/>
        <v>0</v>
      </c>
      <c r="T56" s="258">
        <f t="shared" si="11"/>
        <v>0</v>
      </c>
      <c r="U56" s="258">
        <f t="shared" si="11"/>
        <v>0</v>
      </c>
      <c r="V56" s="258">
        <f t="shared" si="11"/>
        <v>0</v>
      </c>
    </row>
    <row r="57" spans="1:22" x14ac:dyDescent="0.2">
      <c r="B57" t="s">
        <v>35</v>
      </c>
      <c r="C57" s="258">
        <f>-C50</f>
        <v>-22375000</v>
      </c>
      <c r="D57" s="258">
        <f t="shared" ref="D57:Q57" si="12">-D50</f>
        <v>-8617000</v>
      </c>
      <c r="E57" s="258">
        <f t="shared" si="12"/>
        <v>-5711500</v>
      </c>
      <c r="F57" s="258">
        <f t="shared" si="12"/>
        <v>-7827086</v>
      </c>
      <c r="G57" s="258">
        <f t="shared" si="12"/>
        <v>-4899500</v>
      </c>
      <c r="H57" s="258">
        <f t="shared" si="12"/>
        <v>-4765187</v>
      </c>
      <c r="I57" s="258">
        <f t="shared" si="12"/>
        <v>-4288256</v>
      </c>
      <c r="J57" s="258">
        <f t="shared" si="12"/>
        <v>-4502656</v>
      </c>
      <c r="K57" s="258">
        <f t="shared" si="12"/>
        <v>-4726656</v>
      </c>
      <c r="L57" s="258">
        <f t="shared" si="12"/>
        <v>-4964160</v>
      </c>
      <c r="M57" s="258">
        <f t="shared" si="12"/>
        <v>-5212352</v>
      </c>
      <c r="N57" s="258">
        <f t="shared" si="12"/>
        <v>-5472960</v>
      </c>
      <c r="O57" s="258">
        <f t="shared" si="12"/>
        <v>-5746592</v>
      </c>
      <c r="P57" s="258">
        <f t="shared" si="12"/>
        <v>-6033920</v>
      </c>
      <c r="Q57" s="258">
        <f t="shared" si="12"/>
        <v>-6312117.3333333442</v>
      </c>
      <c r="R57" s="258">
        <f>-R50</f>
        <v>-6592597.3333333442</v>
      </c>
      <c r="S57" s="258">
        <f>-S50</f>
        <v>-6873077.3333333442</v>
      </c>
      <c r="T57" s="258">
        <f>-T50</f>
        <v>-7153557.3333333442</v>
      </c>
      <c r="U57" s="258">
        <f>-U50</f>
        <v>-7434037.3333333442</v>
      </c>
      <c r="V57" s="258">
        <f>-V50</f>
        <v>-7714528</v>
      </c>
    </row>
    <row r="58" spans="1:22" x14ac:dyDescent="0.2">
      <c r="B58" t="s">
        <v>399</v>
      </c>
      <c r="C58" s="258">
        <f>SUM(C53:C57)</f>
        <v>-22375000</v>
      </c>
      <c r="D58" s="258">
        <f t="shared" ref="D58:Q58" si="13">SUM(D53:D57)</f>
        <v>-8617000</v>
      </c>
      <c r="E58" s="258">
        <f t="shared" si="13"/>
        <v>399339.1608391609</v>
      </c>
      <c r="F58" s="258">
        <f t="shared" si="13"/>
        <v>-1402592.9930069931</v>
      </c>
      <c r="G58" s="258">
        <f t="shared" si="13"/>
        <v>2056573.7762237769</v>
      </c>
      <c r="H58" s="258">
        <f t="shared" si="13"/>
        <v>2731099.1608391609</v>
      </c>
      <c r="I58" s="258">
        <f t="shared" si="13"/>
        <v>3757046.7931468533</v>
      </c>
      <c r="J58" s="258">
        <f t="shared" si="13"/>
        <v>4100643.7581006996</v>
      </c>
      <c r="K58" s="258">
        <f t="shared" si="13"/>
        <v>4443800.6623536218</v>
      </c>
      <c r="L58" s="258">
        <f t="shared" si="13"/>
        <v>4782796.7046916038</v>
      </c>
      <c r="M58" s="258">
        <f t="shared" si="13"/>
        <v>5120634.7478763461</v>
      </c>
      <c r="N58" s="258">
        <f t="shared" si="13"/>
        <v>5455777.3919247799</v>
      </c>
      <c r="O58" s="258">
        <f t="shared" si="13"/>
        <v>5787811.0488541871</v>
      </c>
      <c r="P58" s="258">
        <f t="shared" si="13"/>
        <v>6116262.0189221799</v>
      </c>
      <c r="Q58" s="258">
        <f t="shared" si="13"/>
        <v>6464159.2350581875</v>
      </c>
      <c r="R58" s="258">
        <f>SUM(R53:R57)</f>
        <v>6820295.6755169267</v>
      </c>
      <c r="S58" s="258">
        <f>SUM(S53:S57)</f>
        <v>7187164.4447848415</v>
      </c>
      <c r="T58" s="258">
        <f>SUM(T53:T57)</f>
        <v>7564980.1894381111</v>
      </c>
      <c r="U58" s="258">
        <f>SUM(U53:U57)</f>
        <v>7953961.8489844492</v>
      </c>
      <c r="V58" s="258">
        <f>SUM(V53:V57)</f>
        <v>8354322.075055059</v>
      </c>
    </row>
  </sheetData>
  <phoneticPr fontId="13" type="noConversion"/>
  <dataValidations count="3">
    <dataValidation type="decimal" allowBlank="1" showInputMessage="1" showErrorMessage="1" error="Allowable range is 0.00-0.40." sqref="C23">
      <formula1>0</formula1>
      <formula2>0.4</formula2>
    </dataValidation>
    <dataValidation type="list" allowBlank="1" showInputMessage="1" showErrorMessage="1" error="Only values of O, N, or P are permissable." sqref="C19">
      <formula1>$D$20:$D$22</formula1>
    </dataValidation>
    <dataValidation type="whole" allowBlank="1" showInputMessage="1" showErrorMessage="1" error="Only values of 1 or 2 are permissable here." sqref="C4">
      <formula1>1</formula1>
      <formula2>2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5"/>
  <sheetViews>
    <sheetView zoomScale="90" workbookViewId="0">
      <selection activeCell="A2" sqref="A2"/>
    </sheetView>
  </sheetViews>
  <sheetFormatPr defaultRowHeight="12.75" x14ac:dyDescent="0.2"/>
  <cols>
    <col min="2" max="2" width="30.140625" customWidth="1"/>
    <col min="4" max="4" width="13.140625" bestFit="1" customWidth="1"/>
    <col min="5" max="5" width="15" bestFit="1" customWidth="1"/>
    <col min="7" max="7" width="15" bestFit="1" customWidth="1"/>
  </cols>
  <sheetData>
    <row r="1" spans="1:3" x14ac:dyDescent="0.2">
      <c r="A1" s="1" t="s">
        <v>400</v>
      </c>
    </row>
    <row r="2" spans="1:3" x14ac:dyDescent="0.2">
      <c r="A2" s="1"/>
    </row>
    <row r="3" spans="1:3" x14ac:dyDescent="0.2">
      <c r="A3" s="241" t="s">
        <v>71</v>
      </c>
      <c r="B3" s="243"/>
      <c r="C3" s="15"/>
    </row>
    <row r="4" spans="1:3" x14ac:dyDescent="0.2">
      <c r="A4" s="244"/>
      <c r="B4" s="33" t="s">
        <v>136</v>
      </c>
      <c r="C4" s="18">
        <v>167</v>
      </c>
    </row>
    <row r="5" spans="1:3" x14ac:dyDescent="0.2">
      <c r="A5" s="244"/>
      <c r="B5" s="33" t="s">
        <v>122</v>
      </c>
      <c r="C5" s="18">
        <v>116</v>
      </c>
    </row>
    <row r="6" spans="1:3" x14ac:dyDescent="0.2">
      <c r="A6" s="244"/>
      <c r="B6" s="33" t="s">
        <v>137</v>
      </c>
      <c r="C6" s="183">
        <v>0.1</v>
      </c>
    </row>
    <row r="7" spans="1:3" x14ac:dyDescent="0.2">
      <c r="A7" s="244"/>
      <c r="B7" s="33" t="s">
        <v>146</v>
      </c>
      <c r="C7" s="183">
        <v>0.05</v>
      </c>
    </row>
    <row r="8" spans="1:3" x14ac:dyDescent="0.2">
      <c r="A8" s="244"/>
      <c r="B8" s="33" t="s">
        <v>94</v>
      </c>
      <c r="C8" s="183">
        <v>0.02</v>
      </c>
    </row>
    <row r="9" spans="1:3" x14ac:dyDescent="0.2">
      <c r="A9" s="244"/>
      <c r="B9" s="33" t="s">
        <v>147</v>
      </c>
      <c r="C9" s="183">
        <v>0.09</v>
      </c>
    </row>
    <row r="10" spans="1:3" x14ac:dyDescent="0.2">
      <c r="A10" s="244"/>
      <c r="B10" s="33" t="s">
        <v>148</v>
      </c>
      <c r="C10" s="183">
        <v>0.05</v>
      </c>
    </row>
    <row r="11" spans="1:3" x14ac:dyDescent="0.2">
      <c r="A11" s="244"/>
      <c r="B11" s="33" t="s">
        <v>144</v>
      </c>
      <c r="C11" s="79">
        <v>65</v>
      </c>
    </row>
    <row r="12" spans="1:3" x14ac:dyDescent="0.2">
      <c r="A12" s="244"/>
      <c r="B12" s="33" t="s">
        <v>145</v>
      </c>
      <c r="C12" s="183">
        <v>0.5</v>
      </c>
    </row>
    <row r="13" spans="1:3" x14ac:dyDescent="0.2">
      <c r="A13" s="244"/>
      <c r="B13" s="33" t="s">
        <v>150</v>
      </c>
      <c r="C13" s="183">
        <v>0.3</v>
      </c>
    </row>
    <row r="14" spans="1:3" x14ac:dyDescent="0.2">
      <c r="A14" s="244"/>
      <c r="B14" s="33" t="s">
        <v>155</v>
      </c>
      <c r="C14" s="79">
        <v>30</v>
      </c>
    </row>
    <row r="15" spans="1:3" x14ac:dyDescent="0.2">
      <c r="A15" s="244"/>
      <c r="B15" s="17"/>
      <c r="C15" s="18"/>
    </row>
    <row r="16" spans="1:3" x14ac:dyDescent="0.2">
      <c r="A16" s="244"/>
      <c r="B16" s="17" t="s">
        <v>143</v>
      </c>
      <c r="C16" s="79">
        <f>VLOOKUP(C11-1,B22:C65,2)</f>
        <v>265.87412486491991</v>
      </c>
    </row>
    <row r="17" spans="1:14" x14ac:dyDescent="0.2">
      <c r="A17" s="244"/>
      <c r="B17" s="31" t="s">
        <v>149</v>
      </c>
      <c r="C17" s="79">
        <f>C16*C12</f>
        <v>132.93706243245995</v>
      </c>
    </row>
    <row r="18" spans="1:14" x14ac:dyDescent="0.2">
      <c r="A18" s="242"/>
      <c r="B18" s="29" t="s">
        <v>157</v>
      </c>
      <c r="C18" s="69">
        <f>L21</f>
        <v>85</v>
      </c>
    </row>
    <row r="19" spans="1:14" x14ac:dyDescent="0.2">
      <c r="A19" s="1"/>
      <c r="C19" s="8"/>
    </row>
    <row r="20" spans="1:14" x14ac:dyDescent="0.2">
      <c r="A20" s="1" t="s">
        <v>151</v>
      </c>
      <c r="B20" s="1"/>
      <c r="C20" s="1"/>
      <c r="D20" s="1" t="s">
        <v>139</v>
      </c>
      <c r="E20" s="1" t="s">
        <v>142</v>
      </c>
      <c r="F20" s="1" t="s">
        <v>153</v>
      </c>
      <c r="G20" s="1" t="s">
        <v>142</v>
      </c>
      <c r="H20" s="1" t="s">
        <v>141</v>
      </c>
      <c r="L20" s="1" t="s">
        <v>152</v>
      </c>
    </row>
    <row r="21" spans="1:14" x14ac:dyDescent="0.2">
      <c r="A21" s="1"/>
      <c r="B21" s="54" t="s">
        <v>138</v>
      </c>
      <c r="C21" s="1" t="s">
        <v>122</v>
      </c>
      <c r="D21" s="1" t="s">
        <v>140</v>
      </c>
      <c r="E21" s="1" t="s">
        <v>156</v>
      </c>
      <c r="F21" s="1" t="s">
        <v>154</v>
      </c>
      <c r="G21" s="1" t="s">
        <v>121</v>
      </c>
      <c r="H21" s="1" t="s">
        <v>64</v>
      </c>
      <c r="L21">
        <f>VLOOKUP(0,M22:N65,2)</f>
        <v>85</v>
      </c>
    </row>
    <row r="22" spans="1:14" x14ac:dyDescent="0.2">
      <c r="A22" s="1"/>
      <c r="B22">
        <v>47</v>
      </c>
      <c r="C22">
        <f>C5</f>
        <v>116</v>
      </c>
      <c r="D22" s="8">
        <f>C22*(0.1+$C$6)</f>
        <v>23.200000000000003</v>
      </c>
      <c r="E22" s="8">
        <f t="shared" ref="E22:E39" si="0">IF(B22&lt;$C$11,0,$C$12*$C$16)</f>
        <v>0</v>
      </c>
      <c r="F22" s="8">
        <f>IF(B22&lt;$C$11,0,$C$14*(1+$C$8)^(B22-$C$11))</f>
        <v>0</v>
      </c>
      <c r="G22" s="8">
        <f>(E22-F22)*$C$13</f>
        <v>0</v>
      </c>
      <c r="H22" s="8">
        <f>C4</f>
        <v>167</v>
      </c>
      <c r="L22">
        <f>IF(H22&lt;0,1,0)</f>
        <v>0</v>
      </c>
      <c r="N22">
        <v>47</v>
      </c>
    </row>
    <row r="23" spans="1:14" x14ac:dyDescent="0.2">
      <c r="A23" s="1"/>
      <c r="B23">
        <v>48</v>
      </c>
      <c r="C23" s="8">
        <f t="shared" ref="C23:C65" si="1">IF(B23&gt;=$C$11,0,C22*(1+$C$7))</f>
        <v>121.80000000000001</v>
      </c>
      <c r="D23" s="8">
        <f t="shared" ref="D23:D65" si="2">IF(B23&gt;=$C$11,0,C23*(0.1+$C$6))</f>
        <v>24.360000000000003</v>
      </c>
      <c r="E23" s="8">
        <f t="shared" si="0"/>
        <v>0</v>
      </c>
      <c r="F23" s="8">
        <f t="shared" ref="F23:F65" si="3">IF(B23&lt;$C$11,0,$C$14*(1+$C$8)^(B23-$C$11))</f>
        <v>0</v>
      </c>
      <c r="G23" s="8">
        <f t="shared" ref="G23:G65" si="4">(E23-F23)*$C$13</f>
        <v>0</v>
      </c>
      <c r="H23" s="8">
        <f>IF(B23&lt;$C$11,H22*(1+$C$9)+D22,H22*(1+$C$10)-E22+F22-G22)</f>
        <v>205.23000000000002</v>
      </c>
      <c r="I23" t="s">
        <v>33</v>
      </c>
      <c r="J23" t="s">
        <v>33</v>
      </c>
      <c r="L23">
        <f t="shared" ref="L23:L65" si="5">IF(H23&lt;0,1,0)</f>
        <v>0</v>
      </c>
      <c r="M23">
        <f>IF(AND(L22=0,L23=1),1,0)</f>
        <v>0</v>
      </c>
      <c r="N23">
        <v>48</v>
      </c>
    </row>
    <row r="24" spans="1:14" x14ac:dyDescent="0.2">
      <c r="A24" s="1"/>
      <c r="B24">
        <v>49</v>
      </c>
      <c r="C24" s="8">
        <f t="shared" si="1"/>
        <v>127.89000000000001</v>
      </c>
      <c r="D24" s="8">
        <f t="shared" si="2"/>
        <v>25.578000000000003</v>
      </c>
      <c r="E24" s="8">
        <f t="shared" si="0"/>
        <v>0</v>
      </c>
      <c r="F24" s="8">
        <f t="shared" si="3"/>
        <v>0</v>
      </c>
      <c r="G24" s="8">
        <f t="shared" si="4"/>
        <v>0</v>
      </c>
      <c r="H24" s="8">
        <f t="shared" ref="H24:H65" si="6">IF(B24&lt;$C$11,H23*(1+$C$9)+D23,H23*(1+$C$10)-E23+F23-G23)</f>
        <v>248.06070000000005</v>
      </c>
      <c r="L24">
        <f t="shared" si="5"/>
        <v>0</v>
      </c>
      <c r="M24">
        <f t="shared" ref="M24:M65" si="7">IF(AND(L23=0,L24=1),1,0)</f>
        <v>0</v>
      </c>
      <c r="N24">
        <v>49</v>
      </c>
    </row>
    <row r="25" spans="1:14" x14ac:dyDescent="0.2">
      <c r="A25" s="1"/>
      <c r="B25">
        <v>50</v>
      </c>
      <c r="C25" s="8">
        <f t="shared" si="1"/>
        <v>134.28450000000001</v>
      </c>
      <c r="D25" s="8">
        <f t="shared" si="2"/>
        <v>26.856900000000003</v>
      </c>
      <c r="E25" s="8">
        <f t="shared" si="0"/>
        <v>0</v>
      </c>
      <c r="F25" s="8">
        <f t="shared" si="3"/>
        <v>0</v>
      </c>
      <c r="G25" s="8">
        <f t="shared" si="4"/>
        <v>0</v>
      </c>
      <c r="H25" s="8">
        <f t="shared" si="6"/>
        <v>295.9641630000001</v>
      </c>
      <c r="L25">
        <f t="shared" si="5"/>
        <v>0</v>
      </c>
      <c r="M25">
        <f t="shared" si="7"/>
        <v>0</v>
      </c>
      <c r="N25">
        <v>50</v>
      </c>
    </row>
    <row r="26" spans="1:14" x14ac:dyDescent="0.2">
      <c r="A26" s="1"/>
      <c r="B26">
        <v>51</v>
      </c>
      <c r="C26" s="8">
        <f t="shared" si="1"/>
        <v>140.99872500000001</v>
      </c>
      <c r="D26" s="8">
        <f t="shared" si="2"/>
        <v>28.199745000000004</v>
      </c>
      <c r="E26" s="8">
        <f t="shared" si="0"/>
        <v>0</v>
      </c>
      <c r="F26" s="8">
        <f t="shared" si="3"/>
        <v>0</v>
      </c>
      <c r="G26" s="8">
        <f t="shared" si="4"/>
        <v>0</v>
      </c>
      <c r="H26" s="8">
        <f t="shared" si="6"/>
        <v>349.45783767000012</v>
      </c>
      <c r="L26">
        <f t="shared" si="5"/>
        <v>0</v>
      </c>
      <c r="M26">
        <f t="shared" si="7"/>
        <v>0</v>
      </c>
      <c r="N26">
        <v>51</v>
      </c>
    </row>
    <row r="27" spans="1:14" x14ac:dyDescent="0.2">
      <c r="A27" s="1"/>
      <c r="B27">
        <v>52</v>
      </c>
      <c r="C27" s="8">
        <f t="shared" si="1"/>
        <v>148.04866125000001</v>
      </c>
      <c r="D27" s="8">
        <f t="shared" si="2"/>
        <v>29.609732250000004</v>
      </c>
      <c r="E27" s="8">
        <f t="shared" si="0"/>
        <v>0</v>
      </c>
      <c r="F27" s="8">
        <f t="shared" si="3"/>
        <v>0</v>
      </c>
      <c r="G27" s="8">
        <f t="shared" si="4"/>
        <v>0</v>
      </c>
      <c r="H27" s="8">
        <f t="shared" si="6"/>
        <v>409.10878806030018</v>
      </c>
      <c r="L27">
        <f t="shared" si="5"/>
        <v>0</v>
      </c>
      <c r="M27">
        <f t="shared" si="7"/>
        <v>0</v>
      </c>
      <c r="N27">
        <v>52</v>
      </c>
    </row>
    <row r="28" spans="1:14" x14ac:dyDescent="0.2">
      <c r="A28" s="1"/>
      <c r="B28">
        <v>53</v>
      </c>
      <c r="C28" s="8">
        <f t="shared" si="1"/>
        <v>155.4510943125</v>
      </c>
      <c r="D28" s="8">
        <f t="shared" si="2"/>
        <v>31.090218862500002</v>
      </c>
      <c r="E28" s="8">
        <f t="shared" si="0"/>
        <v>0</v>
      </c>
      <c r="F28" s="8">
        <f t="shared" si="3"/>
        <v>0</v>
      </c>
      <c r="G28" s="8">
        <f t="shared" si="4"/>
        <v>0</v>
      </c>
      <c r="H28" s="8">
        <f t="shared" si="6"/>
        <v>475.53831123572724</v>
      </c>
      <c r="L28">
        <f t="shared" si="5"/>
        <v>0</v>
      </c>
      <c r="M28">
        <f t="shared" si="7"/>
        <v>0</v>
      </c>
      <c r="N28">
        <v>53</v>
      </c>
    </row>
    <row r="29" spans="1:14" x14ac:dyDescent="0.2">
      <c r="A29" s="1"/>
      <c r="B29">
        <v>54</v>
      </c>
      <c r="C29" s="8">
        <f t="shared" si="1"/>
        <v>163.22364902812501</v>
      </c>
      <c r="D29" s="8">
        <f t="shared" si="2"/>
        <v>32.644729805625005</v>
      </c>
      <c r="E29" s="8">
        <f t="shared" si="0"/>
        <v>0</v>
      </c>
      <c r="F29" s="8">
        <f t="shared" si="3"/>
        <v>0</v>
      </c>
      <c r="G29" s="8">
        <f t="shared" si="4"/>
        <v>0</v>
      </c>
      <c r="H29" s="8">
        <f t="shared" si="6"/>
        <v>549.42697810944276</v>
      </c>
      <c r="L29">
        <f t="shared" si="5"/>
        <v>0</v>
      </c>
      <c r="M29">
        <f t="shared" si="7"/>
        <v>0</v>
      </c>
      <c r="N29">
        <v>54</v>
      </c>
    </row>
    <row r="30" spans="1:14" x14ac:dyDescent="0.2">
      <c r="A30" s="1"/>
      <c r="B30">
        <v>55</v>
      </c>
      <c r="C30" s="8">
        <f t="shared" si="1"/>
        <v>171.38483147953127</v>
      </c>
      <c r="D30" s="8">
        <f t="shared" si="2"/>
        <v>34.276966295906256</v>
      </c>
      <c r="E30" s="8">
        <f t="shared" si="0"/>
        <v>0</v>
      </c>
      <c r="F30" s="8">
        <f t="shared" si="3"/>
        <v>0</v>
      </c>
      <c r="G30" s="8">
        <f t="shared" si="4"/>
        <v>0</v>
      </c>
      <c r="H30" s="8">
        <f t="shared" si="6"/>
        <v>631.52013594491768</v>
      </c>
      <c r="L30">
        <f t="shared" si="5"/>
        <v>0</v>
      </c>
      <c r="M30">
        <f t="shared" si="7"/>
        <v>0</v>
      </c>
      <c r="N30">
        <v>55</v>
      </c>
    </row>
    <row r="31" spans="1:14" x14ac:dyDescent="0.2">
      <c r="A31" s="1"/>
      <c r="B31">
        <v>56</v>
      </c>
      <c r="C31" s="8">
        <f t="shared" si="1"/>
        <v>179.95407305350784</v>
      </c>
      <c r="D31" s="8">
        <f t="shared" si="2"/>
        <v>35.99081461070157</v>
      </c>
      <c r="E31" s="8">
        <f t="shared" si="0"/>
        <v>0</v>
      </c>
      <c r="F31" s="8">
        <f t="shared" si="3"/>
        <v>0</v>
      </c>
      <c r="G31" s="8">
        <f t="shared" si="4"/>
        <v>0</v>
      </c>
      <c r="H31" s="8">
        <f t="shared" si="6"/>
        <v>722.63391447586662</v>
      </c>
      <c r="L31">
        <f t="shared" si="5"/>
        <v>0</v>
      </c>
      <c r="M31">
        <f t="shared" si="7"/>
        <v>0</v>
      </c>
      <c r="N31">
        <v>56</v>
      </c>
    </row>
    <row r="32" spans="1:14" x14ac:dyDescent="0.2">
      <c r="A32" s="1"/>
      <c r="B32">
        <v>57</v>
      </c>
      <c r="C32" s="8">
        <f t="shared" si="1"/>
        <v>188.95177670618324</v>
      </c>
      <c r="D32" s="8">
        <f t="shared" si="2"/>
        <v>37.790355341236648</v>
      </c>
      <c r="E32" s="8">
        <f t="shared" si="0"/>
        <v>0</v>
      </c>
      <c r="F32" s="8">
        <f t="shared" si="3"/>
        <v>0</v>
      </c>
      <c r="G32" s="8">
        <f t="shared" si="4"/>
        <v>0</v>
      </c>
      <c r="H32" s="8">
        <f t="shared" si="6"/>
        <v>823.66178138939631</v>
      </c>
      <c r="L32">
        <f t="shared" si="5"/>
        <v>0</v>
      </c>
      <c r="M32">
        <f t="shared" si="7"/>
        <v>0</v>
      </c>
      <c r="N32">
        <v>57</v>
      </c>
    </row>
    <row r="33" spans="1:14" x14ac:dyDescent="0.2">
      <c r="A33" s="1"/>
      <c r="B33">
        <v>58</v>
      </c>
      <c r="C33" s="8">
        <f t="shared" si="1"/>
        <v>198.39936554149241</v>
      </c>
      <c r="D33" s="8">
        <f t="shared" si="2"/>
        <v>39.679873108298487</v>
      </c>
      <c r="E33" s="8">
        <f t="shared" si="0"/>
        <v>0</v>
      </c>
      <c r="F33" s="8">
        <f t="shared" si="3"/>
        <v>0</v>
      </c>
      <c r="G33" s="8">
        <f t="shared" si="4"/>
        <v>0</v>
      </c>
      <c r="H33" s="8">
        <f t="shared" si="6"/>
        <v>935.58169705567866</v>
      </c>
      <c r="L33">
        <f t="shared" si="5"/>
        <v>0</v>
      </c>
      <c r="M33">
        <f t="shared" si="7"/>
        <v>0</v>
      </c>
      <c r="N33">
        <v>58</v>
      </c>
    </row>
    <row r="34" spans="1:14" x14ac:dyDescent="0.2">
      <c r="A34" s="1"/>
      <c r="B34">
        <v>59</v>
      </c>
      <c r="C34" s="8">
        <f t="shared" si="1"/>
        <v>208.31933381856703</v>
      </c>
      <c r="D34" s="8">
        <f t="shared" si="2"/>
        <v>41.663866763713408</v>
      </c>
      <c r="E34" s="8">
        <f t="shared" si="0"/>
        <v>0</v>
      </c>
      <c r="F34" s="8">
        <f t="shared" si="3"/>
        <v>0</v>
      </c>
      <c r="G34" s="8">
        <f t="shared" si="4"/>
        <v>0</v>
      </c>
      <c r="H34" s="8">
        <f t="shared" si="6"/>
        <v>1059.4639228989884</v>
      </c>
      <c r="L34">
        <f t="shared" si="5"/>
        <v>0</v>
      </c>
      <c r="M34">
        <f t="shared" si="7"/>
        <v>0</v>
      </c>
      <c r="N34">
        <v>59</v>
      </c>
    </row>
    <row r="35" spans="1:14" x14ac:dyDescent="0.2">
      <c r="A35" s="1"/>
      <c r="B35">
        <v>60</v>
      </c>
      <c r="C35" s="8">
        <f t="shared" si="1"/>
        <v>218.7353005094954</v>
      </c>
      <c r="D35" s="8">
        <f t="shared" si="2"/>
        <v>43.747060101899081</v>
      </c>
      <c r="E35" s="8">
        <f t="shared" si="0"/>
        <v>0</v>
      </c>
      <c r="F35" s="8">
        <f t="shared" si="3"/>
        <v>0</v>
      </c>
      <c r="G35" s="8">
        <f t="shared" si="4"/>
        <v>0</v>
      </c>
      <c r="H35" s="8">
        <f t="shared" si="6"/>
        <v>1196.4795427236108</v>
      </c>
      <c r="L35">
        <f t="shared" si="5"/>
        <v>0</v>
      </c>
      <c r="M35">
        <f t="shared" si="7"/>
        <v>0</v>
      </c>
      <c r="N35">
        <v>60</v>
      </c>
    </row>
    <row r="36" spans="1:14" x14ac:dyDescent="0.2">
      <c r="A36" s="1"/>
      <c r="B36">
        <v>61</v>
      </c>
      <c r="C36" s="8">
        <f t="shared" si="1"/>
        <v>229.67206553497019</v>
      </c>
      <c r="D36" s="8">
        <f t="shared" si="2"/>
        <v>45.934413106994043</v>
      </c>
      <c r="E36" s="8">
        <f t="shared" si="0"/>
        <v>0</v>
      </c>
      <c r="F36" s="8">
        <f t="shared" si="3"/>
        <v>0</v>
      </c>
      <c r="G36" s="8">
        <f t="shared" si="4"/>
        <v>0</v>
      </c>
      <c r="H36" s="8">
        <f t="shared" si="6"/>
        <v>1347.9097616706349</v>
      </c>
      <c r="L36">
        <f t="shared" si="5"/>
        <v>0</v>
      </c>
      <c r="M36">
        <f t="shared" si="7"/>
        <v>0</v>
      </c>
      <c r="N36">
        <v>61</v>
      </c>
    </row>
    <row r="37" spans="1:14" x14ac:dyDescent="0.2">
      <c r="A37" s="1"/>
      <c r="B37">
        <v>62</v>
      </c>
      <c r="C37" s="8">
        <f t="shared" si="1"/>
        <v>241.1556688117187</v>
      </c>
      <c r="D37" s="8">
        <f t="shared" si="2"/>
        <v>48.231133762343745</v>
      </c>
      <c r="E37" s="8">
        <f t="shared" si="0"/>
        <v>0</v>
      </c>
      <c r="F37" s="8">
        <f t="shared" si="3"/>
        <v>0</v>
      </c>
      <c r="G37" s="8">
        <f t="shared" si="4"/>
        <v>0</v>
      </c>
      <c r="H37" s="8">
        <f t="shared" si="6"/>
        <v>1515.1560533279862</v>
      </c>
      <c r="L37">
        <f t="shared" si="5"/>
        <v>0</v>
      </c>
      <c r="M37">
        <f t="shared" si="7"/>
        <v>0</v>
      </c>
      <c r="N37">
        <v>62</v>
      </c>
    </row>
    <row r="38" spans="1:14" x14ac:dyDescent="0.2">
      <c r="A38" s="1"/>
      <c r="B38">
        <v>63</v>
      </c>
      <c r="C38" s="8">
        <f t="shared" si="1"/>
        <v>253.21345225230465</v>
      </c>
      <c r="D38" s="8">
        <f t="shared" si="2"/>
        <v>50.642690450460933</v>
      </c>
      <c r="E38" s="8">
        <f t="shared" si="0"/>
        <v>0</v>
      </c>
      <c r="F38" s="8">
        <f t="shared" si="3"/>
        <v>0</v>
      </c>
      <c r="G38" s="8">
        <f t="shared" si="4"/>
        <v>0</v>
      </c>
      <c r="H38" s="8">
        <f t="shared" si="6"/>
        <v>1699.7512318898489</v>
      </c>
      <c r="L38">
        <f t="shared" si="5"/>
        <v>0</v>
      </c>
      <c r="M38">
        <f t="shared" si="7"/>
        <v>0</v>
      </c>
      <c r="N38">
        <v>63</v>
      </c>
    </row>
    <row r="39" spans="1:14" x14ac:dyDescent="0.2">
      <c r="A39" s="1"/>
      <c r="B39">
        <v>64</v>
      </c>
      <c r="C39" s="8">
        <f t="shared" si="1"/>
        <v>265.87412486491991</v>
      </c>
      <c r="D39" s="8">
        <f t="shared" si="2"/>
        <v>53.174824972983984</v>
      </c>
      <c r="E39" s="8">
        <f t="shared" si="0"/>
        <v>0</v>
      </c>
      <c r="F39" s="8">
        <f t="shared" si="3"/>
        <v>0</v>
      </c>
      <c r="G39" s="8">
        <f t="shared" si="4"/>
        <v>0</v>
      </c>
      <c r="H39" s="8">
        <f t="shared" si="6"/>
        <v>1903.3715332103964</v>
      </c>
      <c r="L39">
        <f t="shared" si="5"/>
        <v>0</v>
      </c>
      <c r="M39">
        <f t="shared" si="7"/>
        <v>0</v>
      </c>
      <c r="N39">
        <v>64</v>
      </c>
    </row>
    <row r="40" spans="1:14" x14ac:dyDescent="0.2">
      <c r="A40" s="1"/>
      <c r="B40">
        <v>65</v>
      </c>
      <c r="C40" s="8">
        <f t="shared" si="1"/>
        <v>0</v>
      </c>
      <c r="D40" s="8">
        <f t="shared" si="2"/>
        <v>0</v>
      </c>
      <c r="E40" s="8">
        <f t="shared" ref="E40:E65" si="8">IF(B40&lt;$C$11,0,$C$17*(1+$C$8)^(B40-$C$11))</f>
        <v>132.93706243245995</v>
      </c>
      <c r="F40" s="8">
        <f t="shared" si="3"/>
        <v>30</v>
      </c>
      <c r="G40" s="8">
        <f t="shared" si="4"/>
        <v>30.881118729737985</v>
      </c>
      <c r="H40" s="8">
        <f t="shared" si="6"/>
        <v>1998.5401098709162</v>
      </c>
      <c r="L40">
        <f t="shared" si="5"/>
        <v>0</v>
      </c>
      <c r="M40">
        <f t="shared" si="7"/>
        <v>0</v>
      </c>
      <c r="N40">
        <v>65</v>
      </c>
    </row>
    <row r="41" spans="1:14" x14ac:dyDescent="0.2">
      <c r="A41" s="1"/>
      <c r="B41">
        <v>66</v>
      </c>
      <c r="C41" s="8">
        <f t="shared" si="1"/>
        <v>0</v>
      </c>
      <c r="D41" s="8">
        <f t="shared" si="2"/>
        <v>0</v>
      </c>
      <c r="E41" s="8">
        <f t="shared" si="8"/>
        <v>135.59580368110915</v>
      </c>
      <c r="F41" s="8">
        <f t="shared" si="3"/>
        <v>30.6</v>
      </c>
      <c r="G41" s="8">
        <f t="shared" si="4"/>
        <v>31.498741104332744</v>
      </c>
      <c r="H41" s="8">
        <f t="shared" si="6"/>
        <v>1964.6489342022642</v>
      </c>
      <c r="L41">
        <f t="shared" si="5"/>
        <v>0</v>
      </c>
      <c r="M41">
        <f t="shared" si="7"/>
        <v>0</v>
      </c>
      <c r="N41">
        <v>66</v>
      </c>
    </row>
    <row r="42" spans="1:14" x14ac:dyDescent="0.2">
      <c r="A42" s="1"/>
      <c r="B42">
        <v>67</v>
      </c>
      <c r="C42" s="8">
        <f t="shared" si="1"/>
        <v>0</v>
      </c>
      <c r="D42" s="8">
        <f t="shared" si="2"/>
        <v>0</v>
      </c>
      <c r="E42" s="8">
        <f t="shared" si="8"/>
        <v>138.30771975473132</v>
      </c>
      <c r="F42" s="8">
        <f t="shared" si="3"/>
        <v>31.212</v>
      </c>
      <c r="G42" s="8">
        <f t="shared" si="4"/>
        <v>32.128715926419396</v>
      </c>
      <c r="H42" s="8">
        <f t="shared" si="6"/>
        <v>1926.3868361269356</v>
      </c>
      <c r="L42">
        <f t="shared" si="5"/>
        <v>0</v>
      </c>
      <c r="M42">
        <f t="shared" si="7"/>
        <v>0</v>
      </c>
      <c r="N42">
        <v>67</v>
      </c>
    </row>
    <row r="43" spans="1:14" x14ac:dyDescent="0.2">
      <c r="A43" s="1"/>
      <c r="B43">
        <v>68</v>
      </c>
      <c r="C43" s="8">
        <f t="shared" si="1"/>
        <v>0</v>
      </c>
      <c r="D43" s="8">
        <f t="shared" si="2"/>
        <v>0</v>
      </c>
      <c r="E43" s="8">
        <f t="shared" si="8"/>
        <v>141.07387414982594</v>
      </c>
      <c r="F43" s="8">
        <f t="shared" si="3"/>
        <v>31.836239999999997</v>
      </c>
      <c r="G43" s="8">
        <f t="shared" si="4"/>
        <v>32.771290244947778</v>
      </c>
      <c r="H43" s="8">
        <f t="shared" si="6"/>
        <v>1883.4817422521317</v>
      </c>
      <c r="L43">
        <f t="shared" si="5"/>
        <v>0</v>
      </c>
      <c r="M43">
        <f t="shared" si="7"/>
        <v>0</v>
      </c>
      <c r="N43">
        <v>68</v>
      </c>
    </row>
    <row r="44" spans="1:14" x14ac:dyDescent="0.2">
      <c r="A44" s="1"/>
      <c r="B44">
        <v>69</v>
      </c>
      <c r="C44" s="8">
        <f t="shared" si="1"/>
        <v>0</v>
      </c>
      <c r="D44" s="8">
        <f t="shared" si="2"/>
        <v>0</v>
      </c>
      <c r="E44" s="8">
        <f t="shared" si="8"/>
        <v>143.89535163282247</v>
      </c>
      <c r="F44" s="8">
        <f t="shared" si="3"/>
        <v>32.4729648</v>
      </c>
      <c r="G44" s="8">
        <f t="shared" si="4"/>
        <v>33.426716049846739</v>
      </c>
      <c r="H44" s="8">
        <f t="shared" si="6"/>
        <v>1835.6469049699647</v>
      </c>
      <c r="L44">
        <f t="shared" si="5"/>
        <v>0</v>
      </c>
      <c r="M44">
        <f t="shared" si="7"/>
        <v>0</v>
      </c>
      <c r="N44">
        <v>69</v>
      </c>
    </row>
    <row r="45" spans="1:14" x14ac:dyDescent="0.2">
      <c r="A45" s="1"/>
      <c r="B45">
        <v>70</v>
      </c>
      <c r="C45" s="8">
        <f t="shared" si="1"/>
        <v>0</v>
      </c>
      <c r="D45" s="8">
        <f t="shared" si="2"/>
        <v>0</v>
      </c>
      <c r="E45" s="8">
        <f t="shared" si="8"/>
        <v>146.77325866547892</v>
      </c>
      <c r="F45" s="8">
        <f t="shared" si="3"/>
        <v>33.122424096000003</v>
      </c>
      <c r="G45" s="8">
        <f t="shared" si="4"/>
        <v>34.095250370843672</v>
      </c>
      <c r="H45" s="8">
        <f t="shared" si="6"/>
        <v>1782.5801473357938</v>
      </c>
      <c r="L45">
        <f t="shared" si="5"/>
        <v>0</v>
      </c>
      <c r="M45">
        <f t="shared" si="7"/>
        <v>0</v>
      </c>
      <c r="N45">
        <v>70</v>
      </c>
    </row>
    <row r="46" spans="1:14" x14ac:dyDescent="0.2">
      <c r="A46" s="1"/>
      <c r="B46">
        <v>71</v>
      </c>
      <c r="C46" s="8">
        <f t="shared" si="1"/>
        <v>0</v>
      </c>
      <c r="D46" s="8">
        <f t="shared" si="2"/>
        <v>0</v>
      </c>
      <c r="E46" s="8">
        <f t="shared" si="8"/>
        <v>149.70872383878853</v>
      </c>
      <c r="F46" s="8">
        <f t="shared" si="3"/>
        <v>33.784872577920005</v>
      </c>
      <c r="G46" s="8">
        <f t="shared" si="4"/>
        <v>34.777155378260559</v>
      </c>
      <c r="H46" s="8">
        <f t="shared" si="6"/>
        <v>1723.9630697622611</v>
      </c>
      <c r="L46">
        <f t="shared" si="5"/>
        <v>0</v>
      </c>
      <c r="M46">
        <f t="shared" si="7"/>
        <v>0</v>
      </c>
      <c r="N46">
        <v>71</v>
      </c>
    </row>
    <row r="47" spans="1:14" x14ac:dyDescent="0.2">
      <c r="A47" s="1"/>
      <c r="B47">
        <v>72</v>
      </c>
      <c r="C47" s="8">
        <f t="shared" si="1"/>
        <v>0</v>
      </c>
      <c r="D47" s="8">
        <f t="shared" si="2"/>
        <v>0</v>
      </c>
      <c r="E47" s="8">
        <f t="shared" si="8"/>
        <v>152.70289831556425</v>
      </c>
      <c r="F47" s="8">
        <f t="shared" si="3"/>
        <v>34.460570029478397</v>
      </c>
      <c r="G47" s="8">
        <f t="shared" si="4"/>
        <v>35.472698485825759</v>
      </c>
      <c r="H47" s="8">
        <f t="shared" si="6"/>
        <v>1659.460216611245</v>
      </c>
      <c r="L47">
        <f t="shared" si="5"/>
        <v>0</v>
      </c>
      <c r="M47">
        <f t="shared" si="7"/>
        <v>0</v>
      </c>
      <c r="N47">
        <v>72</v>
      </c>
    </row>
    <row r="48" spans="1:14" x14ac:dyDescent="0.2">
      <c r="A48" s="1"/>
      <c r="B48">
        <v>73</v>
      </c>
      <c r="C48" s="8">
        <f t="shared" si="1"/>
        <v>0</v>
      </c>
      <c r="D48" s="8">
        <f t="shared" si="2"/>
        <v>0</v>
      </c>
      <c r="E48" s="8">
        <f t="shared" si="8"/>
        <v>155.75695628187555</v>
      </c>
      <c r="F48" s="8">
        <f t="shared" si="3"/>
        <v>35.149781430067968</v>
      </c>
      <c r="G48" s="8">
        <f t="shared" si="4"/>
        <v>36.182152455542273</v>
      </c>
      <c r="H48" s="8">
        <f t="shared" si="6"/>
        <v>1588.7182006698959</v>
      </c>
      <c r="L48">
        <f t="shared" si="5"/>
        <v>0</v>
      </c>
      <c r="M48">
        <f t="shared" si="7"/>
        <v>0</v>
      </c>
      <c r="N48">
        <v>73</v>
      </c>
    </row>
    <row r="49" spans="1:14" x14ac:dyDescent="0.2">
      <c r="A49" s="1"/>
      <c r="B49">
        <v>74</v>
      </c>
      <c r="C49" s="8">
        <f t="shared" si="1"/>
        <v>0</v>
      </c>
      <c r="D49" s="8">
        <f t="shared" si="2"/>
        <v>0</v>
      </c>
      <c r="E49" s="8">
        <f t="shared" si="8"/>
        <v>158.87209540751306</v>
      </c>
      <c r="F49" s="8">
        <f t="shared" si="3"/>
        <v>35.852777058669325</v>
      </c>
      <c r="G49" s="8">
        <f t="shared" si="4"/>
        <v>36.905795504653121</v>
      </c>
      <c r="H49" s="8">
        <f t="shared" si="6"/>
        <v>1511.3647833960408</v>
      </c>
      <c r="L49">
        <f t="shared" si="5"/>
        <v>0</v>
      </c>
      <c r="M49">
        <f t="shared" si="7"/>
        <v>0</v>
      </c>
      <c r="N49">
        <v>74</v>
      </c>
    </row>
    <row r="50" spans="1:14" x14ac:dyDescent="0.2">
      <c r="A50" s="1"/>
      <c r="B50">
        <v>75</v>
      </c>
      <c r="C50" s="8">
        <f t="shared" si="1"/>
        <v>0</v>
      </c>
      <c r="D50" s="8">
        <f t="shared" si="2"/>
        <v>0</v>
      </c>
      <c r="E50" s="8">
        <f t="shared" si="8"/>
        <v>162.04953731566334</v>
      </c>
      <c r="F50" s="8">
        <f t="shared" si="3"/>
        <v>36.569832599842712</v>
      </c>
      <c r="G50" s="8">
        <f t="shared" si="4"/>
        <v>37.643911414746185</v>
      </c>
      <c r="H50" s="8">
        <f t="shared" si="6"/>
        <v>1427.0079087123461</v>
      </c>
      <c r="L50">
        <f t="shared" si="5"/>
        <v>0</v>
      </c>
      <c r="M50">
        <f t="shared" si="7"/>
        <v>0</v>
      </c>
      <c r="N50">
        <v>75</v>
      </c>
    </row>
    <row r="51" spans="1:14" x14ac:dyDescent="0.2">
      <c r="A51" s="1"/>
      <c r="B51">
        <v>76</v>
      </c>
      <c r="C51" s="8">
        <f t="shared" si="1"/>
        <v>0</v>
      </c>
      <c r="D51" s="8">
        <f t="shared" si="2"/>
        <v>0</v>
      </c>
      <c r="E51" s="8">
        <f t="shared" si="8"/>
        <v>165.29052806197657</v>
      </c>
      <c r="F51" s="8">
        <f t="shared" si="3"/>
        <v>37.301229251839558</v>
      </c>
      <c r="G51" s="8">
        <f t="shared" si="4"/>
        <v>38.396789643041103</v>
      </c>
      <c r="H51" s="8">
        <f t="shared" si="6"/>
        <v>1335.2346880173968</v>
      </c>
      <c r="L51">
        <f t="shared" si="5"/>
        <v>0</v>
      </c>
      <c r="M51">
        <f t="shared" si="7"/>
        <v>0</v>
      </c>
      <c r="N51">
        <v>76</v>
      </c>
    </row>
    <row r="52" spans="1:14" x14ac:dyDescent="0.2">
      <c r="A52" s="1"/>
      <c r="B52">
        <v>77</v>
      </c>
      <c r="C52" s="8">
        <f t="shared" si="1"/>
        <v>0</v>
      </c>
      <c r="D52" s="8">
        <f t="shared" si="2"/>
        <v>0</v>
      </c>
      <c r="E52" s="8">
        <f t="shared" si="8"/>
        <v>168.59633862321613</v>
      </c>
      <c r="F52" s="8">
        <f t="shared" si="3"/>
        <v>38.047253836876358</v>
      </c>
      <c r="G52" s="8">
        <f t="shared" si="4"/>
        <v>39.164725435901929</v>
      </c>
      <c r="H52" s="8">
        <f t="shared" si="6"/>
        <v>1235.6103339650886</v>
      </c>
      <c r="L52">
        <f t="shared" si="5"/>
        <v>0</v>
      </c>
      <c r="M52">
        <f t="shared" si="7"/>
        <v>0</v>
      </c>
      <c r="N52">
        <v>77</v>
      </c>
    </row>
    <row r="53" spans="1:14" x14ac:dyDescent="0.2">
      <c r="A53" s="1"/>
      <c r="B53">
        <v>78</v>
      </c>
      <c r="C53" s="8">
        <f t="shared" si="1"/>
        <v>0</v>
      </c>
      <c r="D53" s="8">
        <f t="shared" si="2"/>
        <v>0</v>
      </c>
      <c r="E53" s="8">
        <f t="shared" si="8"/>
        <v>171.96826539568045</v>
      </c>
      <c r="F53" s="8">
        <f t="shared" si="3"/>
        <v>38.808198913613886</v>
      </c>
      <c r="G53" s="8">
        <f t="shared" si="4"/>
        <v>39.948019944619965</v>
      </c>
      <c r="H53" s="8">
        <f t="shared" si="6"/>
        <v>1127.6770404411013</v>
      </c>
      <c r="L53">
        <f t="shared" si="5"/>
        <v>0</v>
      </c>
      <c r="M53">
        <f t="shared" si="7"/>
        <v>0</v>
      </c>
      <c r="N53">
        <v>78</v>
      </c>
    </row>
    <row r="54" spans="1:14" x14ac:dyDescent="0.2">
      <c r="A54" s="1"/>
      <c r="B54">
        <v>79</v>
      </c>
      <c r="C54" s="8">
        <f t="shared" si="1"/>
        <v>0</v>
      </c>
      <c r="D54" s="8">
        <f t="shared" si="2"/>
        <v>0</v>
      </c>
      <c r="E54" s="8">
        <f t="shared" si="8"/>
        <v>175.40763070359407</v>
      </c>
      <c r="F54" s="8">
        <f t="shared" si="3"/>
        <v>39.584362891886165</v>
      </c>
      <c r="G54" s="8">
        <f t="shared" si="4"/>
        <v>40.746980343512369</v>
      </c>
      <c r="H54" s="8">
        <f t="shared" si="6"/>
        <v>1010.9528060364701</v>
      </c>
      <c r="L54">
        <f t="shared" si="5"/>
        <v>0</v>
      </c>
      <c r="M54">
        <f t="shared" si="7"/>
        <v>0</v>
      </c>
      <c r="N54">
        <v>79</v>
      </c>
    </row>
    <row r="55" spans="1:14" x14ac:dyDescent="0.2">
      <c r="A55" s="1"/>
      <c r="B55">
        <v>80</v>
      </c>
      <c r="C55" s="8">
        <f t="shared" si="1"/>
        <v>0</v>
      </c>
      <c r="D55" s="8">
        <f t="shared" si="2"/>
        <v>0</v>
      </c>
      <c r="E55" s="8">
        <f t="shared" si="8"/>
        <v>178.9157833176659</v>
      </c>
      <c r="F55" s="8">
        <f t="shared" si="3"/>
        <v>40.376050149723874</v>
      </c>
      <c r="G55" s="8">
        <f t="shared" si="4"/>
        <v>41.561919950382602</v>
      </c>
      <c r="H55" s="8">
        <f t="shared" si="6"/>
        <v>884.93019818307323</v>
      </c>
      <c r="L55">
        <f t="shared" si="5"/>
        <v>0</v>
      </c>
      <c r="M55">
        <f t="shared" si="7"/>
        <v>0</v>
      </c>
      <c r="N55">
        <v>80</v>
      </c>
    </row>
    <row r="56" spans="1:14" x14ac:dyDescent="0.2">
      <c r="A56" s="1"/>
      <c r="B56">
        <v>81</v>
      </c>
      <c r="C56" s="8">
        <f t="shared" si="1"/>
        <v>0</v>
      </c>
      <c r="D56" s="8">
        <f t="shared" si="2"/>
        <v>0</v>
      </c>
      <c r="E56" s="8">
        <f t="shared" si="8"/>
        <v>182.49409898401925</v>
      </c>
      <c r="F56" s="8">
        <f t="shared" si="3"/>
        <v>41.183571152718358</v>
      </c>
      <c r="G56" s="8">
        <f t="shared" si="4"/>
        <v>42.393158349390262</v>
      </c>
      <c r="H56" s="8">
        <f t="shared" si="6"/>
        <v>749.0750549739023</v>
      </c>
      <c r="L56">
        <f t="shared" si="5"/>
        <v>0</v>
      </c>
      <c r="M56">
        <f t="shared" si="7"/>
        <v>0</v>
      </c>
      <c r="N56">
        <v>81</v>
      </c>
    </row>
    <row r="57" spans="1:14" x14ac:dyDescent="0.2">
      <c r="A57" s="1"/>
      <c r="B57">
        <v>82</v>
      </c>
      <c r="C57" s="8">
        <f t="shared" si="1"/>
        <v>0</v>
      </c>
      <c r="D57" s="8">
        <f t="shared" si="2"/>
        <v>0</v>
      </c>
      <c r="E57" s="8">
        <f t="shared" si="8"/>
        <v>186.14398096369965</v>
      </c>
      <c r="F57" s="8">
        <f t="shared" si="3"/>
        <v>42.007242575772729</v>
      </c>
      <c r="G57" s="8">
        <f t="shared" si="4"/>
        <v>43.241021516378076</v>
      </c>
      <c r="H57" s="8">
        <f t="shared" si="6"/>
        <v>602.82512154190636</v>
      </c>
      <c r="L57">
        <f t="shared" si="5"/>
        <v>0</v>
      </c>
      <c r="M57">
        <f t="shared" si="7"/>
        <v>0</v>
      </c>
      <c r="N57">
        <v>82</v>
      </c>
    </row>
    <row r="58" spans="1:14" x14ac:dyDescent="0.2">
      <c r="A58" s="1"/>
      <c r="B58">
        <v>83</v>
      </c>
      <c r="C58" s="8">
        <f t="shared" si="1"/>
        <v>0</v>
      </c>
      <c r="D58" s="8">
        <f t="shared" si="2"/>
        <v>0</v>
      </c>
      <c r="E58" s="8">
        <f t="shared" si="8"/>
        <v>189.86686058297363</v>
      </c>
      <c r="F58" s="8">
        <f t="shared" si="3"/>
        <v>42.847387427288183</v>
      </c>
      <c r="G58" s="8">
        <f t="shared" si="4"/>
        <v>44.105841946705631</v>
      </c>
      <c r="H58" s="8">
        <f t="shared" si="6"/>
        <v>445.5886177146968</v>
      </c>
      <c r="L58">
        <f t="shared" si="5"/>
        <v>0</v>
      </c>
      <c r="M58">
        <f t="shared" si="7"/>
        <v>0</v>
      </c>
      <c r="N58">
        <v>83</v>
      </c>
    </row>
    <row r="59" spans="1:14" x14ac:dyDescent="0.2">
      <c r="A59" s="1"/>
      <c r="B59">
        <v>84</v>
      </c>
      <c r="C59" s="8">
        <f t="shared" si="1"/>
        <v>0</v>
      </c>
      <c r="D59" s="8">
        <f t="shared" si="2"/>
        <v>0</v>
      </c>
      <c r="E59" s="8">
        <f t="shared" si="8"/>
        <v>193.66419779463308</v>
      </c>
      <c r="F59" s="8">
        <f t="shared" si="3"/>
        <v>43.704335175833947</v>
      </c>
      <c r="G59" s="8">
        <f t="shared" si="4"/>
        <v>44.987958785639741</v>
      </c>
      <c r="H59" s="8">
        <f t="shared" si="6"/>
        <v>276.74273349804059</v>
      </c>
      <c r="L59">
        <f t="shared" si="5"/>
        <v>0</v>
      </c>
      <c r="M59">
        <f t="shared" si="7"/>
        <v>0</v>
      </c>
      <c r="N59">
        <v>84</v>
      </c>
    </row>
    <row r="60" spans="1:14" x14ac:dyDescent="0.2">
      <c r="A60" s="1"/>
      <c r="B60">
        <v>85</v>
      </c>
      <c r="C60" s="8">
        <f t="shared" si="1"/>
        <v>0</v>
      </c>
      <c r="D60" s="8">
        <f t="shared" si="2"/>
        <v>0</v>
      </c>
      <c r="E60" s="8">
        <f t="shared" si="8"/>
        <v>197.53748175052576</v>
      </c>
      <c r="F60" s="8">
        <f t="shared" si="3"/>
        <v>44.578421879350628</v>
      </c>
      <c r="G60" s="8">
        <f t="shared" si="4"/>
        <v>45.887717961352536</v>
      </c>
      <c r="H60" s="8">
        <f t="shared" si="6"/>
        <v>95.632048768503779</v>
      </c>
      <c r="L60">
        <f t="shared" si="5"/>
        <v>0</v>
      </c>
      <c r="M60">
        <f t="shared" si="7"/>
        <v>0</v>
      </c>
      <c r="N60">
        <v>85</v>
      </c>
    </row>
    <row r="61" spans="1:14" x14ac:dyDescent="0.2">
      <c r="A61" s="1"/>
      <c r="B61">
        <v>86</v>
      </c>
      <c r="C61" s="8">
        <f t="shared" si="1"/>
        <v>0</v>
      </c>
      <c r="D61" s="8">
        <f t="shared" si="2"/>
        <v>0</v>
      </c>
      <c r="E61" s="8">
        <f t="shared" si="8"/>
        <v>201.48823138553627</v>
      </c>
      <c r="F61" s="8">
        <f t="shared" si="3"/>
        <v>45.46999031693764</v>
      </c>
      <c r="G61" s="8">
        <f t="shared" si="4"/>
        <v>46.80547232057959</v>
      </c>
      <c r="H61" s="8">
        <f t="shared" si="6"/>
        <v>-98.433126625598689</v>
      </c>
      <c r="L61">
        <f t="shared" si="5"/>
        <v>1</v>
      </c>
      <c r="M61">
        <f t="shared" si="7"/>
        <v>1</v>
      </c>
      <c r="N61">
        <v>86</v>
      </c>
    </row>
    <row r="62" spans="1:14" x14ac:dyDescent="0.2">
      <c r="A62" s="1"/>
      <c r="B62">
        <v>87</v>
      </c>
      <c r="C62" s="8">
        <f t="shared" si="1"/>
        <v>0</v>
      </c>
      <c r="D62" s="8">
        <f t="shared" si="2"/>
        <v>0</v>
      </c>
      <c r="E62" s="8">
        <f t="shared" si="8"/>
        <v>205.517996013247</v>
      </c>
      <c r="F62" s="8">
        <f t="shared" si="3"/>
        <v>46.379390123276394</v>
      </c>
      <c r="G62" s="8">
        <f t="shared" si="4"/>
        <v>47.741581766991182</v>
      </c>
      <c r="H62" s="8">
        <f t="shared" si="6"/>
        <v>-306.17849634605687</v>
      </c>
      <c r="L62">
        <f t="shared" si="5"/>
        <v>1</v>
      </c>
      <c r="M62">
        <f t="shared" si="7"/>
        <v>0</v>
      </c>
      <c r="N62">
        <v>87</v>
      </c>
    </row>
    <row r="63" spans="1:14" x14ac:dyDescent="0.2">
      <c r="A63" s="1"/>
      <c r="B63">
        <v>88</v>
      </c>
      <c r="C63" s="8">
        <f t="shared" si="1"/>
        <v>0</v>
      </c>
      <c r="D63" s="8">
        <f t="shared" si="2"/>
        <v>0</v>
      </c>
      <c r="E63" s="8">
        <f t="shared" si="8"/>
        <v>209.6283559335119</v>
      </c>
      <c r="F63" s="8">
        <f t="shared" si="3"/>
        <v>47.306977925741911</v>
      </c>
      <c r="G63" s="8">
        <f t="shared" si="4"/>
        <v>48.696413402330997</v>
      </c>
      <c r="H63" s="8">
        <f t="shared" si="6"/>
        <v>-528.36760882032149</v>
      </c>
      <c r="L63">
        <f t="shared" si="5"/>
        <v>1</v>
      </c>
      <c r="M63">
        <f t="shared" si="7"/>
        <v>0</v>
      </c>
      <c r="N63">
        <v>88</v>
      </c>
    </row>
    <row r="64" spans="1:14" x14ac:dyDescent="0.2">
      <c r="A64" s="1"/>
      <c r="B64">
        <v>89</v>
      </c>
      <c r="C64" s="8">
        <f t="shared" si="1"/>
        <v>0</v>
      </c>
      <c r="D64" s="8">
        <f t="shared" si="2"/>
        <v>0</v>
      </c>
      <c r="E64" s="8">
        <f t="shared" si="8"/>
        <v>213.82092305218217</v>
      </c>
      <c r="F64" s="8">
        <f t="shared" si="3"/>
        <v>48.253117484256748</v>
      </c>
      <c r="G64" s="8">
        <f t="shared" si="4"/>
        <v>49.670341670377617</v>
      </c>
      <c r="H64" s="8">
        <f t="shared" si="6"/>
        <v>-765.80378067143863</v>
      </c>
      <c r="L64">
        <f t="shared" si="5"/>
        <v>1</v>
      </c>
      <c r="M64">
        <f t="shared" si="7"/>
        <v>0</v>
      </c>
      <c r="N64">
        <v>89</v>
      </c>
    </row>
    <row r="65" spans="1:14" x14ac:dyDescent="0.2">
      <c r="A65" s="1"/>
      <c r="B65">
        <v>90</v>
      </c>
      <c r="C65" s="8">
        <f t="shared" si="1"/>
        <v>0</v>
      </c>
      <c r="D65" s="8">
        <f t="shared" si="2"/>
        <v>0</v>
      </c>
      <c r="E65" s="8">
        <f t="shared" si="8"/>
        <v>218.09734151322581</v>
      </c>
      <c r="F65" s="8">
        <f t="shared" si="3"/>
        <v>49.218179833941889</v>
      </c>
      <c r="G65" s="8">
        <f t="shared" si="4"/>
        <v>50.663748503785179</v>
      </c>
      <c r="H65" s="8">
        <f t="shared" si="6"/>
        <v>-1019.3321169433136</v>
      </c>
      <c r="L65">
        <f t="shared" si="5"/>
        <v>1</v>
      </c>
      <c r="M65">
        <f t="shared" si="7"/>
        <v>0</v>
      </c>
      <c r="N65">
        <v>90</v>
      </c>
    </row>
  </sheetData>
  <phoneticPr fontId="13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1"/>
  <sheetViews>
    <sheetView workbookViewId="0">
      <selection activeCell="A2" sqref="A2"/>
    </sheetView>
  </sheetViews>
  <sheetFormatPr defaultRowHeight="12.75" x14ac:dyDescent="0.2"/>
  <cols>
    <col min="1" max="1" width="21" bestFit="1" customWidth="1"/>
  </cols>
  <sheetData>
    <row r="1" spans="1:9" x14ac:dyDescent="0.2">
      <c r="A1" s="1" t="s">
        <v>158</v>
      </c>
    </row>
    <row r="2" spans="1:9" x14ac:dyDescent="0.2">
      <c r="A2" s="1"/>
    </row>
    <row r="3" spans="1:9" x14ac:dyDescent="0.2">
      <c r="A3" s="1" t="s">
        <v>71</v>
      </c>
    </row>
    <row r="4" spans="1:9" x14ac:dyDescent="0.2">
      <c r="A4" s="48" t="s">
        <v>159</v>
      </c>
      <c r="B4" s="153">
        <v>100</v>
      </c>
      <c r="C4" s="159"/>
      <c r="E4" t="s">
        <v>160</v>
      </c>
    </row>
    <row r="5" spans="1:9" x14ac:dyDescent="0.2">
      <c r="A5" s="16" t="s">
        <v>161</v>
      </c>
      <c r="B5" s="154">
        <v>5</v>
      </c>
      <c r="C5" s="159"/>
      <c r="E5" s="160"/>
    </row>
    <row r="6" spans="1:9" x14ac:dyDescent="0.2">
      <c r="A6" s="16" t="s">
        <v>162</v>
      </c>
      <c r="B6" s="154">
        <v>50</v>
      </c>
      <c r="C6" s="159"/>
    </row>
    <row r="7" spans="1:9" x14ac:dyDescent="0.2">
      <c r="A7" s="19" t="s">
        <v>163</v>
      </c>
      <c r="B7" s="155">
        <v>0.01</v>
      </c>
      <c r="C7" s="159"/>
    </row>
    <row r="8" spans="1:9" x14ac:dyDescent="0.2">
      <c r="A8" s="1"/>
    </row>
    <row r="9" spans="1:9" x14ac:dyDescent="0.2">
      <c r="A9" s="1" t="s">
        <v>164</v>
      </c>
      <c r="B9" s="168">
        <v>1</v>
      </c>
      <c r="C9" s="168">
        <v>2</v>
      </c>
      <c r="D9" s="168">
        <v>3</v>
      </c>
      <c r="E9" s="168">
        <v>4</v>
      </c>
      <c r="F9" s="168">
        <v>5</v>
      </c>
      <c r="G9" s="168">
        <v>6</v>
      </c>
      <c r="H9" s="168">
        <v>7</v>
      </c>
      <c r="I9" s="168">
        <v>8</v>
      </c>
    </row>
    <row r="10" spans="1:9" x14ac:dyDescent="0.2">
      <c r="A10" s="1"/>
    </row>
    <row r="11" spans="1:9" x14ac:dyDescent="0.2">
      <c r="A11" s="1" t="s">
        <v>165</v>
      </c>
      <c r="B11" s="161">
        <v>31.414977643006139</v>
      </c>
      <c r="C11" s="162">
        <f>B11</f>
        <v>31.414977643006139</v>
      </c>
      <c r="D11" s="162">
        <f t="shared" ref="D11:I11" si="0">C11</f>
        <v>31.414977643006139</v>
      </c>
      <c r="E11" s="162">
        <f t="shared" si="0"/>
        <v>31.414977643006139</v>
      </c>
      <c r="F11" s="162">
        <f t="shared" si="0"/>
        <v>31.414977643006139</v>
      </c>
      <c r="G11" s="162">
        <f t="shared" si="0"/>
        <v>31.414977643006139</v>
      </c>
      <c r="H11" s="162">
        <f t="shared" si="0"/>
        <v>31.414977643006139</v>
      </c>
      <c r="I11" s="162">
        <f t="shared" si="0"/>
        <v>31.414977643006139</v>
      </c>
    </row>
    <row r="12" spans="1:9" x14ac:dyDescent="0.2">
      <c r="A12" s="1" t="s">
        <v>166</v>
      </c>
      <c r="B12" s="8"/>
      <c r="C12" s="161">
        <v>141.72563469166414</v>
      </c>
      <c r="D12" s="162">
        <f>C12</f>
        <v>141.72563469166414</v>
      </c>
      <c r="E12" s="162">
        <f>D12</f>
        <v>141.72563469166414</v>
      </c>
      <c r="F12" s="162">
        <f>E12</f>
        <v>141.72563469166414</v>
      </c>
      <c r="G12" s="162">
        <f>F12</f>
        <v>141.72563469166414</v>
      </c>
      <c r="H12" s="162">
        <f>G12</f>
        <v>141.72563469166414</v>
      </c>
      <c r="I12" s="162">
        <v>72.050364746673466</v>
      </c>
    </row>
    <row r="13" spans="1:9" x14ac:dyDescent="0.2">
      <c r="A13" s="1"/>
      <c r="B13" s="8"/>
      <c r="C13" s="8"/>
      <c r="D13" s="161">
        <v>13.138790408420995</v>
      </c>
      <c r="E13" s="162">
        <f>D13</f>
        <v>13.138790408420995</v>
      </c>
      <c r="F13" s="162">
        <f>E13</f>
        <v>13.138790408420995</v>
      </c>
      <c r="G13" s="162">
        <f>F13</f>
        <v>13.138790408420995</v>
      </c>
      <c r="H13" s="162">
        <f>G13</f>
        <v>13.138790408420995</v>
      </c>
      <c r="I13" s="162">
        <f>H13</f>
        <v>13.138790408420995</v>
      </c>
    </row>
    <row r="14" spans="1:9" x14ac:dyDescent="0.2">
      <c r="A14" s="1"/>
      <c r="B14" s="8"/>
      <c r="C14" s="8"/>
      <c r="D14" s="8"/>
      <c r="E14" s="161">
        <v>46.016918945249678</v>
      </c>
      <c r="F14" s="162">
        <f>E14</f>
        <v>46.016918945249678</v>
      </c>
      <c r="G14" s="162">
        <f>F14</f>
        <v>46.016918945249678</v>
      </c>
      <c r="H14" s="162">
        <f>G14</f>
        <v>46.016918945249678</v>
      </c>
      <c r="I14" s="162">
        <f>H14</f>
        <v>46.016918945249678</v>
      </c>
    </row>
    <row r="15" spans="1:9" x14ac:dyDescent="0.2">
      <c r="A15" s="1"/>
      <c r="B15" s="8"/>
      <c r="C15" s="8"/>
      <c r="D15" s="8"/>
      <c r="E15" s="8"/>
      <c r="F15" s="161">
        <v>158.92646286112327</v>
      </c>
      <c r="G15" s="162">
        <f>F15</f>
        <v>158.92646286112327</v>
      </c>
      <c r="H15" s="162">
        <f>G15</f>
        <v>158.92646286112327</v>
      </c>
      <c r="I15" s="162">
        <f>H15</f>
        <v>158.92646286112327</v>
      </c>
    </row>
    <row r="16" spans="1:9" x14ac:dyDescent="0.2">
      <c r="A16" s="1"/>
      <c r="B16" s="8"/>
      <c r="C16" s="8"/>
      <c r="D16" s="8"/>
      <c r="E16" s="8"/>
      <c r="F16" s="8"/>
      <c r="G16" s="161">
        <v>43.055612462281488</v>
      </c>
      <c r="H16" s="162">
        <f>G16</f>
        <v>43.055612462281488</v>
      </c>
      <c r="I16" s="162">
        <f>H16</f>
        <v>43.055612462281488</v>
      </c>
    </row>
    <row r="17" spans="1:9" x14ac:dyDescent="0.2">
      <c r="A17" s="1"/>
      <c r="B17" s="8"/>
      <c r="C17" s="8"/>
      <c r="D17" s="8"/>
      <c r="E17" s="8"/>
      <c r="F17" s="8"/>
      <c r="G17" s="8"/>
      <c r="H17" s="161">
        <v>53.894410471376574</v>
      </c>
      <c r="I17" s="162">
        <f>H17</f>
        <v>53.894410471376574</v>
      </c>
    </row>
    <row r="18" spans="1:9" x14ac:dyDescent="0.2">
      <c r="A18" s="1"/>
      <c r="B18" s="8"/>
      <c r="C18" s="8"/>
      <c r="D18" s="8"/>
      <c r="E18" s="8"/>
      <c r="F18" s="8"/>
      <c r="G18" s="8"/>
      <c r="H18" s="8"/>
      <c r="I18" s="161">
        <v>31.143547049283391</v>
      </c>
    </row>
    <row r="19" spans="1:9" x14ac:dyDescent="0.2">
      <c r="A19" s="1"/>
    </row>
    <row r="20" spans="1:9" x14ac:dyDescent="0.2">
      <c r="A20" s="1" t="s">
        <v>167</v>
      </c>
      <c r="B20" s="163">
        <v>-2.9778556945468763E-3</v>
      </c>
      <c r="C20" s="164">
        <f>B20</f>
        <v>-2.9778556945468763E-3</v>
      </c>
      <c r="D20" s="164">
        <f t="shared" ref="D20:I21" si="1">C20</f>
        <v>-2.9778556945468763E-3</v>
      </c>
      <c r="E20" s="164">
        <f t="shared" si="1"/>
        <v>-2.9778556945468763E-3</v>
      </c>
      <c r="F20" s="164">
        <f t="shared" si="1"/>
        <v>-2.9778556945468763E-3</v>
      </c>
      <c r="G20" s="164">
        <f t="shared" si="1"/>
        <v>-2.9778556945468763E-3</v>
      </c>
      <c r="H20" s="164">
        <f t="shared" si="1"/>
        <v>-2.9778556945468763E-3</v>
      </c>
      <c r="I20" s="164">
        <f t="shared" si="1"/>
        <v>-2.9778556945468763E-3</v>
      </c>
    </row>
    <row r="21" spans="1:9" x14ac:dyDescent="0.2">
      <c r="A21" s="1" t="s">
        <v>33</v>
      </c>
      <c r="B21" s="6"/>
      <c r="C21" s="163">
        <v>-1.021848668180817E-2</v>
      </c>
      <c r="D21" s="164">
        <f t="shared" si="1"/>
        <v>-1.021848668180817E-2</v>
      </c>
      <c r="E21" s="164">
        <f t="shared" si="1"/>
        <v>-1.021848668180817E-2</v>
      </c>
      <c r="F21" s="164">
        <f t="shared" si="1"/>
        <v>-1.021848668180817E-2</v>
      </c>
      <c r="G21" s="164">
        <f t="shared" si="1"/>
        <v>-1.021848668180817E-2</v>
      </c>
      <c r="H21" s="164">
        <f t="shared" si="1"/>
        <v>-1.021848668180817E-2</v>
      </c>
      <c r="I21" s="164">
        <f t="shared" si="1"/>
        <v>-1.021848668180817E-2</v>
      </c>
    </row>
    <row r="22" spans="1:9" x14ac:dyDescent="0.2">
      <c r="A22" s="1"/>
      <c r="B22" s="6"/>
      <c r="C22" s="6"/>
      <c r="D22" s="163">
        <v>9.3278591635463579E-3</v>
      </c>
      <c r="E22" s="164">
        <f>D22</f>
        <v>9.3278591635463579E-3</v>
      </c>
      <c r="F22" s="164">
        <f>E22</f>
        <v>9.3278591635463579E-3</v>
      </c>
      <c r="G22" s="164">
        <f>F22</f>
        <v>9.3278591635463579E-3</v>
      </c>
      <c r="H22" s="164">
        <f>G22</f>
        <v>9.3278591635463579E-3</v>
      </c>
      <c r="I22" s="164">
        <f>H22</f>
        <v>9.3278591635463579E-3</v>
      </c>
    </row>
    <row r="23" spans="1:9" x14ac:dyDescent="0.2">
      <c r="A23" s="1" t="s">
        <v>33</v>
      </c>
      <c r="B23" s="6"/>
      <c r="C23" s="6"/>
      <c r="D23" s="6"/>
      <c r="E23" s="163">
        <v>2.428467523074527E-3</v>
      </c>
      <c r="F23" s="164">
        <f>E23</f>
        <v>2.428467523074527E-3</v>
      </c>
      <c r="G23" s="164">
        <f>F23</f>
        <v>2.428467523074527E-3</v>
      </c>
      <c r="H23" s="164">
        <f>G23</f>
        <v>2.428467523074527E-3</v>
      </c>
      <c r="I23" s="164">
        <f>H23</f>
        <v>2.428467523074527E-3</v>
      </c>
    </row>
    <row r="24" spans="1:9" x14ac:dyDescent="0.2">
      <c r="A24" s="1"/>
      <c r="B24" s="6"/>
      <c r="C24" s="6"/>
      <c r="D24" s="6"/>
      <c r="E24" s="6"/>
      <c r="F24" s="163">
        <v>-3.8208841572886618E-3</v>
      </c>
      <c r="G24" s="164">
        <f>F24</f>
        <v>-3.8208841572886618E-3</v>
      </c>
      <c r="H24" s="164">
        <f>G24</f>
        <v>-3.8208841572886618E-3</v>
      </c>
      <c r="I24" s="164">
        <f>H24</f>
        <v>-3.8208841572886618E-3</v>
      </c>
    </row>
    <row r="25" spans="1:9" x14ac:dyDescent="0.2">
      <c r="A25" s="1"/>
      <c r="B25" s="6"/>
      <c r="C25" s="6"/>
      <c r="D25" s="6"/>
      <c r="E25" s="6"/>
      <c r="F25" s="6"/>
      <c r="G25" s="163">
        <v>2.0822537323854362E-3</v>
      </c>
      <c r="H25" s="164">
        <f>G25</f>
        <v>2.0822537323854362E-3</v>
      </c>
      <c r="I25" s="164">
        <f>H25</f>
        <v>2.0822537323854362E-3</v>
      </c>
    </row>
    <row r="26" spans="1:9" x14ac:dyDescent="0.2">
      <c r="A26" s="1"/>
      <c r="B26" s="6"/>
      <c r="C26" s="6"/>
      <c r="D26" s="6"/>
      <c r="E26" s="6"/>
      <c r="F26" s="6"/>
      <c r="G26" s="6"/>
      <c r="H26" s="163">
        <v>1.2106995209127461E-3</v>
      </c>
      <c r="I26" s="164">
        <f>H26</f>
        <v>1.2106995209127461E-3</v>
      </c>
    </row>
    <row r="27" spans="1:9" x14ac:dyDescent="0.2">
      <c r="A27" s="1"/>
      <c r="B27" s="6"/>
      <c r="C27" s="6"/>
      <c r="D27" s="6"/>
      <c r="E27" s="6"/>
      <c r="F27" s="6"/>
      <c r="G27" s="6"/>
      <c r="H27" s="6"/>
      <c r="I27" s="163">
        <v>7.9282398395768387E-3</v>
      </c>
    </row>
    <row r="28" spans="1:9" x14ac:dyDescent="0.2">
      <c r="A28" s="1"/>
    </row>
    <row r="29" spans="1:9" x14ac:dyDescent="0.2">
      <c r="A29" s="1" t="s">
        <v>168</v>
      </c>
    </row>
    <row r="30" spans="1:9" x14ac:dyDescent="0.2">
      <c r="A30" s="1" t="s">
        <v>169</v>
      </c>
      <c r="B30" s="8">
        <f>B11*(1+B20)</f>
        <v>31.321428372937849</v>
      </c>
      <c r="C30" s="8">
        <f t="shared" ref="C30:I32" si="2">C11*(1+C20)</f>
        <v>31.321428372937849</v>
      </c>
      <c r="D30" s="8">
        <f t="shared" si="2"/>
        <v>31.321428372937849</v>
      </c>
      <c r="E30" s="8">
        <f t="shared" si="2"/>
        <v>31.321428372937849</v>
      </c>
      <c r="F30" s="8">
        <f t="shared" si="2"/>
        <v>31.321428372937849</v>
      </c>
      <c r="G30" s="8">
        <f t="shared" si="2"/>
        <v>31.321428372937849</v>
      </c>
      <c r="H30" s="8">
        <f t="shared" si="2"/>
        <v>31.321428372937849</v>
      </c>
      <c r="I30" s="8">
        <f t="shared" si="2"/>
        <v>31.321428372937849</v>
      </c>
    </row>
    <row r="31" spans="1:9" x14ac:dyDescent="0.2">
      <c r="A31" s="1" t="s">
        <v>166</v>
      </c>
      <c r="B31" s="8"/>
      <c r="C31" s="8">
        <f>C12*(1+C21)</f>
        <v>140.27741318109656</v>
      </c>
      <c r="D31" s="8">
        <f t="shared" si="2"/>
        <v>140.27741318109656</v>
      </c>
      <c r="E31" s="8">
        <f t="shared" si="2"/>
        <v>140.27741318109656</v>
      </c>
      <c r="F31" s="8">
        <f t="shared" si="2"/>
        <v>140.27741318109656</v>
      </c>
      <c r="G31" s="8">
        <f t="shared" si="2"/>
        <v>140.27741318109656</v>
      </c>
      <c r="H31" s="8">
        <f t="shared" si="2"/>
        <v>140.27741318109656</v>
      </c>
      <c r="I31" s="8">
        <f t="shared" si="2"/>
        <v>71.31411905409017</v>
      </c>
    </row>
    <row r="32" spans="1:9" x14ac:dyDescent="0.2">
      <c r="A32" s="1"/>
      <c r="B32" s="8"/>
      <c r="C32" s="8"/>
      <c r="D32" s="8">
        <f t="shared" si="2"/>
        <v>13.261347194930099</v>
      </c>
      <c r="E32" s="8">
        <f t="shared" si="2"/>
        <v>13.261347194930099</v>
      </c>
      <c r="F32" s="8">
        <f t="shared" si="2"/>
        <v>13.261347194930099</v>
      </c>
      <c r="G32" s="8">
        <f t="shared" si="2"/>
        <v>13.261347194930099</v>
      </c>
      <c r="H32" s="8">
        <f t="shared" si="2"/>
        <v>13.261347194930099</v>
      </c>
      <c r="I32" s="8">
        <f t="shared" si="2"/>
        <v>13.261347194930099</v>
      </c>
    </row>
    <row r="33" spans="1:10" x14ac:dyDescent="0.2">
      <c r="A33" s="1"/>
      <c r="B33" s="8"/>
      <c r="C33" s="8"/>
      <c r="D33" s="8"/>
      <c r="E33" s="8">
        <f>E14*(1+E23)</f>
        <v>46.128669538420169</v>
      </c>
      <c r="F33" s="8">
        <f>F14*(1+F23)</f>
        <v>46.128669538420169</v>
      </c>
      <c r="G33" s="8">
        <f>G14*(1+G23)</f>
        <v>46.128669538420169</v>
      </c>
      <c r="H33" s="8">
        <f>H14*(1+H23)</f>
        <v>46.128669538420169</v>
      </c>
      <c r="I33" s="8">
        <f>I14*(1+I23)</f>
        <v>46.128669538420169</v>
      </c>
    </row>
    <row r="34" spans="1:10" x14ac:dyDescent="0.2">
      <c r="A34" s="1"/>
      <c r="B34" s="8"/>
      <c r="C34" s="8"/>
      <c r="D34" s="8"/>
      <c r="E34" s="8"/>
      <c r="F34" s="8">
        <f>F15*(1+F24)</f>
        <v>158.31922325700327</v>
      </c>
      <c r="G34" s="8">
        <f>G15*(1+G24)</f>
        <v>158.31922325700327</v>
      </c>
      <c r="H34" s="8">
        <f>H15*(1+H24)</f>
        <v>158.31922325700327</v>
      </c>
      <c r="I34" s="8">
        <f>I15*(1+I24)</f>
        <v>158.31922325700327</v>
      </c>
    </row>
    <row r="35" spans="1:10" x14ac:dyDescent="0.2">
      <c r="A35" s="1"/>
      <c r="B35" s="8"/>
      <c r="C35" s="8"/>
      <c r="D35" s="8"/>
      <c r="E35" s="8"/>
      <c r="F35" s="8"/>
      <c r="G35" s="8">
        <f>G16*(1+G25)</f>
        <v>43.145265172031216</v>
      </c>
      <c r="H35" s="8">
        <f>H16*(1+H25)</f>
        <v>43.145265172031216</v>
      </c>
      <c r="I35" s="8">
        <f>I16*(1+I25)</f>
        <v>43.145265172031216</v>
      </c>
    </row>
    <row r="36" spans="1:10" x14ac:dyDescent="0.2">
      <c r="A36" s="1"/>
      <c r="B36" s="8"/>
      <c r="C36" s="8"/>
      <c r="D36" s="8"/>
      <c r="E36" s="8"/>
      <c r="F36" s="8"/>
      <c r="G36" s="8"/>
      <c r="H36" s="8">
        <f>H17*(1+H26)</f>
        <v>53.959660408314143</v>
      </c>
      <c r="I36" s="8">
        <f>I17*(1+I26)</f>
        <v>53.959660408314143</v>
      </c>
    </row>
    <row r="37" spans="1:10" x14ac:dyDescent="0.2">
      <c r="A37" s="1"/>
      <c r="B37" s="8"/>
      <c r="C37" s="8"/>
      <c r="D37" s="8"/>
      <c r="E37" s="8"/>
      <c r="F37" s="8"/>
      <c r="G37" s="8"/>
      <c r="H37" s="8"/>
      <c r="I37" s="8">
        <f>I18*(1+I27)</f>
        <v>31.390460559745254</v>
      </c>
    </row>
    <row r="38" spans="1:10" x14ac:dyDescent="0.2">
      <c r="A38" s="1"/>
      <c r="B38" s="8"/>
      <c r="C38" s="8"/>
      <c r="D38" s="8"/>
      <c r="E38" s="8"/>
      <c r="F38" s="8"/>
      <c r="G38" s="8"/>
      <c r="H38" s="8"/>
      <c r="I38" s="8"/>
    </row>
    <row r="39" spans="1:10" x14ac:dyDescent="0.2">
      <c r="A39" s="1" t="s">
        <v>170</v>
      </c>
      <c r="B39" s="8">
        <f>B11</f>
        <v>31.414977643006139</v>
      </c>
      <c r="C39" s="8">
        <f>MAX(C11:C12)</f>
        <v>141.72563469166414</v>
      </c>
      <c r="D39" s="8">
        <f>MAX(D11:D13)</f>
        <v>141.72563469166414</v>
      </c>
      <c r="E39" s="8">
        <f>MAX(E11:E14)</f>
        <v>141.72563469166414</v>
      </c>
      <c r="F39" s="8">
        <f>MAX(F11:F15)</f>
        <v>158.92646286112327</v>
      </c>
      <c r="G39" s="8">
        <f>MAX(G11:G16)</f>
        <v>158.92646286112327</v>
      </c>
      <c r="H39" s="8">
        <f>MAX(H11:H17)</f>
        <v>158.92646286112327</v>
      </c>
      <c r="I39" s="8">
        <f>MAX(I11:I18)</f>
        <v>158.92646286112327</v>
      </c>
    </row>
    <row r="40" spans="1:10" x14ac:dyDescent="0.2">
      <c r="A40" s="1"/>
      <c r="B40" s="8"/>
      <c r="C40" s="8"/>
      <c r="D40" s="8"/>
      <c r="E40" s="8"/>
      <c r="F40" s="8"/>
      <c r="G40" s="8"/>
      <c r="H40" s="8"/>
      <c r="I40" s="8"/>
    </row>
    <row r="41" spans="1:10" x14ac:dyDescent="0.2">
      <c r="A41" s="1" t="s">
        <v>171</v>
      </c>
      <c r="B41" s="8">
        <f>B30</f>
        <v>31.321428372937849</v>
      </c>
      <c r="C41" s="8">
        <f>MAX(C30:C37)</f>
        <v>140.27741318109656</v>
      </c>
      <c r="D41" s="8">
        <f t="shared" ref="D41:I41" si="3">MAX(D30:D37)</f>
        <v>140.27741318109656</v>
      </c>
      <c r="E41" s="8">
        <f t="shared" si="3"/>
        <v>140.27741318109656</v>
      </c>
      <c r="F41" s="8">
        <f t="shared" si="3"/>
        <v>158.31922325700327</v>
      </c>
      <c r="G41" s="8">
        <f t="shared" si="3"/>
        <v>158.31922325700327</v>
      </c>
      <c r="H41" s="8">
        <f t="shared" si="3"/>
        <v>158.31922325700327</v>
      </c>
      <c r="I41" s="8">
        <f t="shared" si="3"/>
        <v>158.31922325700327</v>
      </c>
    </row>
    <row r="42" spans="1:10" x14ac:dyDescent="0.2">
      <c r="A42" s="1"/>
      <c r="B42" s="8"/>
      <c r="C42" s="8"/>
      <c r="D42" s="8"/>
      <c r="E42" s="8"/>
      <c r="F42" s="8"/>
      <c r="G42" s="8"/>
      <c r="H42" s="8"/>
      <c r="I42" s="8"/>
    </row>
    <row r="43" spans="1:10" x14ac:dyDescent="0.2">
      <c r="A43" s="1" t="s">
        <v>172</v>
      </c>
      <c r="B43" s="8"/>
      <c r="C43" s="8"/>
      <c r="D43" s="8"/>
      <c r="E43" s="8"/>
      <c r="F43" s="8"/>
      <c r="G43" s="8"/>
      <c r="H43" s="8"/>
      <c r="I43" s="8"/>
    </row>
    <row r="44" spans="1:10" x14ac:dyDescent="0.2">
      <c r="A44" s="1" t="s">
        <v>169</v>
      </c>
      <c r="B44" s="255">
        <f>B39*($B$4-$B$5*B9)</f>
        <v>2984.4228760855831</v>
      </c>
      <c r="C44" s="256">
        <f t="shared" ref="C44:I44" si="4">C39*($B$4-$B$5*C9)</f>
        <v>12755.307122249773</v>
      </c>
      <c r="D44" s="256">
        <f t="shared" si="4"/>
        <v>12046.678948791452</v>
      </c>
      <c r="E44" s="256">
        <f t="shared" si="4"/>
        <v>11338.050775333131</v>
      </c>
      <c r="F44" s="256">
        <f t="shared" si="4"/>
        <v>11919.484714584245</v>
      </c>
      <c r="G44" s="256">
        <f t="shared" si="4"/>
        <v>11124.852400278629</v>
      </c>
      <c r="H44" s="256">
        <f t="shared" si="4"/>
        <v>10330.220085973013</v>
      </c>
      <c r="I44" s="257">
        <f t="shared" si="4"/>
        <v>9535.5877716673967</v>
      </c>
    </row>
    <row r="45" spans="1:10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10" x14ac:dyDescent="0.2">
      <c r="A46" s="1" t="s">
        <v>173</v>
      </c>
      <c r="B46" s="8"/>
      <c r="C46" s="8"/>
      <c r="D46" s="8"/>
      <c r="E46" s="8"/>
      <c r="F46" s="8"/>
      <c r="G46" s="8"/>
      <c r="H46" s="8"/>
      <c r="I46" s="8"/>
    </row>
    <row r="47" spans="1:10" x14ac:dyDescent="0.2">
      <c r="A47" s="1" t="s">
        <v>169</v>
      </c>
      <c r="B47" s="255">
        <f>B41*($B$4-$B$5*B9)</f>
        <v>2975.5356954290955</v>
      </c>
      <c r="C47" s="256">
        <f t="shared" ref="C47:I47" si="5">C41*($B$4-$B$5*C9)</f>
        <v>12624.967186298691</v>
      </c>
      <c r="D47" s="256">
        <f t="shared" si="5"/>
        <v>11923.580120393208</v>
      </c>
      <c r="E47" s="256">
        <f t="shared" si="5"/>
        <v>11222.193054487725</v>
      </c>
      <c r="F47" s="256">
        <f t="shared" si="5"/>
        <v>11873.941744275246</v>
      </c>
      <c r="G47" s="256">
        <f t="shared" si="5"/>
        <v>11082.345627990229</v>
      </c>
      <c r="H47" s="256">
        <f t="shared" si="5"/>
        <v>10290.749511705213</v>
      </c>
      <c r="I47" s="257">
        <f t="shared" si="5"/>
        <v>9499.1533954201968</v>
      </c>
    </row>
    <row r="48" spans="1:1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</sheetData>
  <phoneticPr fontId="13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0"/>
  <sheetViews>
    <sheetView workbookViewId="0">
      <selection activeCell="A2" sqref="A2"/>
    </sheetView>
  </sheetViews>
  <sheetFormatPr defaultColWidth="9.140625" defaultRowHeight="12.75" x14ac:dyDescent="0.2"/>
  <cols>
    <col min="1" max="1" width="10.85546875" style="22" customWidth="1"/>
    <col min="2" max="2" width="9.140625" style="22"/>
    <col min="3" max="3" width="14" style="22" bestFit="1" customWidth="1"/>
    <col min="4" max="6" width="9.140625" style="22"/>
    <col min="7" max="7" width="11.28515625" style="22" bestFit="1" customWidth="1"/>
    <col min="8" max="16384" width="9.140625" style="22"/>
  </cols>
  <sheetData>
    <row r="1" spans="1:7" x14ac:dyDescent="0.2">
      <c r="A1" s="1" t="s">
        <v>174</v>
      </c>
      <c r="E1" s="1" t="s">
        <v>35</v>
      </c>
      <c r="G1" s="26"/>
    </row>
    <row r="2" spans="1:7" x14ac:dyDescent="0.2">
      <c r="A2"/>
      <c r="F2" s="1" t="s">
        <v>175</v>
      </c>
      <c r="G2" s="167">
        <f>800*80</f>
        <v>64000</v>
      </c>
    </row>
    <row r="3" spans="1:7" x14ac:dyDescent="0.2">
      <c r="A3" s="166" t="s">
        <v>33</v>
      </c>
      <c r="F3" s="1" t="s">
        <v>176</v>
      </c>
      <c r="G3" s="167">
        <f>SUM(F10:F90)</f>
        <v>184959.1557247623</v>
      </c>
    </row>
    <row r="4" spans="1:7" x14ac:dyDescent="0.2">
      <c r="A4" s="1"/>
      <c r="F4" s="1" t="s">
        <v>70</v>
      </c>
      <c r="G4" s="167">
        <f>G2+G3</f>
        <v>248959.1557247623</v>
      </c>
    </row>
    <row r="5" spans="1:7" x14ac:dyDescent="0.2">
      <c r="A5" s="1" t="s">
        <v>177</v>
      </c>
      <c r="E5" s="1" t="s">
        <v>34</v>
      </c>
      <c r="G5" s="167">
        <f>0.85*E90*0.1</f>
        <v>455007.3604618978</v>
      </c>
    </row>
    <row r="6" spans="1:7" x14ac:dyDescent="0.2">
      <c r="A6" s="1"/>
      <c r="B6" s="241" t="s">
        <v>178</v>
      </c>
      <c r="C6" s="253">
        <v>5</v>
      </c>
      <c r="E6" s="1" t="s">
        <v>96</v>
      </c>
      <c r="G6" s="252">
        <f>G5-G4</f>
        <v>206048.2047371355</v>
      </c>
    </row>
    <row r="7" spans="1:7" x14ac:dyDescent="0.2">
      <c r="A7" s="1"/>
      <c r="B7" s="242" t="s">
        <v>179</v>
      </c>
      <c r="C7" s="254">
        <v>10000000</v>
      </c>
    </row>
    <row r="8" spans="1:7" x14ac:dyDescent="0.2">
      <c r="A8" s="1"/>
    </row>
    <row r="9" spans="1:7" x14ac:dyDescent="0.2">
      <c r="A9" s="1" t="s">
        <v>180</v>
      </c>
      <c r="B9" s="1" t="s">
        <v>181</v>
      </c>
      <c r="C9" s="1" t="s">
        <v>182</v>
      </c>
      <c r="D9" s="1" t="s">
        <v>183</v>
      </c>
      <c r="E9" s="1" t="s">
        <v>179</v>
      </c>
      <c r="F9" s="1" t="s">
        <v>184</v>
      </c>
      <c r="G9" s="1"/>
    </row>
    <row r="10" spans="1:7" x14ac:dyDescent="0.2">
      <c r="A10" s="1">
        <v>1</v>
      </c>
      <c r="B10" s="22">
        <v>0</v>
      </c>
      <c r="C10" s="25">
        <f t="shared" ref="C10:C73" si="0">IF(B10&gt;=4000,0.4,B10/10000)</f>
        <v>0</v>
      </c>
      <c r="D10" s="25">
        <f>((0.75*$C$7)/PI())^0.333333333333</f>
        <v>133.65046175654336</v>
      </c>
      <c r="E10" s="22">
        <f t="shared" ref="E10:E73" si="1">(D10^3)*(4/3)*PI()</f>
        <v>9999999.9998531491</v>
      </c>
      <c r="F10" s="25">
        <f t="shared" ref="F10:F73" si="2">24*$C$6*2.76*LOG(E10)</f>
        <v>2318.3999999978873</v>
      </c>
    </row>
    <row r="11" spans="1:7" x14ac:dyDescent="0.2">
      <c r="A11" s="1">
        <v>2</v>
      </c>
      <c r="B11" s="22">
        <f t="shared" ref="B11:B74" si="3">B10+24*$C$6</f>
        <v>120</v>
      </c>
      <c r="C11" s="25">
        <f t="shared" si="0"/>
        <v>1.2E-2</v>
      </c>
      <c r="D11" s="25">
        <f t="shared" ref="D11:D74" si="4">D10-C10</f>
        <v>133.65046175654336</v>
      </c>
      <c r="E11" s="22">
        <f t="shared" si="1"/>
        <v>9999999.9998531491</v>
      </c>
      <c r="F11" s="25">
        <f t="shared" si="2"/>
        <v>2318.3999999978873</v>
      </c>
    </row>
    <row r="12" spans="1:7" x14ac:dyDescent="0.2">
      <c r="A12" s="1">
        <v>3</v>
      </c>
      <c r="B12" s="22">
        <f t="shared" si="3"/>
        <v>240</v>
      </c>
      <c r="C12" s="25">
        <f t="shared" si="0"/>
        <v>2.4E-2</v>
      </c>
      <c r="D12" s="25">
        <f t="shared" si="4"/>
        <v>133.63846175654336</v>
      </c>
      <c r="E12" s="22">
        <f t="shared" si="1"/>
        <v>9997306.6483068056</v>
      </c>
      <c r="F12" s="25">
        <f t="shared" si="2"/>
        <v>2318.3612540603303</v>
      </c>
    </row>
    <row r="13" spans="1:7" x14ac:dyDescent="0.2">
      <c r="A13" s="1">
        <v>4</v>
      </c>
      <c r="B13" s="22">
        <f t="shared" si="3"/>
        <v>360</v>
      </c>
      <c r="C13" s="25">
        <f t="shared" si="0"/>
        <v>3.5999999999999997E-2</v>
      </c>
      <c r="D13" s="25">
        <f t="shared" si="4"/>
        <v>133.61446175654336</v>
      </c>
      <c r="E13" s="22">
        <f t="shared" si="1"/>
        <v>9991921.3961294703</v>
      </c>
      <c r="F13" s="25">
        <f t="shared" si="2"/>
        <v>2318.2837517466046</v>
      </c>
    </row>
    <row r="14" spans="1:7" x14ac:dyDescent="0.2">
      <c r="A14" s="1">
        <v>5</v>
      </c>
      <c r="B14" s="22">
        <f t="shared" si="3"/>
        <v>480</v>
      </c>
      <c r="C14" s="25">
        <f t="shared" si="0"/>
        <v>4.8000000000000001E-2</v>
      </c>
      <c r="D14" s="25">
        <f t="shared" si="4"/>
        <v>133.57846175654336</v>
      </c>
      <c r="E14" s="22">
        <f t="shared" si="1"/>
        <v>9983847.1445004009</v>
      </c>
      <c r="F14" s="25">
        <f t="shared" si="2"/>
        <v>2318.1674721701129</v>
      </c>
    </row>
    <row r="15" spans="1:7" x14ac:dyDescent="0.2">
      <c r="A15" s="1">
        <v>6</v>
      </c>
      <c r="B15" s="22">
        <f t="shared" si="3"/>
        <v>600</v>
      </c>
      <c r="C15" s="25">
        <f t="shared" si="0"/>
        <v>0.06</v>
      </c>
      <c r="D15" s="25">
        <f t="shared" si="4"/>
        <v>133.53046175654336</v>
      </c>
      <c r="E15" s="22">
        <f t="shared" si="1"/>
        <v>9973088.2435598802</v>
      </c>
      <c r="F15" s="25">
        <f t="shared" si="2"/>
        <v>2318.0123839774978</v>
      </c>
    </row>
    <row r="16" spans="1:7" x14ac:dyDescent="0.2">
      <c r="A16" s="1">
        <v>7</v>
      </c>
      <c r="B16" s="22">
        <f t="shared" si="3"/>
        <v>720</v>
      </c>
      <c r="C16" s="25">
        <f t="shared" si="0"/>
        <v>7.1999999999999995E-2</v>
      </c>
      <c r="D16" s="25">
        <f t="shared" si="4"/>
        <v>133.47046175654336</v>
      </c>
      <c r="E16" s="22">
        <f t="shared" si="1"/>
        <v>9959650.4904549029</v>
      </c>
      <c r="F16" s="25">
        <f t="shared" si="2"/>
        <v>2317.8184453204453</v>
      </c>
    </row>
    <row r="17" spans="1:6" x14ac:dyDescent="0.2">
      <c r="A17" s="1">
        <v>8</v>
      </c>
      <c r="B17" s="22">
        <f t="shared" si="3"/>
        <v>840</v>
      </c>
      <c r="C17" s="25">
        <f t="shared" si="0"/>
        <v>8.4000000000000005E-2</v>
      </c>
      <c r="D17" s="25">
        <f t="shared" si="4"/>
        <v>133.39846175654336</v>
      </c>
      <c r="E17" s="22">
        <f t="shared" si="1"/>
        <v>9943541.1267334055</v>
      </c>
      <c r="F17" s="25">
        <f t="shared" si="2"/>
        <v>2317.5856038179982</v>
      </c>
    </row>
    <row r="18" spans="1:6" x14ac:dyDescent="0.2">
      <c r="A18" s="1">
        <v>9</v>
      </c>
      <c r="B18" s="22">
        <f t="shared" si="3"/>
        <v>960</v>
      </c>
      <c r="C18" s="25">
        <f t="shared" si="0"/>
        <v>9.6000000000000002E-2</v>
      </c>
      <c r="D18" s="25">
        <f t="shared" si="4"/>
        <v>133.31446175654335</v>
      </c>
      <c r="E18" s="22">
        <f t="shared" si="1"/>
        <v>9924768.8350870684</v>
      </c>
      <c r="F18" s="25">
        <f t="shared" si="2"/>
        <v>2317.3137965093201</v>
      </c>
    </row>
    <row r="19" spans="1:6" x14ac:dyDescent="0.2">
      <c r="A19" s="1">
        <v>10</v>
      </c>
      <c r="B19" s="22">
        <f t="shared" si="3"/>
        <v>1080</v>
      </c>
      <c r="C19" s="25">
        <f t="shared" si="0"/>
        <v>0.108</v>
      </c>
      <c r="D19" s="25">
        <f t="shared" si="4"/>
        <v>133.21846175654335</v>
      </c>
      <c r="E19" s="22">
        <f t="shared" si="1"/>
        <v>9903343.7354426533</v>
      </c>
      <c r="F19" s="25">
        <f t="shared" si="2"/>
        <v>2317.0029497968135</v>
      </c>
    </row>
    <row r="20" spans="1:6" x14ac:dyDescent="0.2">
      <c r="A20" s="1">
        <v>11</v>
      </c>
      <c r="B20" s="22">
        <f t="shared" si="3"/>
        <v>1200</v>
      </c>
      <c r="C20" s="25">
        <f t="shared" si="0"/>
        <v>0.12</v>
      </c>
      <c r="D20" s="25">
        <f t="shared" si="4"/>
        <v>133.11046175654334</v>
      </c>
      <c r="E20" s="22">
        <f t="shared" si="1"/>
        <v>9879277.3804019485</v>
      </c>
      <c r="F20" s="25">
        <f t="shared" si="2"/>
        <v>2316.6529793794857</v>
      </c>
    </row>
    <row r="21" spans="1:6" x14ac:dyDescent="0.2">
      <c r="A21" s="1">
        <v>12</v>
      </c>
      <c r="B21" s="22">
        <f t="shared" si="3"/>
        <v>1320</v>
      </c>
      <c r="C21" s="25">
        <f t="shared" si="0"/>
        <v>0.13200000000000001</v>
      </c>
      <c r="D21" s="25">
        <f t="shared" si="4"/>
        <v>132.99046175654334</v>
      </c>
      <c r="E21" s="22">
        <f t="shared" si="1"/>
        <v>9852582.7500302233</v>
      </c>
      <c r="F21" s="25">
        <f t="shared" si="2"/>
        <v>2316.2637901764356</v>
      </c>
    </row>
    <row r="22" spans="1:6" x14ac:dyDescent="0.2">
      <c r="A22" s="1">
        <v>13</v>
      </c>
      <c r="B22" s="22">
        <f t="shared" si="3"/>
        <v>1440</v>
      </c>
      <c r="C22" s="25">
        <f t="shared" si="0"/>
        <v>0.14399999999999999</v>
      </c>
      <c r="D22" s="25">
        <f t="shared" si="4"/>
        <v>132.85846175654333</v>
      </c>
      <c r="E22" s="22">
        <f t="shared" si="1"/>
        <v>9823274.2459932659</v>
      </c>
      <c r="F22" s="25">
        <f t="shared" si="2"/>
        <v>2315.8352762403169</v>
      </c>
    </row>
    <row r="23" spans="1:6" x14ac:dyDescent="0.2">
      <c r="A23" s="1">
        <v>14</v>
      </c>
      <c r="B23" s="22">
        <f t="shared" si="3"/>
        <v>1560</v>
      </c>
      <c r="C23" s="25">
        <f t="shared" si="0"/>
        <v>0.156</v>
      </c>
      <c r="D23" s="25">
        <f t="shared" si="4"/>
        <v>132.71446175654333</v>
      </c>
      <c r="E23" s="22">
        <f t="shared" si="1"/>
        <v>9791367.6850429811</v>
      </c>
      <c r="F23" s="25">
        <f t="shared" si="2"/>
        <v>2315.3673206606045</v>
      </c>
    </row>
    <row r="24" spans="1:6" x14ac:dyDescent="0.2">
      <c r="A24" s="1">
        <v>15</v>
      </c>
      <c r="B24" s="22">
        <f t="shared" si="3"/>
        <v>1680</v>
      </c>
      <c r="C24" s="25">
        <f t="shared" si="0"/>
        <v>0.16800000000000001</v>
      </c>
      <c r="D24" s="25">
        <f t="shared" si="4"/>
        <v>132.55846175654332</v>
      </c>
      <c r="E24" s="22">
        <f t="shared" si="1"/>
        <v>9756880.2918515336</v>
      </c>
      <c r="F24" s="25">
        <f t="shared" si="2"/>
        <v>2314.8597954564889</v>
      </c>
    </row>
    <row r="25" spans="1:6" x14ac:dyDescent="0.2">
      <c r="A25" s="1">
        <v>16</v>
      </c>
      <c r="B25" s="22">
        <f t="shared" si="3"/>
        <v>1800</v>
      </c>
      <c r="C25" s="25">
        <f t="shared" si="0"/>
        <v>0.18</v>
      </c>
      <c r="D25" s="25">
        <f t="shared" si="4"/>
        <v>132.39046175654332</v>
      </c>
      <c r="E25" s="22">
        <f t="shared" si="1"/>
        <v>9719830.691194078</v>
      </c>
      <c r="F25" s="25">
        <f t="shared" si="2"/>
        <v>2314.3125614591781</v>
      </c>
    </row>
    <row r="26" spans="1:6" x14ac:dyDescent="0.2">
      <c r="A26" s="1">
        <v>17</v>
      </c>
      <c r="B26" s="22">
        <f t="shared" si="3"/>
        <v>1920</v>
      </c>
      <c r="C26" s="25">
        <f t="shared" si="0"/>
        <v>0.192</v>
      </c>
      <c r="D26" s="25">
        <f t="shared" si="4"/>
        <v>132.21046175654331</v>
      </c>
      <c r="E26" s="22">
        <f t="shared" si="1"/>
        <v>9680238.899480015</v>
      </c>
      <c r="F26" s="25">
        <f t="shared" si="2"/>
        <v>2313.7254681833906</v>
      </c>
    </row>
    <row r="27" spans="1:6" x14ac:dyDescent="0.2">
      <c r="A27" s="1">
        <v>18</v>
      </c>
      <c r="B27" s="22">
        <f t="shared" si="3"/>
        <v>2040</v>
      </c>
      <c r="C27" s="25">
        <f t="shared" si="0"/>
        <v>0.20399999999999999</v>
      </c>
      <c r="D27" s="25">
        <f t="shared" si="4"/>
        <v>132.0184617565433</v>
      </c>
      <c r="E27" s="22">
        <f t="shared" si="1"/>
        <v>9638126.3156328164</v>
      </c>
      <c r="F27" s="25">
        <f t="shared" si="2"/>
        <v>2313.0983536877739</v>
      </c>
    </row>
    <row r="28" spans="1:6" x14ac:dyDescent="0.2">
      <c r="A28" s="1">
        <v>19</v>
      </c>
      <c r="B28" s="22">
        <f t="shared" si="3"/>
        <v>2160</v>
      </c>
      <c r="C28" s="25">
        <f t="shared" si="0"/>
        <v>0.216</v>
      </c>
      <c r="D28" s="25">
        <f t="shared" si="4"/>
        <v>131.8144617565433</v>
      </c>
      <c r="E28" s="22">
        <f t="shared" si="1"/>
        <v>9593515.7113184426</v>
      </c>
      <c r="F28" s="25">
        <f t="shared" si="2"/>
        <v>2312.4310444239891</v>
      </c>
    </row>
    <row r="29" spans="1:6" x14ac:dyDescent="0.2">
      <c r="A29" s="1">
        <v>20</v>
      </c>
      <c r="B29" s="22">
        <f t="shared" si="3"/>
        <v>2280</v>
      </c>
      <c r="C29" s="25">
        <f t="shared" si="0"/>
        <v>0.22800000000000001</v>
      </c>
      <c r="D29" s="25">
        <f t="shared" si="4"/>
        <v>131.59846175654329</v>
      </c>
      <c r="E29" s="22">
        <f t="shared" si="1"/>
        <v>9546431.2205222622</v>
      </c>
      <c r="F29" s="25">
        <f t="shared" si="2"/>
        <v>2311.7233550741475</v>
      </c>
    </row>
    <row r="30" spans="1:6" x14ac:dyDescent="0.2">
      <c r="A30" s="1">
        <v>21</v>
      </c>
      <c r="B30" s="22">
        <f t="shared" si="3"/>
        <v>2400</v>
      </c>
      <c r="C30" s="25">
        <f t="shared" si="0"/>
        <v>0.24</v>
      </c>
      <c r="D30" s="25">
        <f t="shared" si="4"/>
        <v>131.37046175654328</v>
      </c>
      <c r="E30" s="22">
        <f t="shared" si="1"/>
        <v>9496898.3284745775</v>
      </c>
      <c r="F30" s="25">
        <f t="shared" si="2"/>
        <v>2310.9750883762836</v>
      </c>
    </row>
    <row r="31" spans="1:6" x14ac:dyDescent="0.2">
      <c r="A31" s="1">
        <v>22</v>
      </c>
      <c r="B31" s="22">
        <f t="shared" si="3"/>
        <v>2520</v>
      </c>
      <c r="C31" s="25">
        <f t="shared" si="0"/>
        <v>0.252</v>
      </c>
      <c r="D31" s="25">
        <f t="shared" si="4"/>
        <v>131.13046175654327</v>
      </c>
      <c r="E31" s="22">
        <f t="shared" si="1"/>
        <v>9444943.8599246871</v>
      </c>
      <c r="F31" s="25">
        <f t="shared" si="2"/>
        <v>2310.1860349375124</v>
      </c>
    </row>
    <row r="32" spans="1:6" x14ac:dyDescent="0.2">
      <c r="A32" s="1">
        <v>23</v>
      </c>
      <c r="B32" s="22">
        <f t="shared" si="3"/>
        <v>2640</v>
      </c>
      <c r="C32" s="25">
        <f t="shared" si="0"/>
        <v>0.26400000000000001</v>
      </c>
      <c r="D32" s="25">
        <f t="shared" si="4"/>
        <v>130.87846175654326</v>
      </c>
      <c r="E32" s="22">
        <f t="shared" si="1"/>
        <v>9390595.9667635225</v>
      </c>
      <c r="F32" s="25">
        <f t="shared" si="2"/>
        <v>2309.35597303449</v>
      </c>
    </row>
    <row r="33" spans="1:6" x14ac:dyDescent="0.2">
      <c r="A33" s="1">
        <v>24</v>
      </c>
      <c r="B33" s="22">
        <f t="shared" si="3"/>
        <v>2760</v>
      </c>
      <c r="C33" s="25">
        <f t="shared" si="0"/>
        <v>0.27600000000000002</v>
      </c>
      <c r="D33" s="25">
        <f t="shared" si="4"/>
        <v>130.61446175654325</v>
      </c>
      <c r="E33" s="22">
        <f t="shared" si="1"/>
        <v>9333884.1149948202</v>
      </c>
      <c r="F33" s="25">
        <f t="shared" si="2"/>
        <v>2308.4846684007712</v>
      </c>
    </row>
    <row r="34" spans="1:6" x14ac:dyDescent="0.2">
      <c r="A34" s="1">
        <v>25</v>
      </c>
      <c r="B34" s="22">
        <f t="shared" si="3"/>
        <v>2880</v>
      </c>
      <c r="C34" s="25">
        <f t="shared" si="0"/>
        <v>0.28799999999999998</v>
      </c>
      <c r="D34" s="25">
        <f t="shared" si="4"/>
        <v>130.33846175654324</v>
      </c>
      <c r="E34" s="22">
        <f t="shared" si="1"/>
        <v>9274839.0710548777</v>
      </c>
      <c r="F34" s="25">
        <f t="shared" si="2"/>
        <v>2307.5718740006259</v>
      </c>
    </row>
    <row r="35" spans="1:6" x14ac:dyDescent="0.2">
      <c r="A35" s="1">
        <v>26</v>
      </c>
      <c r="B35" s="22">
        <f t="shared" si="3"/>
        <v>3000</v>
      </c>
      <c r="C35" s="25">
        <f t="shared" si="0"/>
        <v>0.3</v>
      </c>
      <c r="D35" s="25">
        <f t="shared" si="4"/>
        <v>130.05046175654323</v>
      </c>
      <c r="E35" s="22">
        <f t="shared" si="1"/>
        <v>9213492.8874808569</v>
      </c>
      <c r="F35" s="25">
        <f t="shared" si="2"/>
        <v>2306.6173297888445</v>
      </c>
    </row>
    <row r="36" spans="1:6" x14ac:dyDescent="0.2">
      <c r="A36" s="1">
        <v>27</v>
      </c>
      <c r="B36" s="22">
        <f t="shared" si="3"/>
        <v>3120</v>
      </c>
      <c r="C36" s="25">
        <f t="shared" si="0"/>
        <v>0.312</v>
      </c>
      <c r="D36" s="25">
        <f t="shared" si="4"/>
        <v>129.75046175654322</v>
      </c>
      <c r="E36" s="22">
        <f t="shared" si="1"/>
        <v>9149878.8879276533</v>
      </c>
      <c r="F36" s="25">
        <f t="shared" si="2"/>
        <v>2305.6207624560302</v>
      </c>
    </row>
    <row r="37" spans="1:6" x14ac:dyDescent="0.2">
      <c r="A37" s="1">
        <v>28</v>
      </c>
      <c r="B37" s="22">
        <f t="shared" si="3"/>
        <v>3240</v>
      </c>
      <c r="C37" s="25">
        <f t="shared" si="0"/>
        <v>0.32400000000000001</v>
      </c>
      <c r="D37" s="25">
        <f t="shared" si="4"/>
        <v>129.43846175654321</v>
      </c>
      <c r="E37" s="22">
        <f t="shared" si="1"/>
        <v>9084031.6515333075</v>
      </c>
      <c r="F37" s="25">
        <f t="shared" si="2"/>
        <v>2304.5818851588342</v>
      </c>
    </row>
    <row r="38" spans="1:6" x14ac:dyDescent="0.2">
      <c r="A38" s="1">
        <v>29</v>
      </c>
      <c r="B38" s="22">
        <f t="shared" si="3"/>
        <v>3360</v>
      </c>
      <c r="C38" s="25">
        <f t="shared" si="0"/>
        <v>0.33600000000000002</v>
      </c>
      <c r="D38" s="25">
        <f t="shared" si="4"/>
        <v>129.11446175654319</v>
      </c>
      <c r="E38" s="22">
        <f t="shared" si="1"/>
        <v>9015986.9966330081</v>
      </c>
      <c r="F38" s="25">
        <f t="shared" si="2"/>
        <v>2303.5003972345635</v>
      </c>
    </row>
    <row r="39" spans="1:6" x14ac:dyDescent="0.2">
      <c r="A39" s="1">
        <v>30</v>
      </c>
      <c r="B39" s="22">
        <f t="shared" si="3"/>
        <v>3480</v>
      </c>
      <c r="C39" s="25">
        <f t="shared" si="0"/>
        <v>0.34799999999999998</v>
      </c>
      <c r="D39" s="25">
        <f t="shared" si="4"/>
        <v>128.77846175654318</v>
      </c>
      <c r="E39" s="22">
        <f t="shared" si="1"/>
        <v>8945781.963821616</v>
      </c>
      <c r="F39" s="25">
        <f t="shared" si="2"/>
        <v>2302.3759838995379</v>
      </c>
    </row>
    <row r="40" spans="1:6" x14ac:dyDescent="0.2">
      <c r="A40" s="1">
        <v>31</v>
      </c>
      <c r="B40" s="22">
        <f t="shared" si="3"/>
        <v>3600</v>
      </c>
      <c r="C40" s="25">
        <f t="shared" si="0"/>
        <v>0.36</v>
      </c>
      <c r="D40" s="25">
        <f t="shared" si="4"/>
        <v>128.43046175654317</v>
      </c>
      <c r="E40" s="22">
        <f t="shared" si="1"/>
        <v>8873454.798364779</v>
      </c>
      <c r="F40" s="25">
        <f t="shared" si="2"/>
        <v>2301.2083159305434</v>
      </c>
    </row>
    <row r="41" spans="1:6" x14ac:dyDescent="0.2">
      <c r="A41" s="1">
        <v>32</v>
      </c>
      <c r="B41" s="22">
        <f t="shared" si="3"/>
        <v>3720</v>
      </c>
      <c r="C41" s="25">
        <f t="shared" si="0"/>
        <v>0.372</v>
      </c>
      <c r="D41" s="25">
        <f t="shared" si="4"/>
        <v>128.07046175654315</v>
      </c>
      <c r="E41" s="22">
        <f t="shared" si="1"/>
        <v>8799044.9319585916</v>
      </c>
      <c r="F41" s="25">
        <f t="shared" si="2"/>
        <v>2299.9970493286746</v>
      </c>
    </row>
    <row r="42" spans="1:6" x14ac:dyDescent="0.2">
      <c r="A42" s="1">
        <v>33</v>
      </c>
      <c r="B42" s="22">
        <f t="shared" si="3"/>
        <v>3840</v>
      </c>
      <c r="C42" s="25">
        <f t="shared" si="0"/>
        <v>0.38400000000000001</v>
      </c>
      <c r="D42" s="25">
        <f t="shared" si="4"/>
        <v>127.69846175654315</v>
      </c>
      <c r="E42" s="22">
        <f t="shared" si="1"/>
        <v>8722592.9638378117</v>
      </c>
      <c r="F42" s="25">
        <f t="shared" si="2"/>
        <v>2298.7418249648176</v>
      </c>
    </row>
    <row r="43" spans="1:6" x14ac:dyDescent="0.2">
      <c r="A43" s="1">
        <v>34</v>
      </c>
      <c r="B43" s="22">
        <f t="shared" si="3"/>
        <v>3960</v>
      </c>
      <c r="C43" s="25">
        <f t="shared" si="0"/>
        <v>0.39600000000000002</v>
      </c>
      <c r="D43" s="25">
        <f t="shared" si="4"/>
        <v>127.31446175654315</v>
      </c>
      <c r="E43" s="22">
        <f t="shared" si="1"/>
        <v>8644140.6412326433</v>
      </c>
      <c r="F43" s="25">
        <f t="shared" si="2"/>
        <v>2297.442268205969</v>
      </c>
    </row>
    <row r="44" spans="1:6" x14ac:dyDescent="0.2">
      <c r="A44" s="1">
        <v>35</v>
      </c>
      <c r="B44" s="22">
        <f t="shared" si="3"/>
        <v>4080</v>
      </c>
      <c r="C44" s="25">
        <f t="shared" si="0"/>
        <v>0.4</v>
      </c>
      <c r="D44" s="25">
        <f t="shared" si="4"/>
        <v>126.91846175654315</v>
      </c>
      <c r="E44" s="22">
        <f t="shared" si="1"/>
        <v>8563730.8391740751</v>
      </c>
      <c r="F44" s="25">
        <f t="shared" si="2"/>
        <v>2296.0979885215438</v>
      </c>
    </row>
    <row r="45" spans="1:6" x14ac:dyDescent="0.2">
      <c r="A45" s="1">
        <v>36</v>
      </c>
      <c r="B45" s="22">
        <f t="shared" si="3"/>
        <v>4200</v>
      </c>
      <c r="C45" s="25">
        <f t="shared" si="0"/>
        <v>0.4</v>
      </c>
      <c r="D45" s="25">
        <f t="shared" si="4"/>
        <v>126.51846175654315</v>
      </c>
      <c r="E45" s="22">
        <f t="shared" si="1"/>
        <v>8483016.6291277967</v>
      </c>
      <c r="F45" s="25">
        <f t="shared" si="2"/>
        <v>2294.7358654353111</v>
      </c>
    </row>
    <row r="46" spans="1:6" x14ac:dyDescent="0.2">
      <c r="A46" s="1">
        <v>37</v>
      </c>
      <c r="B46" s="22">
        <f t="shared" si="3"/>
        <v>4320</v>
      </c>
      <c r="C46" s="25">
        <f t="shared" si="0"/>
        <v>0.4</v>
      </c>
      <c r="D46" s="25">
        <f t="shared" si="4"/>
        <v>126.11846175654314</v>
      </c>
      <c r="E46" s="22">
        <f t="shared" si="1"/>
        <v>8402811.1800031178</v>
      </c>
      <c r="F46" s="25">
        <f t="shared" si="2"/>
        <v>2293.3694290433587</v>
      </c>
    </row>
    <row r="47" spans="1:6" x14ac:dyDescent="0.2">
      <c r="A47" s="1">
        <v>38</v>
      </c>
      <c r="B47" s="22">
        <f t="shared" si="3"/>
        <v>4440</v>
      </c>
      <c r="C47" s="25">
        <f t="shared" si="0"/>
        <v>0.4</v>
      </c>
      <c r="D47" s="25">
        <f t="shared" si="4"/>
        <v>125.71846175654314</v>
      </c>
      <c r="E47" s="22">
        <f t="shared" si="1"/>
        <v>8323112.8833045969</v>
      </c>
      <c r="F47" s="25">
        <f t="shared" si="2"/>
        <v>2291.9986519418153</v>
      </c>
    </row>
    <row r="48" spans="1:6" x14ac:dyDescent="0.2">
      <c r="A48" s="1">
        <v>39</v>
      </c>
      <c r="B48" s="22">
        <f t="shared" si="3"/>
        <v>4560</v>
      </c>
      <c r="C48" s="25">
        <f t="shared" si="0"/>
        <v>0.4</v>
      </c>
      <c r="D48" s="25">
        <f t="shared" si="4"/>
        <v>125.31846175654313</v>
      </c>
      <c r="E48" s="22">
        <f t="shared" si="1"/>
        <v>8243920.1305367975</v>
      </c>
      <c r="F48" s="25">
        <f t="shared" si="2"/>
        <v>2290.6235064648185</v>
      </c>
    </row>
    <row r="49" spans="1:6" x14ac:dyDescent="0.2">
      <c r="A49" s="1">
        <v>40</v>
      </c>
      <c r="B49" s="22">
        <f t="shared" si="3"/>
        <v>4680</v>
      </c>
      <c r="C49" s="25">
        <f t="shared" si="0"/>
        <v>0.4</v>
      </c>
      <c r="D49" s="25">
        <f t="shared" si="4"/>
        <v>124.91846175654312</v>
      </c>
      <c r="E49" s="22">
        <f t="shared" si="1"/>
        <v>8165231.3132042764</v>
      </c>
      <c r="F49" s="25">
        <f t="shared" si="2"/>
        <v>2289.2439646811658</v>
      </c>
    </row>
    <row r="50" spans="1:6" x14ac:dyDescent="0.2">
      <c r="A50" s="1">
        <v>41</v>
      </c>
      <c r="B50" s="22">
        <f t="shared" si="3"/>
        <v>4800</v>
      </c>
      <c r="C50" s="25">
        <f t="shared" si="0"/>
        <v>0.4</v>
      </c>
      <c r="D50" s="25">
        <f t="shared" si="4"/>
        <v>124.51846175654312</v>
      </c>
      <c r="E50" s="22">
        <f t="shared" si="1"/>
        <v>8087044.8228115998</v>
      </c>
      <c r="F50" s="25">
        <f t="shared" si="2"/>
        <v>2287.8599983909066</v>
      </c>
    </row>
    <row r="51" spans="1:6" x14ac:dyDescent="0.2">
      <c r="A51" s="1">
        <v>42</v>
      </c>
      <c r="B51" s="22">
        <f t="shared" si="3"/>
        <v>4920</v>
      </c>
      <c r="C51" s="25">
        <f t="shared" si="0"/>
        <v>0.4</v>
      </c>
      <c r="D51" s="25">
        <f t="shared" si="4"/>
        <v>124.11846175654311</v>
      </c>
      <c r="E51" s="22">
        <f t="shared" si="1"/>
        <v>8009359.0508633275</v>
      </c>
      <c r="F51" s="25">
        <f t="shared" si="2"/>
        <v>2286.4715791218869</v>
      </c>
    </row>
    <row r="52" spans="1:6" x14ac:dyDescent="0.2">
      <c r="A52" s="1">
        <v>43</v>
      </c>
      <c r="B52" s="22">
        <f t="shared" si="3"/>
        <v>5040</v>
      </c>
      <c r="C52" s="25">
        <f t="shared" si="0"/>
        <v>0.4</v>
      </c>
      <c r="D52" s="25">
        <f t="shared" si="4"/>
        <v>123.71846175654311</v>
      </c>
      <c r="E52" s="22">
        <f t="shared" si="1"/>
        <v>7932172.3888640208</v>
      </c>
      <c r="F52" s="25">
        <f t="shared" si="2"/>
        <v>2285.0786781262332</v>
      </c>
    </row>
    <row r="53" spans="1:6" x14ac:dyDescent="0.2">
      <c r="A53" s="1">
        <v>44</v>
      </c>
      <c r="B53" s="22">
        <f t="shared" si="3"/>
        <v>5160</v>
      </c>
      <c r="C53" s="25">
        <f t="shared" si="0"/>
        <v>0.4</v>
      </c>
      <c r="D53" s="25">
        <f t="shared" si="4"/>
        <v>123.3184617565431</v>
      </c>
      <c r="E53" s="22">
        <f t="shared" si="1"/>
        <v>7855483.2283182396</v>
      </c>
      <c r="F53" s="25">
        <f t="shared" si="2"/>
        <v>2283.681266376781</v>
      </c>
    </row>
    <row r="54" spans="1:6" x14ac:dyDescent="0.2">
      <c r="A54" s="1">
        <v>45</v>
      </c>
      <c r="B54" s="22">
        <f t="shared" si="3"/>
        <v>5280</v>
      </c>
      <c r="C54" s="25">
        <f t="shared" si="0"/>
        <v>0.4</v>
      </c>
      <c r="D54" s="25">
        <f t="shared" si="4"/>
        <v>122.9184617565431</v>
      </c>
      <c r="E54" s="22">
        <f t="shared" si="1"/>
        <v>7779289.9607305471</v>
      </c>
      <c r="F54" s="25">
        <f t="shared" si="2"/>
        <v>2282.2793145634455</v>
      </c>
    </row>
    <row r="55" spans="1:6" x14ac:dyDescent="0.2">
      <c r="A55" s="1">
        <v>46</v>
      </c>
      <c r="B55" s="22">
        <f t="shared" si="3"/>
        <v>5400</v>
      </c>
      <c r="C55" s="25">
        <f t="shared" si="0"/>
        <v>0.4</v>
      </c>
      <c r="D55" s="25">
        <f t="shared" si="4"/>
        <v>122.51846175654309</v>
      </c>
      <c r="E55" s="22">
        <f t="shared" si="1"/>
        <v>7703590.9776055049</v>
      </c>
      <c r="F55" s="25">
        <f t="shared" si="2"/>
        <v>2280.8727930895343</v>
      </c>
    </row>
    <row r="56" spans="1:6" x14ac:dyDescent="0.2">
      <c r="A56" s="1">
        <v>47</v>
      </c>
      <c r="B56" s="22">
        <f t="shared" si="3"/>
        <v>5520</v>
      </c>
      <c r="C56" s="25">
        <f t="shared" si="0"/>
        <v>0.4</v>
      </c>
      <c r="D56" s="25">
        <f t="shared" si="4"/>
        <v>122.11846175654308</v>
      </c>
      <c r="E56" s="22">
        <f t="shared" si="1"/>
        <v>7628384.6704476727</v>
      </c>
      <c r="F56" s="25">
        <f t="shared" si="2"/>
        <v>2279.4616720679937</v>
      </c>
    </row>
    <row r="57" spans="1:6" x14ac:dyDescent="0.2">
      <c r="A57" s="1">
        <v>48</v>
      </c>
      <c r="B57" s="22">
        <f t="shared" si="3"/>
        <v>5640</v>
      </c>
      <c r="C57" s="25">
        <f t="shared" si="0"/>
        <v>0.4</v>
      </c>
      <c r="D57" s="25">
        <f t="shared" si="4"/>
        <v>121.71846175654308</v>
      </c>
      <c r="E57" s="22">
        <f t="shared" si="1"/>
        <v>7553669.430761613</v>
      </c>
      <c r="F57" s="25">
        <f t="shared" si="2"/>
        <v>2278.045921317605</v>
      </c>
    </row>
    <row r="58" spans="1:6" x14ac:dyDescent="0.2">
      <c r="A58" s="1">
        <v>49</v>
      </c>
      <c r="B58" s="22">
        <f t="shared" si="3"/>
        <v>5760</v>
      </c>
      <c r="C58" s="25">
        <f t="shared" si="0"/>
        <v>0.4</v>
      </c>
      <c r="D58" s="25">
        <f t="shared" si="4"/>
        <v>121.31846175654307</v>
      </c>
      <c r="E58" s="22">
        <f t="shared" si="1"/>
        <v>7479443.6500518862</v>
      </c>
      <c r="F58" s="25">
        <f t="shared" si="2"/>
        <v>2276.6255103591052</v>
      </c>
    </row>
    <row r="59" spans="1:6" x14ac:dyDescent="0.2">
      <c r="A59" s="1">
        <v>50</v>
      </c>
      <c r="B59" s="22">
        <f t="shared" si="3"/>
        <v>5880</v>
      </c>
      <c r="C59" s="25">
        <f t="shared" si="0"/>
        <v>0.4</v>
      </c>
      <c r="D59" s="25">
        <f t="shared" si="4"/>
        <v>120.91846175654307</v>
      </c>
      <c r="E59" s="22">
        <f t="shared" si="1"/>
        <v>7405705.719823054</v>
      </c>
      <c r="F59" s="25">
        <f t="shared" si="2"/>
        <v>2275.2004084112523</v>
      </c>
    </row>
    <row r="60" spans="1:6" x14ac:dyDescent="0.2">
      <c r="A60" s="1">
        <v>51</v>
      </c>
      <c r="B60" s="22">
        <f t="shared" si="3"/>
        <v>6000</v>
      </c>
      <c r="C60" s="25">
        <f t="shared" si="0"/>
        <v>0.4</v>
      </c>
      <c r="D60" s="25">
        <f t="shared" si="4"/>
        <v>120.51846175654306</v>
      </c>
      <c r="E60" s="22">
        <f t="shared" si="1"/>
        <v>7332454.0315796817</v>
      </c>
      <c r="F60" s="25">
        <f t="shared" si="2"/>
        <v>2273.7705843868239</v>
      </c>
    </row>
    <row r="61" spans="1:6" x14ac:dyDescent="0.2">
      <c r="A61" s="1">
        <v>52</v>
      </c>
      <c r="B61" s="22">
        <f t="shared" si="3"/>
        <v>6120</v>
      </c>
      <c r="C61" s="25">
        <f t="shared" si="0"/>
        <v>0.4</v>
      </c>
      <c r="D61" s="25">
        <f t="shared" si="4"/>
        <v>120.11846175654306</v>
      </c>
      <c r="E61" s="22">
        <f t="shared" si="1"/>
        <v>7259686.9768263223</v>
      </c>
      <c r="F61" s="25">
        <f t="shared" si="2"/>
        <v>2272.3360068885459</v>
      </c>
    </row>
    <row r="62" spans="1:6" x14ac:dyDescent="0.2">
      <c r="A62" s="1">
        <v>53</v>
      </c>
      <c r="B62" s="22">
        <f t="shared" si="3"/>
        <v>6240</v>
      </c>
      <c r="C62" s="25">
        <f t="shared" si="0"/>
        <v>0.4</v>
      </c>
      <c r="D62" s="25">
        <f t="shared" si="4"/>
        <v>119.71846175654305</v>
      </c>
      <c r="E62" s="22">
        <f t="shared" si="1"/>
        <v>7187402.9470675448</v>
      </c>
      <c r="F62" s="25">
        <f t="shared" si="2"/>
        <v>2270.8966442049577</v>
      </c>
    </row>
    <row r="63" spans="1:6" x14ac:dyDescent="0.2">
      <c r="A63" s="1">
        <v>54</v>
      </c>
      <c r="B63" s="22">
        <f t="shared" si="3"/>
        <v>6360</v>
      </c>
      <c r="C63" s="25">
        <f t="shared" si="0"/>
        <v>0.4</v>
      </c>
      <c r="D63" s="25">
        <f t="shared" si="4"/>
        <v>119.31846175654304</v>
      </c>
      <c r="E63" s="22">
        <f t="shared" si="1"/>
        <v>7115600.3338079071</v>
      </c>
      <c r="F63" s="25">
        <f t="shared" si="2"/>
        <v>2269.4524643062041</v>
      </c>
    </row>
    <row r="64" spans="1:6" x14ac:dyDescent="0.2">
      <c r="A64" s="1">
        <v>55</v>
      </c>
      <c r="B64" s="22">
        <f t="shared" si="3"/>
        <v>6480</v>
      </c>
      <c r="C64" s="25">
        <f t="shared" si="0"/>
        <v>0.4</v>
      </c>
      <c r="D64" s="25">
        <f t="shared" si="4"/>
        <v>118.91846175654304</v>
      </c>
      <c r="E64" s="22">
        <f t="shared" si="1"/>
        <v>7044277.5285519715</v>
      </c>
      <c r="F64" s="25">
        <f t="shared" si="2"/>
        <v>2268.0034348397617</v>
      </c>
    </row>
    <row r="65" spans="1:6" x14ac:dyDescent="0.2">
      <c r="A65" s="1">
        <v>56</v>
      </c>
      <c r="B65" s="22">
        <f t="shared" si="3"/>
        <v>6600</v>
      </c>
      <c r="C65" s="25">
        <f t="shared" si="0"/>
        <v>0.4</v>
      </c>
      <c r="D65" s="25">
        <f t="shared" si="4"/>
        <v>118.51846175654303</v>
      </c>
      <c r="E65" s="22">
        <f t="shared" si="1"/>
        <v>6973432.9228042979</v>
      </c>
      <c r="F65" s="25">
        <f t="shared" si="2"/>
        <v>2266.5495231260866</v>
      </c>
    </row>
    <row r="66" spans="1:6" x14ac:dyDescent="0.2">
      <c r="A66" s="1">
        <v>57</v>
      </c>
      <c r="B66" s="22">
        <f t="shared" si="3"/>
        <v>6720</v>
      </c>
      <c r="C66" s="25">
        <f t="shared" si="0"/>
        <v>0.4</v>
      </c>
      <c r="D66" s="25">
        <f t="shared" si="4"/>
        <v>118.11846175654303</v>
      </c>
      <c r="E66" s="22">
        <f t="shared" si="1"/>
        <v>6903064.9080694495</v>
      </c>
      <c r="F66" s="25">
        <f t="shared" si="2"/>
        <v>2265.0906961541941</v>
      </c>
    </row>
    <row r="67" spans="1:6" x14ac:dyDescent="0.2">
      <c r="A67" s="1">
        <v>58</v>
      </c>
      <c r="B67" s="22">
        <f t="shared" si="3"/>
        <v>6840</v>
      </c>
      <c r="C67" s="25">
        <f t="shared" si="0"/>
        <v>0.4</v>
      </c>
      <c r="D67" s="25">
        <f t="shared" si="4"/>
        <v>117.71846175654302</v>
      </c>
      <c r="E67" s="22">
        <f t="shared" si="1"/>
        <v>6833171.8758519879</v>
      </c>
      <c r="F67" s="25">
        <f t="shared" si="2"/>
        <v>2263.6269205771614</v>
      </c>
    </row>
    <row r="68" spans="1:6" x14ac:dyDescent="0.2">
      <c r="A68" s="1">
        <v>59</v>
      </c>
      <c r="B68" s="22">
        <f t="shared" si="3"/>
        <v>6960</v>
      </c>
      <c r="C68" s="25">
        <f t="shared" si="0"/>
        <v>0.4</v>
      </c>
      <c r="D68" s="25">
        <f t="shared" si="4"/>
        <v>117.31846175654302</v>
      </c>
      <c r="E68" s="22">
        <f t="shared" si="1"/>
        <v>6763752.2176564708</v>
      </c>
      <c r="F68" s="25">
        <f t="shared" si="2"/>
        <v>2262.1581627075534</v>
      </c>
    </row>
    <row r="69" spans="1:6" x14ac:dyDescent="0.2">
      <c r="A69" s="1">
        <v>60</v>
      </c>
      <c r="B69" s="22">
        <f t="shared" si="3"/>
        <v>7080</v>
      </c>
      <c r="C69" s="25">
        <f t="shared" si="0"/>
        <v>0.4</v>
      </c>
      <c r="D69" s="25">
        <f t="shared" si="4"/>
        <v>116.91846175654301</v>
      </c>
      <c r="E69" s="22">
        <f t="shared" si="1"/>
        <v>6694804.3249874655</v>
      </c>
      <c r="F69" s="25">
        <f t="shared" si="2"/>
        <v>2260.6843885127714</v>
      </c>
    </row>
    <row r="70" spans="1:6" x14ac:dyDescent="0.2">
      <c r="A70" s="1">
        <v>61</v>
      </c>
      <c r="B70" s="22">
        <f t="shared" si="3"/>
        <v>7200</v>
      </c>
      <c r="C70" s="25">
        <f t="shared" si="0"/>
        <v>0.4</v>
      </c>
      <c r="D70" s="25">
        <f t="shared" si="4"/>
        <v>116.518461756543</v>
      </c>
      <c r="E70" s="22">
        <f t="shared" si="1"/>
        <v>6626326.5893495278</v>
      </c>
      <c r="F70" s="25">
        <f t="shared" si="2"/>
        <v>2259.2055636103205</v>
      </c>
    </row>
    <row r="71" spans="1:6" x14ac:dyDescent="0.2">
      <c r="A71" s="1">
        <v>62</v>
      </c>
      <c r="B71" s="22">
        <f t="shared" si="3"/>
        <v>7320</v>
      </c>
      <c r="C71" s="25">
        <f t="shared" si="0"/>
        <v>0.4</v>
      </c>
      <c r="D71" s="25">
        <f t="shared" si="4"/>
        <v>116.118461756543</v>
      </c>
      <c r="E71" s="22">
        <f t="shared" si="1"/>
        <v>6558317.4022472231</v>
      </c>
      <c r="F71" s="25">
        <f t="shared" si="2"/>
        <v>2257.7216532629982</v>
      </c>
    </row>
    <row r="72" spans="1:6" x14ac:dyDescent="0.2">
      <c r="A72" s="1">
        <v>63</v>
      </c>
      <c r="B72" s="22">
        <f t="shared" si="3"/>
        <v>7440</v>
      </c>
      <c r="C72" s="25">
        <f t="shared" si="0"/>
        <v>0.4</v>
      </c>
      <c r="D72" s="25">
        <f t="shared" si="4"/>
        <v>115.71846175654299</v>
      </c>
      <c r="E72" s="22">
        <f t="shared" si="1"/>
        <v>6490775.155185109</v>
      </c>
      <c r="F72" s="25">
        <f t="shared" si="2"/>
        <v>2256.2326223739956</v>
      </c>
    </row>
    <row r="73" spans="1:6" x14ac:dyDescent="0.2">
      <c r="A73" s="1">
        <v>64</v>
      </c>
      <c r="B73" s="22">
        <f t="shared" si="3"/>
        <v>7560</v>
      </c>
      <c r="C73" s="25">
        <f t="shared" si="0"/>
        <v>0.4</v>
      </c>
      <c r="D73" s="25">
        <f t="shared" si="4"/>
        <v>115.31846175654299</v>
      </c>
      <c r="E73" s="22">
        <f t="shared" si="1"/>
        <v>6423698.2396677509</v>
      </c>
      <c r="F73" s="25">
        <f t="shared" si="2"/>
        <v>2254.7384354819205</v>
      </c>
    </row>
    <row r="74" spans="1:6" x14ac:dyDescent="0.2">
      <c r="A74" s="1">
        <v>65</v>
      </c>
      <c r="B74" s="22">
        <f t="shared" si="3"/>
        <v>7680</v>
      </c>
      <c r="C74" s="25">
        <f t="shared" ref="C74:C90" si="5">IF(B74&gt;=4000,0.4,B74/10000)</f>
        <v>0.4</v>
      </c>
      <c r="D74" s="25">
        <f t="shared" si="4"/>
        <v>114.91846175654298</v>
      </c>
      <c r="E74" s="22">
        <f t="shared" ref="E74:E90" si="6">(D74^3)*(4/3)*PI()</f>
        <v>6357085.0471997065</v>
      </c>
      <c r="F74" s="25">
        <f t="shared" ref="F74:F90" si="7">24*$C$6*2.76*LOG(E74)</f>
        <v>2253.2390567557268</v>
      </c>
    </row>
    <row r="75" spans="1:6" x14ac:dyDescent="0.2">
      <c r="A75" s="1">
        <v>66</v>
      </c>
      <c r="B75" s="22">
        <f t="shared" ref="B75:B90" si="8">B74+24*$C$6</f>
        <v>7800</v>
      </c>
      <c r="C75" s="25">
        <f t="shared" si="5"/>
        <v>0.4</v>
      </c>
      <c r="D75" s="25">
        <f t="shared" ref="D75:D90" si="9">D74-C74</f>
        <v>114.51846175654298</v>
      </c>
      <c r="E75" s="22">
        <f t="shared" si="6"/>
        <v>6290933.9692855403</v>
      </c>
      <c r="F75" s="25">
        <f t="shared" si="7"/>
        <v>2251.7344499895607</v>
      </c>
    </row>
    <row r="76" spans="1:6" x14ac:dyDescent="0.2">
      <c r="A76" s="1">
        <v>67</v>
      </c>
      <c r="B76" s="22">
        <f t="shared" si="8"/>
        <v>7920</v>
      </c>
      <c r="C76" s="25">
        <f t="shared" si="5"/>
        <v>0.4</v>
      </c>
      <c r="D76" s="25">
        <f t="shared" si="9"/>
        <v>114.11846175654297</v>
      </c>
      <c r="E76" s="22">
        <f t="shared" si="6"/>
        <v>6225243.3974298118</v>
      </c>
      <c r="F76" s="25">
        <f t="shared" si="7"/>
        <v>2250.2245785975142</v>
      </c>
    </row>
    <row r="77" spans="1:6" x14ac:dyDescent="0.2">
      <c r="A77" s="1">
        <v>68</v>
      </c>
      <c r="B77" s="22">
        <f t="shared" si="8"/>
        <v>8040</v>
      </c>
      <c r="C77" s="25">
        <f t="shared" si="5"/>
        <v>0.4</v>
      </c>
      <c r="D77" s="25">
        <f t="shared" si="9"/>
        <v>113.71846175654296</v>
      </c>
      <c r="E77" s="22">
        <f t="shared" si="6"/>
        <v>6160011.7231370825</v>
      </c>
      <c r="F77" s="25">
        <f t="shared" si="7"/>
        <v>2248.7094056082869</v>
      </c>
    </row>
    <row r="78" spans="1:6" x14ac:dyDescent="0.2">
      <c r="A78" s="1">
        <v>69</v>
      </c>
      <c r="B78" s="22">
        <f t="shared" si="8"/>
        <v>8160</v>
      </c>
      <c r="C78" s="25">
        <f t="shared" si="5"/>
        <v>0.4</v>
      </c>
      <c r="D78" s="25">
        <f t="shared" si="9"/>
        <v>113.31846175654296</v>
      </c>
      <c r="E78" s="22">
        <f t="shared" si="6"/>
        <v>6095237.3379119141</v>
      </c>
      <c r="F78" s="25">
        <f t="shared" si="7"/>
        <v>2247.1888936597547</v>
      </c>
    </row>
    <row r="79" spans="1:6" x14ac:dyDescent="0.2">
      <c r="A79" s="1">
        <v>70</v>
      </c>
      <c r="B79" s="22">
        <f t="shared" si="8"/>
        <v>8280</v>
      </c>
      <c r="C79" s="25">
        <f t="shared" si="5"/>
        <v>0.4</v>
      </c>
      <c r="D79" s="25">
        <f t="shared" si="9"/>
        <v>112.91846175654295</v>
      </c>
      <c r="E79" s="22">
        <f t="shared" si="6"/>
        <v>6030918.633258868</v>
      </c>
      <c r="F79" s="25">
        <f t="shared" si="7"/>
        <v>2245.6630049934415</v>
      </c>
    </row>
    <row r="80" spans="1:6" x14ac:dyDescent="0.2">
      <c r="A80" s="1">
        <v>71</v>
      </c>
      <c r="B80" s="22">
        <f t="shared" si="8"/>
        <v>8400</v>
      </c>
      <c r="C80" s="25">
        <f t="shared" si="5"/>
        <v>0.4</v>
      </c>
      <c r="D80" s="25">
        <f t="shared" si="9"/>
        <v>112.51846175654295</v>
      </c>
      <c r="E80" s="22">
        <f t="shared" si="6"/>
        <v>5967054.0006825048</v>
      </c>
      <c r="F80" s="25">
        <f t="shared" si="7"/>
        <v>2244.1317014488927</v>
      </c>
    </row>
    <row r="81" spans="1:6" x14ac:dyDescent="0.2">
      <c r="A81" s="1">
        <v>72</v>
      </c>
      <c r="B81" s="22">
        <f t="shared" si="8"/>
        <v>8520</v>
      </c>
      <c r="C81" s="25">
        <f t="shared" si="5"/>
        <v>0.4</v>
      </c>
      <c r="D81" s="25">
        <f t="shared" si="9"/>
        <v>112.11846175654294</v>
      </c>
      <c r="E81" s="22">
        <f t="shared" si="6"/>
        <v>5903641.8316873871</v>
      </c>
      <c r="F81" s="25">
        <f t="shared" si="7"/>
        <v>2242.5949444579501</v>
      </c>
    </row>
    <row r="82" spans="1:6" x14ac:dyDescent="0.2">
      <c r="A82" s="1">
        <v>73</v>
      </c>
      <c r="B82" s="22">
        <f t="shared" si="8"/>
        <v>8640</v>
      </c>
      <c r="C82" s="25">
        <f t="shared" si="5"/>
        <v>0.4</v>
      </c>
      <c r="D82" s="25">
        <f t="shared" si="9"/>
        <v>111.71846175654294</v>
      </c>
      <c r="E82" s="22">
        <f t="shared" si="6"/>
        <v>5840680.5177780762</v>
      </c>
      <c r="F82" s="25">
        <f t="shared" si="7"/>
        <v>2241.0526950389208</v>
      </c>
    </row>
    <row r="83" spans="1:6" x14ac:dyDescent="0.2">
      <c r="A83" s="1">
        <v>74</v>
      </c>
      <c r="B83" s="22">
        <f t="shared" si="8"/>
        <v>8760</v>
      </c>
      <c r="C83" s="25">
        <f t="shared" si="5"/>
        <v>0.4</v>
      </c>
      <c r="D83" s="25">
        <f t="shared" si="9"/>
        <v>111.31846175654293</v>
      </c>
      <c r="E83" s="22">
        <f t="shared" si="6"/>
        <v>5778168.4504591329</v>
      </c>
      <c r="F83" s="25">
        <f t="shared" si="7"/>
        <v>2239.5049137906472</v>
      </c>
    </row>
    <row r="84" spans="1:6" x14ac:dyDescent="0.2">
      <c r="A84" s="1">
        <v>75</v>
      </c>
      <c r="B84" s="22">
        <f t="shared" si="8"/>
        <v>8880</v>
      </c>
      <c r="C84" s="25">
        <f t="shared" si="5"/>
        <v>0.4</v>
      </c>
      <c r="D84" s="25">
        <f t="shared" si="9"/>
        <v>110.91846175654292</v>
      </c>
      <c r="E84" s="22">
        <f t="shared" si="6"/>
        <v>5716104.0212351186</v>
      </c>
      <c r="F84" s="25">
        <f t="shared" si="7"/>
        <v>2237.9515608864644</v>
      </c>
    </row>
    <row r="85" spans="1:6" x14ac:dyDescent="0.2">
      <c r="A85" s="1">
        <v>76</v>
      </c>
      <c r="B85" s="22">
        <f t="shared" si="8"/>
        <v>9000</v>
      </c>
      <c r="C85" s="25">
        <f t="shared" si="5"/>
        <v>0.4</v>
      </c>
      <c r="D85" s="25">
        <f t="shared" si="9"/>
        <v>110.51846175654292</v>
      </c>
      <c r="E85" s="22">
        <f t="shared" si="6"/>
        <v>5654485.621610594</v>
      </c>
      <c r="F85" s="25">
        <f t="shared" si="7"/>
        <v>2236.3925960680535</v>
      </c>
    </row>
    <row r="86" spans="1:6" x14ac:dyDescent="0.2">
      <c r="A86" s="1">
        <v>77</v>
      </c>
      <c r="B86" s="22">
        <f t="shared" si="8"/>
        <v>9120</v>
      </c>
      <c r="C86" s="25">
        <f t="shared" si="5"/>
        <v>0.4</v>
      </c>
      <c r="D86" s="25">
        <f t="shared" si="9"/>
        <v>110.11846175654291</v>
      </c>
      <c r="E86" s="22">
        <f t="shared" si="6"/>
        <v>5593311.6430901205</v>
      </c>
      <c r="F86" s="25">
        <f t="shared" si="7"/>
        <v>2234.8279786391795</v>
      </c>
    </row>
    <row r="87" spans="1:6" x14ac:dyDescent="0.2">
      <c r="A87" s="1">
        <v>78</v>
      </c>
      <c r="B87" s="22">
        <f t="shared" si="8"/>
        <v>9240</v>
      </c>
      <c r="C87" s="25">
        <f t="shared" si="5"/>
        <v>0.4</v>
      </c>
      <c r="D87" s="25">
        <f t="shared" si="9"/>
        <v>109.71846175654291</v>
      </c>
      <c r="E87" s="22">
        <f t="shared" si="6"/>
        <v>5532580.4771782616</v>
      </c>
      <c r="F87" s="25">
        <f t="shared" si="7"/>
        <v>2233.2576674593151</v>
      </c>
    </row>
    <row r="88" spans="1:6" x14ac:dyDescent="0.2">
      <c r="A88" s="1">
        <v>79</v>
      </c>
      <c r="B88" s="22">
        <f t="shared" si="8"/>
        <v>9360</v>
      </c>
      <c r="C88" s="25">
        <f t="shared" si="5"/>
        <v>0.4</v>
      </c>
      <c r="D88" s="25">
        <f t="shared" si="9"/>
        <v>109.3184617565429</v>
      </c>
      <c r="E88" s="22">
        <f t="shared" si="6"/>
        <v>5472290.5153795751</v>
      </c>
      <c r="F88" s="25">
        <f t="shared" si="7"/>
        <v>2231.6816209371555</v>
      </c>
    </row>
    <row r="89" spans="1:6" x14ac:dyDescent="0.2">
      <c r="A89" s="1">
        <v>80</v>
      </c>
      <c r="B89" s="22">
        <f t="shared" si="8"/>
        <v>9480</v>
      </c>
      <c r="C89" s="25">
        <f t="shared" si="5"/>
        <v>0.4</v>
      </c>
      <c r="D89" s="25">
        <f t="shared" si="9"/>
        <v>108.9184617565429</v>
      </c>
      <c r="E89" s="22">
        <f t="shared" si="6"/>
        <v>5412440.1491986252</v>
      </c>
      <c r="F89" s="25">
        <f t="shared" si="7"/>
        <v>2230.0997970240019</v>
      </c>
    </row>
    <row r="90" spans="1:6" x14ac:dyDescent="0.2">
      <c r="A90" s="1">
        <v>81</v>
      </c>
      <c r="B90" s="22">
        <f t="shared" si="8"/>
        <v>9600</v>
      </c>
      <c r="C90" s="25">
        <f t="shared" si="5"/>
        <v>0.4</v>
      </c>
      <c r="D90" s="25">
        <f t="shared" si="9"/>
        <v>108.51846175654289</v>
      </c>
      <c r="E90" s="22">
        <f t="shared" si="6"/>
        <v>5353027.7701399736</v>
      </c>
      <c r="F90" s="25">
        <f t="shared" si="7"/>
        <v>2228.5121532070352</v>
      </c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8"/>
  <sheetViews>
    <sheetView workbookViewId="0">
      <selection activeCell="A2" sqref="A2"/>
    </sheetView>
  </sheetViews>
  <sheetFormatPr defaultRowHeight="12.75" x14ac:dyDescent="0.2"/>
  <cols>
    <col min="2" max="2" width="24.28515625" customWidth="1"/>
    <col min="9" max="9" width="18.5703125" customWidth="1"/>
  </cols>
  <sheetData>
    <row r="1" spans="1:10" x14ac:dyDescent="0.2">
      <c r="A1" s="62" t="s">
        <v>185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">
      <c r="A2" s="165"/>
      <c r="B2" s="62"/>
      <c r="C2" s="62"/>
      <c r="D2" s="62"/>
      <c r="E2" s="62"/>
      <c r="F2" s="62"/>
      <c r="G2" s="62"/>
      <c r="H2" s="62"/>
      <c r="I2" s="62"/>
      <c r="J2" s="62"/>
    </row>
    <row r="3" spans="1:10" x14ac:dyDescent="0.2">
      <c r="A3" s="246" t="s">
        <v>71</v>
      </c>
      <c r="B3" s="247"/>
      <c r="C3" s="247"/>
      <c r="D3" s="248"/>
      <c r="E3" s="62"/>
      <c r="F3" s="62"/>
      <c r="G3" s="62"/>
      <c r="H3" s="62"/>
      <c r="I3" s="62"/>
      <c r="J3" s="62"/>
    </row>
    <row r="4" spans="1:10" x14ac:dyDescent="0.2">
      <c r="A4" s="249"/>
      <c r="B4" s="31" t="s">
        <v>186</v>
      </c>
      <c r="C4" s="31">
        <v>0.33</v>
      </c>
      <c r="D4" s="154" t="s">
        <v>187</v>
      </c>
      <c r="E4" s="62"/>
      <c r="F4" s="62"/>
      <c r="G4" s="62"/>
      <c r="H4" s="62"/>
      <c r="I4" s="62"/>
      <c r="J4" s="62"/>
    </row>
    <row r="5" spans="1:10" x14ac:dyDescent="0.2">
      <c r="A5" s="249"/>
      <c r="B5" s="31" t="s">
        <v>188</v>
      </c>
      <c r="C5" s="31">
        <v>1.2</v>
      </c>
      <c r="D5" s="154" t="s">
        <v>189</v>
      </c>
      <c r="E5" s="62"/>
      <c r="F5" s="62"/>
      <c r="G5" s="62"/>
      <c r="H5" s="62"/>
      <c r="I5" s="62"/>
      <c r="J5" s="62"/>
    </row>
    <row r="6" spans="1:10" x14ac:dyDescent="0.2">
      <c r="A6" s="249"/>
      <c r="B6" s="31" t="s">
        <v>190</v>
      </c>
      <c r="C6" s="31">
        <v>0.05</v>
      </c>
      <c r="D6" s="154" t="s">
        <v>191</v>
      </c>
      <c r="E6" s="62"/>
      <c r="F6" s="62"/>
      <c r="G6" s="62"/>
      <c r="H6" s="62"/>
      <c r="I6" s="62"/>
      <c r="J6" s="62"/>
    </row>
    <row r="7" spans="1:10" x14ac:dyDescent="0.2">
      <c r="A7" s="249"/>
      <c r="B7" s="31" t="s">
        <v>192</v>
      </c>
      <c r="C7" s="31">
        <v>1.25</v>
      </c>
      <c r="D7" s="154" t="s">
        <v>187</v>
      </c>
      <c r="E7" s="62"/>
      <c r="F7" s="62"/>
      <c r="G7" s="62"/>
      <c r="H7" s="62"/>
      <c r="I7" s="62"/>
      <c r="J7" s="62"/>
    </row>
    <row r="8" spans="1:10" x14ac:dyDescent="0.2">
      <c r="A8" s="249"/>
      <c r="B8" s="31" t="s">
        <v>193</v>
      </c>
      <c r="C8" s="37">
        <v>1</v>
      </c>
      <c r="D8" s="154" t="s">
        <v>187</v>
      </c>
      <c r="E8" s="62"/>
      <c r="F8" s="62"/>
      <c r="G8" s="62"/>
      <c r="H8" s="62"/>
      <c r="I8" s="62"/>
      <c r="J8" s="62"/>
    </row>
    <row r="9" spans="1:10" x14ac:dyDescent="0.2">
      <c r="A9" s="249"/>
      <c r="B9" s="31" t="s">
        <v>194</v>
      </c>
      <c r="C9" s="31">
        <v>10</v>
      </c>
      <c r="D9" s="154"/>
      <c r="E9" s="62"/>
      <c r="F9" s="62"/>
      <c r="G9" s="62"/>
      <c r="H9" s="62"/>
      <c r="I9" s="62"/>
      <c r="J9" s="62"/>
    </row>
    <row r="10" spans="1:10" x14ac:dyDescent="0.2">
      <c r="A10" s="249"/>
      <c r="B10" s="31" t="s">
        <v>195</v>
      </c>
      <c r="C10" s="31">
        <v>5</v>
      </c>
      <c r="D10" s="154" t="s">
        <v>189</v>
      </c>
      <c r="E10" s="62"/>
      <c r="F10" s="62"/>
      <c r="G10" s="62"/>
      <c r="H10" s="62"/>
      <c r="I10" s="62"/>
      <c r="J10" s="62"/>
    </row>
    <row r="11" spans="1:10" x14ac:dyDescent="0.2">
      <c r="A11" s="249"/>
      <c r="B11" s="31" t="s">
        <v>196</v>
      </c>
      <c r="C11" s="250">
        <v>5.4117795912470097</v>
      </c>
      <c r="D11" s="154"/>
      <c r="E11" s="62"/>
      <c r="F11" s="62"/>
      <c r="G11" s="62"/>
      <c r="H11" s="62"/>
      <c r="I11" s="62"/>
      <c r="J11" s="62"/>
    </row>
    <row r="12" spans="1:10" x14ac:dyDescent="0.2">
      <c r="A12" s="249"/>
      <c r="B12" s="31" t="s">
        <v>197</v>
      </c>
      <c r="C12" s="250">
        <v>12.314328220267383</v>
      </c>
      <c r="D12" s="154"/>
      <c r="E12" s="62"/>
      <c r="F12" s="62"/>
      <c r="G12" s="62"/>
      <c r="H12" s="62"/>
      <c r="I12" s="62"/>
      <c r="J12" s="62"/>
    </row>
    <row r="13" spans="1:10" x14ac:dyDescent="0.2">
      <c r="A13" s="251"/>
      <c r="B13" s="29" t="s">
        <v>198</v>
      </c>
      <c r="C13" s="29">
        <v>0.1</v>
      </c>
      <c r="D13" s="155"/>
      <c r="E13" s="62"/>
      <c r="F13" s="62"/>
      <c r="G13" s="62"/>
      <c r="H13" s="62"/>
      <c r="I13" s="62"/>
      <c r="J13" s="62"/>
    </row>
    <row r="14" spans="1:10" x14ac:dyDescent="0.2">
      <c r="A14" s="62"/>
      <c r="B14" s="62"/>
      <c r="C14" s="22"/>
      <c r="D14" s="62"/>
      <c r="E14" s="62"/>
      <c r="F14" s="62"/>
      <c r="G14" s="62"/>
      <c r="H14" s="62"/>
      <c r="I14" s="62"/>
      <c r="J14" s="62"/>
    </row>
    <row r="15" spans="1:10" x14ac:dyDescent="0.2">
      <c r="A15" s="62"/>
      <c r="B15" s="62"/>
      <c r="C15" s="62" t="s">
        <v>199</v>
      </c>
      <c r="D15" s="62" t="s">
        <v>200</v>
      </c>
      <c r="E15" s="62" t="s">
        <v>100</v>
      </c>
      <c r="F15" s="62" t="s">
        <v>200</v>
      </c>
      <c r="G15" s="62" t="s">
        <v>200</v>
      </c>
      <c r="H15" s="62" t="s">
        <v>201</v>
      </c>
      <c r="I15" s="62"/>
      <c r="J15" s="62"/>
    </row>
    <row r="16" spans="1:10" x14ac:dyDescent="0.2">
      <c r="A16" s="62" t="s">
        <v>202</v>
      </c>
      <c r="B16" s="62" t="s">
        <v>203</v>
      </c>
      <c r="C16" s="62" t="s">
        <v>100</v>
      </c>
      <c r="D16" s="62" t="s">
        <v>100</v>
      </c>
      <c r="E16" s="62" t="s">
        <v>204</v>
      </c>
      <c r="F16" s="62" t="s">
        <v>205</v>
      </c>
      <c r="G16" s="62" t="s">
        <v>206</v>
      </c>
      <c r="H16" s="62" t="s">
        <v>207</v>
      </c>
      <c r="I16" s="62" t="s">
        <v>208</v>
      </c>
      <c r="J16" s="62"/>
    </row>
    <row r="17" spans="1:9" x14ac:dyDescent="0.2">
      <c r="A17">
        <v>1</v>
      </c>
      <c r="B17" s="6">
        <f>C5</f>
        <v>1.2</v>
      </c>
      <c r="C17" s="6">
        <f>$C$7</f>
        <v>1.25</v>
      </c>
      <c r="D17" s="6">
        <f>$C$8</f>
        <v>1</v>
      </c>
      <c r="E17" s="6">
        <f>C17/D17</f>
        <v>1.25</v>
      </c>
      <c r="F17" s="6">
        <v>0.21363371424229946</v>
      </c>
      <c r="G17" s="6">
        <f>F17*B17</f>
        <v>0.25636045709075933</v>
      </c>
      <c r="H17" s="6">
        <f>$C$9</f>
        <v>10</v>
      </c>
      <c r="I17" s="6">
        <f>(D17-$C$4)*G17*H17</f>
        <v>1.7176150625080875</v>
      </c>
    </row>
    <row r="18" spans="1:9" x14ac:dyDescent="0.2">
      <c r="A18">
        <v>2</v>
      </c>
      <c r="B18" s="6">
        <f>B17*(1+$C$6)</f>
        <v>1.26</v>
      </c>
      <c r="C18" s="6">
        <f t="shared" ref="C18:C26" si="0">$C$7</f>
        <v>1.25</v>
      </c>
      <c r="D18" s="6">
        <f t="shared" ref="D18:D26" si="1">$C$8</f>
        <v>1</v>
      </c>
      <c r="E18" s="6">
        <f t="shared" ref="E18:E26" si="2">C18/D18</f>
        <v>1.25</v>
      </c>
      <c r="F18" s="6">
        <v>0.21363371424229946</v>
      </c>
      <c r="G18" s="6">
        <f t="shared" ref="G18:G26" si="3">F18*B18</f>
        <v>0.26917847994529731</v>
      </c>
      <c r="H18" s="6">
        <f t="shared" ref="H18:H26" si="4">$C$9</f>
        <v>10</v>
      </c>
      <c r="I18" s="6">
        <f t="shared" ref="I18:I26" si="5">(D18-$C$4)*G18*H18</f>
        <v>1.8034958156334917</v>
      </c>
    </row>
    <row r="19" spans="1:9" x14ac:dyDescent="0.2">
      <c r="A19">
        <v>3</v>
      </c>
      <c r="B19" s="6">
        <f t="shared" ref="B19:B26" si="6">B18*(1+$C$6)</f>
        <v>1.3230000000000002</v>
      </c>
      <c r="C19" s="6">
        <f t="shared" si="0"/>
        <v>1.25</v>
      </c>
      <c r="D19" s="6">
        <f t="shared" si="1"/>
        <v>1</v>
      </c>
      <c r="E19" s="6">
        <f t="shared" si="2"/>
        <v>1.25</v>
      </c>
      <c r="F19" s="6">
        <v>0.21363371424229946</v>
      </c>
      <c r="G19" s="6">
        <f t="shared" si="3"/>
        <v>0.2826374039425622</v>
      </c>
      <c r="H19" s="6">
        <f t="shared" si="4"/>
        <v>10</v>
      </c>
      <c r="I19" s="6">
        <f t="shared" si="5"/>
        <v>1.8936706064151665</v>
      </c>
    </row>
    <row r="20" spans="1:9" x14ac:dyDescent="0.2">
      <c r="A20">
        <v>4</v>
      </c>
      <c r="B20" s="6">
        <f t="shared" si="6"/>
        <v>1.3891500000000003</v>
      </c>
      <c r="C20" s="6">
        <f t="shared" si="0"/>
        <v>1.25</v>
      </c>
      <c r="D20" s="6">
        <f t="shared" si="1"/>
        <v>1</v>
      </c>
      <c r="E20" s="6">
        <f t="shared" si="2"/>
        <v>1.25</v>
      </c>
      <c r="F20" s="6">
        <v>0.21363371424229946</v>
      </c>
      <c r="G20" s="6">
        <f t="shared" si="3"/>
        <v>0.29676927413969034</v>
      </c>
      <c r="H20" s="6">
        <f t="shared" si="4"/>
        <v>10</v>
      </c>
      <c r="I20" s="6">
        <f t="shared" si="5"/>
        <v>1.988354136735925</v>
      </c>
    </row>
    <row r="21" spans="1:9" x14ac:dyDescent="0.2">
      <c r="A21">
        <v>5</v>
      </c>
      <c r="B21" s="6">
        <f t="shared" si="6"/>
        <v>1.4586075000000005</v>
      </c>
      <c r="C21" s="6">
        <f t="shared" si="0"/>
        <v>1.25</v>
      </c>
      <c r="D21" s="6">
        <f t="shared" si="1"/>
        <v>1</v>
      </c>
      <c r="E21" s="6">
        <f t="shared" si="2"/>
        <v>1.25</v>
      </c>
      <c r="F21" s="6">
        <v>0.21363371424229946</v>
      </c>
      <c r="G21" s="6">
        <f t="shared" si="3"/>
        <v>0.31160773784667489</v>
      </c>
      <c r="H21" s="6">
        <f t="shared" si="4"/>
        <v>10</v>
      </c>
      <c r="I21" s="6">
        <f t="shared" si="5"/>
        <v>2.0877718435727215</v>
      </c>
    </row>
    <row r="22" spans="1:9" x14ac:dyDescent="0.2">
      <c r="A22">
        <v>6</v>
      </c>
      <c r="B22" s="6">
        <f t="shared" si="6"/>
        <v>1.5315378750000006</v>
      </c>
      <c r="C22" s="6">
        <f t="shared" si="0"/>
        <v>1.25</v>
      </c>
      <c r="D22" s="6">
        <f t="shared" si="1"/>
        <v>1</v>
      </c>
      <c r="E22" s="6">
        <f t="shared" si="2"/>
        <v>1.25</v>
      </c>
      <c r="F22" s="6">
        <v>0.21363371424229946</v>
      </c>
      <c r="G22" s="6">
        <f t="shared" si="3"/>
        <v>0.32718812473900866</v>
      </c>
      <c r="H22" s="6">
        <f t="shared" si="4"/>
        <v>10</v>
      </c>
      <c r="I22" s="6">
        <f t="shared" si="5"/>
        <v>2.1921604357513576</v>
      </c>
    </row>
    <row r="23" spans="1:9" x14ac:dyDescent="0.2">
      <c r="A23">
        <v>7</v>
      </c>
      <c r="B23" s="6">
        <f t="shared" si="6"/>
        <v>1.6081147687500008</v>
      </c>
      <c r="C23" s="6">
        <f t="shared" si="0"/>
        <v>1.25</v>
      </c>
      <c r="D23" s="6">
        <f t="shared" si="1"/>
        <v>1</v>
      </c>
      <c r="E23" s="6">
        <f t="shared" si="2"/>
        <v>1.25</v>
      </c>
      <c r="F23" s="6">
        <v>0.21363371424229946</v>
      </c>
      <c r="G23" s="6">
        <f t="shared" si="3"/>
        <v>0.34354753097595914</v>
      </c>
      <c r="H23" s="6">
        <f t="shared" si="4"/>
        <v>10</v>
      </c>
      <c r="I23" s="6">
        <f t="shared" si="5"/>
        <v>2.3017684575389259</v>
      </c>
    </row>
    <row r="24" spans="1:9" x14ac:dyDescent="0.2">
      <c r="A24">
        <v>8</v>
      </c>
      <c r="B24" s="6">
        <f t="shared" si="6"/>
        <v>1.6885205071875009</v>
      </c>
      <c r="C24" s="6">
        <f t="shared" si="0"/>
        <v>1.25</v>
      </c>
      <c r="D24" s="6">
        <f t="shared" si="1"/>
        <v>1</v>
      </c>
      <c r="E24" s="6">
        <f t="shared" si="2"/>
        <v>1.25</v>
      </c>
      <c r="F24" s="6">
        <v>0.21363371424229946</v>
      </c>
      <c r="G24" s="6">
        <f t="shared" si="3"/>
        <v>0.36072490752475711</v>
      </c>
      <c r="H24" s="6">
        <f t="shared" si="4"/>
        <v>10</v>
      </c>
      <c r="I24" s="6">
        <f t="shared" si="5"/>
        <v>2.4168568804158723</v>
      </c>
    </row>
    <row r="25" spans="1:9" x14ac:dyDescent="0.2">
      <c r="A25">
        <v>9</v>
      </c>
      <c r="B25" s="6">
        <f t="shared" si="6"/>
        <v>1.7729465325468761</v>
      </c>
      <c r="C25" s="6">
        <f t="shared" si="0"/>
        <v>1.25</v>
      </c>
      <c r="D25" s="6">
        <f t="shared" si="1"/>
        <v>1</v>
      </c>
      <c r="E25" s="6">
        <f t="shared" si="2"/>
        <v>1.25</v>
      </c>
      <c r="F25" s="6">
        <v>0.21363371424229946</v>
      </c>
      <c r="G25" s="6">
        <f t="shared" si="3"/>
        <v>0.37876115290099499</v>
      </c>
      <c r="H25" s="6">
        <f t="shared" si="4"/>
        <v>10</v>
      </c>
      <c r="I25" s="6">
        <f t="shared" si="5"/>
        <v>2.5376997244366661</v>
      </c>
    </row>
    <row r="26" spans="1:9" x14ac:dyDescent="0.2">
      <c r="A26">
        <v>10</v>
      </c>
      <c r="B26" s="6">
        <f t="shared" si="6"/>
        <v>1.86159385917422</v>
      </c>
      <c r="C26" s="6">
        <f t="shared" si="0"/>
        <v>1.25</v>
      </c>
      <c r="D26" s="6">
        <f t="shared" si="1"/>
        <v>1</v>
      </c>
      <c r="E26" s="6">
        <f t="shared" si="2"/>
        <v>1.25</v>
      </c>
      <c r="F26" s="6">
        <v>0.21363371424229946</v>
      </c>
      <c r="G26" s="6">
        <f t="shared" si="3"/>
        <v>0.39769921054604479</v>
      </c>
      <c r="H26" s="6">
        <f t="shared" si="4"/>
        <v>10</v>
      </c>
      <c r="I26" s="6">
        <f t="shared" si="5"/>
        <v>2.6645847106584997</v>
      </c>
    </row>
    <row r="27" spans="1:9" x14ac:dyDescent="0.2">
      <c r="B27" s="6"/>
      <c r="C27" s="6"/>
      <c r="D27" s="6"/>
      <c r="E27" s="6"/>
      <c r="F27" s="6"/>
      <c r="G27" s="6"/>
      <c r="H27" s="6"/>
      <c r="I27" s="6"/>
    </row>
    <row r="28" spans="1:9" x14ac:dyDescent="0.2">
      <c r="B28" s="62" t="s">
        <v>209</v>
      </c>
      <c r="C28" s="245">
        <f>I17+NPV(C13,I18:I26)-C10</f>
        <v>9.0566067505957992</v>
      </c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13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30"/>
  <sheetViews>
    <sheetView workbookViewId="0">
      <selection activeCell="A3" sqref="A3"/>
    </sheetView>
  </sheetViews>
  <sheetFormatPr defaultColWidth="8.85546875" defaultRowHeight="12.75" x14ac:dyDescent="0.2"/>
  <cols>
    <col min="1" max="1" width="14.42578125" customWidth="1"/>
    <col min="2" max="2" width="15.7109375" customWidth="1"/>
    <col min="3" max="10" width="8.85546875" customWidth="1"/>
    <col min="11" max="14" width="8.7109375" customWidth="1"/>
  </cols>
  <sheetData>
    <row r="1" spans="1:14" x14ac:dyDescent="0.2">
      <c r="A1" s="1" t="s">
        <v>98</v>
      </c>
    </row>
    <row r="2" spans="1:14" x14ac:dyDescent="0.2">
      <c r="A2" s="3" t="s">
        <v>1</v>
      </c>
    </row>
    <row r="3" spans="1:14" x14ac:dyDescent="0.2">
      <c r="A3" s="3"/>
    </row>
    <row r="4" spans="1:14" x14ac:dyDescent="0.2">
      <c r="A4" s="1" t="s">
        <v>71</v>
      </c>
    </row>
    <row r="5" spans="1:14" x14ac:dyDescent="0.2">
      <c r="B5" s="48" t="s">
        <v>100</v>
      </c>
      <c r="C5" s="94">
        <v>1</v>
      </c>
      <c r="D5" s="14"/>
      <c r="E5" s="95" t="s">
        <v>101</v>
      </c>
      <c r="F5" s="15">
        <v>875</v>
      </c>
    </row>
    <row r="6" spans="1:14" x14ac:dyDescent="0.2">
      <c r="B6" s="16" t="s">
        <v>35</v>
      </c>
      <c r="C6" s="96">
        <v>0.75</v>
      </c>
      <c r="D6" s="17"/>
      <c r="E6" s="97" t="s">
        <v>102</v>
      </c>
      <c r="F6" s="18">
        <v>500</v>
      </c>
    </row>
    <row r="7" spans="1:14" x14ac:dyDescent="0.2">
      <c r="B7" s="19"/>
      <c r="C7" s="40"/>
      <c r="D7" s="20"/>
      <c r="E7" s="98" t="s">
        <v>2</v>
      </c>
      <c r="F7" s="21">
        <v>1000</v>
      </c>
    </row>
    <row r="8" spans="1:14" x14ac:dyDescent="0.2">
      <c r="C8" s="6"/>
      <c r="E8" s="28"/>
    </row>
    <row r="9" spans="1:14" x14ac:dyDescent="0.2">
      <c r="A9" s="1" t="s">
        <v>103</v>
      </c>
      <c r="C9" s="6"/>
    </row>
    <row r="10" spans="1:14" s="23" customFormat="1" x14ac:dyDescent="0.2">
      <c r="B10" s="70"/>
      <c r="C10" s="71" t="s">
        <v>104</v>
      </c>
      <c r="D10" s="71" t="s">
        <v>105</v>
      </c>
      <c r="E10" s="71" t="s">
        <v>106</v>
      </c>
      <c r="F10" s="71" t="s">
        <v>107</v>
      </c>
      <c r="G10" s="71" t="s">
        <v>108</v>
      </c>
      <c r="H10" s="72" t="s">
        <v>109</v>
      </c>
      <c r="I10"/>
      <c r="J10"/>
      <c r="K10"/>
      <c r="L10"/>
      <c r="M10"/>
      <c r="N10"/>
    </row>
    <row r="11" spans="1:14" x14ac:dyDescent="0.2">
      <c r="B11" s="16" t="s">
        <v>110</v>
      </c>
      <c r="C11" s="17">
        <v>1000</v>
      </c>
      <c r="D11" s="17">
        <f>C11+$F$6</f>
        <v>1500</v>
      </c>
      <c r="E11" s="17">
        <f>D11+$F$6</f>
        <v>2000</v>
      </c>
      <c r="F11" s="17">
        <f>E11+$F$6</f>
        <v>2500</v>
      </c>
      <c r="G11" s="17">
        <f>F11+$F$6</f>
        <v>3000</v>
      </c>
      <c r="H11" s="18">
        <f>G11+$F$6</f>
        <v>3500</v>
      </c>
    </row>
    <row r="12" spans="1:14" x14ac:dyDescent="0.2">
      <c r="B12" s="16" t="s">
        <v>111</v>
      </c>
      <c r="C12" s="38">
        <f t="shared" ref="C12:H12" si="0">$C$5</f>
        <v>1</v>
      </c>
      <c r="D12" s="38">
        <f t="shared" si="0"/>
        <v>1</v>
      </c>
      <c r="E12" s="38">
        <f t="shared" si="0"/>
        <v>1</v>
      </c>
      <c r="F12" s="38">
        <f t="shared" si="0"/>
        <v>1</v>
      </c>
      <c r="G12" s="38">
        <f t="shared" si="0"/>
        <v>1</v>
      </c>
      <c r="H12" s="99">
        <f t="shared" si="0"/>
        <v>1</v>
      </c>
    </row>
    <row r="13" spans="1:14" x14ac:dyDescent="0.2">
      <c r="B13" s="16"/>
      <c r="C13" s="38"/>
      <c r="D13" s="38"/>
      <c r="E13" s="38"/>
      <c r="F13" s="38"/>
      <c r="G13" s="38"/>
      <c r="H13" s="99"/>
    </row>
    <row r="14" spans="1:14" x14ac:dyDescent="0.2">
      <c r="B14" s="16" t="s">
        <v>112</v>
      </c>
      <c r="C14" s="100">
        <v>1000</v>
      </c>
      <c r="D14" s="100">
        <f>C15</f>
        <v>1000</v>
      </c>
      <c r="E14" s="100">
        <f>D15</f>
        <v>1500</v>
      </c>
      <c r="F14" s="100">
        <f>E15</f>
        <v>2000</v>
      </c>
      <c r="G14" s="100">
        <f>F15</f>
        <v>2500</v>
      </c>
      <c r="H14" s="101">
        <f>G15</f>
        <v>3000</v>
      </c>
    </row>
    <row r="15" spans="1:14" x14ac:dyDescent="0.2">
      <c r="B15" s="16" t="s">
        <v>113</v>
      </c>
      <c r="C15" s="100">
        <f>C14+C21-C11</f>
        <v>1000</v>
      </c>
      <c r="D15" s="100">
        <f>D11</f>
        <v>1500</v>
      </c>
      <c r="E15" s="100">
        <f>E11</f>
        <v>2000</v>
      </c>
      <c r="F15" s="100">
        <f>F11</f>
        <v>2500</v>
      </c>
      <c r="G15" s="100">
        <f>G11</f>
        <v>3000</v>
      </c>
      <c r="H15" s="101">
        <f>H11</f>
        <v>3500</v>
      </c>
    </row>
    <row r="16" spans="1:14" x14ac:dyDescent="0.2">
      <c r="B16" s="16"/>
      <c r="C16" s="100"/>
      <c r="D16" s="100"/>
      <c r="E16" s="100"/>
      <c r="F16" s="100"/>
      <c r="G16" s="100"/>
      <c r="H16" s="101"/>
    </row>
    <row r="17" spans="1:8" x14ac:dyDescent="0.2">
      <c r="B17" s="16" t="s">
        <v>3</v>
      </c>
      <c r="C17" s="102">
        <f t="shared" ref="C17:H17" si="1">C12*C11</f>
        <v>1000</v>
      </c>
      <c r="D17" s="102">
        <f t="shared" si="1"/>
        <v>1500</v>
      </c>
      <c r="E17" s="102">
        <f t="shared" si="1"/>
        <v>2000</v>
      </c>
      <c r="F17" s="102">
        <f t="shared" si="1"/>
        <v>2500</v>
      </c>
      <c r="G17" s="102">
        <f t="shared" si="1"/>
        <v>3000</v>
      </c>
      <c r="H17" s="103">
        <f t="shared" si="1"/>
        <v>3500</v>
      </c>
    </row>
    <row r="18" spans="1:8" x14ac:dyDescent="0.2">
      <c r="B18" s="16" t="s">
        <v>4</v>
      </c>
      <c r="C18" s="102">
        <f t="shared" ref="C18:H18" si="2">$C$6*C11</f>
        <v>750</v>
      </c>
      <c r="D18" s="102">
        <f t="shared" si="2"/>
        <v>1125</v>
      </c>
      <c r="E18" s="102">
        <f t="shared" si="2"/>
        <v>1500</v>
      </c>
      <c r="F18" s="102">
        <f t="shared" si="2"/>
        <v>1875</v>
      </c>
      <c r="G18" s="102">
        <f t="shared" si="2"/>
        <v>2250</v>
      </c>
      <c r="H18" s="103">
        <f t="shared" si="2"/>
        <v>2625</v>
      </c>
    </row>
    <row r="19" spans="1:8" x14ac:dyDescent="0.2">
      <c r="B19" s="16"/>
      <c r="C19" s="100"/>
      <c r="D19" s="100"/>
      <c r="E19" s="100"/>
      <c r="F19" s="100"/>
      <c r="G19" s="100"/>
      <c r="H19" s="101"/>
    </row>
    <row r="20" spans="1:8" x14ac:dyDescent="0.2">
      <c r="B20" s="16" t="s">
        <v>5</v>
      </c>
      <c r="C20" s="102">
        <f>F7</f>
        <v>1000</v>
      </c>
      <c r="D20" s="102">
        <f>C26</f>
        <v>1000</v>
      </c>
      <c r="E20" s="102">
        <f>D26</f>
        <v>1500</v>
      </c>
      <c r="F20" s="102">
        <f>E26</f>
        <v>2000</v>
      </c>
      <c r="G20" s="102">
        <f>F26</f>
        <v>2500</v>
      </c>
      <c r="H20" s="103">
        <f>G26</f>
        <v>3000</v>
      </c>
    </row>
    <row r="21" spans="1:8" x14ac:dyDescent="0.2">
      <c r="B21" s="16" t="s">
        <v>115</v>
      </c>
      <c r="C21" s="17">
        <v>1000</v>
      </c>
      <c r="D21" s="36">
        <f>D11+D15-D14</f>
        <v>2000</v>
      </c>
      <c r="E21" s="36">
        <f>E11+E15-E14</f>
        <v>2500</v>
      </c>
      <c r="F21" s="36">
        <f>F11+F15-F14</f>
        <v>3000</v>
      </c>
      <c r="G21" s="36">
        <f>G11+G15-G14</f>
        <v>3500</v>
      </c>
      <c r="H21" s="79">
        <f>H11+H15-H14</f>
        <v>4000</v>
      </c>
    </row>
    <row r="22" spans="1:8" x14ac:dyDescent="0.2">
      <c r="B22" s="16" t="s">
        <v>116</v>
      </c>
      <c r="C22" s="104">
        <f t="shared" ref="C22:H22" si="3">$C$6</f>
        <v>0.75</v>
      </c>
      <c r="D22" s="104">
        <f t="shared" si="3"/>
        <v>0.75</v>
      </c>
      <c r="E22" s="104">
        <f t="shared" si="3"/>
        <v>0.75</v>
      </c>
      <c r="F22" s="104">
        <f t="shared" si="3"/>
        <v>0.75</v>
      </c>
      <c r="G22" s="104">
        <f t="shared" si="3"/>
        <v>0.75</v>
      </c>
      <c r="H22" s="105">
        <f t="shared" si="3"/>
        <v>0.75</v>
      </c>
    </row>
    <row r="23" spans="1:8" x14ac:dyDescent="0.2">
      <c r="B23" s="19" t="s">
        <v>6</v>
      </c>
      <c r="C23" s="106">
        <f t="shared" ref="C23:H23" si="4">C22*C21</f>
        <v>750</v>
      </c>
      <c r="D23" s="106">
        <f t="shared" si="4"/>
        <v>1500</v>
      </c>
      <c r="E23" s="106">
        <f t="shared" si="4"/>
        <v>1875</v>
      </c>
      <c r="F23" s="106">
        <f t="shared" si="4"/>
        <v>2250</v>
      </c>
      <c r="G23" s="106">
        <f t="shared" si="4"/>
        <v>2625</v>
      </c>
      <c r="H23" s="107">
        <f t="shared" si="4"/>
        <v>3000</v>
      </c>
    </row>
    <row r="24" spans="1:8" x14ac:dyDescent="0.2">
      <c r="A24" s="1" t="s">
        <v>118</v>
      </c>
    </row>
    <row r="25" spans="1:8" x14ac:dyDescent="0.2">
      <c r="B25" s="84" t="s">
        <v>93</v>
      </c>
      <c r="C25" s="85">
        <f t="shared" ref="C25:H25" si="5">C17-C18</f>
        <v>250</v>
      </c>
      <c r="D25" s="85">
        <f t="shared" si="5"/>
        <v>375</v>
      </c>
      <c r="E25" s="85">
        <f t="shared" si="5"/>
        <v>500</v>
      </c>
      <c r="F25" s="85">
        <f t="shared" si="5"/>
        <v>625</v>
      </c>
      <c r="G25" s="85">
        <f t="shared" si="5"/>
        <v>750</v>
      </c>
      <c r="H25" s="86">
        <f t="shared" si="5"/>
        <v>875</v>
      </c>
    </row>
    <row r="26" spans="1:8" x14ac:dyDescent="0.2">
      <c r="B26" s="87" t="s">
        <v>7</v>
      </c>
      <c r="C26" s="108">
        <f t="shared" ref="C26:H26" si="6">C17</f>
        <v>1000</v>
      </c>
      <c r="D26" s="108">
        <f>D17</f>
        <v>1500</v>
      </c>
      <c r="E26" s="108">
        <f t="shared" si="6"/>
        <v>2000</v>
      </c>
      <c r="F26" s="108">
        <f t="shared" si="6"/>
        <v>2500</v>
      </c>
      <c r="G26" s="108">
        <f t="shared" si="6"/>
        <v>3000</v>
      </c>
      <c r="H26" s="109">
        <f t="shared" si="6"/>
        <v>3500</v>
      </c>
    </row>
    <row r="27" spans="1:8" x14ac:dyDescent="0.2">
      <c r="B27" s="87" t="s">
        <v>119</v>
      </c>
      <c r="C27" s="110">
        <f t="shared" ref="C27:H27" si="7">C15*C22</f>
        <v>750</v>
      </c>
      <c r="D27" s="110">
        <f t="shared" si="7"/>
        <v>1125</v>
      </c>
      <c r="E27" s="110">
        <f t="shared" si="7"/>
        <v>1500</v>
      </c>
      <c r="F27" s="110">
        <f t="shared" si="7"/>
        <v>1875</v>
      </c>
      <c r="G27" s="110">
        <f t="shared" si="7"/>
        <v>2250</v>
      </c>
      <c r="H27" s="111">
        <f t="shared" si="7"/>
        <v>2625</v>
      </c>
    </row>
    <row r="28" spans="1:8" x14ac:dyDescent="0.2">
      <c r="B28" s="90" t="s">
        <v>120</v>
      </c>
      <c r="C28" s="112">
        <f>F5+C20-C23</f>
        <v>1125</v>
      </c>
      <c r="D28" s="112">
        <f>C28+D20-D23</f>
        <v>625</v>
      </c>
      <c r="E28" s="112">
        <f>D28+E20-E23</f>
        <v>250</v>
      </c>
      <c r="F28" s="112">
        <f>E28+F20-F23</f>
        <v>0</v>
      </c>
      <c r="G28" s="112">
        <f>F28+G20-G23</f>
        <v>-125</v>
      </c>
      <c r="H28" s="113">
        <f>G28+H20-H23</f>
        <v>-125</v>
      </c>
    </row>
    <row r="30" spans="1:8" x14ac:dyDescent="0.2">
      <c r="B30" s="93" t="s">
        <v>8</v>
      </c>
    </row>
  </sheetData>
  <phoneticPr fontId="1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0"/>
  <sheetViews>
    <sheetView tabSelected="1" workbookViewId="0">
      <selection activeCell="G16" sqref="G16"/>
    </sheetView>
  </sheetViews>
  <sheetFormatPr defaultRowHeight="12.75" x14ac:dyDescent="0.2"/>
  <cols>
    <col min="1" max="1" width="11.28515625" customWidth="1"/>
    <col min="3" max="3" width="6.85546875" customWidth="1"/>
    <col min="4" max="4" width="7.85546875" customWidth="1"/>
    <col min="5" max="9" width="6.85546875" customWidth="1"/>
  </cols>
  <sheetData>
    <row r="1" spans="1:13" x14ac:dyDescent="0.2">
      <c r="A1" s="1" t="s">
        <v>210</v>
      </c>
    </row>
    <row r="3" spans="1:13" x14ac:dyDescent="0.2">
      <c r="A3" s="1" t="s">
        <v>211</v>
      </c>
      <c r="B3" s="270" t="s">
        <v>72</v>
      </c>
      <c r="C3" s="270" t="s">
        <v>35</v>
      </c>
      <c r="D3" s="270" t="s">
        <v>212</v>
      </c>
      <c r="E3" s="270" t="s">
        <v>213</v>
      </c>
      <c r="F3" s="270" t="s">
        <v>214</v>
      </c>
      <c r="G3" s="270" t="s">
        <v>97</v>
      </c>
      <c r="H3" s="270" t="s">
        <v>70</v>
      </c>
      <c r="I3" s="281" t="s">
        <v>401</v>
      </c>
      <c r="J3" s="282"/>
      <c r="K3" s="270" t="s">
        <v>215</v>
      </c>
      <c r="L3" s="270" t="s">
        <v>216</v>
      </c>
      <c r="M3" s="270" t="s">
        <v>402</v>
      </c>
    </row>
    <row r="4" spans="1:13" x14ac:dyDescent="0.2">
      <c r="A4" s="271" t="s">
        <v>217</v>
      </c>
      <c r="B4" s="272">
        <v>30</v>
      </c>
      <c r="C4" s="273">
        <v>3</v>
      </c>
      <c r="D4" s="48">
        <v>2</v>
      </c>
      <c r="E4" s="14"/>
      <c r="F4" s="14"/>
      <c r="G4" s="15"/>
      <c r="H4" s="41">
        <f>SUMPRODUCT(D4:G4,$D$10:$G$10)</f>
        <v>6000</v>
      </c>
      <c r="I4" s="283">
        <f>CEILING(H4/B4,1)</f>
        <v>200</v>
      </c>
      <c r="J4" s="284" t="s">
        <v>218</v>
      </c>
      <c r="K4" s="294">
        <v>0</v>
      </c>
      <c r="L4" s="300">
        <f>MAX(0,I4-K4)</f>
        <v>200</v>
      </c>
      <c r="M4" s="301">
        <f>C4*L4</f>
        <v>600</v>
      </c>
    </row>
    <row r="5" spans="1:13" x14ac:dyDescent="0.2">
      <c r="A5" s="274" t="s">
        <v>219</v>
      </c>
      <c r="B5" s="275">
        <v>30</v>
      </c>
      <c r="C5" s="276">
        <v>5</v>
      </c>
      <c r="D5" s="16"/>
      <c r="E5" s="17">
        <v>2</v>
      </c>
      <c r="F5" s="17"/>
      <c r="G5" s="18"/>
      <c r="H5" s="9">
        <f>SUMPRODUCT(D5:G5,$D$10:$G$10)</f>
        <v>5000</v>
      </c>
      <c r="I5" s="285">
        <f>CEILING(H5/B5,1)</f>
        <v>167</v>
      </c>
      <c r="J5" s="286" t="s">
        <v>218</v>
      </c>
      <c r="K5" s="295">
        <v>0</v>
      </c>
      <c r="L5" s="200">
        <f>MAX(0,I5-K5)</f>
        <v>167</v>
      </c>
      <c r="M5" s="74">
        <f>C5*L5</f>
        <v>835</v>
      </c>
    </row>
    <row r="6" spans="1:13" x14ac:dyDescent="0.2">
      <c r="A6" s="274" t="s">
        <v>220</v>
      </c>
      <c r="B6" s="275">
        <v>30</v>
      </c>
      <c r="C6" s="276">
        <v>6</v>
      </c>
      <c r="D6" s="16"/>
      <c r="E6" s="17"/>
      <c r="F6" s="17">
        <v>2</v>
      </c>
      <c r="G6" s="18">
        <v>2</v>
      </c>
      <c r="H6" s="9">
        <f>SUMPRODUCT(D6:G6,$D$10:$G$10)</f>
        <v>19000</v>
      </c>
      <c r="I6" s="285">
        <f>CEILING(H6/B6,1)</f>
        <v>634</v>
      </c>
      <c r="J6" s="286" t="s">
        <v>218</v>
      </c>
      <c r="K6" s="295">
        <v>0</v>
      </c>
      <c r="L6" s="200">
        <f>MAX(0,I6-K6)</f>
        <v>634</v>
      </c>
      <c r="M6" s="74">
        <f>C6*L6</f>
        <v>3804</v>
      </c>
    </row>
    <row r="7" spans="1:13" x14ac:dyDescent="0.2">
      <c r="A7" s="274" t="s">
        <v>221</v>
      </c>
      <c r="B7" s="275">
        <v>2</v>
      </c>
      <c r="C7" s="276">
        <v>2.5</v>
      </c>
      <c r="D7" s="16">
        <v>1</v>
      </c>
      <c r="E7" s="17">
        <v>1</v>
      </c>
      <c r="F7" s="17">
        <v>1</v>
      </c>
      <c r="G7" s="18">
        <v>1</v>
      </c>
      <c r="H7" s="9">
        <f>SUMPRODUCT(D7:G7,$D$10:$G$10)</f>
        <v>15000</v>
      </c>
      <c r="I7" s="285">
        <f>CEILING(SUM(I4:I6)/B7,1)</f>
        <v>501</v>
      </c>
      <c r="J7" s="286" t="s">
        <v>222</v>
      </c>
      <c r="K7" s="295">
        <v>0</v>
      </c>
      <c r="L7" s="200">
        <f>MAX(0,I7-K7)</f>
        <v>501</v>
      </c>
      <c r="M7" s="74">
        <f>C7*L7</f>
        <v>1252.5</v>
      </c>
    </row>
    <row r="8" spans="1:13" x14ac:dyDescent="0.2">
      <c r="A8" s="277" t="s">
        <v>223</v>
      </c>
      <c r="B8" s="278">
        <v>1</v>
      </c>
      <c r="C8" s="279">
        <v>5</v>
      </c>
      <c r="D8" s="19"/>
      <c r="E8" s="20"/>
      <c r="F8" s="297">
        <v>0.05</v>
      </c>
      <c r="G8" s="21"/>
      <c r="H8" s="10"/>
      <c r="I8" s="287">
        <f>CEILING(SUMPRODUCT(D8:G8,$D$10:$G$10),1)</f>
        <v>25</v>
      </c>
      <c r="J8" s="288" t="s">
        <v>224</v>
      </c>
      <c r="K8" s="296">
        <v>0</v>
      </c>
      <c r="L8" s="302">
        <f>MAX(0,I8-K8)</f>
        <v>25</v>
      </c>
      <c r="M8" s="303">
        <f>C8*L8</f>
        <v>125</v>
      </c>
    </row>
    <row r="10" spans="1:13" x14ac:dyDescent="0.2">
      <c r="A10" s="289" t="s">
        <v>225</v>
      </c>
      <c r="B10" s="290"/>
      <c r="C10" s="291"/>
      <c r="D10" s="292">
        <v>3000</v>
      </c>
      <c r="E10" s="292">
        <v>2500</v>
      </c>
      <c r="F10" s="292">
        <v>500</v>
      </c>
      <c r="G10" s="293">
        <v>9000</v>
      </c>
      <c r="K10" s="298" t="s">
        <v>263</v>
      </c>
      <c r="L10" s="299"/>
      <c r="M10" s="280">
        <f>SUM(M4:M8)</f>
        <v>6616.5</v>
      </c>
    </row>
  </sheetData>
  <mergeCells count="3">
    <mergeCell ref="I3:J3"/>
    <mergeCell ref="A10:C10"/>
    <mergeCell ref="K10:L10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H4:H7 I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9"/>
  <sheetViews>
    <sheetView workbookViewId="0">
      <selection activeCell="H23" sqref="H23"/>
    </sheetView>
  </sheetViews>
  <sheetFormatPr defaultColWidth="8.85546875" defaultRowHeight="12.75" x14ac:dyDescent="0.2"/>
  <cols>
    <col min="1" max="1" width="15.7109375" customWidth="1"/>
    <col min="2" max="2" width="11" bestFit="1" customWidth="1"/>
    <col min="3" max="3" width="12.28515625" customWidth="1"/>
    <col min="4" max="4" width="9.7109375" bestFit="1" customWidth="1"/>
    <col min="5" max="5" width="4.42578125" customWidth="1"/>
    <col min="6" max="6" width="11.7109375" bestFit="1" customWidth="1"/>
    <col min="7" max="7" width="13.28515625" bestFit="1" customWidth="1"/>
    <col min="8" max="8" width="12.7109375" customWidth="1"/>
    <col min="9" max="9" width="8.85546875" customWidth="1"/>
    <col min="10" max="10" width="7.7109375" customWidth="1"/>
    <col min="11" max="11" width="9.5703125" customWidth="1"/>
    <col min="12" max="14" width="7.7109375" customWidth="1"/>
  </cols>
  <sheetData>
    <row r="1" spans="1:9" x14ac:dyDescent="0.2">
      <c r="A1" s="1" t="s">
        <v>226</v>
      </c>
    </row>
    <row r="3" spans="1:9" x14ac:dyDescent="0.2">
      <c r="A3" s="1" t="s">
        <v>71</v>
      </c>
      <c r="F3" s="3" t="s">
        <v>227</v>
      </c>
    </row>
    <row r="4" spans="1:9" x14ac:dyDescent="0.2">
      <c r="A4" s="168" t="s">
        <v>228</v>
      </c>
      <c r="B4" s="48" t="s">
        <v>229</v>
      </c>
      <c r="C4" s="94">
        <v>0.55000000000000004</v>
      </c>
      <c r="D4" s="15" t="s">
        <v>230</v>
      </c>
      <c r="F4" s="48" t="s">
        <v>231</v>
      </c>
      <c r="G4" s="14" t="s">
        <v>232</v>
      </c>
      <c r="H4" s="169">
        <f>C21</f>
        <v>750000</v>
      </c>
      <c r="I4" s="15"/>
    </row>
    <row r="5" spans="1:9" x14ac:dyDescent="0.2">
      <c r="A5" s="168"/>
      <c r="B5" s="16" t="s">
        <v>233</v>
      </c>
      <c r="C5" s="38">
        <v>2.5</v>
      </c>
      <c r="D5" s="18" t="s">
        <v>234</v>
      </c>
      <c r="F5" s="16" t="s">
        <v>235</v>
      </c>
      <c r="G5" s="17" t="s">
        <v>236</v>
      </c>
      <c r="H5" s="170">
        <f>C6*H4</f>
        <v>37500</v>
      </c>
      <c r="I5" s="18"/>
    </row>
    <row r="6" spans="1:9" x14ac:dyDescent="0.2">
      <c r="A6" s="168"/>
      <c r="B6" s="16" t="s">
        <v>237</v>
      </c>
      <c r="C6" s="38">
        <v>0.05</v>
      </c>
      <c r="D6" s="18" t="s">
        <v>234</v>
      </c>
      <c r="F6" s="16"/>
      <c r="G6" s="17" t="s">
        <v>238</v>
      </c>
      <c r="H6" s="75">
        <f>C4*H5</f>
        <v>20625</v>
      </c>
      <c r="I6" s="18"/>
    </row>
    <row r="7" spans="1:9" x14ac:dyDescent="0.2">
      <c r="A7" s="168"/>
      <c r="B7" s="16" t="s">
        <v>239</v>
      </c>
      <c r="C7" s="96">
        <v>0.2</v>
      </c>
      <c r="D7" s="18" t="s">
        <v>230</v>
      </c>
      <c r="F7" s="16"/>
      <c r="G7" s="17" t="s">
        <v>240</v>
      </c>
      <c r="H7" s="170">
        <f>H4*C5</f>
        <v>1875000</v>
      </c>
      <c r="I7" s="18"/>
    </row>
    <row r="8" spans="1:9" x14ac:dyDescent="0.2">
      <c r="A8" s="168"/>
      <c r="B8" s="16" t="s">
        <v>241</v>
      </c>
      <c r="C8" s="96">
        <v>0.45</v>
      </c>
      <c r="D8" s="18" t="s">
        <v>230</v>
      </c>
      <c r="F8" s="16"/>
      <c r="G8" s="17" t="s">
        <v>242</v>
      </c>
      <c r="H8" s="170">
        <f>MIN(H7,C15)</f>
        <v>1000000</v>
      </c>
      <c r="I8" s="171">
        <f>C14</f>
        <v>0.25</v>
      </c>
    </row>
    <row r="9" spans="1:9" x14ac:dyDescent="0.2">
      <c r="A9" s="168"/>
      <c r="B9" s="16"/>
      <c r="C9" s="96"/>
      <c r="D9" s="18"/>
      <c r="F9" s="16"/>
      <c r="G9" s="172" t="s">
        <v>243</v>
      </c>
      <c r="H9" s="170">
        <f>MAX(0,C15-H8)</f>
        <v>0</v>
      </c>
      <c r="I9" s="171">
        <f>I8</f>
        <v>0.25</v>
      </c>
    </row>
    <row r="10" spans="1:9" x14ac:dyDescent="0.2">
      <c r="A10" s="168"/>
      <c r="B10" s="16" t="s">
        <v>36</v>
      </c>
      <c r="C10" s="173">
        <v>1500000</v>
      </c>
      <c r="D10" s="18" t="s">
        <v>244</v>
      </c>
      <c r="F10" s="16"/>
      <c r="G10" s="17" t="s">
        <v>245</v>
      </c>
      <c r="H10" s="170">
        <f>H7-H8</f>
        <v>875000</v>
      </c>
      <c r="I10" s="171">
        <f>C12</f>
        <v>0.3</v>
      </c>
    </row>
    <row r="11" spans="1:9" x14ac:dyDescent="0.2">
      <c r="A11" s="168"/>
      <c r="B11" s="16" t="s">
        <v>246</v>
      </c>
      <c r="C11" s="75">
        <v>200000</v>
      </c>
      <c r="D11" s="18"/>
      <c r="F11" s="16"/>
      <c r="G11" s="17" t="s">
        <v>247</v>
      </c>
      <c r="H11" s="75">
        <f>SUMPRODUCT(H8:H10,I8:I10)</f>
        <v>512500</v>
      </c>
      <c r="I11" s="18"/>
    </row>
    <row r="12" spans="1:9" x14ac:dyDescent="0.2">
      <c r="A12" s="168" t="s">
        <v>248</v>
      </c>
      <c r="B12" s="19" t="s">
        <v>249</v>
      </c>
      <c r="C12" s="174">
        <v>0.3</v>
      </c>
      <c r="D12" s="175" t="s">
        <v>250</v>
      </c>
      <c r="F12" s="16" t="s">
        <v>251</v>
      </c>
      <c r="G12" s="17"/>
      <c r="H12" s="176">
        <f>H6+H11</f>
        <v>533125</v>
      </c>
      <c r="I12" s="18"/>
    </row>
    <row r="13" spans="1:9" x14ac:dyDescent="0.2">
      <c r="A13" s="28"/>
      <c r="B13" s="17"/>
      <c r="C13" s="17"/>
      <c r="D13" s="17"/>
      <c r="F13" s="16" t="s">
        <v>29</v>
      </c>
      <c r="G13" s="17"/>
      <c r="H13" s="176">
        <f>C11</f>
        <v>200000</v>
      </c>
      <c r="I13" s="18"/>
    </row>
    <row r="14" spans="1:9" x14ac:dyDescent="0.2">
      <c r="A14" s="168" t="s">
        <v>252</v>
      </c>
      <c r="B14" s="48" t="s">
        <v>247</v>
      </c>
      <c r="C14" s="94">
        <v>0.25</v>
      </c>
      <c r="D14" s="15" t="s">
        <v>230</v>
      </c>
      <c r="F14" s="16" t="s">
        <v>253</v>
      </c>
      <c r="G14" s="17"/>
      <c r="H14" s="17"/>
      <c r="I14" s="18"/>
    </row>
    <row r="15" spans="1:9" x14ac:dyDescent="0.2">
      <c r="A15" s="168"/>
      <c r="B15" s="19" t="s">
        <v>39</v>
      </c>
      <c r="C15" s="158">
        <v>1000000</v>
      </c>
      <c r="D15" s="21" t="s">
        <v>254</v>
      </c>
      <c r="F15" s="16"/>
      <c r="G15" s="17" t="s">
        <v>36</v>
      </c>
      <c r="H15" s="173">
        <f>C10</f>
        <v>1500000</v>
      </c>
      <c r="I15" s="18"/>
    </row>
    <row r="16" spans="1:9" x14ac:dyDescent="0.2">
      <c r="F16" s="16"/>
      <c r="G16" s="17" t="s">
        <v>255</v>
      </c>
      <c r="H16" s="170">
        <f>MIN(H15,H7)</f>
        <v>1500000</v>
      </c>
      <c r="I16" s="171">
        <f>C7</f>
        <v>0.2</v>
      </c>
    </row>
    <row r="17" spans="1:9" x14ac:dyDescent="0.2">
      <c r="A17" s="168" t="s">
        <v>256</v>
      </c>
      <c r="B17" s="48" t="s">
        <v>257</v>
      </c>
      <c r="C17" s="94">
        <v>2.2000000000000002</v>
      </c>
      <c r="D17" s="15" t="s">
        <v>230</v>
      </c>
      <c r="F17" s="16"/>
      <c r="G17" s="17" t="s">
        <v>258</v>
      </c>
      <c r="H17" s="170">
        <f>H7-H16</f>
        <v>375000</v>
      </c>
      <c r="I17" s="171">
        <f>C8</f>
        <v>0.45</v>
      </c>
    </row>
    <row r="18" spans="1:9" x14ac:dyDescent="0.2">
      <c r="A18" s="168"/>
      <c r="B18" s="16" t="s">
        <v>259</v>
      </c>
      <c r="C18" s="173">
        <v>750000</v>
      </c>
      <c r="D18" s="18" t="s">
        <v>254</v>
      </c>
      <c r="F18" s="16"/>
      <c r="G18" s="17" t="s">
        <v>260</v>
      </c>
      <c r="H18" s="75">
        <f>SUMPRODUCT(H16:H17,I16:I17)</f>
        <v>468750</v>
      </c>
      <c r="I18" s="18"/>
    </row>
    <row r="19" spans="1:9" x14ac:dyDescent="0.2">
      <c r="A19" s="168"/>
      <c r="B19" s="16" t="s">
        <v>261</v>
      </c>
      <c r="C19" s="177">
        <v>15000</v>
      </c>
      <c r="D19" s="18" t="s">
        <v>262</v>
      </c>
      <c r="F19" s="16" t="s">
        <v>263</v>
      </c>
      <c r="G19" s="17"/>
      <c r="H19" s="176">
        <f>H12+H13+H18</f>
        <v>1201875</v>
      </c>
      <c r="I19" s="18"/>
    </row>
    <row r="20" spans="1:9" x14ac:dyDescent="0.2">
      <c r="A20" s="168"/>
      <c r="B20" s="16" t="s">
        <v>264</v>
      </c>
      <c r="C20" s="178">
        <v>2.2000000000000002</v>
      </c>
      <c r="D20" s="18" t="s">
        <v>230</v>
      </c>
      <c r="F20" s="16"/>
      <c r="G20" s="17"/>
      <c r="H20" s="17"/>
      <c r="I20" s="18"/>
    </row>
    <row r="21" spans="1:9" x14ac:dyDescent="0.2">
      <c r="A21" s="168"/>
      <c r="B21" s="19" t="s">
        <v>265</v>
      </c>
      <c r="C21" s="179">
        <f>C18-C19*(C20-C17)/0.01</f>
        <v>750000</v>
      </c>
      <c r="D21" s="21" t="s">
        <v>254</v>
      </c>
      <c r="F21" s="16" t="s">
        <v>34</v>
      </c>
      <c r="G21" s="17"/>
      <c r="H21" s="75">
        <f>C20*C21</f>
        <v>1650000.0000000002</v>
      </c>
      <c r="I21" s="18"/>
    </row>
    <row r="22" spans="1:9" x14ac:dyDescent="0.2">
      <c r="F22" s="16"/>
      <c r="G22" s="17"/>
      <c r="H22" s="17"/>
      <c r="I22" s="18"/>
    </row>
    <row r="23" spans="1:9" x14ac:dyDescent="0.2">
      <c r="F23" s="19" t="s">
        <v>96</v>
      </c>
      <c r="G23" s="20"/>
      <c r="H23" s="180">
        <f>H21-H19</f>
        <v>448125.00000000023</v>
      </c>
      <c r="I23" s="21"/>
    </row>
    <row r="25" spans="1:9" x14ac:dyDescent="0.2">
      <c r="F25" t="s">
        <v>96</v>
      </c>
      <c r="G25" t="s">
        <v>252</v>
      </c>
      <c r="H25" s="181">
        <v>448125</v>
      </c>
    </row>
    <row r="26" spans="1:9" x14ac:dyDescent="0.2">
      <c r="G26" t="s">
        <v>266</v>
      </c>
      <c r="H26" s="182">
        <f>H23-H25</f>
        <v>0</v>
      </c>
    </row>
    <row r="27" spans="1:9" x14ac:dyDescent="0.2">
      <c r="A27" s="168"/>
    </row>
    <row r="28" spans="1:9" x14ac:dyDescent="0.2">
      <c r="A28" s="168"/>
    </row>
    <row r="29" spans="1:9" x14ac:dyDescent="0.2">
      <c r="A29" s="168"/>
    </row>
  </sheetData>
  <phoneticPr fontId="1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32"/>
  <sheetViews>
    <sheetView zoomScale="90" workbookViewId="0">
      <selection activeCell="F8" sqref="F8"/>
    </sheetView>
  </sheetViews>
  <sheetFormatPr defaultColWidth="8.85546875" defaultRowHeight="12.75" x14ac:dyDescent="0.2"/>
  <cols>
    <col min="1" max="2" width="13.42578125" bestFit="1" customWidth="1"/>
    <col min="3" max="6" width="11.7109375" customWidth="1"/>
    <col min="7" max="7" width="13.7109375" customWidth="1"/>
    <col min="8" max="9" width="8.85546875" customWidth="1"/>
    <col min="10" max="10" width="12.42578125" customWidth="1"/>
  </cols>
  <sheetData>
    <row r="1" spans="1:7" x14ac:dyDescent="0.2">
      <c r="A1" s="1" t="s">
        <v>267</v>
      </c>
    </row>
    <row r="3" spans="1:7" x14ac:dyDescent="0.2">
      <c r="A3" s="17" t="s">
        <v>71</v>
      </c>
      <c r="B3" s="48" t="s">
        <v>268</v>
      </c>
      <c r="C3" s="14">
        <v>50</v>
      </c>
      <c r="D3" s="14" t="s">
        <v>269</v>
      </c>
      <c r="E3" s="211">
        <v>400000</v>
      </c>
      <c r="F3" s="14" t="s">
        <v>270</v>
      </c>
      <c r="G3" s="212">
        <v>0.03</v>
      </c>
    </row>
    <row r="4" spans="1:7" x14ac:dyDescent="0.2">
      <c r="A4" s="17"/>
      <c r="B4" s="16" t="s">
        <v>271</v>
      </c>
      <c r="C4" s="184">
        <v>0.3</v>
      </c>
      <c r="D4" s="17" t="s">
        <v>272</v>
      </c>
      <c r="E4" s="75">
        <v>1000</v>
      </c>
      <c r="F4" s="17" t="s">
        <v>273</v>
      </c>
      <c r="G4" s="183">
        <v>0.09</v>
      </c>
    </row>
    <row r="5" spans="1:7" x14ac:dyDescent="0.2">
      <c r="A5" s="17"/>
      <c r="B5" s="16" t="s">
        <v>274</v>
      </c>
      <c r="C5" s="185">
        <v>0.1</v>
      </c>
      <c r="D5" s="17" t="s">
        <v>275</v>
      </c>
      <c r="E5" s="184">
        <v>0.62</v>
      </c>
      <c r="F5" s="17" t="s">
        <v>276</v>
      </c>
      <c r="G5" s="18">
        <v>3</v>
      </c>
    </row>
    <row r="6" spans="1:7" x14ac:dyDescent="0.2">
      <c r="A6" s="17"/>
      <c r="B6" s="19"/>
      <c r="C6" s="186"/>
      <c r="D6" s="20" t="s">
        <v>277</v>
      </c>
      <c r="E6" s="187">
        <v>7.0000000000000007E-2</v>
      </c>
      <c r="F6" s="20"/>
      <c r="G6" s="21"/>
    </row>
    <row r="8" spans="1:7" x14ac:dyDescent="0.2">
      <c r="A8" t="s">
        <v>38</v>
      </c>
      <c r="B8" t="s">
        <v>278</v>
      </c>
      <c r="C8" s="188">
        <v>0</v>
      </c>
      <c r="E8" t="s">
        <v>279</v>
      </c>
      <c r="F8" s="63">
        <f>NPV(C5,C31:G31)-E3</f>
        <v>55121.922977814334</v>
      </c>
    </row>
    <row r="10" spans="1:7" x14ac:dyDescent="0.2">
      <c r="B10" s="189"/>
      <c r="C10" s="190" t="s">
        <v>280</v>
      </c>
      <c r="D10" s="190" t="s">
        <v>281</v>
      </c>
      <c r="E10" s="190" t="s">
        <v>282</v>
      </c>
      <c r="F10" s="190" t="s">
        <v>283</v>
      </c>
      <c r="G10" s="191" t="s">
        <v>284</v>
      </c>
    </row>
    <row r="11" spans="1:7" x14ac:dyDescent="0.2">
      <c r="A11" t="s">
        <v>285</v>
      </c>
      <c r="B11" s="16" t="s">
        <v>286</v>
      </c>
      <c r="C11" s="192">
        <f>$E$4</f>
        <v>1000</v>
      </c>
      <c r="D11" s="193">
        <f t="shared" ref="D11:G12" si="0">C11</f>
        <v>1000</v>
      </c>
      <c r="E11" s="193">
        <f t="shared" si="0"/>
        <v>1000</v>
      </c>
      <c r="F11" s="193">
        <f t="shared" si="0"/>
        <v>1000</v>
      </c>
      <c r="G11" s="194">
        <f t="shared" si="0"/>
        <v>1000</v>
      </c>
    </row>
    <row r="12" spans="1:7" x14ac:dyDescent="0.2">
      <c r="B12" s="16" t="s">
        <v>287</v>
      </c>
      <c r="C12" s="195">
        <f>C11+$C$8</f>
        <v>1000</v>
      </c>
      <c r="D12" s="75">
        <f>C12</f>
        <v>1000</v>
      </c>
      <c r="E12" s="196">
        <f t="shared" si="0"/>
        <v>1000</v>
      </c>
      <c r="F12" s="196">
        <f t="shared" si="0"/>
        <v>1000</v>
      </c>
      <c r="G12" s="197">
        <f t="shared" si="0"/>
        <v>1000</v>
      </c>
    </row>
    <row r="13" spans="1:7" x14ac:dyDescent="0.2">
      <c r="B13" s="16" t="s">
        <v>288</v>
      </c>
      <c r="C13" s="198">
        <f>$E$5</f>
        <v>0.62</v>
      </c>
      <c r="D13" s="199">
        <f>C13</f>
        <v>0.62</v>
      </c>
      <c r="E13" s="199">
        <f>D13</f>
        <v>0.62</v>
      </c>
      <c r="F13" s="199">
        <f>E13</f>
        <v>0.62</v>
      </c>
      <c r="G13" s="183">
        <f>F13</f>
        <v>0.62</v>
      </c>
    </row>
    <row r="14" spans="1:7" x14ac:dyDescent="0.2">
      <c r="B14" s="16" t="s">
        <v>289</v>
      </c>
      <c r="C14" s="198">
        <f>MIN(1,C13-$E$6*$C$8/100)</f>
        <v>0.62</v>
      </c>
      <c r="D14" s="199">
        <f>MIN(1,D13-$E$6*$C$8/100)</f>
        <v>0.62</v>
      </c>
      <c r="E14" s="199">
        <f>MIN(1,E13-$E$6*$C$8/100)</f>
        <v>0.62</v>
      </c>
      <c r="F14" s="199">
        <f>MIN(1,F13-$E$6*$C$8/100)</f>
        <v>0.62</v>
      </c>
      <c r="G14" s="183">
        <f>MIN(1,G13-$E$6*$C$8/100)</f>
        <v>0.62</v>
      </c>
    </row>
    <row r="15" spans="1:7" x14ac:dyDescent="0.2">
      <c r="B15" s="16"/>
      <c r="C15" s="16"/>
      <c r="D15" s="17"/>
      <c r="E15" s="17"/>
      <c r="F15" s="17"/>
      <c r="G15" s="18"/>
    </row>
    <row r="16" spans="1:7" x14ac:dyDescent="0.2">
      <c r="B16" s="16" t="s">
        <v>290</v>
      </c>
      <c r="C16" s="200">
        <f>C14*$C$3</f>
        <v>31</v>
      </c>
      <c r="D16" s="36">
        <f>D14*$C$3</f>
        <v>31</v>
      </c>
      <c r="E16" s="36">
        <f>E14*$C$3</f>
        <v>31</v>
      </c>
      <c r="F16" s="36">
        <f>F14*$C$3</f>
        <v>31</v>
      </c>
      <c r="G16" s="79">
        <f>G14*$C$3</f>
        <v>31</v>
      </c>
    </row>
    <row r="17" spans="1:7" x14ac:dyDescent="0.2">
      <c r="B17" s="16" t="s">
        <v>291</v>
      </c>
      <c r="C17" s="195">
        <f>C16*C12</f>
        <v>31000</v>
      </c>
      <c r="D17" s="75">
        <f>D16*D12</f>
        <v>31000</v>
      </c>
      <c r="E17" s="75">
        <f>E16*E12</f>
        <v>31000</v>
      </c>
      <c r="F17" s="75">
        <f>F16*F12</f>
        <v>31000</v>
      </c>
      <c r="G17" s="76">
        <f>G16*G12</f>
        <v>31000</v>
      </c>
    </row>
    <row r="18" spans="1:7" x14ac:dyDescent="0.2">
      <c r="B18" s="16" t="s">
        <v>67</v>
      </c>
      <c r="C18" s="201">
        <f>12*C17</f>
        <v>372000</v>
      </c>
      <c r="D18" s="176">
        <f>12*D17</f>
        <v>372000</v>
      </c>
      <c r="E18" s="176">
        <f>12*E17</f>
        <v>372000</v>
      </c>
      <c r="F18" s="176">
        <f>12*F17</f>
        <v>372000</v>
      </c>
      <c r="G18" s="202">
        <f>12*G17</f>
        <v>372000</v>
      </c>
    </row>
    <row r="19" spans="1:7" x14ac:dyDescent="0.2">
      <c r="A19" t="s">
        <v>90</v>
      </c>
      <c r="B19" s="16"/>
      <c r="C19" s="16"/>
      <c r="D19" s="17"/>
      <c r="E19" s="17"/>
      <c r="F19" s="17"/>
      <c r="G19" s="18"/>
    </row>
    <row r="20" spans="1:7" x14ac:dyDescent="0.2">
      <c r="B20" s="16" t="s">
        <v>292</v>
      </c>
      <c r="C20" s="203">
        <v>4800</v>
      </c>
      <c r="D20" s="204">
        <f>C20*(1+$G$4)</f>
        <v>5232</v>
      </c>
      <c r="E20" s="204">
        <f>D20*(1+$G$4)</f>
        <v>5702.88</v>
      </c>
      <c r="F20" s="204">
        <f>E20*(1+$G$4)</f>
        <v>6216.1392000000005</v>
      </c>
      <c r="G20" s="205">
        <f>F20*(1+$G$4)</f>
        <v>6775.5917280000012</v>
      </c>
    </row>
    <row r="21" spans="1:7" x14ac:dyDescent="0.2">
      <c r="B21" s="16" t="s">
        <v>67</v>
      </c>
      <c r="C21" s="203">
        <f>C20*$C$3</f>
        <v>240000</v>
      </c>
      <c r="D21" s="204">
        <f>D20*$C$3</f>
        <v>261600</v>
      </c>
      <c r="E21" s="204">
        <f>E20*$C$3</f>
        <v>285144</v>
      </c>
      <c r="F21" s="204">
        <f>F20*$C$3</f>
        <v>310806.96000000002</v>
      </c>
      <c r="G21" s="205">
        <f>G20*$C$3</f>
        <v>338779.58640000009</v>
      </c>
    </row>
    <row r="22" spans="1:7" x14ac:dyDescent="0.2">
      <c r="B22" s="16" t="s">
        <v>293</v>
      </c>
      <c r="C22" s="206">
        <v>35000</v>
      </c>
      <c r="D22" s="204">
        <f>C22*(1+$G$3)</f>
        <v>36050</v>
      </c>
      <c r="E22" s="204">
        <f>D22*(1+$G$3)</f>
        <v>37131.5</v>
      </c>
      <c r="F22" s="204">
        <f>E22*(1+$G$3)</f>
        <v>38245.445</v>
      </c>
      <c r="G22" s="205">
        <f>F22*(1+$G$3)</f>
        <v>39392.808349999999</v>
      </c>
    </row>
    <row r="23" spans="1:7" x14ac:dyDescent="0.2">
      <c r="B23" s="16" t="s">
        <v>294</v>
      </c>
      <c r="C23" s="203">
        <v>60000</v>
      </c>
      <c r="D23" s="204">
        <f>C23</f>
        <v>60000</v>
      </c>
      <c r="E23" s="204">
        <f>D23</f>
        <v>60000</v>
      </c>
      <c r="F23" s="204">
        <f>E23</f>
        <v>60000</v>
      </c>
      <c r="G23" s="205">
        <f>F23</f>
        <v>60000</v>
      </c>
    </row>
    <row r="24" spans="1:7" x14ac:dyDescent="0.2">
      <c r="B24" s="16" t="s">
        <v>70</v>
      </c>
      <c r="C24" s="201">
        <f>SUM(C21:C23)</f>
        <v>335000</v>
      </c>
      <c r="D24" s="176">
        <f>SUM(D21:D23)</f>
        <v>357650</v>
      </c>
      <c r="E24" s="176">
        <f>SUM(E21:E23)</f>
        <v>382275.5</v>
      </c>
      <c r="F24" s="176">
        <f>SUM(F21:F23)</f>
        <v>409052.40500000003</v>
      </c>
      <c r="G24" s="202">
        <f>SUM(G21:G23)</f>
        <v>438172.39475000009</v>
      </c>
    </row>
    <row r="25" spans="1:7" x14ac:dyDescent="0.2">
      <c r="B25" s="16"/>
      <c r="C25" s="201"/>
      <c r="D25" s="176"/>
      <c r="E25" s="176"/>
      <c r="F25" s="176"/>
      <c r="G25" s="202"/>
    </row>
    <row r="26" spans="1:7" x14ac:dyDescent="0.2">
      <c r="A26" t="s">
        <v>96</v>
      </c>
      <c r="B26" s="16" t="s">
        <v>154</v>
      </c>
      <c r="C26" s="201">
        <f>C18-C24</f>
        <v>37000</v>
      </c>
      <c r="D26" s="176">
        <f>D18-D24</f>
        <v>14350</v>
      </c>
      <c r="E26" s="176">
        <f>E18-E24</f>
        <v>-10275.5</v>
      </c>
      <c r="F26" s="176">
        <f>F18-F24</f>
        <v>-37052.405000000028</v>
      </c>
      <c r="G26" s="202">
        <f>G18-G24</f>
        <v>-66172.394750000094</v>
      </c>
    </row>
    <row r="27" spans="1:7" x14ac:dyDescent="0.2">
      <c r="B27" s="16" t="s">
        <v>295</v>
      </c>
      <c r="C27" s="201"/>
      <c r="D27" s="176"/>
      <c r="E27" s="176"/>
      <c r="F27" s="176"/>
      <c r="G27" s="202">
        <f>G5*G18</f>
        <v>1116000</v>
      </c>
    </row>
    <row r="28" spans="1:7" x14ac:dyDescent="0.2">
      <c r="B28" s="16" t="s">
        <v>296</v>
      </c>
      <c r="C28" s="201">
        <f>C26+C27</f>
        <v>37000</v>
      </c>
      <c r="D28" s="176">
        <f>D26+D27</f>
        <v>14350</v>
      </c>
      <c r="E28" s="176">
        <f>E26+E27</f>
        <v>-10275.5</v>
      </c>
      <c r="F28" s="176">
        <f>F26+F27</f>
        <v>-37052.405000000028</v>
      </c>
      <c r="G28" s="202">
        <f>G26+G27</f>
        <v>1049827.60525</v>
      </c>
    </row>
    <row r="29" spans="1:7" x14ac:dyDescent="0.2">
      <c r="B29" s="16"/>
      <c r="C29" s="16"/>
      <c r="D29" s="17"/>
      <c r="E29" s="17"/>
      <c r="F29" s="17"/>
      <c r="G29" s="18"/>
    </row>
    <row r="30" spans="1:7" x14ac:dyDescent="0.2">
      <c r="B30" s="16" t="s">
        <v>121</v>
      </c>
      <c r="C30" s="195">
        <f>MAX(0,$C$4*C28)</f>
        <v>11100</v>
      </c>
      <c r="D30" s="75">
        <f>MAX(0,$C$4*D28)</f>
        <v>4305</v>
      </c>
      <c r="E30" s="75">
        <f>MAX(0,$C$4*E28)</f>
        <v>0</v>
      </c>
      <c r="F30" s="75">
        <f>MAX(0,$C$4*F28)</f>
        <v>0</v>
      </c>
      <c r="G30" s="76">
        <f>MAX(0,$C$4*G28)</f>
        <v>314948.28157499997</v>
      </c>
    </row>
    <row r="31" spans="1:7" x14ac:dyDescent="0.2">
      <c r="A31" t="s">
        <v>297</v>
      </c>
      <c r="B31" s="19"/>
      <c r="C31" s="207">
        <f>C28-C30</f>
        <v>25900</v>
      </c>
      <c r="D31" s="208">
        <f>D28-D30</f>
        <v>10045</v>
      </c>
      <c r="E31" s="208">
        <f>E28-E30</f>
        <v>-10275.5</v>
      </c>
      <c r="F31" s="208">
        <f>F28-F30</f>
        <v>-37052.405000000028</v>
      </c>
      <c r="G31" s="209">
        <f>G28-G30</f>
        <v>734879.32367500011</v>
      </c>
    </row>
    <row r="32" spans="1:7" x14ac:dyDescent="0.2">
      <c r="A32" t="s">
        <v>33</v>
      </c>
      <c r="B32" s="210" t="s">
        <v>33</v>
      </c>
    </row>
  </sheetData>
  <phoneticPr fontId="1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6"/>
  <sheetViews>
    <sheetView workbookViewId="0">
      <selection activeCell="E23" sqref="E23"/>
    </sheetView>
  </sheetViews>
  <sheetFormatPr defaultColWidth="8.85546875" defaultRowHeight="12.75" x14ac:dyDescent="0.2"/>
  <cols>
    <col min="1" max="1" width="12.85546875" style="1" customWidth="1"/>
    <col min="2" max="2" width="10.7109375" customWidth="1"/>
    <col min="3" max="3" width="9.7109375" customWidth="1"/>
    <col min="4" max="9" width="8.85546875" customWidth="1"/>
    <col min="10" max="10" width="9.7109375" customWidth="1"/>
  </cols>
  <sheetData>
    <row r="1" spans="1:13" x14ac:dyDescent="0.2">
      <c r="A1" s="1" t="s">
        <v>123</v>
      </c>
    </row>
    <row r="3" spans="1:13" x14ac:dyDescent="0.2">
      <c r="A3" s="54" t="s">
        <v>71</v>
      </c>
      <c r="D3" s="4" t="s">
        <v>91</v>
      </c>
      <c r="H3" s="4" t="s">
        <v>81</v>
      </c>
      <c r="K3" s="50"/>
    </row>
    <row r="4" spans="1:13" x14ac:dyDescent="0.2">
      <c r="A4" s="54"/>
      <c r="B4" s="58" t="s">
        <v>75</v>
      </c>
      <c r="C4" s="135" t="s">
        <v>76</v>
      </c>
      <c r="D4" s="135" t="s">
        <v>65</v>
      </c>
      <c r="E4" s="136" t="s">
        <v>77</v>
      </c>
      <c r="F4" s="22"/>
      <c r="G4" s="137" t="s">
        <v>86</v>
      </c>
      <c r="H4" s="138" t="s">
        <v>87</v>
      </c>
      <c r="I4" s="139" t="s">
        <v>88</v>
      </c>
      <c r="M4" s="50"/>
    </row>
    <row r="5" spans="1:13" x14ac:dyDescent="0.2">
      <c r="A5" s="54"/>
      <c r="B5" s="55">
        <v>1</v>
      </c>
      <c r="C5" s="14">
        <v>1500</v>
      </c>
      <c r="D5" s="14">
        <v>2500</v>
      </c>
      <c r="E5" s="51">
        <v>0</v>
      </c>
      <c r="G5" s="48">
        <v>1825</v>
      </c>
      <c r="H5" s="14">
        <v>3651</v>
      </c>
      <c r="I5" s="15">
        <v>4929</v>
      </c>
    </row>
    <row r="6" spans="1:13" x14ac:dyDescent="0.2">
      <c r="A6" s="54"/>
      <c r="B6" s="56">
        <v>2</v>
      </c>
      <c r="C6" s="17">
        <v>500</v>
      </c>
      <c r="D6" s="17">
        <v>1000</v>
      </c>
      <c r="E6" s="52">
        <v>0.2</v>
      </c>
      <c r="G6" s="16">
        <v>2016</v>
      </c>
      <c r="H6" s="17">
        <v>4032</v>
      </c>
      <c r="I6" s="18">
        <v>5444</v>
      </c>
    </row>
    <row r="7" spans="1:13" x14ac:dyDescent="0.2">
      <c r="A7" s="54"/>
      <c r="B7" s="56">
        <v>3</v>
      </c>
      <c r="C7" s="17">
        <v>250</v>
      </c>
      <c r="D7" s="17">
        <v>500</v>
      </c>
      <c r="E7" s="52">
        <v>0.2</v>
      </c>
      <c r="G7" s="16">
        <v>2245</v>
      </c>
      <c r="H7" s="17">
        <v>4491</v>
      </c>
      <c r="I7" s="18">
        <v>6063</v>
      </c>
    </row>
    <row r="8" spans="1:13" x14ac:dyDescent="0.2">
      <c r="A8" s="54"/>
      <c r="B8" s="57">
        <v>4</v>
      </c>
      <c r="C8" s="20">
        <v>100</v>
      </c>
      <c r="D8" s="20">
        <v>200</v>
      </c>
      <c r="E8" s="53">
        <v>0.1</v>
      </c>
      <c r="G8" s="19">
        <v>2577</v>
      </c>
      <c r="H8" s="20">
        <v>5154</v>
      </c>
      <c r="I8" s="21">
        <v>6959</v>
      </c>
    </row>
    <row r="9" spans="1:13" x14ac:dyDescent="0.2">
      <c r="A9" s="54"/>
    </row>
    <row r="10" spans="1:13" x14ac:dyDescent="0.2">
      <c r="A10" s="54" t="s">
        <v>89</v>
      </c>
      <c r="B10" s="142" t="s">
        <v>65</v>
      </c>
      <c r="C10" s="14"/>
      <c r="D10" s="59" t="s">
        <v>66</v>
      </c>
      <c r="F10" s="142" t="s">
        <v>67</v>
      </c>
      <c r="G10" s="140" t="s">
        <v>68</v>
      </c>
      <c r="H10" s="140" t="s">
        <v>68</v>
      </c>
      <c r="I10" s="140" t="s">
        <v>69</v>
      </c>
      <c r="J10" s="141" t="s">
        <v>70</v>
      </c>
    </row>
    <row r="11" spans="1:13" x14ac:dyDescent="0.2">
      <c r="A11" s="54" t="s">
        <v>37</v>
      </c>
      <c r="B11" s="143" t="s">
        <v>72</v>
      </c>
      <c r="C11" s="132">
        <v>3</v>
      </c>
      <c r="D11" s="60" t="s">
        <v>73</v>
      </c>
      <c r="F11" s="143" t="s">
        <v>74</v>
      </c>
      <c r="G11" s="133">
        <v>600</v>
      </c>
      <c r="H11" s="134">
        <v>1200</v>
      </c>
      <c r="I11" s="134">
        <v>0</v>
      </c>
      <c r="J11" s="44">
        <f>SUM(G11:I11)</f>
        <v>1800</v>
      </c>
    </row>
    <row r="12" spans="1:13" x14ac:dyDescent="0.2">
      <c r="A12" s="54"/>
    </row>
    <row r="13" spans="1:13" x14ac:dyDescent="0.2">
      <c r="A13" s="54"/>
    </row>
    <row r="14" spans="1:13" x14ac:dyDescent="0.2">
      <c r="A14" s="54" t="s">
        <v>90</v>
      </c>
      <c r="B14" s="47"/>
      <c r="C14" s="45" t="s">
        <v>78</v>
      </c>
      <c r="D14" s="46"/>
      <c r="E14" s="47" t="s">
        <v>79</v>
      </c>
      <c r="F14" s="45" t="s">
        <v>80</v>
      </c>
      <c r="G14" s="46" t="s">
        <v>70</v>
      </c>
    </row>
    <row r="15" spans="1:13" x14ac:dyDescent="0.2">
      <c r="B15" s="16">
        <f>MIN($C5,G$11)</f>
        <v>600</v>
      </c>
      <c r="C15" s="17">
        <f>MIN($C5,H$11)</f>
        <v>1200</v>
      </c>
      <c r="D15" s="18">
        <f>MIN($C5,I$11)</f>
        <v>0</v>
      </c>
      <c r="E15" s="48">
        <f>MIN(SUM(B15:D15),MIN($D5,J$11))</f>
        <v>1800</v>
      </c>
      <c r="F15" s="14">
        <f>E5*(J$11-E15)</f>
        <v>0</v>
      </c>
      <c r="G15" s="41">
        <f>E15+F15</f>
        <v>1800</v>
      </c>
    </row>
    <row r="16" spans="1:13" x14ac:dyDescent="0.2">
      <c r="B16" s="16">
        <f>MIN(C6,G$11)</f>
        <v>500</v>
      </c>
      <c r="C16" s="17">
        <f t="shared" ref="C16:D18" si="0">MIN($C6,H$11)</f>
        <v>500</v>
      </c>
      <c r="D16" s="18">
        <f t="shared" si="0"/>
        <v>0</v>
      </c>
      <c r="E16" s="16">
        <f>MIN(SUM(B16:D16),MIN($D6,J$11))</f>
        <v>1000</v>
      </c>
      <c r="F16" s="17">
        <f>E6*(J$11-E16)</f>
        <v>160</v>
      </c>
      <c r="G16" s="9">
        <f>E16+F16</f>
        <v>1160</v>
      </c>
    </row>
    <row r="17" spans="2:7" x14ac:dyDescent="0.2">
      <c r="B17" s="16">
        <f>MIN(C7,G$11)</f>
        <v>250</v>
      </c>
      <c r="C17" s="17">
        <f t="shared" si="0"/>
        <v>250</v>
      </c>
      <c r="D17" s="18">
        <f t="shared" si="0"/>
        <v>0</v>
      </c>
      <c r="E17" s="16">
        <f>MIN(SUM(B17:D17),MIN($D7,J$11))</f>
        <v>500</v>
      </c>
      <c r="F17" s="17">
        <f>E7*(J$11-E17)</f>
        <v>260</v>
      </c>
      <c r="G17" s="9">
        <f>E17+F17</f>
        <v>760</v>
      </c>
    </row>
    <row r="18" spans="2:7" x14ac:dyDescent="0.2">
      <c r="B18" s="19">
        <f>MIN(C8,G$11)</f>
        <v>100</v>
      </c>
      <c r="C18" s="20">
        <f t="shared" si="0"/>
        <v>100</v>
      </c>
      <c r="D18" s="21">
        <f t="shared" si="0"/>
        <v>0</v>
      </c>
      <c r="E18" s="19">
        <f>MIN(SUM(B18:D18),MIN($D8,J$11))</f>
        <v>200</v>
      </c>
      <c r="F18" s="20">
        <f>E8*(J$11-E18)</f>
        <v>160</v>
      </c>
      <c r="G18" s="10">
        <f>E18+F18</f>
        <v>360</v>
      </c>
    </row>
    <row r="20" spans="2:7" x14ac:dyDescent="0.2">
      <c r="C20" s="7" t="s">
        <v>35</v>
      </c>
    </row>
    <row r="21" spans="2:7" x14ac:dyDescent="0.2">
      <c r="B21" s="3" t="s">
        <v>82</v>
      </c>
      <c r="C21" s="7" t="s">
        <v>83</v>
      </c>
    </row>
    <row r="22" spans="2:7" x14ac:dyDescent="0.2">
      <c r="B22">
        <f>CHOOSE($C$11,G5,H5,I5)</f>
        <v>4929</v>
      </c>
      <c r="C22" s="41">
        <f>G15+B22</f>
        <v>6729</v>
      </c>
      <c r="E22" s="3" t="s">
        <v>84</v>
      </c>
    </row>
    <row r="23" spans="2:7" x14ac:dyDescent="0.2">
      <c r="B23">
        <f>CHOOSE($C$11,G6,H6,I6)</f>
        <v>5444</v>
      </c>
      <c r="C23" s="9">
        <f>G16+B23</f>
        <v>6604</v>
      </c>
      <c r="E23" s="49">
        <f>MATCH(C26,C22:C25,1)</f>
        <v>2</v>
      </c>
    </row>
    <row r="24" spans="2:7" x14ac:dyDescent="0.2">
      <c r="B24">
        <f>CHOOSE($C$11,G7,H7,I7)</f>
        <v>6063</v>
      </c>
      <c r="C24" s="9">
        <f>G17+B24</f>
        <v>6823</v>
      </c>
    </row>
    <row r="25" spans="2:7" x14ac:dyDescent="0.2">
      <c r="B25">
        <f>CHOOSE($C$11,G8,H8,I8)</f>
        <v>6959</v>
      </c>
      <c r="C25" s="10">
        <f>G18+B25</f>
        <v>7319</v>
      </c>
    </row>
    <row r="26" spans="2:7" x14ac:dyDescent="0.2">
      <c r="C26">
        <f>MIN(C22:C25)</f>
        <v>6604</v>
      </c>
      <c r="D26" s="43" t="s">
        <v>85</v>
      </c>
    </row>
  </sheetData>
  <phoneticPr fontId="13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0"/>
  <sheetViews>
    <sheetView zoomScale="90" workbookViewId="0">
      <selection activeCell="G30" sqref="G30"/>
    </sheetView>
  </sheetViews>
  <sheetFormatPr defaultColWidth="13.42578125" defaultRowHeight="12.75" x14ac:dyDescent="0.2"/>
  <cols>
    <col min="1" max="1" width="19.28515625" customWidth="1"/>
    <col min="2" max="2" width="13" customWidth="1"/>
    <col min="3" max="3" width="11.42578125" customWidth="1"/>
    <col min="4" max="4" width="12.140625" bestFit="1" customWidth="1"/>
    <col min="5" max="6" width="11.42578125" customWidth="1"/>
    <col min="7" max="7" width="12.140625" bestFit="1" customWidth="1"/>
    <col min="8" max="8" width="6.7109375" customWidth="1"/>
    <col min="9" max="11" width="7.85546875" customWidth="1"/>
    <col min="12" max="12" width="7.42578125" customWidth="1"/>
  </cols>
  <sheetData>
    <row r="1" spans="1:8" x14ac:dyDescent="0.2">
      <c r="A1" s="62" t="s">
        <v>9</v>
      </c>
    </row>
    <row r="2" spans="1:8" x14ac:dyDescent="0.2">
      <c r="A2" s="62"/>
    </row>
    <row r="3" spans="1:8" x14ac:dyDescent="0.2">
      <c r="B3" s="149" t="s">
        <v>10</v>
      </c>
      <c r="C3" s="7" t="s">
        <v>30</v>
      </c>
      <c r="D3" s="7" t="s">
        <v>31</v>
      </c>
      <c r="E3" s="7" t="s">
        <v>32</v>
      </c>
      <c r="F3" s="7" t="s">
        <v>11</v>
      </c>
      <c r="G3" s="7" t="s">
        <v>12</v>
      </c>
    </row>
    <row r="4" spans="1:8" x14ac:dyDescent="0.2">
      <c r="A4" s="62" t="s">
        <v>13</v>
      </c>
    </row>
    <row r="5" spans="1:8" x14ac:dyDescent="0.2">
      <c r="A5" s="28" t="s">
        <v>14</v>
      </c>
      <c r="C5" s="48">
        <v>25</v>
      </c>
      <c r="D5" s="14">
        <v>40</v>
      </c>
      <c r="E5" s="15">
        <v>75</v>
      </c>
      <c r="F5" s="114">
        <v>400000</v>
      </c>
      <c r="G5" s="114">
        <v>350000</v>
      </c>
    </row>
    <row r="6" spans="1:8" x14ac:dyDescent="0.2">
      <c r="A6" s="28" t="s">
        <v>15</v>
      </c>
      <c r="C6" s="16">
        <v>125</v>
      </c>
      <c r="D6" s="17">
        <v>300</v>
      </c>
      <c r="E6" s="18">
        <v>1000</v>
      </c>
      <c r="F6" s="115">
        <v>1200</v>
      </c>
      <c r="G6" s="115">
        <v>75000</v>
      </c>
    </row>
    <row r="7" spans="1:8" x14ac:dyDescent="0.2">
      <c r="A7" s="28" t="s">
        <v>16</v>
      </c>
      <c r="C7" s="16">
        <v>100</v>
      </c>
      <c r="D7" s="17">
        <v>500</v>
      </c>
      <c r="E7" s="18">
        <v>750</v>
      </c>
      <c r="F7" s="115">
        <v>12000</v>
      </c>
      <c r="G7" s="115">
        <v>150000</v>
      </c>
    </row>
    <row r="8" spans="1:8" x14ac:dyDescent="0.2">
      <c r="A8" s="28" t="s">
        <v>17</v>
      </c>
      <c r="C8" s="16">
        <v>75</v>
      </c>
      <c r="D8" s="17">
        <v>250</v>
      </c>
      <c r="E8" s="18">
        <v>500</v>
      </c>
      <c r="F8" s="115">
        <v>24000</v>
      </c>
      <c r="G8" s="115">
        <v>200000</v>
      </c>
    </row>
    <row r="9" spans="1:8" x14ac:dyDescent="0.2">
      <c r="A9" s="28" t="s">
        <v>18</v>
      </c>
      <c r="C9" s="19">
        <v>150</v>
      </c>
      <c r="D9" s="20">
        <v>1000</v>
      </c>
      <c r="E9" s="21">
        <v>2500</v>
      </c>
      <c r="F9" s="116">
        <v>6000</v>
      </c>
      <c r="G9" s="116">
        <v>100000</v>
      </c>
    </row>
    <row r="11" spans="1:8" x14ac:dyDescent="0.2">
      <c r="A11" s="62" t="s">
        <v>19</v>
      </c>
      <c r="C11" s="117">
        <v>0</v>
      </c>
      <c r="D11" s="117">
        <v>100000</v>
      </c>
      <c r="E11" s="117">
        <v>150000</v>
      </c>
    </row>
    <row r="12" spans="1:8" x14ac:dyDescent="0.2">
      <c r="A12" s="62" t="s">
        <v>95</v>
      </c>
      <c r="C12" s="6">
        <v>10</v>
      </c>
      <c r="D12" s="6">
        <v>20</v>
      </c>
      <c r="E12" s="6">
        <v>36</v>
      </c>
    </row>
    <row r="13" spans="1:8" x14ac:dyDescent="0.2">
      <c r="A13" s="62" t="s">
        <v>100</v>
      </c>
      <c r="C13" s="11">
        <v>200</v>
      </c>
      <c r="D13" s="12">
        <v>200</v>
      </c>
      <c r="E13" s="13">
        <v>449.99969827720383</v>
      </c>
    </row>
    <row r="15" spans="1:8" x14ac:dyDescent="0.2">
      <c r="A15" s="62" t="s">
        <v>20</v>
      </c>
      <c r="F15" s="4" t="s">
        <v>21</v>
      </c>
      <c r="G15" s="4" t="s">
        <v>22</v>
      </c>
      <c r="H15" s="4" t="s">
        <v>23</v>
      </c>
    </row>
    <row r="16" spans="1:8" x14ac:dyDescent="0.2">
      <c r="A16" s="28" t="s">
        <v>14</v>
      </c>
      <c r="C16" s="119">
        <f>C5-C$13</f>
        <v>-175</v>
      </c>
      <c r="D16" s="119">
        <f t="shared" ref="C16:E20" si="0">D5-D$13</f>
        <v>-160</v>
      </c>
      <c r="E16" s="119">
        <f t="shared" si="0"/>
        <v>-374.99969827720383</v>
      </c>
      <c r="F16" s="119">
        <f>MAX(C16:E16)</f>
        <v>-160</v>
      </c>
      <c r="G16" s="2">
        <f>IF(F16&gt;0.001,1,0)</f>
        <v>0</v>
      </c>
      <c r="H16">
        <f>MATCH(F16,C16:E16,0)*G16</f>
        <v>0</v>
      </c>
    </row>
    <row r="17" spans="1:12" x14ac:dyDescent="0.2">
      <c r="A17" s="28" t="s">
        <v>15</v>
      </c>
      <c r="C17" s="119">
        <f>C6-C$13</f>
        <v>-75</v>
      </c>
      <c r="D17" s="119">
        <f>D6-D$13</f>
        <v>100</v>
      </c>
      <c r="E17" s="119">
        <f>E6-E$13</f>
        <v>550.00030172279617</v>
      </c>
      <c r="F17" s="119">
        <f>MAX(C17:E17)</f>
        <v>550.00030172279617</v>
      </c>
      <c r="G17" s="2">
        <f>IF(F17&gt;0.001,1,0)</f>
        <v>1</v>
      </c>
      <c r="H17">
        <f>MATCH(F17,C17:E17,0)*G17</f>
        <v>3</v>
      </c>
    </row>
    <row r="18" spans="1:12" x14ac:dyDescent="0.2">
      <c r="A18" s="28" t="s">
        <v>16</v>
      </c>
      <c r="C18" s="119">
        <f t="shared" si="0"/>
        <v>-100</v>
      </c>
      <c r="D18" s="119">
        <f>D7-D$13</f>
        <v>300</v>
      </c>
      <c r="E18" s="119">
        <f t="shared" si="0"/>
        <v>300.00030172279617</v>
      </c>
      <c r="F18" s="119">
        <f>MAX(C18:E18)</f>
        <v>300.00030172279617</v>
      </c>
      <c r="G18" s="2">
        <f>IF(F18&gt;0.001,1,0)</f>
        <v>1</v>
      </c>
      <c r="H18">
        <f>MATCH(F18,C18:E18,0)*G18</f>
        <v>3</v>
      </c>
    </row>
    <row r="19" spans="1:12" x14ac:dyDescent="0.2">
      <c r="A19" s="28" t="s">
        <v>17</v>
      </c>
      <c r="C19" s="119">
        <f t="shared" si="0"/>
        <v>-125</v>
      </c>
      <c r="D19" s="119">
        <f t="shared" si="0"/>
        <v>50</v>
      </c>
      <c r="E19" s="119">
        <f t="shared" si="0"/>
        <v>50.000301722796166</v>
      </c>
      <c r="F19" s="119">
        <f>MAX(C19:E19)</f>
        <v>50.000301722796166</v>
      </c>
      <c r="G19" s="2">
        <f>IF(F19&gt;0.001,1,0)</f>
        <v>1</v>
      </c>
      <c r="H19">
        <f>MATCH(F19,C19:E19,0)*G19</f>
        <v>3</v>
      </c>
    </row>
    <row r="20" spans="1:12" x14ac:dyDescent="0.2">
      <c r="A20" s="28" t="s">
        <v>18</v>
      </c>
      <c r="C20" s="119">
        <f t="shared" si="0"/>
        <v>-50</v>
      </c>
      <c r="D20" s="119">
        <f t="shared" si="0"/>
        <v>800</v>
      </c>
      <c r="E20" s="119">
        <f t="shared" si="0"/>
        <v>2050.0003017227964</v>
      </c>
      <c r="F20" s="119">
        <f>MAX(C20:E20)</f>
        <v>2050.0003017227964</v>
      </c>
      <c r="G20" s="2">
        <f>IF(F20&gt;0.001,1,0)</f>
        <v>1</v>
      </c>
      <c r="H20">
        <f>MATCH(F20,C20:E20,0)*G20</f>
        <v>3</v>
      </c>
    </row>
    <row r="21" spans="1:12" x14ac:dyDescent="0.2">
      <c r="A21" s="28"/>
      <c r="C21" s="118"/>
      <c r="D21" s="118"/>
      <c r="E21" s="118"/>
      <c r="F21" s="118"/>
      <c r="I21" s="35"/>
      <c r="J21" s="35"/>
      <c r="K21" s="35"/>
      <c r="L21" s="35"/>
    </row>
    <row r="22" spans="1:12" x14ac:dyDescent="0.2">
      <c r="A22" s="28" t="s">
        <v>24</v>
      </c>
      <c r="B22" s="50" t="s">
        <v>25</v>
      </c>
      <c r="C22" s="8">
        <f>IF(COUNTIF($H16:$H20,1)&gt;0,1,0)</f>
        <v>0</v>
      </c>
      <c r="D22" s="8">
        <f>IF(COUNTIF($H16:$H20,2)&gt;0,1,0)</f>
        <v>0</v>
      </c>
      <c r="E22" s="8">
        <f>IF(COUNTIF($H16:$H20,3)&gt;0,1,0)</f>
        <v>1</v>
      </c>
      <c r="F22" s="118"/>
      <c r="I22" s="35"/>
      <c r="J22" s="35"/>
      <c r="K22" s="35"/>
      <c r="L22" s="35"/>
    </row>
    <row r="24" spans="1:12" x14ac:dyDescent="0.2">
      <c r="C24" s="4" t="s">
        <v>26</v>
      </c>
      <c r="D24" s="4" t="s">
        <v>34</v>
      </c>
      <c r="E24" s="4" t="s">
        <v>27</v>
      </c>
      <c r="F24" s="4" t="s">
        <v>28</v>
      </c>
      <c r="G24" s="4" t="s">
        <v>96</v>
      </c>
    </row>
    <row r="25" spans="1:12" x14ac:dyDescent="0.2">
      <c r="A25" s="28" t="s">
        <v>14</v>
      </c>
      <c r="C25" s="120">
        <f>IF(H16=0,0,CHOOSE(H16,$C$13,$D$13,$E$13))</f>
        <v>0</v>
      </c>
      <c r="D25" s="121">
        <f>C25*F5</f>
        <v>0</v>
      </c>
      <c r="E25" s="121">
        <f>G5*G16</f>
        <v>0</v>
      </c>
      <c r="F25" s="121">
        <f>IF(H16=0,0,CHOOSE(H16,$C$12,$D$12,$E$12))*F5</f>
        <v>0</v>
      </c>
      <c r="G25" s="121">
        <f>D25-E25-F25</f>
        <v>0</v>
      </c>
    </row>
    <row r="26" spans="1:12" x14ac:dyDescent="0.2">
      <c r="A26" s="28" t="s">
        <v>15</v>
      </c>
      <c r="C26" s="120">
        <f>IF(H17=0,0,CHOOSE(H17,$C$13,$D$13,$E$13))</f>
        <v>449.99969827720383</v>
      </c>
      <c r="D26" s="121">
        <f>C26*F6</f>
        <v>539999.63793264457</v>
      </c>
      <c r="E26" s="121">
        <f>G6*G17</f>
        <v>75000</v>
      </c>
      <c r="F26" s="121">
        <f>IF(H17=0,0,CHOOSE(H17,$C$12,$D$12,$E$12))*F6</f>
        <v>43200</v>
      </c>
      <c r="G26" s="121">
        <f>D26-E26-F26</f>
        <v>421799.63793264457</v>
      </c>
    </row>
    <row r="27" spans="1:12" x14ac:dyDescent="0.2">
      <c r="A27" s="28" t="s">
        <v>16</v>
      </c>
      <c r="C27" s="120">
        <f>IF(H18=0,0,CHOOSE(H18,$C$13,$D$13,$E$13))</f>
        <v>449.99969827720383</v>
      </c>
      <c r="D27" s="121">
        <f>C27*F7</f>
        <v>5399996.379326446</v>
      </c>
      <c r="E27" s="121">
        <f>G7*G18</f>
        <v>150000</v>
      </c>
      <c r="F27" s="121">
        <f>IF(H18=0,0,CHOOSE(H18,$C$12,$D$12,$E$12))*F7</f>
        <v>432000</v>
      </c>
      <c r="G27" s="121">
        <f>D27-E27-F27</f>
        <v>4817996.379326446</v>
      </c>
    </row>
    <row r="28" spans="1:12" x14ac:dyDescent="0.2">
      <c r="A28" s="28" t="s">
        <v>17</v>
      </c>
      <c r="C28" s="120">
        <f>IF(H19=0,0,CHOOSE(H19,$C$13,$D$13,$E$13))</f>
        <v>449.99969827720383</v>
      </c>
      <c r="D28" s="121">
        <f>C28*F8</f>
        <v>10799992.758652892</v>
      </c>
      <c r="E28" s="121">
        <f>G8*G19</f>
        <v>200000</v>
      </c>
      <c r="F28" s="121">
        <f>IF(H19=0,0,CHOOSE(H19,$C$12,$D$12,$E$12))*F8</f>
        <v>864000</v>
      </c>
      <c r="G28" s="121">
        <f>D28-E28-F28</f>
        <v>9735992.758652892</v>
      </c>
    </row>
    <row r="29" spans="1:12" x14ac:dyDescent="0.2">
      <c r="A29" s="28" t="s">
        <v>18</v>
      </c>
      <c r="C29" s="120">
        <f>IF(H20=0,0,CHOOSE(H20,$C$13,$D$13,$E$13))</f>
        <v>449.99969827720383</v>
      </c>
      <c r="D29" s="121">
        <f>C29*F9</f>
        <v>2699998.189663223</v>
      </c>
      <c r="E29" s="121">
        <f>G9*G20</f>
        <v>100000</v>
      </c>
      <c r="F29" s="121">
        <f>IF(H20=0,0,CHOOSE(H20,$C$12,$D$12,$E$12))*F9</f>
        <v>216000</v>
      </c>
      <c r="G29" s="121">
        <f>D29-E29-F29</f>
        <v>2383998.189663223</v>
      </c>
    </row>
    <row r="30" spans="1:12" x14ac:dyDescent="0.2">
      <c r="A30" s="28" t="s">
        <v>29</v>
      </c>
      <c r="E30" s="121">
        <f>SUMPRODUCT(C11:E11,C22:E22)</f>
        <v>150000</v>
      </c>
      <c r="G30" s="32">
        <f>SUM(G25:G29)-E30</f>
        <v>17209786.965575207</v>
      </c>
    </row>
  </sheetData>
  <phoneticPr fontId="1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59"/>
  <sheetViews>
    <sheetView zoomScale="90" workbookViewId="0">
      <selection activeCell="A2" sqref="A2"/>
    </sheetView>
  </sheetViews>
  <sheetFormatPr defaultColWidth="8.7109375" defaultRowHeight="12.75" x14ac:dyDescent="0.2"/>
  <cols>
    <col min="1" max="1" width="23.85546875" style="22" customWidth="1"/>
    <col min="2" max="2" width="12.5703125" style="22" customWidth="1"/>
    <col min="3" max="5" width="7.42578125" style="22" customWidth="1"/>
    <col min="6" max="6" width="3.28515625" style="22" customWidth="1"/>
    <col min="7" max="7" width="13" style="22" customWidth="1"/>
    <col min="8" max="11" width="10.7109375" style="22" customWidth="1"/>
    <col min="12" max="16384" width="8.7109375" style="22"/>
  </cols>
  <sheetData>
    <row r="1" spans="1:10" x14ac:dyDescent="0.2">
      <c r="A1" s="1" t="s">
        <v>298</v>
      </c>
    </row>
    <row r="2" spans="1:10" x14ac:dyDescent="0.2">
      <c r="A2" s="31"/>
      <c r="B2" s="31"/>
      <c r="C2" s="31"/>
      <c r="D2" s="31"/>
      <c r="E2" s="31"/>
    </row>
    <row r="3" spans="1:10" x14ac:dyDescent="0.2">
      <c r="A3" s="33" t="s">
        <v>299</v>
      </c>
      <c r="B3" s="213" t="s">
        <v>300</v>
      </c>
      <c r="C3" s="213" t="s">
        <v>301</v>
      </c>
      <c r="D3" s="213" t="s">
        <v>302</v>
      </c>
      <c r="E3" s="213" t="s">
        <v>70</v>
      </c>
      <c r="G3" s="1" t="s">
        <v>303</v>
      </c>
    </row>
    <row r="4" spans="1:10" x14ac:dyDescent="0.2">
      <c r="A4" s="34" t="s">
        <v>304</v>
      </c>
      <c r="B4" s="156">
        <v>50</v>
      </c>
      <c r="C4" s="150">
        <v>100</v>
      </c>
      <c r="D4" s="150">
        <v>50</v>
      </c>
      <c r="E4" s="30">
        <f>SUM(B4:D4)</f>
        <v>200</v>
      </c>
      <c r="H4" s="7" t="s">
        <v>305</v>
      </c>
      <c r="I4" s="7" t="s">
        <v>306</v>
      </c>
      <c r="J4" s="7" t="s">
        <v>70</v>
      </c>
    </row>
    <row r="5" spans="1:10" x14ac:dyDescent="0.2">
      <c r="A5" s="34" t="s">
        <v>307</v>
      </c>
      <c r="B5" s="152">
        <v>30</v>
      </c>
      <c r="C5" s="29">
        <v>60</v>
      </c>
      <c r="D5" s="29">
        <v>50</v>
      </c>
      <c r="E5" s="27">
        <f>SUM(B5:D5)</f>
        <v>140</v>
      </c>
      <c r="G5" s="22" t="s">
        <v>34</v>
      </c>
      <c r="H5" s="214">
        <f>B7*E4</f>
        <v>72000</v>
      </c>
      <c r="I5" s="215">
        <f>B8*E5</f>
        <v>56000</v>
      </c>
      <c r="J5" s="216">
        <f>SUM(H5:I5)</f>
        <v>128000</v>
      </c>
    </row>
    <row r="6" spans="1:10" x14ac:dyDescent="0.2">
      <c r="A6" s="33" t="s">
        <v>308</v>
      </c>
      <c r="B6" s="31"/>
      <c r="C6" s="31"/>
      <c r="D6" s="31"/>
      <c r="E6" s="31"/>
      <c r="G6" s="22" t="s">
        <v>35</v>
      </c>
      <c r="H6" s="217">
        <f>K33+K37+K41+I45</f>
        <v>57300</v>
      </c>
      <c r="I6" s="218">
        <f>K34+K38+K42+I46</f>
        <v>43625</v>
      </c>
      <c r="J6" s="219">
        <f>SUM(H6:I6)</f>
        <v>100925</v>
      </c>
    </row>
    <row r="7" spans="1:10" x14ac:dyDescent="0.2">
      <c r="A7" s="34" t="s">
        <v>305</v>
      </c>
      <c r="B7" s="30">
        <v>360</v>
      </c>
      <c r="C7" s="31"/>
      <c r="D7" s="31"/>
      <c r="E7" s="31"/>
      <c r="G7" s="22" t="s">
        <v>96</v>
      </c>
      <c r="H7" s="220">
        <f>H5-H6</f>
        <v>14700</v>
      </c>
      <c r="I7" s="221">
        <f>I5-I6</f>
        <v>12375</v>
      </c>
      <c r="J7" s="222">
        <f>J5-J6</f>
        <v>27075</v>
      </c>
    </row>
    <row r="8" spans="1:10" x14ac:dyDescent="0.2">
      <c r="A8" s="34" t="s">
        <v>306</v>
      </c>
      <c r="B8" s="27">
        <v>400</v>
      </c>
      <c r="C8" s="31"/>
      <c r="D8" s="31"/>
      <c r="E8" s="31"/>
    </row>
    <row r="9" spans="1:10" x14ac:dyDescent="0.2">
      <c r="A9" s="33" t="s">
        <v>309</v>
      </c>
      <c r="B9" s="31"/>
      <c r="C9" s="31"/>
      <c r="D9" s="31"/>
      <c r="E9" s="31"/>
      <c r="G9" s="223" t="s">
        <v>310</v>
      </c>
      <c r="H9" s="240">
        <f>J7/J5</f>
        <v>0.21152343749999999</v>
      </c>
    </row>
    <row r="10" spans="1:10" x14ac:dyDescent="0.2">
      <c r="A10" s="224" t="s">
        <v>311</v>
      </c>
      <c r="B10" s="31"/>
      <c r="C10" s="213" t="s">
        <v>312</v>
      </c>
      <c r="D10" s="213" t="s">
        <v>313</v>
      </c>
      <c r="E10" s="31"/>
    </row>
    <row r="11" spans="1:10" x14ac:dyDescent="0.2">
      <c r="A11" s="34" t="s">
        <v>33</v>
      </c>
      <c r="B11" s="34" t="s">
        <v>300</v>
      </c>
      <c r="C11" s="156">
        <v>140</v>
      </c>
      <c r="D11" s="153">
        <v>250</v>
      </c>
      <c r="E11" s="31"/>
    </row>
    <row r="12" spans="1:10" x14ac:dyDescent="0.2">
      <c r="A12" s="34" t="s">
        <v>33</v>
      </c>
      <c r="B12" s="34" t="s">
        <v>301</v>
      </c>
      <c r="C12" s="151">
        <v>60</v>
      </c>
      <c r="D12" s="154">
        <v>80</v>
      </c>
      <c r="E12" s="31"/>
    </row>
    <row r="13" spans="1:10" x14ac:dyDescent="0.2">
      <c r="A13" s="122"/>
      <c r="B13" s="34" t="s">
        <v>302</v>
      </c>
      <c r="C13" s="152">
        <v>150</v>
      </c>
      <c r="D13" s="155">
        <v>100</v>
      </c>
      <c r="E13" s="31"/>
    </row>
    <row r="14" spans="1:10" x14ac:dyDescent="0.2">
      <c r="A14" s="224" t="s">
        <v>314</v>
      </c>
      <c r="B14" s="31"/>
      <c r="C14" s="213" t="s">
        <v>312</v>
      </c>
      <c r="D14" s="213" t="s">
        <v>313</v>
      </c>
      <c r="E14" s="31"/>
    </row>
    <row r="15" spans="1:10" x14ac:dyDescent="0.2">
      <c r="A15" s="31"/>
      <c r="B15" s="34" t="s">
        <v>305</v>
      </c>
      <c r="C15" s="225">
        <v>2</v>
      </c>
      <c r="D15" s="225">
        <v>2.5</v>
      </c>
      <c r="E15" s="31"/>
    </row>
    <row r="16" spans="1:10" x14ac:dyDescent="0.2">
      <c r="A16" s="31"/>
      <c r="B16" s="34" t="s">
        <v>306</v>
      </c>
      <c r="C16" s="225">
        <v>1.5</v>
      </c>
      <c r="D16" s="225">
        <v>2</v>
      </c>
      <c r="E16" s="31"/>
    </row>
    <row r="17" spans="1:11" x14ac:dyDescent="0.2">
      <c r="A17" s="1" t="s">
        <v>90</v>
      </c>
      <c r="B17" s="24"/>
    </row>
    <row r="18" spans="1:11" x14ac:dyDescent="0.2">
      <c r="A18" s="224" t="s">
        <v>315</v>
      </c>
      <c r="B18" s="5" t="s">
        <v>305</v>
      </c>
      <c r="C18" s="216">
        <v>160</v>
      </c>
      <c r="D18" s="226"/>
    </row>
    <row r="19" spans="1:11" x14ac:dyDescent="0.2">
      <c r="A19" s="168"/>
      <c r="B19" s="5" t="s">
        <v>306</v>
      </c>
      <c r="C19" s="227">
        <v>200</v>
      </c>
      <c r="D19" s="226"/>
    </row>
    <row r="20" spans="1:11" x14ac:dyDescent="0.2">
      <c r="A20" s="168" t="s">
        <v>316</v>
      </c>
      <c r="B20" s="5" t="s">
        <v>305</v>
      </c>
      <c r="C20" s="216">
        <v>40</v>
      </c>
      <c r="D20" s="226"/>
    </row>
    <row r="21" spans="1:11" x14ac:dyDescent="0.2">
      <c r="A21" s="168"/>
      <c r="B21" s="5" t="s">
        <v>306</v>
      </c>
      <c r="C21" s="227">
        <v>40</v>
      </c>
      <c r="D21" s="226"/>
    </row>
    <row r="22" spans="1:11" x14ac:dyDescent="0.2">
      <c r="A22" s="168" t="s">
        <v>317</v>
      </c>
      <c r="B22" s="5" t="s">
        <v>305</v>
      </c>
      <c r="C22" s="216">
        <v>10</v>
      </c>
      <c r="D22" s="226"/>
    </row>
    <row r="23" spans="1:11" x14ac:dyDescent="0.2">
      <c r="B23" s="5" t="s">
        <v>306</v>
      </c>
      <c r="C23" s="227">
        <v>10</v>
      </c>
      <c r="D23" s="226"/>
    </row>
    <row r="24" spans="1:11" x14ac:dyDescent="0.2">
      <c r="B24" s="213" t="s">
        <v>33</v>
      </c>
      <c r="C24" s="228" t="s">
        <v>312</v>
      </c>
      <c r="D24" s="228" t="s">
        <v>313</v>
      </c>
    </row>
    <row r="25" spans="1:11" x14ac:dyDescent="0.2">
      <c r="A25" s="168" t="s">
        <v>318</v>
      </c>
      <c r="B25" s="213" t="s">
        <v>33</v>
      </c>
      <c r="C25" s="229">
        <v>30</v>
      </c>
      <c r="D25" s="230">
        <v>30</v>
      </c>
    </row>
    <row r="26" spans="1:11" x14ac:dyDescent="0.2">
      <c r="A26" s="168"/>
      <c r="B26" s="213"/>
      <c r="C26" s="228" t="s">
        <v>312</v>
      </c>
      <c r="D26" s="228" t="s">
        <v>313</v>
      </c>
    </row>
    <row r="27" spans="1:11" x14ac:dyDescent="0.2">
      <c r="A27" s="168" t="s">
        <v>319</v>
      </c>
      <c r="B27" s="5" t="s">
        <v>305</v>
      </c>
      <c r="C27" s="229">
        <f>C15*C$25</f>
        <v>60</v>
      </c>
      <c r="D27" s="229">
        <f>D15*D$25</f>
        <v>75</v>
      </c>
    </row>
    <row r="28" spans="1:11" x14ac:dyDescent="0.2">
      <c r="B28" s="5" t="s">
        <v>306</v>
      </c>
      <c r="C28" s="229">
        <f>C16*C$25</f>
        <v>45</v>
      </c>
      <c r="D28" s="229">
        <f>D16*D$25</f>
        <v>60</v>
      </c>
    </row>
    <row r="29" spans="1:11" x14ac:dyDescent="0.2">
      <c r="B29" s="5"/>
      <c r="C29" s="31"/>
    </row>
    <row r="30" spans="1:11" x14ac:dyDescent="0.2">
      <c r="A30" s="1" t="s">
        <v>320</v>
      </c>
      <c r="B30" s="29"/>
      <c r="C30" s="213" t="s">
        <v>312</v>
      </c>
      <c r="D30" s="213" t="s">
        <v>313</v>
      </c>
      <c r="E30" s="7" t="s">
        <v>70</v>
      </c>
      <c r="G30" s="1" t="s">
        <v>321</v>
      </c>
    </row>
    <row r="31" spans="1:11" x14ac:dyDescent="0.2">
      <c r="A31" s="168" t="s">
        <v>322</v>
      </c>
      <c r="B31" s="22" t="s">
        <v>323</v>
      </c>
      <c r="C31" s="264">
        <v>40</v>
      </c>
      <c r="D31" s="265">
        <v>90</v>
      </c>
      <c r="E31" s="231">
        <f t="shared" ref="E31:E46" si="0">SUM(C31:D31)</f>
        <v>130</v>
      </c>
      <c r="I31" s="7" t="s">
        <v>312</v>
      </c>
      <c r="J31" s="7" t="s">
        <v>313</v>
      </c>
      <c r="K31" s="7" t="s">
        <v>70</v>
      </c>
    </row>
    <row r="32" spans="1:11" x14ac:dyDescent="0.2">
      <c r="B32" s="22" t="s">
        <v>324</v>
      </c>
      <c r="C32" s="266">
        <v>10</v>
      </c>
      <c r="D32" s="267">
        <v>10</v>
      </c>
      <c r="E32" s="232">
        <f t="shared" si="0"/>
        <v>20</v>
      </c>
      <c r="G32" s="3" t="s">
        <v>325</v>
      </c>
    </row>
    <row r="33" spans="1:11" x14ac:dyDescent="0.2">
      <c r="B33" s="22" t="s">
        <v>326</v>
      </c>
      <c r="C33" s="266">
        <v>40</v>
      </c>
      <c r="D33" s="267">
        <v>20</v>
      </c>
      <c r="E33" s="232">
        <f t="shared" si="0"/>
        <v>60</v>
      </c>
      <c r="G33" s="3"/>
      <c r="H33" s="233" t="s">
        <v>305</v>
      </c>
      <c r="I33" s="214">
        <f>C27*C34</f>
        <v>5400</v>
      </c>
      <c r="J33" s="215">
        <f>D27*D34</f>
        <v>9000</v>
      </c>
      <c r="K33" s="216">
        <f>SUM(I33:J33)</f>
        <v>14400</v>
      </c>
    </row>
    <row r="34" spans="1:11" x14ac:dyDescent="0.2">
      <c r="B34" s="29" t="s">
        <v>327</v>
      </c>
      <c r="C34" s="234">
        <f>SUM(C31:C33)</f>
        <v>90</v>
      </c>
      <c r="D34" s="39">
        <f>SUM(D31:D33)</f>
        <v>120</v>
      </c>
      <c r="E34" s="235">
        <f t="shared" si="0"/>
        <v>210</v>
      </c>
      <c r="G34" s="3"/>
      <c r="H34" s="233" t="s">
        <v>306</v>
      </c>
      <c r="I34" s="217">
        <f>C38*C28</f>
        <v>4725</v>
      </c>
      <c r="J34" s="218">
        <f>D38*D28</f>
        <v>2700</v>
      </c>
      <c r="K34" s="236">
        <f>SUM(I34:J34)</f>
        <v>7425</v>
      </c>
    </row>
    <row r="35" spans="1:11" x14ac:dyDescent="0.2">
      <c r="B35" s="22" t="s">
        <v>328</v>
      </c>
      <c r="C35" s="264">
        <v>40</v>
      </c>
      <c r="D35" s="265">
        <v>0</v>
      </c>
      <c r="E35" s="231">
        <f t="shared" si="0"/>
        <v>40</v>
      </c>
      <c r="G35" s="3"/>
      <c r="H35" s="50" t="s">
        <v>70</v>
      </c>
      <c r="I35" s="220">
        <f>SUM(I33:I34)</f>
        <v>10125</v>
      </c>
      <c r="J35" s="221">
        <f>SUM(J33:J34)</f>
        <v>11700</v>
      </c>
      <c r="K35" s="227">
        <f>SUM(I35:J35)</f>
        <v>21825</v>
      </c>
    </row>
    <row r="36" spans="1:11" x14ac:dyDescent="0.2">
      <c r="B36" s="22" t="s">
        <v>329</v>
      </c>
      <c r="C36" s="266">
        <v>25</v>
      </c>
      <c r="D36" s="267">
        <v>25</v>
      </c>
      <c r="E36" s="232">
        <f t="shared" si="0"/>
        <v>50</v>
      </c>
      <c r="G36" s="3" t="s">
        <v>330</v>
      </c>
      <c r="I36" s="237"/>
      <c r="J36" s="237"/>
      <c r="K36" s="237"/>
    </row>
    <row r="37" spans="1:11" x14ac:dyDescent="0.2">
      <c r="B37" s="22" t="s">
        <v>331</v>
      </c>
      <c r="C37" s="266">
        <v>40</v>
      </c>
      <c r="D37" s="267">
        <v>20</v>
      </c>
      <c r="E37" s="232">
        <f t="shared" si="0"/>
        <v>60</v>
      </c>
      <c r="G37" s="3"/>
      <c r="H37" s="233" t="s">
        <v>305</v>
      </c>
      <c r="I37" s="214">
        <f>C18*C34</f>
        <v>14400</v>
      </c>
      <c r="J37" s="215">
        <f>C18*D34</f>
        <v>19200</v>
      </c>
      <c r="K37" s="216">
        <f>SUM(I37:J37)</f>
        <v>33600</v>
      </c>
    </row>
    <row r="38" spans="1:11" x14ac:dyDescent="0.2">
      <c r="B38" s="29" t="s">
        <v>332</v>
      </c>
      <c r="C38" s="234">
        <f>SUM(C35:C37)</f>
        <v>105</v>
      </c>
      <c r="D38" s="39">
        <f>SUM(D35:D37)</f>
        <v>45</v>
      </c>
      <c r="E38" s="235">
        <f t="shared" si="0"/>
        <v>150</v>
      </c>
      <c r="G38" s="3"/>
      <c r="H38" s="233" t="s">
        <v>306</v>
      </c>
      <c r="I38" s="217">
        <f>C19*C38</f>
        <v>21000</v>
      </c>
      <c r="J38" s="218">
        <f>C19*D38</f>
        <v>9000</v>
      </c>
      <c r="K38" s="236">
        <f>SUM(I38:J38)</f>
        <v>30000</v>
      </c>
    </row>
    <row r="39" spans="1:11" x14ac:dyDescent="0.2">
      <c r="B39" s="22" t="s">
        <v>333</v>
      </c>
      <c r="C39" s="238">
        <f t="shared" ref="C39:D42" si="1">C31+C35</f>
        <v>80</v>
      </c>
      <c r="D39" s="157">
        <f t="shared" si="1"/>
        <v>90</v>
      </c>
      <c r="E39" s="231">
        <f t="shared" si="0"/>
        <v>170</v>
      </c>
      <c r="G39" s="3"/>
      <c r="H39" s="50" t="s">
        <v>70</v>
      </c>
      <c r="I39" s="220">
        <f>SUM(I37:I38)</f>
        <v>35400</v>
      </c>
      <c r="J39" s="221">
        <f>SUM(J37:J38)</f>
        <v>28200</v>
      </c>
      <c r="K39" s="227">
        <f>SUM(I39:J39)</f>
        <v>63600</v>
      </c>
    </row>
    <row r="40" spans="1:11" x14ac:dyDescent="0.2">
      <c r="B40" s="22" t="s">
        <v>334</v>
      </c>
      <c r="C40" s="239">
        <f t="shared" si="1"/>
        <v>35</v>
      </c>
      <c r="D40" s="37">
        <f t="shared" si="1"/>
        <v>35</v>
      </c>
      <c r="E40" s="232">
        <f t="shared" si="0"/>
        <v>70</v>
      </c>
      <c r="G40" s="3" t="s">
        <v>335</v>
      </c>
      <c r="I40" s="237"/>
      <c r="J40" s="237"/>
      <c r="K40" s="237"/>
    </row>
    <row r="41" spans="1:11" x14ac:dyDescent="0.2">
      <c r="B41" s="22" t="s">
        <v>336</v>
      </c>
      <c r="C41" s="239">
        <f t="shared" si="1"/>
        <v>80</v>
      </c>
      <c r="D41" s="37">
        <f t="shared" si="1"/>
        <v>40</v>
      </c>
      <c r="E41" s="232">
        <f t="shared" si="0"/>
        <v>120</v>
      </c>
      <c r="G41" s="3"/>
      <c r="H41" s="233" t="s">
        <v>305</v>
      </c>
      <c r="I41" s="214">
        <f>C20*C34</f>
        <v>3600</v>
      </c>
      <c r="J41" s="215">
        <f>C20*D34</f>
        <v>4800</v>
      </c>
      <c r="K41" s="216">
        <f>SUM(I41:J41)</f>
        <v>8400</v>
      </c>
    </row>
    <row r="42" spans="1:11" x14ac:dyDescent="0.2">
      <c r="B42" s="29" t="s">
        <v>337</v>
      </c>
      <c r="C42" s="239">
        <f t="shared" si="1"/>
        <v>195</v>
      </c>
      <c r="D42" s="37">
        <f t="shared" si="1"/>
        <v>165</v>
      </c>
      <c r="E42" s="232">
        <f t="shared" si="0"/>
        <v>360</v>
      </c>
      <c r="G42" s="3"/>
      <c r="H42" s="233" t="s">
        <v>306</v>
      </c>
      <c r="I42" s="217">
        <f>C21*C38</f>
        <v>4200</v>
      </c>
      <c r="J42" s="218">
        <f>C21*D38</f>
        <v>1800</v>
      </c>
      <c r="K42" s="236">
        <f>SUM(I42:J42)</f>
        <v>6000</v>
      </c>
    </row>
    <row r="43" spans="1:11" x14ac:dyDescent="0.2">
      <c r="A43" s="168" t="s">
        <v>338</v>
      </c>
      <c r="B43" s="22" t="s">
        <v>300</v>
      </c>
      <c r="C43" s="238">
        <f>C31*C15+C35*C$16</f>
        <v>140</v>
      </c>
      <c r="D43" s="157">
        <f>D31*D15+D35*D16</f>
        <v>225</v>
      </c>
      <c r="E43" s="231">
        <f t="shared" si="0"/>
        <v>365</v>
      </c>
      <c r="G43" s="3"/>
      <c r="H43" s="50" t="s">
        <v>70</v>
      </c>
      <c r="I43" s="220">
        <f>SUM(I41:I42)</f>
        <v>7800</v>
      </c>
      <c r="J43" s="221">
        <f>SUM(J41:J42)</f>
        <v>6600</v>
      </c>
      <c r="K43" s="227">
        <f>SUM(I43:J43)</f>
        <v>14400</v>
      </c>
    </row>
    <row r="44" spans="1:11" x14ac:dyDescent="0.2">
      <c r="B44" s="22" t="s">
        <v>301</v>
      </c>
      <c r="C44" s="239">
        <f>C32*C15+C36*C16</f>
        <v>57.5</v>
      </c>
      <c r="D44" s="37">
        <f>D32*D15+D36*D16</f>
        <v>75</v>
      </c>
      <c r="E44" s="232">
        <f t="shared" si="0"/>
        <v>132.5</v>
      </c>
      <c r="G44" s="3" t="s">
        <v>339</v>
      </c>
      <c r="I44" s="237"/>
      <c r="J44" s="237"/>
      <c r="K44" s="237"/>
    </row>
    <row r="45" spans="1:11" x14ac:dyDescent="0.2">
      <c r="B45" s="22" t="s">
        <v>302</v>
      </c>
      <c r="C45" s="239">
        <f>C33*C15+C37*C16</f>
        <v>140</v>
      </c>
      <c r="D45" s="37">
        <f>D33*D15+D37*D16</f>
        <v>90</v>
      </c>
      <c r="E45" s="232">
        <f t="shared" si="0"/>
        <v>230</v>
      </c>
      <c r="H45" s="233" t="s">
        <v>305</v>
      </c>
      <c r="I45" s="216">
        <f>C22*E53</f>
        <v>900</v>
      </c>
      <c r="J45" s="237"/>
      <c r="K45" s="237"/>
    </row>
    <row r="46" spans="1:11" x14ac:dyDescent="0.2">
      <c r="B46" s="29" t="s">
        <v>70</v>
      </c>
      <c r="C46" s="234">
        <f>SUM(C43:C45)</f>
        <v>337.5</v>
      </c>
      <c r="D46" s="39">
        <f>SUM(D43:D45)</f>
        <v>390</v>
      </c>
      <c r="E46" s="235">
        <f t="shared" si="0"/>
        <v>727.5</v>
      </c>
      <c r="H46" s="233" t="s">
        <v>306</v>
      </c>
      <c r="I46" s="236">
        <f>C23*E58</f>
        <v>200</v>
      </c>
      <c r="J46" s="237"/>
      <c r="K46" s="237"/>
    </row>
    <row r="47" spans="1:11" x14ac:dyDescent="0.2">
      <c r="H47" s="50" t="s">
        <v>70</v>
      </c>
      <c r="I47" s="227">
        <f>SUM(I45:I46)</f>
        <v>1100</v>
      </c>
      <c r="J47" s="237"/>
      <c r="K47" s="237"/>
    </row>
    <row r="48" spans="1:11" x14ac:dyDescent="0.2">
      <c r="A48" s="1" t="s">
        <v>340</v>
      </c>
    </row>
    <row r="49" spans="1:5" x14ac:dyDescent="0.2">
      <c r="A49" s="29"/>
      <c r="B49" s="213" t="s">
        <v>300</v>
      </c>
      <c r="C49" s="213" t="s">
        <v>301</v>
      </c>
      <c r="D49" s="213" t="s">
        <v>302</v>
      </c>
      <c r="E49" s="213" t="s">
        <v>70</v>
      </c>
    </row>
    <row r="50" spans="1:5" x14ac:dyDescent="0.2">
      <c r="A50" s="5" t="s">
        <v>341</v>
      </c>
      <c r="B50" s="238">
        <f>B4</f>
        <v>50</v>
      </c>
      <c r="C50" s="157">
        <f>C4</f>
        <v>100</v>
      </c>
      <c r="D50" s="157">
        <f>D4</f>
        <v>50</v>
      </c>
      <c r="E50" s="231">
        <f>SUM(B50:D50)</f>
        <v>200</v>
      </c>
    </row>
    <row r="51" spans="1:5" x14ac:dyDescent="0.2">
      <c r="A51" s="5" t="s">
        <v>342</v>
      </c>
      <c r="B51" s="239">
        <f>E31</f>
        <v>130</v>
      </c>
      <c r="C51" s="37">
        <f>E32</f>
        <v>20</v>
      </c>
      <c r="D51" s="37">
        <f>E33</f>
        <v>60</v>
      </c>
      <c r="E51" s="232">
        <f>SUM(B51:D51)</f>
        <v>210</v>
      </c>
    </row>
    <row r="52" spans="1:5" x14ac:dyDescent="0.2">
      <c r="A52" s="5" t="s">
        <v>343</v>
      </c>
      <c r="B52" s="239">
        <v>0</v>
      </c>
      <c r="C52" s="37">
        <f>B53</f>
        <v>80</v>
      </c>
      <c r="D52" s="37">
        <f>C53</f>
        <v>0</v>
      </c>
      <c r="E52" s="232"/>
    </row>
    <row r="53" spans="1:5" x14ac:dyDescent="0.2">
      <c r="A53" s="5" t="s">
        <v>344</v>
      </c>
      <c r="B53" s="268">
        <f>B52+B51-B50</f>
        <v>80</v>
      </c>
      <c r="C53" s="269">
        <f>C52+C51-C50</f>
        <v>0</v>
      </c>
      <c r="D53" s="269">
        <f>D52+D51-D50</f>
        <v>10</v>
      </c>
      <c r="E53" s="232">
        <f>SUM(B53:D53)</f>
        <v>90</v>
      </c>
    </row>
    <row r="54" spans="1:5" x14ac:dyDescent="0.2">
      <c r="A54" s="42" t="s">
        <v>345</v>
      </c>
      <c r="B54" s="234">
        <f>B51+B52-B53</f>
        <v>50</v>
      </c>
      <c r="C54" s="39">
        <f>C51+C52-C53</f>
        <v>100</v>
      </c>
      <c r="D54" s="39">
        <f>D51+D52-D53</f>
        <v>50</v>
      </c>
      <c r="E54" s="235">
        <f>SUM(B54:D54)</f>
        <v>200</v>
      </c>
    </row>
    <row r="55" spans="1:5" x14ac:dyDescent="0.2">
      <c r="A55" s="5" t="s">
        <v>346</v>
      </c>
      <c r="B55" s="238">
        <f>B5</f>
        <v>30</v>
      </c>
      <c r="C55" s="157">
        <f>C5</f>
        <v>60</v>
      </c>
      <c r="D55" s="157">
        <f>D5</f>
        <v>50</v>
      </c>
      <c r="E55" s="231">
        <f>SUM(B55:D55)</f>
        <v>140</v>
      </c>
    </row>
    <row r="56" spans="1:5" x14ac:dyDescent="0.2">
      <c r="A56" s="5" t="s">
        <v>347</v>
      </c>
      <c r="B56" s="239">
        <f>E35</f>
        <v>40</v>
      </c>
      <c r="C56" s="37">
        <f>E36</f>
        <v>50</v>
      </c>
      <c r="D56" s="37">
        <f>E37</f>
        <v>60</v>
      </c>
      <c r="E56" s="232">
        <f>SUM(B56:D56)</f>
        <v>150</v>
      </c>
    </row>
    <row r="57" spans="1:5" x14ac:dyDescent="0.2">
      <c r="A57" s="5" t="s">
        <v>348</v>
      </c>
      <c r="B57" s="239">
        <v>0</v>
      </c>
      <c r="C57" s="37">
        <f>B58</f>
        <v>10</v>
      </c>
      <c r="D57" s="37">
        <f>C58</f>
        <v>0</v>
      </c>
      <c r="E57" s="232"/>
    </row>
    <row r="58" spans="1:5" x14ac:dyDescent="0.2">
      <c r="A58" s="5" t="s">
        <v>349</v>
      </c>
      <c r="B58" s="268">
        <f>B57+B56-B55</f>
        <v>10</v>
      </c>
      <c r="C58" s="269">
        <f>C57+C56-C55</f>
        <v>0</v>
      </c>
      <c r="D58" s="269">
        <f>D57+D56-D55</f>
        <v>10</v>
      </c>
      <c r="E58" s="232">
        <f>SUM(B58:D58)</f>
        <v>20</v>
      </c>
    </row>
    <row r="59" spans="1:5" x14ac:dyDescent="0.2">
      <c r="A59" s="42" t="s">
        <v>350</v>
      </c>
      <c r="B59" s="234">
        <f>B56+B57-B58</f>
        <v>30</v>
      </c>
      <c r="C59" s="39">
        <f>C56+C57-C58</f>
        <v>60</v>
      </c>
      <c r="D59" s="39">
        <f>D56+D57-D58</f>
        <v>50</v>
      </c>
      <c r="E59" s="235">
        <f>SUM(B59:D59)</f>
        <v>140</v>
      </c>
    </row>
  </sheetData>
  <phoneticPr fontId="13" type="noConversion"/>
  <conditionalFormatting sqref="B53:D53 B58:D58">
    <cfRule type="cellIs" dxfId="1" priority="1" stopIfTrue="1" operator="lessThan">
      <formula>0</formula>
    </cfRule>
  </conditionalFormatting>
  <conditionalFormatting sqref="C43:D45">
    <cfRule type="cellIs" dxfId="0" priority="2" stopIfTrue="1" operator="greaterThan">
      <formula>C11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47"/>
  <sheetViews>
    <sheetView zoomScale="90" workbookViewId="0">
      <selection activeCell="D1" sqref="D1"/>
    </sheetView>
  </sheetViews>
  <sheetFormatPr defaultColWidth="10.85546875" defaultRowHeight="12.75" x14ac:dyDescent="0.2"/>
  <cols>
    <col min="1" max="1" width="23.42578125" style="61" customWidth="1"/>
    <col min="2" max="2" width="12.7109375" style="61" customWidth="1"/>
    <col min="3" max="3" width="14.140625" style="61" customWidth="1"/>
    <col min="4" max="4" width="4.85546875" style="61" customWidth="1"/>
    <col min="5" max="5" width="20.7109375" style="61" customWidth="1"/>
    <col min="6" max="16384" width="10.85546875" style="61"/>
  </cols>
  <sheetData>
    <row r="1" spans="1:7" x14ac:dyDescent="0.2">
      <c r="A1" s="62" t="s">
        <v>40</v>
      </c>
    </row>
    <row r="2" spans="1:7" x14ac:dyDescent="0.2">
      <c r="B2" s="144" t="s">
        <v>41</v>
      </c>
      <c r="C2" s="145"/>
      <c r="D2" s="145"/>
      <c r="E2" s="145"/>
      <c r="F2" s="146" t="s">
        <v>42</v>
      </c>
    </row>
    <row r="3" spans="1:7" x14ac:dyDescent="0.2">
      <c r="E3" s="61" t="s">
        <v>43</v>
      </c>
      <c r="F3" s="123">
        <v>5.6000000000000001E-2</v>
      </c>
    </row>
    <row r="4" spans="1:7" x14ac:dyDescent="0.2">
      <c r="A4" s="61" t="s">
        <v>44</v>
      </c>
      <c r="B4" s="61">
        <v>2100</v>
      </c>
      <c r="C4" s="61" t="s">
        <v>45</v>
      </c>
      <c r="F4" s="61">
        <f>B6*F5*F3</f>
        <v>117.60000000000001</v>
      </c>
      <c r="G4" s="61" t="s">
        <v>46</v>
      </c>
    </row>
    <row r="5" spans="1:7" x14ac:dyDescent="0.2">
      <c r="A5" s="61" t="s">
        <v>47</v>
      </c>
      <c r="B5" s="124">
        <v>0.95</v>
      </c>
      <c r="C5" s="61" t="s">
        <v>45</v>
      </c>
      <c r="F5" s="124">
        <f>B5</f>
        <v>0.95</v>
      </c>
      <c r="G5" s="61" t="s">
        <v>48</v>
      </c>
    </row>
    <row r="6" spans="1:7" x14ac:dyDescent="0.2">
      <c r="A6" s="61" t="s">
        <v>49</v>
      </c>
      <c r="B6" s="125">
        <f>B4/B5</f>
        <v>2210.5263157894738</v>
      </c>
      <c r="C6" s="61" t="s">
        <v>50</v>
      </c>
    </row>
    <row r="8" spans="1:7" x14ac:dyDescent="0.2">
      <c r="A8" s="61" t="s">
        <v>51</v>
      </c>
      <c r="B8" s="61">
        <v>1000</v>
      </c>
      <c r="C8" s="61" t="s">
        <v>45</v>
      </c>
      <c r="F8" s="61">
        <v>1400</v>
      </c>
      <c r="G8" s="61" t="s">
        <v>52</v>
      </c>
    </row>
    <row r="9" spans="1:7" x14ac:dyDescent="0.2">
      <c r="A9" s="61" t="s">
        <v>53</v>
      </c>
      <c r="B9" s="61">
        <f>B8*B4/1000</f>
        <v>2100</v>
      </c>
      <c r="C9" s="61" t="s">
        <v>50</v>
      </c>
      <c r="F9" s="125">
        <f>F8*F4/1000</f>
        <v>164.64</v>
      </c>
      <c r="G9" s="61" t="s">
        <v>50</v>
      </c>
    </row>
    <row r="10" spans="1:7" x14ac:dyDescent="0.2">
      <c r="A10" s="61" t="s">
        <v>54</v>
      </c>
      <c r="B10" s="61">
        <v>400</v>
      </c>
      <c r="C10" s="61" t="s">
        <v>45</v>
      </c>
      <c r="F10" s="125">
        <f>F9*F11</f>
        <v>31.359999999999996</v>
      </c>
      <c r="G10" s="61" t="s">
        <v>50</v>
      </c>
    </row>
    <row r="11" spans="1:7" x14ac:dyDescent="0.2">
      <c r="A11" s="61" t="s">
        <v>92</v>
      </c>
      <c r="B11" s="126">
        <f>B10/B9</f>
        <v>0.19047619047619047</v>
      </c>
      <c r="C11" s="61" t="s">
        <v>50</v>
      </c>
      <c r="F11" s="124">
        <f>B11</f>
        <v>0.19047619047619047</v>
      </c>
      <c r="G11" s="61" t="s">
        <v>48</v>
      </c>
    </row>
    <row r="13" spans="1:7" x14ac:dyDescent="0.2">
      <c r="A13" s="61" t="s">
        <v>55</v>
      </c>
    </row>
    <row r="14" spans="1:7" x14ac:dyDescent="0.2">
      <c r="A14" s="61" t="s">
        <v>56</v>
      </c>
      <c r="B14" s="61">
        <v>60</v>
      </c>
      <c r="C14" s="61" t="s">
        <v>45</v>
      </c>
    </row>
    <row r="15" spans="1:7" x14ac:dyDescent="0.2">
      <c r="A15" s="61" t="s">
        <v>57</v>
      </c>
      <c r="B15" s="126">
        <f>65/85</f>
        <v>0.76470588235294112</v>
      </c>
      <c r="C15" s="61" t="s">
        <v>58</v>
      </c>
    </row>
    <row r="16" spans="1:7" x14ac:dyDescent="0.2">
      <c r="A16" s="61" t="s">
        <v>59</v>
      </c>
      <c r="B16" s="61">
        <v>120</v>
      </c>
      <c r="C16" s="61" t="s">
        <v>60</v>
      </c>
    </row>
    <row r="17" spans="1:7" x14ac:dyDescent="0.2">
      <c r="A17" s="61" t="s">
        <v>57</v>
      </c>
      <c r="B17" s="124">
        <f>1-B15</f>
        <v>0.23529411764705888</v>
      </c>
      <c r="C17" s="61" t="s">
        <v>61</v>
      </c>
    </row>
    <row r="18" spans="1:7" x14ac:dyDescent="0.2">
      <c r="A18" s="61" t="s">
        <v>62</v>
      </c>
      <c r="B18" s="125">
        <f>B14*B15+B16*B17</f>
        <v>74.117647058823536</v>
      </c>
      <c r="C18" s="61" t="s">
        <v>50</v>
      </c>
      <c r="F18" s="125">
        <f>B18</f>
        <v>74.117647058823536</v>
      </c>
    </row>
    <row r="20" spans="1:7" x14ac:dyDescent="0.2">
      <c r="E20" s="61" t="s">
        <v>124</v>
      </c>
      <c r="F20" s="128">
        <f>F10*F18/1000</f>
        <v>2.3243294117647055</v>
      </c>
    </row>
    <row r="21" spans="1:7" x14ac:dyDescent="0.2">
      <c r="E21" s="61" t="s">
        <v>125</v>
      </c>
      <c r="F21" s="129">
        <v>386</v>
      </c>
    </row>
    <row r="22" spans="1:7" x14ac:dyDescent="0.2">
      <c r="E22" s="61" t="s">
        <v>126</v>
      </c>
      <c r="F22" s="130">
        <f>F20/F21</f>
        <v>6.021578786955196E-3</v>
      </c>
    </row>
    <row r="24" spans="1:7" s="62" customFormat="1" x14ac:dyDescent="0.2">
      <c r="B24" s="144" t="s">
        <v>127</v>
      </c>
      <c r="C24" s="147"/>
      <c r="D24" s="147"/>
      <c r="E24" s="147"/>
      <c r="F24" s="146" t="s">
        <v>128</v>
      </c>
    </row>
    <row r="25" spans="1:7" x14ac:dyDescent="0.2">
      <c r="A25" s="61" t="s">
        <v>129</v>
      </c>
      <c r="B25" s="124">
        <v>0.02</v>
      </c>
    </row>
    <row r="26" spans="1:7" x14ac:dyDescent="0.2">
      <c r="A26" s="61" t="s">
        <v>94</v>
      </c>
      <c r="B26" s="124">
        <v>0.04</v>
      </c>
      <c r="E26" s="61" t="s">
        <v>43</v>
      </c>
      <c r="F26" s="123">
        <v>6.8000000000000005E-2</v>
      </c>
      <c r="G26" s="61" t="s">
        <v>45</v>
      </c>
    </row>
    <row r="27" spans="1:7" x14ac:dyDescent="0.2">
      <c r="A27" s="61" t="s">
        <v>44</v>
      </c>
      <c r="B27" s="125">
        <f>(1+B25)^10*B4</f>
        <v>2559.88828198899</v>
      </c>
      <c r="C27" s="61" t="s">
        <v>130</v>
      </c>
      <c r="F27" s="127">
        <f>B29*F28*F26</f>
        <v>174.07240317525134</v>
      </c>
      <c r="G27" s="61" t="s">
        <v>131</v>
      </c>
    </row>
    <row r="28" spans="1:7" x14ac:dyDescent="0.2">
      <c r="A28" s="61" t="s">
        <v>47</v>
      </c>
      <c r="B28" s="124">
        <v>0.95</v>
      </c>
      <c r="C28" s="61" t="s">
        <v>132</v>
      </c>
      <c r="F28" s="124">
        <f>B28</f>
        <v>0.95</v>
      </c>
      <c r="G28" s="61" t="s">
        <v>132</v>
      </c>
    </row>
    <row r="29" spans="1:7" x14ac:dyDescent="0.2">
      <c r="A29" s="61" t="s">
        <v>49</v>
      </c>
      <c r="B29" s="125">
        <f>B27/B28</f>
        <v>2694.6192441989369</v>
      </c>
      <c r="C29" s="61" t="s">
        <v>50</v>
      </c>
    </row>
    <row r="31" spans="1:7" x14ac:dyDescent="0.2">
      <c r="A31" s="61" t="s">
        <v>51</v>
      </c>
      <c r="B31" s="61">
        <v>1000</v>
      </c>
      <c r="C31" s="61" t="s">
        <v>132</v>
      </c>
      <c r="F31" s="61">
        <f>F8</f>
        <v>1400</v>
      </c>
      <c r="G31" s="61" t="s">
        <v>132</v>
      </c>
    </row>
    <row r="32" spans="1:7" x14ac:dyDescent="0.2">
      <c r="A32" s="61" t="s">
        <v>53</v>
      </c>
      <c r="B32" s="125">
        <f>B31*B27/1000</f>
        <v>2559.88828198899</v>
      </c>
      <c r="C32" s="61" t="s">
        <v>50</v>
      </c>
      <c r="F32" s="125">
        <f>F31*F27/1000</f>
        <v>243.70136444535189</v>
      </c>
      <c r="G32" s="61" t="s">
        <v>50</v>
      </c>
    </row>
    <row r="33" spans="1:7" x14ac:dyDescent="0.2">
      <c r="A33" s="61" t="s">
        <v>54</v>
      </c>
      <c r="B33" s="61">
        <v>400</v>
      </c>
      <c r="C33" s="61" t="s">
        <v>50</v>
      </c>
      <c r="F33" s="125">
        <f>F32*F34</f>
        <v>60.925341111337971</v>
      </c>
      <c r="G33" s="61" t="s">
        <v>50</v>
      </c>
    </row>
    <row r="34" spans="1:7" x14ac:dyDescent="0.2">
      <c r="A34" s="61" t="s">
        <v>92</v>
      </c>
      <c r="B34" s="126">
        <v>0.25</v>
      </c>
      <c r="C34" s="61" t="s">
        <v>133</v>
      </c>
      <c r="F34" s="124">
        <f>B34</f>
        <v>0.25</v>
      </c>
      <c r="G34" s="61" t="s">
        <v>48</v>
      </c>
    </row>
    <row r="36" spans="1:7" x14ac:dyDescent="0.2">
      <c r="A36" s="61" t="s">
        <v>55</v>
      </c>
    </row>
    <row r="37" spans="1:7" x14ac:dyDescent="0.2">
      <c r="A37" s="61" t="s">
        <v>56</v>
      </c>
      <c r="B37" s="61">
        <v>1800</v>
      </c>
      <c r="C37" s="61" t="s">
        <v>134</v>
      </c>
    </row>
    <row r="38" spans="1:7" x14ac:dyDescent="0.2">
      <c r="A38" s="61" t="s">
        <v>57</v>
      </c>
      <c r="B38" s="126">
        <v>0.5</v>
      </c>
    </row>
    <row r="39" spans="1:7" x14ac:dyDescent="0.2">
      <c r="A39" s="61" t="s">
        <v>59</v>
      </c>
      <c r="B39" s="61">
        <v>3000</v>
      </c>
      <c r="C39" s="61" t="s">
        <v>135</v>
      </c>
    </row>
    <row r="40" spans="1:7" x14ac:dyDescent="0.2">
      <c r="A40" s="61" t="s">
        <v>57</v>
      </c>
      <c r="B40" s="124">
        <f>1-B38</f>
        <v>0.5</v>
      </c>
    </row>
    <row r="41" spans="1:7" x14ac:dyDescent="0.2">
      <c r="A41" s="61" t="s">
        <v>62</v>
      </c>
      <c r="B41" s="125">
        <f>B37*B38+B39*B40</f>
        <v>2400</v>
      </c>
      <c r="F41" s="125">
        <f>B41</f>
        <v>2400</v>
      </c>
    </row>
    <row r="43" spans="1:7" x14ac:dyDescent="0.2">
      <c r="E43" s="61" t="s">
        <v>124</v>
      </c>
      <c r="F43" s="128">
        <f>F33*F41/1000</f>
        <v>146.22081866721112</v>
      </c>
    </row>
    <row r="44" spans="1:7" x14ac:dyDescent="0.2">
      <c r="E44" s="61" t="s">
        <v>125</v>
      </c>
      <c r="F44" s="131">
        <f>(1+B25+B26)^10*F21</f>
        <v>691.26721086554187</v>
      </c>
    </row>
    <row r="45" spans="1:7" x14ac:dyDescent="0.2">
      <c r="E45" s="61" t="s">
        <v>126</v>
      </c>
      <c r="F45" s="130">
        <f>F43/F44</f>
        <v>0.21152575497415352</v>
      </c>
    </row>
    <row r="47" spans="1:7" x14ac:dyDescent="0.2">
      <c r="B47" s="148" t="s">
        <v>63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5.1a</vt:lpstr>
      <vt:lpstr>5.1b</vt:lpstr>
      <vt:lpstr>Banjul</vt:lpstr>
      <vt:lpstr>5.3</vt:lpstr>
      <vt:lpstr>5.4</vt:lpstr>
      <vt:lpstr>5.5</vt:lpstr>
      <vt:lpstr>5.6</vt:lpstr>
      <vt:lpstr>5.7</vt:lpstr>
      <vt:lpstr>5.8</vt:lpstr>
      <vt:lpstr>5.9</vt:lpstr>
      <vt:lpstr>5.10</vt:lpstr>
      <vt:lpstr>5.11</vt:lpstr>
      <vt:lpstr>5.12</vt:lpstr>
      <vt:lpstr>5.13</vt:lpstr>
      <vt:lpstr>CB_DATA_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Ken.Baker</dc:creator>
  <cp:lastModifiedBy>St. Stephens Instt</cp:lastModifiedBy>
  <cp:lastPrinted>2003-05-27T15:44:28Z</cp:lastPrinted>
  <dcterms:created xsi:type="dcterms:W3CDTF">2002-10-18T18:38:47Z</dcterms:created>
  <dcterms:modified xsi:type="dcterms:W3CDTF">2014-04-09T01:09:20Z</dcterms:modified>
</cp:coreProperties>
</file>