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/Users/dmitriy/Downloads/"/>
    </mc:Choice>
  </mc:AlternateContent>
  <xr:revisionPtr revIDLastSave="0" documentId="13_ncr:1_{4D298DE4-E644-1948-B4C0-A6EC511F0B12}" xr6:coauthVersionLast="47" xr6:coauthVersionMax="47" xr10:uidLastSave="{00000000-0000-0000-0000-000000000000}"/>
  <bookViews>
    <workbookView xWindow="1060" yWindow="3960" windowWidth="23940" windowHeight="13000" activeTab="4" xr2:uid="{208FA984-4A4F-F945-BC68-17E8767912E2}"/>
  </bookViews>
  <sheets>
    <sheet name="Стоимость производства" sheetId="3" r:id="rId1"/>
    <sheet name="Scenarios" sheetId="9" r:id="rId2"/>
    <sheet name="Assumptions" sheetId="1" r:id="rId3"/>
    <sheet name="P&amp;L" sheetId="2" r:id="rId4"/>
    <sheet name="Investment Analysis" sheetId="4" r:id="rId5"/>
  </sheets>
  <definedNames>
    <definedName name="_xlnm._FilterDatabase" localSheetId="0" hidden="1">'Стоимость производства'!$A$1:$D$10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" i="2" l="1"/>
  <c r="AC10" i="2"/>
  <c r="AC9" i="2"/>
  <c r="AD9" i="2" s="1"/>
  <c r="M21" i="1"/>
  <c r="M20" i="1"/>
  <c r="M19" i="1"/>
  <c r="O19" i="1"/>
  <c r="B41" i="1"/>
  <c r="B40" i="1"/>
  <c r="B39" i="1"/>
  <c r="B38" i="1"/>
  <c r="B37" i="1"/>
  <c r="B36" i="1"/>
  <c r="B35" i="1"/>
  <c r="B34" i="1"/>
  <c r="B33" i="1"/>
  <c r="B32" i="1"/>
  <c r="B31" i="1"/>
  <c r="R5" i="4"/>
  <c r="S5" i="4" s="1"/>
  <c r="H61" i="3"/>
  <c r="H34" i="3"/>
  <c r="H12" i="3"/>
  <c r="F40" i="1"/>
  <c r="M124" i="2" s="1"/>
  <c r="F39" i="1"/>
  <c r="L98" i="2" s="1"/>
  <c r="Q115" i="2"/>
  <c r="P115" i="2"/>
  <c r="O115" i="2"/>
  <c r="N115" i="2"/>
  <c r="M115" i="2"/>
  <c r="L115" i="2"/>
  <c r="K115" i="2"/>
  <c r="J115" i="2"/>
  <c r="I115" i="2"/>
  <c r="H115" i="2"/>
  <c r="G115" i="2"/>
  <c r="F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Q89" i="2"/>
  <c r="P89" i="2"/>
  <c r="O89" i="2"/>
  <c r="N89" i="2"/>
  <c r="M89" i="2"/>
  <c r="L89" i="2"/>
  <c r="K89" i="2"/>
  <c r="J89" i="2"/>
  <c r="I89" i="2"/>
  <c r="H89" i="2"/>
  <c r="G89" i="2"/>
  <c r="F89" i="2"/>
  <c r="Q88" i="2"/>
  <c r="P88" i="2"/>
  <c r="O88" i="2"/>
  <c r="N88" i="2"/>
  <c r="M88" i="2"/>
  <c r="L88" i="2"/>
  <c r="K88" i="2"/>
  <c r="J88" i="2"/>
  <c r="I88" i="2"/>
  <c r="H88" i="2"/>
  <c r="G88" i="2"/>
  <c r="F88" i="2"/>
  <c r="Q87" i="2"/>
  <c r="P87" i="2"/>
  <c r="O87" i="2"/>
  <c r="N87" i="2"/>
  <c r="M87" i="2"/>
  <c r="L87" i="2"/>
  <c r="K87" i="2"/>
  <c r="J87" i="2"/>
  <c r="I87" i="2"/>
  <c r="H87" i="2"/>
  <c r="G87" i="2"/>
  <c r="F87" i="2"/>
  <c r="Q63" i="2"/>
  <c r="P63" i="2"/>
  <c r="O63" i="2"/>
  <c r="N63" i="2"/>
  <c r="M63" i="2"/>
  <c r="L63" i="2"/>
  <c r="L66" i="2" s="1"/>
  <c r="K63" i="2"/>
  <c r="J63" i="2"/>
  <c r="I63" i="2"/>
  <c r="H63" i="2"/>
  <c r="G63" i="2"/>
  <c r="F63" i="2"/>
  <c r="Q62" i="2"/>
  <c r="P62" i="2"/>
  <c r="O62" i="2"/>
  <c r="N62" i="2"/>
  <c r="M62" i="2"/>
  <c r="L62" i="2"/>
  <c r="K62" i="2"/>
  <c r="J62" i="2"/>
  <c r="I62" i="2"/>
  <c r="H62" i="2"/>
  <c r="G62" i="2"/>
  <c r="F62" i="2"/>
  <c r="Q61" i="2"/>
  <c r="P61" i="2"/>
  <c r="O61" i="2"/>
  <c r="N61" i="2"/>
  <c r="M61" i="2"/>
  <c r="L61" i="2"/>
  <c r="K61" i="2"/>
  <c r="J61" i="2"/>
  <c r="I61" i="2"/>
  <c r="H61" i="2"/>
  <c r="G61" i="2"/>
  <c r="F61" i="2"/>
  <c r="Q37" i="2"/>
  <c r="P37" i="2"/>
  <c r="O37" i="2"/>
  <c r="N37" i="2"/>
  <c r="M37" i="2"/>
  <c r="M40" i="2" s="1"/>
  <c r="L37" i="2"/>
  <c r="K37" i="2"/>
  <c r="J37" i="2"/>
  <c r="I37" i="2"/>
  <c r="H37" i="2"/>
  <c r="G37" i="2"/>
  <c r="F37" i="2"/>
  <c r="Q36" i="2"/>
  <c r="P36" i="2"/>
  <c r="O36" i="2"/>
  <c r="N36" i="2"/>
  <c r="M36" i="2"/>
  <c r="L36" i="2"/>
  <c r="K36" i="2"/>
  <c r="J36" i="2"/>
  <c r="I36" i="2"/>
  <c r="H36" i="2"/>
  <c r="G36" i="2"/>
  <c r="F36" i="2"/>
  <c r="Q35" i="2"/>
  <c r="P35" i="2"/>
  <c r="O35" i="2"/>
  <c r="N35" i="2"/>
  <c r="M35" i="2"/>
  <c r="L35" i="2"/>
  <c r="K35" i="2"/>
  <c r="J35" i="2"/>
  <c r="I35" i="2"/>
  <c r="H35" i="2"/>
  <c r="G35" i="2"/>
  <c r="F35" i="2"/>
  <c r="F11" i="2"/>
  <c r="F10" i="2"/>
  <c r="Q11" i="2"/>
  <c r="P11" i="2"/>
  <c r="O11" i="2"/>
  <c r="N11" i="2"/>
  <c r="M11" i="2"/>
  <c r="L11" i="2"/>
  <c r="K11" i="2"/>
  <c r="J11" i="2"/>
  <c r="I11" i="2"/>
  <c r="H11" i="2"/>
  <c r="G11" i="2"/>
  <c r="Q10" i="2"/>
  <c r="P10" i="2"/>
  <c r="O10" i="2"/>
  <c r="N10" i="2"/>
  <c r="M10" i="2"/>
  <c r="L10" i="2"/>
  <c r="K10" i="2"/>
  <c r="J10" i="2"/>
  <c r="I10" i="2"/>
  <c r="H10" i="2"/>
  <c r="G10" i="2"/>
  <c r="Q9" i="2"/>
  <c r="P9" i="2"/>
  <c r="O9" i="2"/>
  <c r="N9" i="2"/>
  <c r="M9" i="2"/>
  <c r="L9" i="2"/>
  <c r="K9" i="2"/>
  <c r="J9" i="2"/>
  <c r="I9" i="2"/>
  <c r="H9" i="2"/>
  <c r="G9" i="2"/>
  <c r="F9" i="2"/>
  <c r="H21" i="3"/>
  <c r="G122" i="2"/>
  <c r="H122" i="2"/>
  <c r="I122" i="2"/>
  <c r="J122" i="2"/>
  <c r="K122" i="2"/>
  <c r="L122" i="2"/>
  <c r="M122" i="2"/>
  <c r="N122" i="2"/>
  <c r="O122" i="2"/>
  <c r="P122" i="2"/>
  <c r="Q122" i="2"/>
  <c r="G96" i="2"/>
  <c r="H96" i="2"/>
  <c r="I96" i="2"/>
  <c r="J96" i="2"/>
  <c r="K96" i="2"/>
  <c r="L96" i="2"/>
  <c r="M96" i="2"/>
  <c r="N96" i="2"/>
  <c r="O96" i="2"/>
  <c r="P96" i="2"/>
  <c r="Q96" i="2"/>
  <c r="Q70" i="2"/>
  <c r="G70" i="2"/>
  <c r="H70" i="2"/>
  <c r="I70" i="2"/>
  <c r="J70" i="2"/>
  <c r="K70" i="2"/>
  <c r="L70" i="2"/>
  <c r="M70" i="2"/>
  <c r="N70" i="2"/>
  <c r="O70" i="2"/>
  <c r="P70" i="2"/>
  <c r="G44" i="2"/>
  <c r="H44" i="2"/>
  <c r="I44" i="2"/>
  <c r="J44" i="2"/>
  <c r="K44" i="2"/>
  <c r="L44" i="2"/>
  <c r="M44" i="2"/>
  <c r="N44" i="2"/>
  <c r="O44" i="2"/>
  <c r="P44" i="2"/>
  <c r="Q44" i="2"/>
  <c r="G18" i="2"/>
  <c r="H18" i="2"/>
  <c r="I18" i="2"/>
  <c r="J18" i="2"/>
  <c r="K18" i="2"/>
  <c r="L18" i="2"/>
  <c r="M18" i="2"/>
  <c r="N18" i="2"/>
  <c r="O18" i="2"/>
  <c r="P18" i="2"/>
  <c r="Q18" i="2"/>
  <c r="O20" i="1"/>
  <c r="F122" i="2"/>
  <c r="F96" i="2"/>
  <c r="Q21" i="1"/>
  <c r="Q20" i="1"/>
  <c r="Q19" i="1"/>
  <c r="R4" i="4"/>
  <c r="F70" i="2"/>
  <c r="F44" i="2"/>
  <c r="F18" i="2"/>
  <c r="O21" i="1"/>
  <c r="D24" i="1"/>
  <c r="C24" i="1"/>
  <c r="B24" i="1"/>
  <c r="M117" i="2" l="1"/>
  <c r="Q118" i="2"/>
  <c r="I64" i="2"/>
  <c r="L65" i="2"/>
  <c r="Q116" i="2"/>
  <c r="O118" i="2"/>
  <c r="H92" i="2"/>
  <c r="P92" i="2"/>
  <c r="L118" i="2"/>
  <c r="I92" i="2"/>
  <c r="Q92" i="2"/>
  <c r="M118" i="2"/>
  <c r="G118" i="2"/>
  <c r="N118" i="2"/>
  <c r="L117" i="2"/>
  <c r="L91" i="2"/>
  <c r="H117" i="2"/>
  <c r="P117" i="2"/>
  <c r="M91" i="2"/>
  <c r="I117" i="2"/>
  <c r="Q117" i="2"/>
  <c r="K91" i="2"/>
  <c r="N91" i="2"/>
  <c r="J117" i="2"/>
  <c r="G91" i="2"/>
  <c r="O91" i="2"/>
  <c r="K117" i="2"/>
  <c r="O90" i="2"/>
  <c r="M116" i="2"/>
  <c r="Q90" i="2"/>
  <c r="G90" i="2"/>
  <c r="K116" i="2"/>
  <c r="H90" i="2"/>
  <c r="P90" i="2"/>
  <c r="I90" i="2"/>
  <c r="L116" i="2"/>
  <c r="L14" i="2"/>
  <c r="M14" i="2"/>
  <c r="N14" i="2"/>
  <c r="L39" i="2"/>
  <c r="G14" i="2"/>
  <c r="O14" i="2"/>
  <c r="M39" i="2"/>
  <c r="I40" i="2"/>
  <c r="Q40" i="2"/>
  <c r="M65" i="2"/>
  <c r="I66" i="2"/>
  <c r="Q66" i="2"/>
  <c r="H14" i="2"/>
  <c r="F39" i="2"/>
  <c r="J40" i="2"/>
  <c r="N65" i="2"/>
  <c r="N90" i="2"/>
  <c r="J116" i="2"/>
  <c r="P12" i="2"/>
  <c r="K14" i="2"/>
  <c r="I14" i="2"/>
  <c r="G39" i="2"/>
  <c r="O39" i="2"/>
  <c r="G65" i="2"/>
  <c r="O65" i="2"/>
  <c r="P118" i="2"/>
  <c r="H118" i="2"/>
  <c r="M92" i="2"/>
  <c r="I118" i="2"/>
  <c r="N92" i="2"/>
  <c r="J118" i="2"/>
  <c r="G92" i="2"/>
  <c r="O92" i="2"/>
  <c r="K118" i="2"/>
  <c r="G117" i="2"/>
  <c r="O117" i="2"/>
  <c r="H91" i="2"/>
  <c r="P91" i="2"/>
  <c r="I91" i="2"/>
  <c r="Q91" i="2"/>
  <c r="J91" i="2"/>
  <c r="N117" i="2"/>
  <c r="J90" i="2"/>
  <c r="K90" i="2"/>
  <c r="G116" i="2"/>
  <c r="O116" i="2"/>
  <c r="L90" i="2"/>
  <c r="P116" i="2"/>
  <c r="M90" i="2"/>
  <c r="I116" i="2"/>
  <c r="N40" i="2"/>
  <c r="J66" i="2"/>
  <c r="K40" i="2"/>
  <c r="F40" i="2"/>
  <c r="G40" i="2"/>
  <c r="O40" i="2"/>
  <c r="K66" i="2"/>
  <c r="L40" i="2"/>
  <c r="H40" i="2"/>
  <c r="P40" i="2"/>
  <c r="H66" i="2"/>
  <c r="H39" i="2"/>
  <c r="P39" i="2"/>
  <c r="H65" i="2"/>
  <c r="P65" i="2"/>
  <c r="I39" i="2"/>
  <c r="Q39" i="2"/>
  <c r="I65" i="2"/>
  <c r="Q65" i="2"/>
  <c r="J39" i="2"/>
  <c r="J65" i="2"/>
  <c r="K65" i="2"/>
  <c r="K38" i="2"/>
  <c r="G38" i="2"/>
  <c r="O38" i="2"/>
  <c r="G64" i="2"/>
  <c r="O64" i="2"/>
  <c r="H38" i="2"/>
  <c r="P38" i="2"/>
  <c r="H64" i="2"/>
  <c r="P64" i="2"/>
  <c r="I38" i="2"/>
  <c r="Q38" i="2"/>
  <c r="Q64" i="2"/>
  <c r="L38" i="2"/>
  <c r="L64" i="2"/>
  <c r="M38" i="2"/>
  <c r="J21" i="4" s="1"/>
  <c r="N38" i="2"/>
  <c r="P14" i="2"/>
  <c r="Q14" i="2"/>
  <c r="J14" i="2"/>
  <c r="N13" i="2"/>
  <c r="H13" i="2"/>
  <c r="P13" i="2"/>
  <c r="G13" i="2"/>
  <c r="O13" i="2"/>
  <c r="I13" i="2"/>
  <c r="Q13" i="2"/>
  <c r="J13" i="2"/>
  <c r="K13" i="2"/>
  <c r="L13" i="2"/>
  <c r="M13" i="2"/>
  <c r="J12" i="2"/>
  <c r="H12" i="2"/>
  <c r="Q12" i="2"/>
  <c r="G12" i="2"/>
  <c r="I12" i="2"/>
  <c r="L12" i="2"/>
  <c r="O12" i="2"/>
  <c r="N124" i="2"/>
  <c r="L124" i="2"/>
  <c r="I124" i="2"/>
  <c r="J124" i="2"/>
  <c r="Q124" i="2"/>
  <c r="H124" i="2"/>
  <c r="B42" i="1"/>
  <c r="R6" i="4" s="1"/>
  <c r="Q16" i="4" s="1"/>
  <c r="K124" i="2"/>
  <c r="G124" i="2"/>
  <c r="F124" i="2"/>
  <c r="P124" i="2"/>
  <c r="O124" i="2"/>
  <c r="L95" i="2"/>
  <c r="B43" i="1"/>
  <c r="M123" i="2" s="1"/>
  <c r="J20" i="2"/>
  <c r="K46" i="2"/>
  <c r="I20" i="2"/>
  <c r="J46" i="2"/>
  <c r="O20" i="2"/>
  <c r="G20" i="2"/>
  <c r="P46" i="2"/>
  <c r="H46" i="2"/>
  <c r="P72" i="2"/>
  <c r="H72" i="2"/>
  <c r="N20" i="2"/>
  <c r="O46" i="2"/>
  <c r="G46" i="2"/>
  <c r="O72" i="2"/>
  <c r="G72" i="2"/>
  <c r="M20" i="2"/>
  <c r="N46" i="2"/>
  <c r="N72" i="2"/>
  <c r="L20" i="2"/>
  <c r="M46" i="2"/>
  <c r="M72" i="2"/>
  <c r="Q72" i="2"/>
  <c r="K98" i="2"/>
  <c r="M98" i="2"/>
  <c r="K20" i="2"/>
  <c r="L46" i="2"/>
  <c r="L72" i="2"/>
  <c r="J98" i="2"/>
  <c r="K72" i="2"/>
  <c r="J72" i="2"/>
  <c r="P20" i="2"/>
  <c r="H20" i="2"/>
  <c r="Q46" i="2"/>
  <c r="I46" i="2"/>
  <c r="I72" i="2"/>
  <c r="Q98" i="2"/>
  <c r="P98" i="2"/>
  <c r="O98" i="2"/>
  <c r="Q20" i="2"/>
  <c r="L92" i="2"/>
  <c r="R36" i="2"/>
  <c r="N39" i="2"/>
  <c r="G98" i="2"/>
  <c r="N98" i="2"/>
  <c r="I98" i="2"/>
  <c r="H98" i="2"/>
  <c r="I25" i="4"/>
  <c r="H25" i="4"/>
  <c r="O69" i="2"/>
  <c r="N69" i="2"/>
  <c r="O43" i="2"/>
  <c r="I17" i="2"/>
  <c r="O17" i="2"/>
  <c r="K43" i="2"/>
  <c r="N95" i="2"/>
  <c r="M121" i="2"/>
  <c r="H17" i="2"/>
  <c r="H43" i="2"/>
  <c r="N17" i="2"/>
  <c r="J43" i="2"/>
  <c r="J50" i="2" s="1"/>
  <c r="M95" i="2"/>
  <c r="K121" i="2"/>
  <c r="M69" i="2"/>
  <c r="O121" i="2"/>
  <c r="P17" i="2"/>
  <c r="M43" i="2"/>
  <c r="M50" i="2" s="1"/>
  <c r="H95" i="2"/>
  <c r="P69" i="2"/>
  <c r="L43" i="2"/>
  <c r="N121" i="2"/>
  <c r="G95" i="2"/>
  <c r="M17" i="2"/>
  <c r="G43" i="2"/>
  <c r="K69" i="2"/>
  <c r="J121" i="2"/>
  <c r="L69" i="2"/>
  <c r="L76" i="2" s="1"/>
  <c r="J95" i="2"/>
  <c r="G17" i="2"/>
  <c r="P43" i="2"/>
  <c r="O95" i="2"/>
  <c r="G69" i="2"/>
  <c r="K95" i="2"/>
  <c r="L17" i="2"/>
  <c r="J69" i="2"/>
  <c r="I121" i="2"/>
  <c r="P95" i="2"/>
  <c r="K17" i="2"/>
  <c r="I69" i="2"/>
  <c r="I76" i="2" s="1"/>
  <c r="Q121" i="2"/>
  <c r="Q128" i="2" s="1"/>
  <c r="H121" i="2"/>
  <c r="J17" i="2"/>
  <c r="P121" i="2"/>
  <c r="G121" i="2"/>
  <c r="Q17" i="2"/>
  <c r="N43" i="2"/>
  <c r="N116" i="2"/>
  <c r="H116" i="2"/>
  <c r="L121" i="2"/>
  <c r="L128" i="2" s="1"/>
  <c r="K92" i="2"/>
  <c r="J92" i="2"/>
  <c r="P66" i="2"/>
  <c r="N64" i="2"/>
  <c r="J64" i="2"/>
  <c r="M64" i="2"/>
  <c r="M66" i="2"/>
  <c r="H69" i="2"/>
  <c r="H76" i="2" s="1"/>
  <c r="K39" i="2"/>
  <c r="J38" i="2"/>
  <c r="M12" i="2"/>
  <c r="K12" i="2"/>
  <c r="K119" i="2"/>
  <c r="Q95" i="2"/>
  <c r="I95" i="2"/>
  <c r="O66" i="2"/>
  <c r="G66" i="2"/>
  <c r="N66" i="2"/>
  <c r="Q69" i="2"/>
  <c r="K64" i="2"/>
  <c r="Q43" i="2"/>
  <c r="I43" i="2"/>
  <c r="N12" i="2"/>
  <c r="G25" i="4"/>
  <c r="N25" i="4"/>
  <c r="F25" i="4"/>
  <c r="D25" i="4"/>
  <c r="K25" i="4"/>
  <c r="M25" i="4"/>
  <c r="J25" i="4"/>
  <c r="E25" i="4"/>
  <c r="L25" i="4"/>
  <c r="F72" i="2"/>
  <c r="F98" i="2"/>
  <c r="F46" i="2"/>
  <c r="F43" i="2"/>
  <c r="F69" i="2"/>
  <c r="F95" i="2"/>
  <c r="F121" i="2"/>
  <c r="F116" i="2"/>
  <c r="F90" i="2"/>
  <c r="F65" i="2"/>
  <c r="F66" i="2"/>
  <c r="F91" i="2"/>
  <c r="F92" i="2"/>
  <c r="F117" i="2"/>
  <c r="F118" i="2"/>
  <c r="F38" i="2"/>
  <c r="F64" i="2"/>
  <c r="I38" i="4"/>
  <c r="F51" i="4"/>
  <c r="N51" i="4"/>
  <c r="K63" i="4"/>
  <c r="F12" i="4"/>
  <c r="M38" i="4"/>
  <c r="G63" i="4"/>
  <c r="C63" i="4"/>
  <c r="M12" i="4"/>
  <c r="N38" i="4"/>
  <c r="C51" i="4"/>
  <c r="C25" i="4"/>
  <c r="J38" i="4"/>
  <c r="G51" i="4"/>
  <c r="D63" i="4"/>
  <c r="L63" i="4"/>
  <c r="G12" i="4"/>
  <c r="L12" i="4"/>
  <c r="K51" i="4"/>
  <c r="C12" i="4"/>
  <c r="I63" i="4"/>
  <c r="D12" i="4"/>
  <c r="K38" i="4"/>
  <c r="H51" i="4"/>
  <c r="E63" i="4"/>
  <c r="M63" i="4"/>
  <c r="K12" i="4"/>
  <c r="H12" i="4"/>
  <c r="I12" i="4"/>
  <c r="E38" i="4"/>
  <c r="D51" i="4"/>
  <c r="E51" i="4"/>
  <c r="M51" i="4"/>
  <c r="E12" i="4"/>
  <c r="D38" i="4"/>
  <c r="L38" i="4"/>
  <c r="I51" i="4"/>
  <c r="F63" i="4"/>
  <c r="N63" i="4"/>
  <c r="J51" i="4"/>
  <c r="J12" i="4"/>
  <c r="F38" i="4"/>
  <c r="H63" i="4"/>
  <c r="N12" i="4"/>
  <c r="G38" i="4"/>
  <c r="L51" i="4"/>
  <c r="C38" i="4"/>
  <c r="H38" i="4"/>
  <c r="J63" i="4"/>
  <c r="R122" i="2"/>
  <c r="R44" i="2"/>
  <c r="R70" i="2"/>
  <c r="R96" i="2"/>
  <c r="R18" i="2"/>
  <c r="R115" i="2"/>
  <c r="R114" i="2"/>
  <c r="R113" i="2"/>
  <c r="R89" i="2"/>
  <c r="R88" i="2"/>
  <c r="R87" i="2"/>
  <c r="R63" i="2"/>
  <c r="R62" i="2"/>
  <c r="R61" i="2"/>
  <c r="R37" i="2"/>
  <c r="R35" i="2"/>
  <c r="B67" i="3"/>
  <c r="H11" i="3"/>
  <c r="B42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1" i="1"/>
  <c r="C21" i="1"/>
  <c r="B21" i="1"/>
  <c r="B4" i="3"/>
  <c r="B19" i="3" s="1"/>
  <c r="D8" i="3"/>
  <c r="D7" i="3"/>
  <c r="D5" i="3"/>
  <c r="D6" i="3"/>
  <c r="D9" i="3"/>
  <c r="D10" i="3"/>
  <c r="D11" i="3"/>
  <c r="D12" i="3"/>
  <c r="D13" i="3"/>
  <c r="D14" i="3"/>
  <c r="D15" i="3"/>
  <c r="D16" i="3"/>
  <c r="D17" i="3"/>
  <c r="D18" i="3"/>
  <c r="F14" i="2"/>
  <c r="F13" i="2"/>
  <c r="F12" i="2"/>
  <c r="R10" i="2"/>
  <c r="R11" i="2"/>
  <c r="R9" i="2"/>
  <c r="B11" i="1"/>
  <c r="B12" i="1" s="1"/>
  <c r="Q50" i="2" l="1"/>
  <c r="P24" i="2"/>
  <c r="P128" i="2"/>
  <c r="J24" i="2"/>
  <c r="L24" i="2"/>
  <c r="H102" i="2"/>
  <c r="E21" i="4"/>
  <c r="O128" i="2"/>
  <c r="H128" i="2"/>
  <c r="L102" i="2"/>
  <c r="H50" i="2"/>
  <c r="N128" i="2"/>
  <c r="N24" i="2"/>
  <c r="P102" i="2"/>
  <c r="H21" i="4"/>
  <c r="J76" i="2"/>
  <c r="I24" i="2"/>
  <c r="M21" i="4"/>
  <c r="I102" i="2"/>
  <c r="Q102" i="2"/>
  <c r="M128" i="2"/>
  <c r="G128" i="2"/>
  <c r="K126" i="2"/>
  <c r="O50" i="2"/>
  <c r="I50" i="2"/>
  <c r="L21" i="4"/>
  <c r="D21" i="4"/>
  <c r="F21" i="4"/>
  <c r="I21" i="4"/>
  <c r="N21" i="4"/>
  <c r="M24" i="2"/>
  <c r="Q76" i="2"/>
  <c r="N50" i="2"/>
  <c r="K24" i="2"/>
  <c r="P50" i="2"/>
  <c r="G21" i="4"/>
  <c r="I128" i="2"/>
  <c r="L50" i="2"/>
  <c r="M102" i="2"/>
  <c r="O24" i="2"/>
  <c r="H24" i="2"/>
  <c r="Q24" i="2"/>
  <c r="G24" i="2"/>
  <c r="K128" i="2"/>
  <c r="K50" i="2"/>
  <c r="J128" i="2"/>
  <c r="O102" i="2"/>
  <c r="G102" i="2"/>
  <c r="N102" i="2"/>
  <c r="K76" i="2"/>
  <c r="G50" i="2"/>
  <c r="K21" i="4"/>
  <c r="K22" i="4" s="1"/>
  <c r="I97" i="2"/>
  <c r="K45" i="2"/>
  <c r="P45" i="2"/>
  <c r="N19" i="2"/>
  <c r="I123" i="2"/>
  <c r="Q19" i="2"/>
  <c r="R19" i="2" s="1"/>
  <c r="L123" i="2"/>
  <c r="O45" i="2"/>
  <c r="J71" i="2"/>
  <c r="L19" i="2"/>
  <c r="J19" i="2"/>
  <c r="G123" i="2"/>
  <c r="Q45" i="2"/>
  <c r="P123" i="2"/>
  <c r="K123" i="2"/>
  <c r="Q97" i="2"/>
  <c r="R97" i="2" s="1"/>
  <c r="I19" i="2"/>
  <c r="P97" i="2"/>
  <c r="O123" i="2"/>
  <c r="Q71" i="2"/>
  <c r="R71" i="2" s="1"/>
  <c r="M71" i="2"/>
  <c r="K19" i="2"/>
  <c r="J123" i="2"/>
  <c r="L45" i="2"/>
  <c r="L71" i="2"/>
  <c r="H45" i="2"/>
  <c r="O19" i="2"/>
  <c r="G71" i="2"/>
  <c r="I45" i="2"/>
  <c r="H123" i="2"/>
  <c r="H71" i="2"/>
  <c r="J97" i="2"/>
  <c r="N123" i="2"/>
  <c r="P71" i="2"/>
  <c r="O71" i="2"/>
  <c r="M19" i="2"/>
  <c r="Q123" i="2"/>
  <c r="R123" i="2" s="1"/>
  <c r="G19" i="2"/>
  <c r="P19" i="2"/>
  <c r="K71" i="2"/>
  <c r="K102" i="2"/>
  <c r="J45" i="2"/>
  <c r="M45" i="2"/>
  <c r="H97" i="2"/>
  <c r="I71" i="2"/>
  <c r="N45" i="2"/>
  <c r="G45" i="2"/>
  <c r="O97" i="2"/>
  <c r="L97" i="2"/>
  <c r="G97" i="2"/>
  <c r="M97" i="2"/>
  <c r="N71" i="2"/>
  <c r="H19" i="2"/>
  <c r="K97" i="2"/>
  <c r="N97" i="2"/>
  <c r="O76" i="2"/>
  <c r="N76" i="2"/>
  <c r="V10" i="2"/>
  <c r="F119" i="2"/>
  <c r="I119" i="2"/>
  <c r="I126" i="2" s="1"/>
  <c r="G119" i="2"/>
  <c r="G126" i="2" s="1"/>
  <c r="H93" i="2"/>
  <c r="H100" i="2" s="1"/>
  <c r="P67" i="2"/>
  <c r="P74" i="2" s="1"/>
  <c r="I41" i="2"/>
  <c r="I48" i="2" s="1"/>
  <c r="G15" i="2"/>
  <c r="G22" i="2" s="1"/>
  <c r="J67" i="2"/>
  <c r="J74" i="2" s="1"/>
  <c r="O93" i="2"/>
  <c r="O100" i="2" s="1"/>
  <c r="J15" i="2"/>
  <c r="J22" i="2" s="1"/>
  <c r="I67" i="2"/>
  <c r="I74" i="2" s="1"/>
  <c r="K93" i="2"/>
  <c r="K100" i="2" s="1"/>
  <c r="J119" i="2"/>
  <c r="J126" i="2" s="1"/>
  <c r="I93" i="2"/>
  <c r="I100" i="2" s="1"/>
  <c r="K41" i="2"/>
  <c r="K48" i="2" s="1"/>
  <c r="H15" i="2"/>
  <c r="H22" i="2" s="1"/>
  <c r="O119" i="2"/>
  <c r="O126" i="2" s="1"/>
  <c r="Q15" i="2"/>
  <c r="Q22" i="2" s="1"/>
  <c r="N15" i="2"/>
  <c r="N22" i="2" s="1"/>
  <c r="G93" i="2"/>
  <c r="G100" i="2" s="1"/>
  <c r="O67" i="2"/>
  <c r="O74" i="2" s="1"/>
  <c r="F93" i="2"/>
  <c r="M119" i="2"/>
  <c r="M126" i="2" s="1"/>
  <c r="J93" i="2"/>
  <c r="J100" i="2" s="1"/>
  <c r="Q67" i="2"/>
  <c r="Q74" i="2" s="1"/>
  <c r="L41" i="2"/>
  <c r="L48" i="2" s="1"/>
  <c r="I15" i="2"/>
  <c r="I22" i="2" s="1"/>
  <c r="Q119" i="2"/>
  <c r="Q126" i="2" s="1"/>
  <c r="M41" i="2"/>
  <c r="M48" i="2" s="1"/>
  <c r="F67" i="2"/>
  <c r="K67" i="2"/>
  <c r="K74" i="2" s="1"/>
  <c r="G41" i="2"/>
  <c r="G48" i="2" s="1"/>
  <c r="Q41" i="2"/>
  <c r="Q48" i="2" s="1"/>
  <c r="N119" i="2"/>
  <c r="N126" i="2" s="1"/>
  <c r="M67" i="2"/>
  <c r="M74" i="2" s="1"/>
  <c r="K15" i="2"/>
  <c r="K22" i="2" s="1"/>
  <c r="P119" i="2"/>
  <c r="P126" i="2" s="1"/>
  <c r="P93" i="2"/>
  <c r="P100" i="2" s="1"/>
  <c r="G67" i="2"/>
  <c r="G74" i="2" s="1"/>
  <c r="N41" i="2"/>
  <c r="N48" i="2" s="1"/>
  <c r="O15" i="2"/>
  <c r="O22" i="2" s="1"/>
  <c r="F41" i="2"/>
  <c r="N67" i="2"/>
  <c r="N74" i="2" s="1"/>
  <c r="J41" i="2"/>
  <c r="J48" i="2" s="1"/>
  <c r="Q93" i="2"/>
  <c r="Q100" i="2" s="1"/>
  <c r="H67" i="2"/>
  <c r="H74" i="2" s="1"/>
  <c r="O41" i="2"/>
  <c r="O48" i="2" s="1"/>
  <c r="P15" i="2"/>
  <c r="P22" i="2" s="1"/>
  <c r="M15" i="2"/>
  <c r="M22" i="2" s="1"/>
  <c r="P41" i="2"/>
  <c r="P48" i="2" s="1"/>
  <c r="H119" i="2"/>
  <c r="H126" i="2" s="1"/>
  <c r="H41" i="2"/>
  <c r="H48" i="2" s="1"/>
  <c r="L15" i="2"/>
  <c r="L22" i="2" s="1"/>
  <c r="L67" i="2"/>
  <c r="L74" i="2" s="1"/>
  <c r="L119" i="2"/>
  <c r="L126" i="2" s="1"/>
  <c r="M93" i="2"/>
  <c r="M100" i="2" s="1"/>
  <c r="L93" i="2"/>
  <c r="L100" i="2" s="1"/>
  <c r="N93" i="2"/>
  <c r="N100" i="2" s="1"/>
  <c r="M76" i="2"/>
  <c r="G76" i="2"/>
  <c r="J102" i="2"/>
  <c r="P76" i="2"/>
  <c r="V13" i="2"/>
  <c r="V12" i="2"/>
  <c r="V11" i="2"/>
  <c r="V9" i="2"/>
  <c r="G47" i="4"/>
  <c r="D34" i="4"/>
  <c r="I59" i="4"/>
  <c r="D59" i="4"/>
  <c r="F59" i="4"/>
  <c r="E34" i="4"/>
  <c r="M34" i="4"/>
  <c r="K8" i="4"/>
  <c r="L34" i="4"/>
  <c r="J8" i="4"/>
  <c r="D67" i="3"/>
  <c r="H54" i="3" s="1"/>
  <c r="E47" i="4"/>
  <c r="M47" i="4"/>
  <c r="D8" i="4"/>
  <c r="C34" i="4"/>
  <c r="K34" i="4"/>
  <c r="J59" i="4"/>
  <c r="N47" i="4"/>
  <c r="C59" i="4"/>
  <c r="L47" i="4"/>
  <c r="E59" i="4"/>
  <c r="G59" i="4"/>
  <c r="M59" i="4"/>
  <c r="H59" i="4"/>
  <c r="F34" i="4"/>
  <c r="N34" i="4"/>
  <c r="F47" i="4"/>
  <c r="C47" i="4"/>
  <c r="K59" i="4"/>
  <c r="L8" i="4"/>
  <c r="I8" i="4"/>
  <c r="K47" i="4"/>
  <c r="N59" i="4"/>
  <c r="I47" i="4"/>
  <c r="G34" i="4"/>
  <c r="C21" i="4"/>
  <c r="H34" i="4"/>
  <c r="J47" i="4"/>
  <c r="H47" i="4"/>
  <c r="H8" i="4"/>
  <c r="G8" i="4"/>
  <c r="N8" i="4"/>
  <c r="F8" i="4"/>
  <c r="I34" i="4"/>
  <c r="L59" i="4"/>
  <c r="C8" i="4"/>
  <c r="M8" i="4"/>
  <c r="E8" i="4"/>
  <c r="J34" i="4"/>
  <c r="D47" i="4"/>
  <c r="F123" i="2"/>
  <c r="F71" i="2"/>
  <c r="F97" i="2"/>
  <c r="F45" i="2"/>
  <c r="R117" i="2"/>
  <c r="R92" i="2"/>
  <c r="R118" i="2"/>
  <c r="R116" i="2"/>
  <c r="R91" i="2"/>
  <c r="R90" i="2"/>
  <c r="R64" i="2"/>
  <c r="R66" i="2"/>
  <c r="R65" i="2"/>
  <c r="R40" i="2"/>
  <c r="R39" i="2"/>
  <c r="R38" i="2"/>
  <c r="F20" i="2"/>
  <c r="F19" i="2"/>
  <c r="D4" i="3"/>
  <c r="D19" i="3" s="1"/>
  <c r="H5" i="3" s="1"/>
  <c r="D42" i="3"/>
  <c r="H28" i="3" s="1"/>
  <c r="R12" i="2"/>
  <c r="R13" i="2"/>
  <c r="R14" i="2"/>
  <c r="F22" i="4" l="1"/>
  <c r="E22" i="4"/>
  <c r="H22" i="4"/>
  <c r="M22" i="4"/>
  <c r="I22" i="4"/>
  <c r="D22" i="4"/>
  <c r="J22" i="4"/>
  <c r="N22" i="4"/>
  <c r="G22" i="4"/>
  <c r="L22" i="4"/>
  <c r="C7" i="4" a="1"/>
  <c r="C7" i="4" s="1"/>
  <c r="C20" i="4" s="1"/>
  <c r="C33" i="4" s="1"/>
  <c r="C46" i="4" s="1"/>
  <c r="C58" i="4" s="1"/>
  <c r="W13" i="2"/>
  <c r="Q16" i="2"/>
  <c r="Q23" i="2" s="1"/>
  <c r="Q21" i="2" s="1"/>
  <c r="Q26" i="2" s="1"/>
  <c r="Q27" i="2" s="1"/>
  <c r="Q25" i="2" s="1"/>
  <c r="J16" i="2"/>
  <c r="J23" i="2" s="1"/>
  <c r="J21" i="2" s="1"/>
  <c r="J26" i="2" s="1"/>
  <c r="J27" i="2" s="1"/>
  <c r="J25" i="2" s="1"/>
  <c r="H16" i="2"/>
  <c r="H23" i="2" s="1"/>
  <c r="H21" i="2" s="1"/>
  <c r="H26" i="2" s="1"/>
  <c r="H27" i="2" s="1"/>
  <c r="H25" i="2" s="1"/>
  <c r="H120" i="2"/>
  <c r="H127" i="2" s="1"/>
  <c r="H125" i="2" s="1"/>
  <c r="H130" i="2" s="1"/>
  <c r="H131" i="2" s="1"/>
  <c r="H129" i="2" s="1"/>
  <c r="P120" i="2"/>
  <c r="P127" i="2" s="1"/>
  <c r="P125" i="2" s="1"/>
  <c r="L94" i="2"/>
  <c r="L101" i="2" s="1"/>
  <c r="L99" i="2" s="1"/>
  <c r="K68" i="2"/>
  <c r="K75" i="2" s="1"/>
  <c r="K73" i="2" s="1"/>
  <c r="L42" i="2"/>
  <c r="L49" i="2" s="1"/>
  <c r="L47" i="2" s="1"/>
  <c r="L52" i="2" s="1"/>
  <c r="L53" i="2" s="1"/>
  <c r="M42" i="2"/>
  <c r="M49" i="2" s="1"/>
  <c r="M47" i="2" s="1"/>
  <c r="M52" i="2" s="1"/>
  <c r="M53" i="2" s="1"/>
  <c r="M68" i="2"/>
  <c r="M75" i="2" s="1"/>
  <c r="M73" i="2" s="1"/>
  <c r="M78" i="2" s="1"/>
  <c r="M79" i="2" s="1"/>
  <c r="M77" i="2" s="1"/>
  <c r="N42" i="2"/>
  <c r="N49" i="2" s="1"/>
  <c r="N47" i="2" s="1"/>
  <c r="F16" i="2"/>
  <c r="G94" i="2"/>
  <c r="G101" i="2" s="1"/>
  <c r="G99" i="2" s="1"/>
  <c r="G42" i="2"/>
  <c r="G49" i="2" s="1"/>
  <c r="G47" i="2" s="1"/>
  <c r="G52" i="2" s="1"/>
  <c r="G53" i="2" s="1"/>
  <c r="L120" i="2"/>
  <c r="L127" i="2" s="1"/>
  <c r="L125" i="2" s="1"/>
  <c r="L130" i="2" s="1"/>
  <c r="L131" i="2" s="1"/>
  <c r="L129" i="2" s="1"/>
  <c r="G68" i="2"/>
  <c r="G75" i="2" s="1"/>
  <c r="G73" i="2" s="1"/>
  <c r="P42" i="2"/>
  <c r="P49" i="2" s="1"/>
  <c r="P47" i="2" s="1"/>
  <c r="P52" i="2" s="1"/>
  <c r="P53" i="2" s="1"/>
  <c r="K16" i="2"/>
  <c r="K23" i="2" s="1"/>
  <c r="K21" i="2" s="1"/>
  <c r="K26" i="2" s="1"/>
  <c r="K27" i="2" s="1"/>
  <c r="K25" i="2" s="1"/>
  <c r="I16" i="2"/>
  <c r="I23" i="2" s="1"/>
  <c r="I21" i="2" s="1"/>
  <c r="I26" i="2" s="1"/>
  <c r="I27" i="2" s="1"/>
  <c r="I25" i="2" s="1"/>
  <c r="I120" i="2"/>
  <c r="I127" i="2" s="1"/>
  <c r="I125" i="2" s="1"/>
  <c r="I130" i="2" s="1"/>
  <c r="I131" i="2" s="1"/>
  <c r="I129" i="2" s="1"/>
  <c r="Q120" i="2"/>
  <c r="Q127" i="2" s="1"/>
  <c r="Q125" i="2" s="1"/>
  <c r="M94" i="2"/>
  <c r="M101" i="2" s="1"/>
  <c r="M99" i="2" s="1"/>
  <c r="M104" i="2" s="1"/>
  <c r="M105" i="2" s="1"/>
  <c r="M103" i="2" s="1"/>
  <c r="L68" i="2"/>
  <c r="L75" i="2" s="1"/>
  <c r="L73" i="2" s="1"/>
  <c r="J120" i="2"/>
  <c r="J127" i="2" s="1"/>
  <c r="J125" i="2" s="1"/>
  <c r="J130" i="2" s="1"/>
  <c r="J131" i="2" s="1"/>
  <c r="J129" i="2" s="1"/>
  <c r="N94" i="2"/>
  <c r="N101" i="2" s="1"/>
  <c r="N99" i="2" s="1"/>
  <c r="F120" i="2"/>
  <c r="K120" i="2"/>
  <c r="K127" i="2" s="1"/>
  <c r="K125" i="2" s="1"/>
  <c r="K130" i="2" s="1"/>
  <c r="K131" i="2" s="1"/>
  <c r="K129" i="2" s="1"/>
  <c r="O94" i="2"/>
  <c r="O101" i="2" s="1"/>
  <c r="O99" i="2" s="1"/>
  <c r="N68" i="2"/>
  <c r="N75" i="2" s="1"/>
  <c r="N73" i="2" s="1"/>
  <c r="N78" i="2" s="1"/>
  <c r="N79" i="2" s="1"/>
  <c r="N77" i="2" s="1"/>
  <c r="O42" i="2"/>
  <c r="O49" i="2" s="1"/>
  <c r="O47" i="2" s="1"/>
  <c r="O52" i="2" s="1"/>
  <c r="O53" i="2" s="1"/>
  <c r="P94" i="2"/>
  <c r="P101" i="2" s="1"/>
  <c r="P99" i="2" s="1"/>
  <c r="P104" i="2" s="1"/>
  <c r="P105" i="2" s="1"/>
  <c r="P103" i="2" s="1"/>
  <c r="H42" i="2"/>
  <c r="H49" i="2" s="1"/>
  <c r="H47" i="2" s="1"/>
  <c r="H52" i="2" s="1"/>
  <c r="H53" i="2" s="1"/>
  <c r="L16" i="2"/>
  <c r="L23" i="2" s="1"/>
  <c r="L21" i="2" s="1"/>
  <c r="L26" i="2" s="1"/>
  <c r="L27" i="2" s="1"/>
  <c r="L25" i="2" s="1"/>
  <c r="G16" i="2"/>
  <c r="G23" i="2" s="1"/>
  <c r="G21" i="2" s="1"/>
  <c r="G26" i="2" s="1"/>
  <c r="G27" i="2" s="1"/>
  <c r="G25" i="2" s="1"/>
  <c r="O68" i="2"/>
  <c r="O75" i="2" s="1"/>
  <c r="O73" i="2" s="1"/>
  <c r="O78" i="2" s="1"/>
  <c r="O79" i="2" s="1"/>
  <c r="O77" i="2" s="1"/>
  <c r="M16" i="2"/>
  <c r="M23" i="2" s="1"/>
  <c r="M21" i="2" s="1"/>
  <c r="N16" i="2"/>
  <c r="N23" i="2" s="1"/>
  <c r="N21" i="2" s="1"/>
  <c r="O16" i="2"/>
  <c r="O23" i="2" s="1"/>
  <c r="O21" i="2" s="1"/>
  <c r="O26" i="2" s="1"/>
  <c r="O27" i="2" s="1"/>
  <c r="O25" i="2" s="1"/>
  <c r="M120" i="2"/>
  <c r="M127" i="2" s="1"/>
  <c r="M125" i="2" s="1"/>
  <c r="M130" i="2" s="1"/>
  <c r="M131" i="2" s="1"/>
  <c r="M129" i="2" s="1"/>
  <c r="I94" i="2"/>
  <c r="I101" i="2" s="1"/>
  <c r="I99" i="2" s="1"/>
  <c r="Q94" i="2"/>
  <c r="Q101" i="2" s="1"/>
  <c r="Q99" i="2" s="1"/>
  <c r="H68" i="2"/>
  <c r="H75" i="2" s="1"/>
  <c r="H73" i="2" s="1"/>
  <c r="P68" i="2"/>
  <c r="P75" i="2" s="1"/>
  <c r="P73" i="2" s="1"/>
  <c r="I42" i="2"/>
  <c r="I49" i="2" s="1"/>
  <c r="I47" i="2" s="1"/>
  <c r="I52" i="2" s="1"/>
  <c r="I53" i="2" s="1"/>
  <c r="Q42" i="2"/>
  <c r="Q49" i="2" s="1"/>
  <c r="Q47" i="2" s="1"/>
  <c r="Q52" i="2" s="1"/>
  <c r="Q53" i="2" s="1"/>
  <c r="N120" i="2"/>
  <c r="N127" i="2" s="1"/>
  <c r="N125" i="2" s="1"/>
  <c r="N130" i="2" s="1"/>
  <c r="N131" i="2" s="1"/>
  <c r="N129" i="2" s="1"/>
  <c r="J94" i="2"/>
  <c r="J101" i="2" s="1"/>
  <c r="J99" i="2" s="1"/>
  <c r="I68" i="2"/>
  <c r="I75" i="2" s="1"/>
  <c r="I73" i="2" s="1"/>
  <c r="I78" i="2" s="1"/>
  <c r="I79" i="2" s="1"/>
  <c r="I77" i="2" s="1"/>
  <c r="J42" i="2"/>
  <c r="J49" i="2" s="1"/>
  <c r="J47" i="2" s="1"/>
  <c r="J52" i="2" s="1"/>
  <c r="J53" i="2" s="1"/>
  <c r="G120" i="2"/>
  <c r="G127" i="2" s="1"/>
  <c r="G125" i="2" s="1"/>
  <c r="G130" i="2" s="1"/>
  <c r="G131" i="2" s="1"/>
  <c r="G129" i="2" s="1"/>
  <c r="O120" i="2"/>
  <c r="O127" i="2" s="1"/>
  <c r="O125" i="2" s="1"/>
  <c r="O130" i="2" s="1"/>
  <c r="O131" i="2" s="1"/>
  <c r="O129" i="2" s="1"/>
  <c r="K94" i="2"/>
  <c r="K101" i="2" s="1"/>
  <c r="K99" i="2" s="1"/>
  <c r="K104" i="2" s="1"/>
  <c r="K105" i="2" s="1"/>
  <c r="K103" i="2" s="1"/>
  <c r="Q68" i="2"/>
  <c r="Q75" i="2" s="1"/>
  <c r="Q73" i="2" s="1"/>
  <c r="Q78" i="2" s="1"/>
  <c r="Q79" i="2" s="1"/>
  <c r="Q77" i="2" s="1"/>
  <c r="J68" i="2"/>
  <c r="J75" i="2" s="1"/>
  <c r="J73" i="2" s="1"/>
  <c r="J78" i="2" s="1"/>
  <c r="J79" i="2" s="1"/>
  <c r="J77" i="2" s="1"/>
  <c r="K42" i="2"/>
  <c r="K49" i="2" s="1"/>
  <c r="K47" i="2" s="1"/>
  <c r="K52" i="2" s="1"/>
  <c r="K53" i="2" s="1"/>
  <c r="H94" i="2"/>
  <c r="H101" i="2" s="1"/>
  <c r="H99" i="2" s="1"/>
  <c r="H104" i="2" s="1"/>
  <c r="H105" i="2" s="1"/>
  <c r="H103" i="2" s="1"/>
  <c r="P16" i="2"/>
  <c r="P23" i="2" s="1"/>
  <c r="P21" i="2" s="1"/>
  <c r="P26" i="2" s="1"/>
  <c r="P27" i="2" s="1"/>
  <c r="P25" i="2" s="1"/>
  <c r="F94" i="2"/>
  <c r="F42" i="2"/>
  <c r="F68" i="2"/>
  <c r="H48" i="4"/>
  <c r="W12" i="2"/>
  <c r="W11" i="2"/>
  <c r="W10" i="2"/>
  <c r="W9" i="2"/>
  <c r="J60" i="4"/>
  <c r="D35" i="4"/>
  <c r="E60" i="4"/>
  <c r="E35" i="4"/>
  <c r="L9" i="4"/>
  <c r="G60" i="4"/>
  <c r="D60" i="4"/>
  <c r="L35" i="4"/>
  <c r="M35" i="4"/>
  <c r="N60" i="4"/>
  <c r="N48" i="4"/>
  <c r="J9" i="4"/>
  <c r="N35" i="4"/>
  <c r="F35" i="4"/>
  <c r="R45" i="2"/>
  <c r="K60" i="4"/>
  <c r="F48" i="4"/>
  <c r="M48" i="4"/>
  <c r="M9" i="4"/>
  <c r="E9" i="4"/>
  <c r="D9" i="4"/>
  <c r="K9" i="4"/>
  <c r="N9" i="4"/>
  <c r="D48" i="4"/>
  <c r="C35" i="4"/>
  <c r="F9" i="4"/>
  <c r="L48" i="4"/>
  <c r="K35" i="4"/>
  <c r="L60" i="4"/>
  <c r="H60" i="4"/>
  <c r="I35" i="4"/>
  <c r="F60" i="4"/>
  <c r="K48" i="4"/>
  <c r="I9" i="4"/>
  <c r="I60" i="4"/>
  <c r="C48" i="4"/>
  <c r="G35" i="4"/>
  <c r="E48" i="4"/>
  <c r="I48" i="4"/>
  <c r="G48" i="4"/>
  <c r="M60" i="4"/>
  <c r="G9" i="4"/>
  <c r="H9" i="4"/>
  <c r="J35" i="4"/>
  <c r="J48" i="4"/>
  <c r="C22" i="4"/>
  <c r="H35" i="4"/>
  <c r="R46" i="2"/>
  <c r="R124" i="2"/>
  <c r="R72" i="2"/>
  <c r="R98" i="2"/>
  <c r="R20" i="2"/>
  <c r="H9" i="3"/>
  <c r="T91" i="2" l="1"/>
  <c r="T93" i="2"/>
  <c r="T92" i="2"/>
  <c r="M20" i="4"/>
  <c r="M33" i="4" s="1"/>
  <c r="M46" i="4" s="1"/>
  <c r="M58" i="4" s="1"/>
  <c r="F20" i="4"/>
  <c r="F33" i="4" s="1"/>
  <c r="F46" i="4" s="1"/>
  <c r="F58" i="4" s="1"/>
  <c r="G20" i="4"/>
  <c r="G33" i="4" s="1"/>
  <c r="G46" i="4" s="1"/>
  <c r="G58" i="4" s="1"/>
  <c r="E20" i="4"/>
  <c r="E33" i="4" s="1"/>
  <c r="E46" i="4" s="1"/>
  <c r="E58" i="4" s="1"/>
  <c r="L20" i="4"/>
  <c r="L33" i="4" s="1"/>
  <c r="L46" i="4" s="1"/>
  <c r="L58" i="4" s="1"/>
  <c r="D20" i="4"/>
  <c r="D33" i="4" s="1"/>
  <c r="D46" i="4" s="1"/>
  <c r="D58" i="4" s="1"/>
  <c r="K20" i="4"/>
  <c r="K33" i="4" s="1"/>
  <c r="K46" i="4" s="1"/>
  <c r="K58" i="4" s="1"/>
  <c r="I20" i="4"/>
  <c r="I33" i="4" s="1"/>
  <c r="I46" i="4" s="1"/>
  <c r="I58" i="4" s="1"/>
  <c r="J20" i="4"/>
  <c r="J33" i="4" s="1"/>
  <c r="J46" i="4" s="1"/>
  <c r="J58" i="4" s="1"/>
  <c r="H20" i="4"/>
  <c r="H33" i="4" s="1"/>
  <c r="H46" i="4" s="1"/>
  <c r="H58" i="4" s="1"/>
  <c r="N20" i="4"/>
  <c r="N33" i="4" s="1"/>
  <c r="N46" i="4" s="1"/>
  <c r="N58" i="4" s="1"/>
  <c r="K51" i="2"/>
  <c r="H19" i="4"/>
  <c r="J104" i="2"/>
  <c r="J105" i="2" s="1"/>
  <c r="J103" i="2" s="1"/>
  <c r="L78" i="2"/>
  <c r="L79" i="2" s="1"/>
  <c r="L77" i="2" s="1"/>
  <c r="K78" i="2"/>
  <c r="K79" i="2" s="1"/>
  <c r="K77" i="2" s="1"/>
  <c r="O51" i="2"/>
  <c r="L19" i="4"/>
  <c r="G51" i="2"/>
  <c r="D19" i="4"/>
  <c r="L104" i="2"/>
  <c r="L105" i="2" s="1"/>
  <c r="L103" i="2" s="1"/>
  <c r="H51" i="2"/>
  <c r="E19" i="4"/>
  <c r="N26" i="2"/>
  <c r="N27" i="2" s="1"/>
  <c r="N25" i="2" s="1"/>
  <c r="G104" i="2"/>
  <c r="G105" i="2" s="1"/>
  <c r="G103" i="2" s="1"/>
  <c r="I51" i="2"/>
  <c r="F19" i="4"/>
  <c r="P78" i="2"/>
  <c r="P79" i="2" s="1"/>
  <c r="P77" i="2" s="1"/>
  <c r="N52" i="2"/>
  <c r="N53" i="2" s="1"/>
  <c r="L51" i="2"/>
  <c r="I19" i="4"/>
  <c r="P130" i="2"/>
  <c r="P131" i="2" s="1"/>
  <c r="P129" i="2" s="1"/>
  <c r="M26" i="2"/>
  <c r="M27" i="2" s="1"/>
  <c r="M25" i="2" s="1"/>
  <c r="O104" i="2"/>
  <c r="O105" i="2" s="1"/>
  <c r="O103" i="2" s="1"/>
  <c r="H78" i="2"/>
  <c r="H79" i="2" s="1"/>
  <c r="H77" i="2" s="1"/>
  <c r="I104" i="2"/>
  <c r="I105" i="2" s="1"/>
  <c r="I103" i="2" s="1"/>
  <c r="G78" i="2"/>
  <c r="G79" i="2" s="1"/>
  <c r="G77" i="2" s="1"/>
  <c r="Q51" i="2"/>
  <c r="N19" i="4"/>
  <c r="Q130" i="2"/>
  <c r="Q131" i="2" s="1"/>
  <c r="Q129" i="2" s="1"/>
  <c r="J51" i="2"/>
  <c r="G19" i="4"/>
  <c r="Q104" i="2"/>
  <c r="Q105" i="2" s="1"/>
  <c r="Q103" i="2" s="1"/>
  <c r="N104" i="2"/>
  <c r="N105" i="2" s="1"/>
  <c r="N103" i="2" s="1"/>
  <c r="P51" i="2"/>
  <c r="M19" i="4"/>
  <c r="M51" i="2"/>
  <c r="J19" i="4"/>
  <c r="M32" i="1"/>
  <c r="G29" i="3"/>
  <c r="G31" i="3"/>
  <c r="G28" i="3"/>
  <c r="G30" i="3"/>
  <c r="G32" i="3"/>
  <c r="G33" i="3"/>
  <c r="M23" i="4" l="1"/>
  <c r="M26" i="4" s="1"/>
  <c r="E23" i="4"/>
  <c r="E26" i="4" s="1"/>
  <c r="F23" i="4"/>
  <c r="F26" i="4" s="1"/>
  <c r="G23" i="4"/>
  <c r="G26" i="4" s="1"/>
  <c r="L23" i="4"/>
  <c r="L26" i="4" s="1"/>
  <c r="D23" i="4"/>
  <c r="D26" i="4" s="1"/>
  <c r="I23" i="4"/>
  <c r="I26" i="4" s="1"/>
  <c r="H23" i="4"/>
  <c r="H26" i="4" s="1"/>
  <c r="J23" i="4"/>
  <c r="J26" i="4" s="1"/>
  <c r="N23" i="4"/>
  <c r="N26" i="4" s="1"/>
  <c r="N51" i="2"/>
  <c r="K19" i="4"/>
  <c r="K23" i="4" s="1"/>
  <c r="K26" i="4" s="1"/>
  <c r="U91" i="2"/>
  <c r="M31" i="1"/>
  <c r="F15" i="2"/>
  <c r="F6" i="4"/>
  <c r="F10" i="4" s="1"/>
  <c r="M33" i="1"/>
  <c r="F17" i="2"/>
  <c r="I57" i="4"/>
  <c r="I61" i="4" s="1"/>
  <c r="I64" i="4" s="1"/>
  <c r="R42" i="2"/>
  <c r="F49" i="2"/>
  <c r="F101" i="2"/>
  <c r="R94" i="2"/>
  <c r="F23" i="2"/>
  <c r="R16" i="2"/>
  <c r="F75" i="2"/>
  <c r="R68" i="2"/>
  <c r="F127" i="2"/>
  <c r="R120" i="2"/>
  <c r="G54" i="3"/>
  <c r="G55" i="3"/>
  <c r="G56" i="3"/>
  <c r="G58" i="3"/>
  <c r="G59" i="3"/>
  <c r="G57" i="3"/>
  <c r="G6" i="3"/>
  <c r="G7" i="3"/>
  <c r="G8" i="3"/>
  <c r="G10" i="3"/>
  <c r="G11" i="3"/>
  <c r="G34" i="3"/>
  <c r="G5" i="3"/>
  <c r="G9" i="3"/>
  <c r="F13" i="4" l="1"/>
  <c r="I6" i="4"/>
  <c r="I10" i="4" s="1"/>
  <c r="I13" i="4" s="1"/>
  <c r="D57" i="4"/>
  <c r="D61" i="4" s="1"/>
  <c r="N6" i="4"/>
  <c r="N10" i="4" s="1"/>
  <c r="N13" i="4" s="1"/>
  <c r="L6" i="4"/>
  <c r="L10" i="4" s="1"/>
  <c r="L13" i="4" s="1"/>
  <c r="F45" i="4"/>
  <c r="F49" i="4" s="1"/>
  <c r="F52" i="4" s="1"/>
  <c r="N57" i="4"/>
  <c r="N61" i="4" s="1"/>
  <c r="N64" i="4" s="1"/>
  <c r="M45" i="4"/>
  <c r="M49" i="4" s="1"/>
  <c r="M52" i="4" s="1"/>
  <c r="G57" i="4"/>
  <c r="G61" i="4" s="1"/>
  <c r="G64" i="4" s="1"/>
  <c r="K45" i="4"/>
  <c r="K49" i="4" s="1"/>
  <c r="K52" i="4" s="1"/>
  <c r="G45" i="4"/>
  <c r="G49" i="4" s="1"/>
  <c r="G52" i="4" s="1"/>
  <c r="D32" i="4"/>
  <c r="D36" i="4" s="1"/>
  <c r="N45" i="4"/>
  <c r="N49" i="4" s="1"/>
  <c r="N52" i="4" s="1"/>
  <c r="H32" i="4"/>
  <c r="H36" i="4" s="1"/>
  <c r="H39" i="4" s="1"/>
  <c r="M32" i="4"/>
  <c r="M36" i="4" s="1"/>
  <c r="M39" i="4" s="1"/>
  <c r="F100" i="2"/>
  <c r="R100" i="2" s="1"/>
  <c r="R93" i="2"/>
  <c r="H6" i="4"/>
  <c r="H10" i="4" s="1"/>
  <c r="G6" i="4"/>
  <c r="G10" i="4" s="1"/>
  <c r="G13" i="4" s="1"/>
  <c r="H57" i="4"/>
  <c r="H61" i="4" s="1"/>
  <c r="H64" i="4" s="1"/>
  <c r="G32" i="4"/>
  <c r="G36" i="4" s="1"/>
  <c r="G39" i="4" s="1"/>
  <c r="E57" i="4"/>
  <c r="E61" i="4" s="1"/>
  <c r="F48" i="2"/>
  <c r="R48" i="2" s="1"/>
  <c r="R41" i="2"/>
  <c r="R119" i="2"/>
  <c r="F126" i="2"/>
  <c r="R126" i="2" s="1"/>
  <c r="D6" i="4"/>
  <c r="D10" i="4" s="1"/>
  <c r="J32" i="4"/>
  <c r="J36" i="4" s="1"/>
  <c r="J39" i="4" s="1"/>
  <c r="F57" i="4"/>
  <c r="F61" i="4" s="1"/>
  <c r="F74" i="2"/>
  <c r="R74" i="2" s="1"/>
  <c r="R67" i="2"/>
  <c r="R15" i="2"/>
  <c r="F22" i="2"/>
  <c r="R22" i="2" s="1"/>
  <c r="L57" i="4"/>
  <c r="L61" i="4" s="1"/>
  <c r="L64" i="4" s="1"/>
  <c r="E6" i="4"/>
  <c r="E10" i="4" s="1"/>
  <c r="N32" i="4"/>
  <c r="N36" i="4" s="1"/>
  <c r="N39" i="4" s="1"/>
  <c r="E32" i="4"/>
  <c r="E36" i="4" s="1"/>
  <c r="K57" i="4"/>
  <c r="K61" i="4" s="1"/>
  <c r="K64" i="4" s="1"/>
  <c r="J45" i="4"/>
  <c r="J49" i="4" s="1"/>
  <c r="J52" i="4" s="1"/>
  <c r="R121" i="2"/>
  <c r="F128" i="2"/>
  <c r="R128" i="2" s="1"/>
  <c r="R69" i="2"/>
  <c r="F76" i="2"/>
  <c r="R76" i="2" s="1"/>
  <c r="F50" i="2"/>
  <c r="R50" i="2" s="1"/>
  <c r="R43" i="2"/>
  <c r="F24" i="2"/>
  <c r="R24" i="2" s="1"/>
  <c r="R17" i="2"/>
  <c r="F102" i="2"/>
  <c r="R102" i="2" s="1"/>
  <c r="R95" i="2"/>
  <c r="R127" i="2"/>
  <c r="R75" i="2"/>
  <c r="R101" i="2"/>
  <c r="R23" i="2"/>
  <c r="R49" i="2"/>
  <c r="G61" i="3"/>
  <c r="G12" i="3"/>
  <c r="E39" i="4" l="1"/>
  <c r="F64" i="4"/>
  <c r="D39" i="4"/>
  <c r="D64" i="4"/>
  <c r="E64" i="4"/>
  <c r="D13" i="4"/>
  <c r="H13" i="4"/>
  <c r="E13" i="4"/>
  <c r="Z10" i="2"/>
  <c r="Z13" i="2"/>
  <c r="Z12" i="2"/>
  <c r="Z11" i="2"/>
  <c r="Z9" i="2"/>
  <c r="R21" i="2"/>
  <c r="J6" i="4"/>
  <c r="J10" i="4" s="1"/>
  <c r="J13" i="4" s="1"/>
  <c r="M6" i="4"/>
  <c r="M10" i="4" s="1"/>
  <c r="M13" i="4" s="1"/>
  <c r="M57" i="4"/>
  <c r="M61" i="4" s="1"/>
  <c r="M64" i="4" s="1"/>
  <c r="E45" i="4"/>
  <c r="E49" i="4" s="1"/>
  <c r="J57" i="4"/>
  <c r="J61" i="4" s="1"/>
  <c r="J64" i="4" s="1"/>
  <c r="K32" i="4"/>
  <c r="K36" i="4" s="1"/>
  <c r="K39" i="4" s="1"/>
  <c r="F32" i="4"/>
  <c r="F36" i="4" s="1"/>
  <c r="F39" i="4" s="1"/>
  <c r="L32" i="4"/>
  <c r="L36" i="4" s="1"/>
  <c r="L39" i="4" s="1"/>
  <c r="H45" i="4"/>
  <c r="H49" i="4" s="1"/>
  <c r="H52" i="4" s="1"/>
  <c r="L45" i="4"/>
  <c r="L49" i="4" s="1"/>
  <c r="L52" i="4" s="1"/>
  <c r="D45" i="4"/>
  <c r="D49" i="4" s="1"/>
  <c r="K6" i="4"/>
  <c r="K10" i="4" s="1"/>
  <c r="K13" i="4" s="1"/>
  <c r="F21" i="2"/>
  <c r="F26" i="2" s="1"/>
  <c r="R26" i="2" s="1"/>
  <c r="F47" i="2"/>
  <c r="F52" i="2" s="1"/>
  <c r="R52" i="2" s="1"/>
  <c r="I45" i="4"/>
  <c r="I49" i="4" s="1"/>
  <c r="I52" i="4" s="1"/>
  <c r="I32" i="4"/>
  <c r="I36" i="4" s="1"/>
  <c r="I39" i="4" s="1"/>
  <c r="F99" i="2"/>
  <c r="F104" i="2" s="1"/>
  <c r="R104" i="2" s="1"/>
  <c r="F125" i="2"/>
  <c r="F130" i="2" s="1"/>
  <c r="R130" i="2" s="1"/>
  <c r="F73" i="2"/>
  <c r="F78" i="2" s="1"/>
  <c r="R78" i="2" s="1"/>
  <c r="R99" i="2"/>
  <c r="R73" i="2"/>
  <c r="R125" i="2"/>
  <c r="R47" i="2"/>
  <c r="E52" i="4" l="1"/>
  <c r="D52" i="4"/>
  <c r="AA9" i="2"/>
  <c r="F53" i="2"/>
  <c r="F51" i="2" s="1"/>
  <c r="F27" i="2"/>
  <c r="F105" i="2"/>
  <c r="R105" i="2" s="1"/>
  <c r="X12" i="2" s="1"/>
  <c r="Y12" i="2" s="1"/>
  <c r="F131" i="2"/>
  <c r="C57" i="4" s="1"/>
  <c r="C61" i="4" s="1"/>
  <c r="F79" i="2"/>
  <c r="C32" i="4" s="1"/>
  <c r="C36" i="4" s="1"/>
  <c r="C45" i="4" l="1"/>
  <c r="C49" i="4" s="1"/>
  <c r="C52" i="4" s="1"/>
  <c r="F103" i="2"/>
  <c r="R103" i="2" s="1"/>
  <c r="C19" i="4"/>
  <c r="C23" i="4" s="1"/>
  <c r="S16" i="4" s="1"/>
  <c r="C6" i="4"/>
  <c r="C10" i="4" s="1"/>
  <c r="F25" i="2"/>
  <c r="R25" i="2" s="1"/>
  <c r="R53" i="2"/>
  <c r="X10" i="2" s="1"/>
  <c r="Y10" i="2" s="1"/>
  <c r="R27" i="2"/>
  <c r="X9" i="2" s="1"/>
  <c r="R131" i="2"/>
  <c r="X13" i="2" s="1"/>
  <c r="Y13" i="2" s="1"/>
  <c r="F129" i="2"/>
  <c r="R129" i="2" s="1"/>
  <c r="F77" i="2"/>
  <c r="R77" i="2" s="1"/>
  <c r="R79" i="2"/>
  <c r="X11" i="2" s="1"/>
  <c r="Y11" i="2" s="1"/>
  <c r="C64" i="4"/>
  <c r="V16" i="4"/>
  <c r="C39" i="4"/>
  <c r="T16" i="4"/>
  <c r="C13" i="4" l="1"/>
  <c r="C14" i="4" s="1"/>
  <c r="D14" i="4" s="1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C11" i="4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C24" i="4" s="1"/>
  <c r="D24" i="4" s="1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C37" i="4" s="1"/>
  <c r="D37" i="4" s="1"/>
  <c r="E37" i="4" s="1"/>
  <c r="F37" i="4" s="1"/>
  <c r="G37" i="4" s="1"/>
  <c r="H37" i="4" s="1"/>
  <c r="I37" i="4" s="1"/>
  <c r="J37" i="4" s="1"/>
  <c r="K37" i="4" s="1"/>
  <c r="L37" i="4" s="1"/>
  <c r="M37" i="4" s="1"/>
  <c r="N37" i="4" s="1"/>
  <c r="C50" i="4" s="1"/>
  <c r="D50" i="4" s="1"/>
  <c r="E50" i="4" s="1"/>
  <c r="F50" i="4" s="1"/>
  <c r="G50" i="4" s="1"/>
  <c r="H50" i="4" s="1"/>
  <c r="I50" i="4" s="1"/>
  <c r="J50" i="4" s="1"/>
  <c r="K50" i="4" s="1"/>
  <c r="L50" i="4" s="1"/>
  <c r="M50" i="4" s="1"/>
  <c r="N50" i="4" s="1"/>
  <c r="C62" i="4" s="1"/>
  <c r="D62" i="4" s="1"/>
  <c r="E62" i="4" s="1"/>
  <c r="F62" i="4" s="1"/>
  <c r="G62" i="4" s="1"/>
  <c r="H62" i="4" s="1"/>
  <c r="I62" i="4" s="1"/>
  <c r="J62" i="4" s="1"/>
  <c r="K62" i="4" s="1"/>
  <c r="L62" i="4" s="1"/>
  <c r="M62" i="4" s="1"/>
  <c r="N62" i="4" s="1"/>
  <c r="U16" i="4"/>
  <c r="R16" i="4"/>
  <c r="C26" i="4"/>
  <c r="R7" i="4" s="1"/>
  <c r="Y9" i="2"/>
  <c r="AB9" i="2"/>
  <c r="C27" i="4" l="1"/>
  <c r="D27" i="4" s="1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C40" i="4" s="1"/>
  <c r="D40" i="4" s="1"/>
  <c r="E40" i="4" s="1"/>
  <c r="F40" i="4" s="1"/>
  <c r="G40" i="4" s="1"/>
  <c r="H40" i="4" s="1"/>
  <c r="I40" i="4" s="1"/>
  <c r="J40" i="4" s="1"/>
  <c r="K40" i="4" s="1"/>
  <c r="L40" i="4" s="1"/>
  <c r="M40" i="4" s="1"/>
  <c r="N40" i="4" s="1"/>
  <c r="C53" i="4" s="1"/>
  <c r="D53" i="4" s="1"/>
  <c r="E53" i="4" s="1"/>
  <c r="F53" i="4" s="1"/>
  <c r="G53" i="4" s="1"/>
  <c r="H53" i="4" s="1"/>
  <c r="I53" i="4" s="1"/>
  <c r="J53" i="4" s="1"/>
  <c r="K53" i="4" s="1"/>
  <c r="L53" i="4" s="1"/>
  <c r="M53" i="4" s="1"/>
  <c r="N53" i="4" s="1"/>
  <c r="C65" i="4" s="1"/>
  <c r="D65" i="4" s="1"/>
  <c r="E65" i="4" s="1"/>
  <c r="F65" i="4" s="1"/>
  <c r="G65" i="4" s="1"/>
  <c r="H65" i="4" s="1"/>
  <c r="I65" i="4" s="1"/>
  <c r="J65" i="4" s="1"/>
  <c r="K65" i="4" s="1"/>
  <c r="L65" i="4" s="1"/>
  <c r="M65" i="4" s="1"/>
  <c r="N65" i="4" s="1"/>
  <c r="R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<sst xmlns="http://schemas.openxmlformats.org/spreadsheetml/2006/main" count="406" uniqueCount="180">
  <si>
    <t>Ингредиент</t>
  </si>
  <si>
    <t>Стоимость (руб)</t>
  </si>
  <si>
    <t>Sorbitol</t>
  </si>
  <si>
    <t>Aqua (вода)</t>
  </si>
  <si>
    <t>Nano-Hydroxyapatite</t>
  </si>
  <si>
    <t>Potassium nitrate</t>
  </si>
  <si>
    <t>Xylitol</t>
  </si>
  <si>
    <t>Итог</t>
  </si>
  <si>
    <t>Glycerin / увлажнитель</t>
  </si>
  <si>
    <t>Hydrated Silica (абразив)</t>
  </si>
  <si>
    <t>Stannous fluoride (актив фторид)</t>
  </si>
  <si>
    <t>Zinc citrate</t>
  </si>
  <si>
    <t>Цена за кг (руб, опт 2025)</t>
  </si>
  <si>
    <t>% в составе</t>
  </si>
  <si>
    <t>Экстракт гуараны</t>
  </si>
  <si>
    <t>Ароматизаторы</t>
  </si>
  <si>
    <t>ПАВы</t>
  </si>
  <si>
    <t>Cl</t>
  </si>
  <si>
    <t>Консерванты</t>
  </si>
  <si>
    <t>Один продукт ( 75 мл ) (руб)</t>
  </si>
  <si>
    <t>Доп загустители</t>
  </si>
  <si>
    <t>Стоимость производства одного тюбика 75 мл</t>
  </si>
  <si>
    <t>Название</t>
  </si>
  <si>
    <t>В % от издержек</t>
  </si>
  <si>
    <t>Сырье и материалы</t>
  </si>
  <si>
    <t>Производственные затраты</t>
  </si>
  <si>
    <t>Логистика и складирование</t>
  </si>
  <si>
    <t>Макроэкономические показатели</t>
  </si>
  <si>
    <t>Ключевая ставка</t>
  </si>
  <si>
    <t>Индекс потребительских цен</t>
  </si>
  <si>
    <t>Рост ВВП ( прогноз )</t>
  </si>
  <si>
    <t>Налог на прибыль</t>
  </si>
  <si>
    <t>Доля сегмента Spec.Health</t>
  </si>
  <si>
    <t>Цикл покупки</t>
  </si>
  <si>
    <t>Горизонт модели</t>
  </si>
  <si>
    <t>Целевой объем выпуска</t>
  </si>
  <si>
    <t>Описание</t>
  </si>
  <si>
    <t>Oral-B Pro-Clinic Sensitive Shield</t>
  </si>
  <si>
    <t>Oral-B Pro-Clinic Total Restore</t>
  </si>
  <si>
    <t>Oral-B Pro-Clinic Caries Defense</t>
  </si>
  <si>
    <t>% от выпуска (целевой)</t>
  </si>
  <si>
    <t>Комплексное восстановление и защита «всё в одном»</t>
  </si>
  <si>
    <t>Максимальная профилактика кариеса и укрепление эмали.</t>
  </si>
  <si>
    <t>Мгновенное и длительное облегчение повышенной чувствительности</t>
  </si>
  <si>
    <t>Продукция Oral-B Pro-Clinic</t>
  </si>
  <si>
    <t>Параметры рынка и финансовой модели</t>
  </si>
  <si>
    <t>Премия за риск</t>
  </si>
  <si>
    <t>3 месяца</t>
  </si>
  <si>
    <t>5 лет</t>
  </si>
  <si>
    <t>Объем выпуска тыс/мес</t>
  </si>
  <si>
    <t>Объем выпуска тыс/год</t>
  </si>
  <si>
    <t>Объем рынка (млн. руб)</t>
  </si>
  <si>
    <t>Средняя стоимость зубной пасты (руб)</t>
  </si>
  <si>
    <t>Объем рынка Spec.Health (млн. руб)</t>
  </si>
  <si>
    <t>WACC</t>
  </si>
  <si>
    <t>Итог (тыс. руб)</t>
  </si>
  <si>
    <t>Расходы на продвижение</t>
  </si>
  <si>
    <t>Амортизация</t>
  </si>
  <si>
    <t>Экологическая премиальная упаковка</t>
  </si>
  <si>
    <t>Производственные потери ( брак )</t>
  </si>
  <si>
    <t>Тестирование</t>
  </si>
  <si>
    <t>Итого</t>
  </si>
  <si>
    <t>Oral-B Pro-Clinic Check&amp;Restore</t>
  </si>
  <si>
    <t>Компонент</t>
  </si>
  <si>
    <t>% в таблетке</t>
  </si>
  <si>
    <t>Кальций карбонат (абразив, мягкий контроль)</t>
  </si>
  <si>
    <t>Фторид натрия / стронний фторид</t>
  </si>
  <si>
    <t>Пищевой краситель для индикатора</t>
  </si>
  <si>
    <t>Экстракт гуараны / натуральный аромат</t>
  </si>
  <si>
    <t>Связующие и стабилизаторы</t>
  </si>
  <si>
    <t>Стоимость производства двух таблеток-индикаторов</t>
  </si>
  <si>
    <t>Одна таблетка (руб)</t>
  </si>
  <si>
    <t>2 таблетки-индикаторы</t>
  </si>
  <si>
    <t>Прогноз на 2027 год</t>
  </si>
  <si>
    <t>EBIT</t>
  </si>
  <si>
    <t>Маржинальная прибыль</t>
  </si>
  <si>
    <t>Оценка себестоимости производства зубной пасты (Oral-B Pro-Clinic Check&amp;Restore)</t>
  </si>
  <si>
    <t>Оценка себестоимости производства зубной пасты (Oral-B Pro-Clinic Sensitive Shield)</t>
  </si>
  <si>
    <t>Potassium Nitrate</t>
  </si>
  <si>
    <t>Stannous fluoride</t>
  </si>
  <si>
    <t>Дополнительные загустители (кроскармеллоза, ксантан)</t>
  </si>
  <si>
    <t>Hydrated Silica</t>
  </si>
  <si>
    <t>Оценка себестоимости производства зубной пасты (Oral-B Pro-Clinic Caries Defense)</t>
  </si>
  <si>
    <t>OPEX</t>
  </si>
  <si>
    <t>Sodium Fluoride</t>
  </si>
  <si>
    <t>EBITDA</t>
  </si>
  <si>
    <t>Net Profit</t>
  </si>
  <si>
    <t>CAPEX</t>
  </si>
  <si>
    <t>Линия для производства зубной пасты с вакуумным эмульсификатором и высокосдвиговым гомогенизатором</t>
  </si>
  <si>
    <t>Линия наполнения тюбиков</t>
  </si>
  <si>
    <t>Монтаж, пусконаладка, обучение персонала</t>
  </si>
  <si>
    <t>Автоматический этикетировщик</t>
  </si>
  <si>
    <t>Двухкамерный вакуумный упаковщик</t>
  </si>
  <si>
    <t>Цена (тыс. руб)</t>
  </si>
  <si>
    <t>Срок службы (лет)</t>
  </si>
  <si>
    <t>Компрессор безмасляный</t>
  </si>
  <si>
    <t>RO‑система (система водоподготовки)</t>
  </si>
  <si>
    <t>Амортизация (в месяц, тыс. руб)</t>
  </si>
  <si>
    <t>Продукт</t>
  </si>
  <si>
    <t>Себестоимость</t>
  </si>
  <si>
    <t>Заработная плата офисного персонала</t>
  </si>
  <si>
    <t>Аренда и коммунальные услуги (офис + склады)</t>
  </si>
  <si>
    <t>Логистика (от склада до клиента)</t>
  </si>
  <si>
    <t>Обслуживание и ремонт оборудования</t>
  </si>
  <si>
    <t>Страхование и лицензии</t>
  </si>
  <si>
    <t>Прочие расходы (канцелярия, IT, связь)</t>
  </si>
  <si>
    <t>Прямые расходы (COGS)</t>
  </si>
  <si>
    <t xml:space="preserve">Выручка ( без НДС, тыс. руб ) </t>
  </si>
  <si>
    <t>Объем продаж</t>
  </si>
  <si>
    <t>Заработая плата медицинских представителей</t>
  </si>
  <si>
    <t>Маркетинг и продвижение ( стоматологических мероприятия, E-COM, выкуп полки в магазинах )</t>
  </si>
  <si>
    <t>Прогноз на 2028 год</t>
  </si>
  <si>
    <t>Прогноз на 2029 год</t>
  </si>
  <si>
    <t>Прогноз на 2030 год</t>
  </si>
  <si>
    <t>Прогноз на 2031 год</t>
  </si>
  <si>
    <t>Год</t>
  </si>
  <si>
    <t>ROS</t>
  </si>
  <si>
    <t>Общая выручка</t>
  </si>
  <si>
    <t>Общий объем продаж</t>
  </si>
  <si>
    <t>Чистая прибыль</t>
  </si>
  <si>
    <t>Итог 2027-2029 (тыс. руб)</t>
  </si>
  <si>
    <t>Production Costs</t>
  </si>
  <si>
    <t>Цена отгрузки (2030-2031, руб)</t>
  </si>
  <si>
    <t>Стоимость в месяц (2027–2030)</t>
  </si>
  <si>
    <t>Стоимость в год (2031)</t>
  </si>
  <si>
    <t>ROMI</t>
  </si>
  <si>
    <t>Расходы на продвижение (Маркетинг)</t>
  </si>
  <si>
    <t>ΔNWC</t>
  </si>
  <si>
    <t>FCFF</t>
  </si>
  <si>
    <t>NWC</t>
  </si>
  <si>
    <t>DCF</t>
  </si>
  <si>
    <t>Коэф. дисконтирования</t>
  </si>
  <si>
    <t>Дата</t>
  </si>
  <si>
    <t>CCC</t>
  </si>
  <si>
    <t>IRR</t>
  </si>
  <si>
    <t>Агрегированные свободные денежным потоки</t>
  </si>
  <si>
    <t>2026 (CAPEX)</t>
  </si>
  <si>
    <t>Помещение и склад</t>
  </si>
  <si>
    <t>Лаборатория + контроль качества</t>
  </si>
  <si>
    <t>Прочая инфраструктура</t>
  </si>
  <si>
    <t>Итог 2030-2031 (тыс. руб)</t>
  </si>
  <si>
    <t>Цена полки (2030-2031, руб)</t>
  </si>
  <si>
    <t>Вакуумный миксер-гомогенизатор</t>
  </si>
  <si>
    <t>DPP</t>
  </si>
  <si>
    <t>PP</t>
  </si>
  <si>
    <t>BEP</t>
  </si>
  <si>
    <t>Mean</t>
  </si>
  <si>
    <t>ROI</t>
  </si>
  <si>
    <t>NPV base</t>
  </si>
  <si>
    <t>NPV neg</t>
  </si>
  <si>
    <t>NPV pos</t>
  </si>
  <si>
    <t>Volume +- (10%)</t>
  </si>
  <si>
    <t>CAPEX (+-10%)</t>
  </si>
  <si>
    <t>COGS (+-10%)</t>
  </si>
  <si>
    <t>WACC  (+-2п.п.)</t>
  </si>
  <si>
    <t>Цена отгрузки (2027, руб)</t>
  </si>
  <si>
    <t>Цена полки (2027, руб)</t>
  </si>
  <si>
    <t>Цена отгрузки (2028-2029, руб)</t>
  </si>
  <si>
    <t>Цена полки (2028-2029, руб)</t>
  </si>
  <si>
    <t>OPEX (+-10%)</t>
  </si>
  <si>
    <t>Негативный сценарий</t>
  </si>
  <si>
    <t>Позитицный сценарий</t>
  </si>
  <si>
    <t>Параметр</t>
  </si>
  <si>
    <t>Изменение себестоимости</t>
  </si>
  <si>
    <t>Изменение OPEX</t>
  </si>
  <si>
    <t>Выбранный сценарий</t>
  </si>
  <si>
    <t>Негатив (1)</t>
  </si>
  <si>
    <t>Оптимистичный (3)</t>
  </si>
  <si>
    <t>Базовый (2)</t>
  </si>
  <si>
    <t>Множитель объёма (2027-2028)</t>
  </si>
  <si>
    <t>Множитель объёма (2029-2031)</t>
  </si>
  <si>
    <t>Изменение CAPEX</t>
  </si>
  <si>
    <t>Изменение WACC</t>
  </si>
  <si>
    <t>(можно поменять сценарий, изменив поле B8)</t>
  </si>
  <si>
    <t>NPV (тыс. руб)</t>
  </si>
  <si>
    <t>CAPEX (тыс. руб)</t>
  </si>
  <si>
    <t>Cumulative FCFF</t>
  </si>
  <si>
    <t>Cumulative DCF</t>
  </si>
  <si>
    <t>BEP (2027)</t>
  </si>
  <si>
    <t>Result (BEP)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</si>
</sst>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[$-419]d\ mmm;@"/>
    <numFmt numFmtId="167" formatCode="0.000"/>
  </numFmts>
  <fonts count="17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3.5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3"/>
      <color rgb="FFFFFFFF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06">
    <xf numFmtId="0" fontId="0" fillId="0" borderId="0" xfId="0"/>
    <xf numFmtId="0" fontId="3" fillId="0" borderId="0" xfId="0" applyFont="1"/>
    <xf numFmtId="9" fontId="0" fillId="0" borderId="0" xfId="0" applyNumberFormat="1"/>
    <xf numFmtId="10" fontId="0" fillId="0" borderId="0" xfId="0" applyNumberFormat="1"/>
    <xf numFmtId="2" fontId="0" fillId="0" borderId="0" xfId="0" applyNumberFormat="1"/>
    <xf numFmtId="2" fontId="0" fillId="0" borderId="4" xfId="0" applyNumberFormat="1" applyBorder="1"/>
    <xf numFmtId="0" fontId="0" fillId="0" borderId="4" xfId="0" applyBorder="1"/>
    <xf numFmtId="0" fontId="0" fillId="6" borderId="0" xfId="0" applyFill="1"/>
    <xf numFmtId="0" fontId="5" fillId="7" borderId="4" xfId="0" applyFont="1" applyFill="1" applyBorder="1"/>
    <xf numFmtId="2" fontId="1" fillId="3" borderId="4" xfId="5" applyNumberFormat="1" applyBorder="1"/>
    <xf numFmtId="0" fontId="1" fillId="3" borderId="4" xfId="5" applyBorder="1"/>
    <xf numFmtId="0" fontId="5" fillId="4" borderId="4" xfId="6" applyFont="1" applyBorder="1" applyAlignment="1">
      <alignment horizontal="center" vertical="top"/>
    </xf>
    <xf numFmtId="0" fontId="5" fillId="4" borderId="4" xfId="6" applyFont="1" applyBorder="1" applyAlignment="1">
      <alignment horizontal="center" vertical="top" wrapText="1"/>
    </xf>
    <xf numFmtId="0" fontId="5" fillId="4" borderId="4" xfId="6" applyFont="1" applyBorder="1" applyAlignment="1">
      <alignment horizontal="center"/>
    </xf>
    <xf numFmtId="0" fontId="5" fillId="5" borderId="8" xfId="7" applyFont="1" applyBorder="1"/>
    <xf numFmtId="0" fontId="4" fillId="2" borderId="4" xfId="4" applyBorder="1" applyAlignment="1">
      <alignment horizontal="center"/>
    </xf>
    <xf numFmtId="2" fontId="4" fillId="2" borderId="6" xfId="4" applyNumberFormat="1" applyBorder="1"/>
    <xf numFmtId="2" fontId="4" fillId="2" borderId="4" xfId="4" applyNumberFormat="1" applyBorder="1"/>
    <xf numFmtId="0" fontId="5" fillId="5" borderId="4" xfId="7" applyFont="1" applyBorder="1" applyAlignment="1"/>
    <xf numFmtId="0" fontId="5" fillId="4" borderId="4" xfId="6" applyFont="1" applyBorder="1"/>
    <xf numFmtId="0" fontId="1" fillId="5" borderId="4" xfId="7" applyBorder="1"/>
    <xf numFmtId="0" fontId="1" fillId="5" borderId="4" xfId="7" applyBorder="1" applyAlignment="1">
      <alignment wrapText="1"/>
    </xf>
    <xf numFmtId="0" fontId="5" fillId="5" borderId="4" xfId="7" applyFont="1" applyBorder="1"/>
    <xf numFmtId="0" fontId="5" fillId="5" borderId="4" xfId="7" applyFont="1" applyBorder="1" applyAlignment="1">
      <alignment wrapText="1"/>
    </xf>
    <xf numFmtId="166" fontId="0" fillId="0" borderId="4" xfId="0" applyNumberFormat="1" applyBorder="1"/>
    <xf numFmtId="2" fontId="0" fillId="0" borderId="4" xfId="0" applyNumberFormat="1" applyBorder="1" applyAlignment="1">
      <alignment horizontal="right"/>
    </xf>
    <xf numFmtId="166" fontId="0" fillId="0" borderId="5" xfId="0" applyNumberFormat="1" applyBorder="1"/>
    <xf numFmtId="166" fontId="0" fillId="6" borderId="7" xfId="0" applyNumberFormat="1" applyFill="1" applyBorder="1"/>
    <xf numFmtId="166" fontId="0" fillId="6" borderId="12" xfId="0" applyNumberFormat="1" applyFill="1" applyBorder="1"/>
    <xf numFmtId="0" fontId="1" fillId="3" borderId="4" xfId="5" applyBorder="1" applyAlignment="1">
      <alignment horizontal="center"/>
    </xf>
    <xf numFmtId="0" fontId="1" fillId="4" borderId="4" xfId="6" applyBorder="1"/>
    <xf numFmtId="0" fontId="1" fillId="4" borderId="4" xfId="6" applyBorder="1" applyAlignment="1">
      <alignment wrapText="1"/>
    </xf>
    <xf numFmtId="167" fontId="1" fillId="3" borderId="4" xfId="5" applyNumberFormat="1" applyBorder="1"/>
    <xf numFmtId="0" fontId="4" fillId="2" borderId="4" xfId="4" applyBorder="1"/>
    <xf numFmtId="10" fontId="1" fillId="3" borderId="4" xfId="5" applyNumberFormat="1" applyBorder="1"/>
    <xf numFmtId="10" fontId="4" fillId="2" borderId="4" xfId="4" applyNumberFormat="1" applyBorder="1"/>
    <xf numFmtId="0" fontId="1" fillId="3" borderId="4" xfId="1" applyNumberFormat="1" applyFill="1" applyBorder="1"/>
    <xf numFmtId="0" fontId="1" fillId="3" borderId="6" xfId="1" applyNumberFormat="1" applyFill="1" applyBorder="1"/>
    <xf numFmtId="3" fontId="0" fillId="0" borderId="0" xfId="0" applyNumberFormat="1"/>
    <xf numFmtId="0" fontId="4" fillId="6" borderId="0" xfId="4" applyFill="1" applyBorder="1"/>
    <xf numFmtId="10" fontId="4" fillId="6" borderId="0" xfId="4" applyNumberFormat="1" applyFill="1" applyBorder="1"/>
    <xf numFmtId="2" fontId="4" fillId="6" borderId="0" xfId="4" applyNumberFormat="1" applyFill="1" applyBorder="1"/>
    <xf numFmtId="0" fontId="2" fillId="0" borderId="4" xfId="3" applyBorder="1"/>
    <xf numFmtId="9" fontId="1" fillId="3" borderId="4" xfId="5" applyNumberFormat="1" applyBorder="1"/>
    <xf numFmtId="9" fontId="4" fillId="2" borderId="4" xfId="4" applyNumberFormat="1" applyBorder="1"/>
    <xf numFmtId="0" fontId="4" fillId="2" borderId="4" xfId="4" applyNumberFormat="1" applyBorder="1"/>
    <xf numFmtId="0" fontId="1" fillId="3" borderId="8" xfId="5" applyBorder="1"/>
    <xf numFmtId="0" fontId="5" fillId="4" borderId="8" xfId="6" applyFont="1" applyBorder="1"/>
    <xf numFmtId="0" fontId="1" fillId="6" borderId="4" xfId="6" applyFill="1" applyBorder="1"/>
    <xf numFmtId="0" fontId="4" fillId="6" borderId="4" xfId="4" applyFill="1" applyBorder="1"/>
    <xf numFmtId="0" fontId="2" fillId="6" borderId="0" xfId="3" applyFill="1" applyBorder="1"/>
    <xf numFmtId="0" fontId="1" fillId="6" borderId="0" xfId="7" applyFill="1" applyBorder="1"/>
    <xf numFmtId="0" fontId="1" fillId="6" borderId="0" xfId="6" applyFill="1" applyBorder="1"/>
    <xf numFmtId="9" fontId="1" fillId="6" borderId="0" xfId="5" applyNumberFormat="1" applyFill="1" applyBorder="1"/>
    <xf numFmtId="0" fontId="1" fillId="6" borderId="0" xfId="5" applyNumberFormat="1" applyFill="1" applyBorder="1"/>
    <xf numFmtId="9" fontId="4" fillId="6" borderId="0" xfId="4" applyNumberFormat="1" applyFill="1" applyBorder="1"/>
    <xf numFmtId="0" fontId="4" fillId="6" borderId="0" xfId="4" applyNumberFormat="1" applyFill="1" applyBorder="1"/>
    <xf numFmtId="10" fontId="4" fillId="6" borderId="4" xfId="4" applyNumberFormat="1" applyFill="1" applyBorder="1"/>
    <xf numFmtId="2" fontId="4" fillId="6" borderId="4" xfId="4" applyNumberFormat="1" applyFill="1" applyBorder="1"/>
    <xf numFmtId="0" fontId="5" fillId="0" borderId="4" xfId="0" applyFont="1" applyBorder="1"/>
    <xf numFmtId="2" fontId="0" fillId="0" borderId="14" xfId="0" applyNumberFormat="1" applyBorder="1"/>
    <xf numFmtId="0" fontId="4" fillId="6" borderId="4" xfId="4" applyFill="1" applyBorder="1" applyAlignment="1">
      <alignment horizontal="center"/>
    </xf>
    <xf numFmtId="2" fontId="4" fillId="6" borderId="6" xfId="4" applyNumberFormat="1" applyFill="1" applyBorder="1"/>
    <xf numFmtId="2" fontId="0" fillId="6" borderId="0" xfId="0" applyNumberFormat="1" applyFill="1"/>
    <xf numFmtId="10" fontId="1" fillId="6" borderId="4" xfId="5" applyNumberFormat="1" applyFill="1" applyBorder="1"/>
    <xf numFmtId="0" fontId="1" fillId="6" borderId="4" xfId="5" applyFill="1" applyBorder="1"/>
    <xf numFmtId="0" fontId="1" fillId="3" borderId="4" xfId="5" applyBorder="1" applyAlignment="1">
      <alignment horizontal="center" vertical="center"/>
    </xf>
    <xf numFmtId="0" fontId="8" fillId="2" borderId="4" xfId="4" applyFont="1" applyBorder="1"/>
    <xf numFmtId="0" fontId="8" fillId="2" borderId="4" xfId="4" applyFont="1" applyBorder="1" applyAlignment="1">
      <alignment wrapText="1"/>
    </xf>
    <xf numFmtId="2" fontId="8" fillId="2" borderId="4" xfId="4" applyNumberFormat="1" applyFont="1" applyBorder="1"/>
    <xf numFmtId="0" fontId="5" fillId="4" borderId="4" xfId="6" applyFont="1" applyBorder="1" applyAlignment="1">
      <alignment wrapText="1"/>
    </xf>
    <xf numFmtId="0" fontId="5" fillId="6" borderId="0" xfId="0" applyFont="1" applyFill="1"/>
    <xf numFmtId="0" fontId="5" fillId="7" borderId="5" xfId="0" applyFont="1" applyFill="1" applyBorder="1"/>
    <xf numFmtId="0" fontId="5" fillId="7" borderId="9" xfId="0" applyFont="1" applyFill="1" applyBorder="1"/>
    <xf numFmtId="0" fontId="5" fillId="6" borderId="16" xfId="0" applyFont="1" applyFill="1" applyBorder="1"/>
    <xf numFmtId="0" fontId="5" fillId="0" borderId="14" xfId="0" applyFont="1" applyBorder="1"/>
    <xf numFmtId="0" fontId="5" fillId="6" borderId="8" xfId="0" applyFont="1" applyFill="1" applyBorder="1"/>
    <xf numFmtId="0" fontId="5" fillId="0" borderId="17" xfId="0" applyFont="1" applyBorder="1"/>
    <xf numFmtId="0" fontId="9" fillId="0" borderId="0" xfId="0" applyFont="1"/>
    <xf numFmtId="0" fontId="10" fillId="0" borderId="17" xfId="0" applyFont="1" applyBorder="1"/>
    <xf numFmtId="9" fontId="9" fillId="0" borderId="0" xfId="0" applyNumberFormat="1" applyFont="1"/>
    <xf numFmtId="0" fontId="5" fillId="0" borderId="4" xfId="0" applyFont="1" applyBorder="1" applyAlignment="1">
      <alignment wrapText="1"/>
    </xf>
    <xf numFmtId="0" fontId="12" fillId="0" borderId="0" xfId="0" applyFont="1"/>
    <xf numFmtId="3" fontId="3" fillId="0" borderId="0" xfId="0" applyNumberFormat="1" applyFont="1"/>
    <xf numFmtId="3" fontId="12" fillId="0" borderId="0" xfId="0" applyNumberFormat="1" applyFont="1"/>
    <xf numFmtId="2" fontId="0" fillId="6" borderId="7" xfId="0" applyNumberFormat="1" applyFill="1" applyBorder="1"/>
    <xf numFmtId="2" fontId="0" fillId="6" borderId="12" xfId="0" applyNumberFormat="1" applyFill="1" applyBorder="1"/>
    <xf numFmtId="2" fontId="5" fillId="0" borderId="4" xfId="0" applyNumberFormat="1" applyFont="1" applyBorder="1"/>
    <xf numFmtId="2" fontId="5" fillId="7" borderId="5" xfId="0" applyNumberFormat="1" applyFont="1" applyFill="1" applyBorder="1"/>
    <xf numFmtId="2" fontId="5" fillId="7" borderId="9" xfId="0" applyNumberFormat="1" applyFont="1" applyFill="1" applyBorder="1"/>
    <xf numFmtId="2" fontId="5" fillId="6" borderId="0" xfId="0" applyNumberFormat="1" applyFont="1" applyFill="1"/>
    <xf numFmtId="2" fontId="5" fillId="7" borderId="4" xfId="0" applyNumberFormat="1" applyFont="1" applyFill="1" applyBorder="1"/>
    <xf numFmtId="2" fontId="5" fillId="6" borderId="16" xfId="0" applyNumberFormat="1" applyFont="1" applyFill="1" applyBorder="1"/>
    <xf numFmtId="2" fontId="5" fillId="0" borderId="14" xfId="0" applyNumberFormat="1" applyFont="1" applyBorder="1"/>
    <xf numFmtId="2" fontId="5" fillId="6" borderId="8" xfId="0" applyNumberFormat="1" applyFont="1" applyFill="1" applyBorder="1"/>
    <xf numFmtId="2" fontId="10" fillId="0" borderId="17" xfId="0" applyNumberFormat="1" applyFont="1" applyBorder="1"/>
    <xf numFmtId="2" fontId="9" fillId="0" borderId="0" xfId="0" applyNumberFormat="1" applyFont="1"/>
    <xf numFmtId="4" fontId="6" fillId="0" borderId="4" xfId="0" applyNumberFormat="1" applyFont="1" applyBorder="1"/>
    <xf numFmtId="4" fontId="0" fillId="0" borderId="4" xfId="0" applyNumberFormat="1" applyBorder="1"/>
    <xf numFmtId="4" fontId="13" fillId="0" borderId="4" xfId="0" applyNumberFormat="1" applyFont="1" applyBorder="1"/>
    <xf numFmtId="4" fontId="0" fillId="0" borderId="0" xfId="0" applyNumberFormat="1"/>
    <xf numFmtId="4" fontId="0" fillId="0" borderId="14" xfId="0" applyNumberFormat="1" applyBorder="1"/>
    <xf numFmtId="4" fontId="0" fillId="0" borderId="4" xfId="0" applyNumberFormat="1" applyBorder="1" applyAlignment="1">
      <alignment horizontal="right"/>
    </xf>
    <xf numFmtId="0" fontId="14" fillId="2" borderId="4" xfId="4" applyFont="1" applyBorder="1"/>
    <xf numFmtId="9" fontId="3" fillId="0" borderId="0" xfId="0" applyNumberFormat="1" applyFont="1"/>
    <xf numFmtId="0" fontId="5" fillId="5" borderId="4" xfId="7" applyFont="1" applyBorder="1" applyAlignment="1">
      <alignment horizontal="left"/>
    </xf>
    <xf numFmtId="0" fontId="5" fillId="4" borderId="4" xfId="6" applyFont="1" applyBorder="1" applyAlignment="1">
      <alignment horizontal="left"/>
    </xf>
    <xf numFmtId="2" fontId="1" fillId="3" borderId="4" xfId="5" applyNumberFormat="1" applyBorder="1" applyAlignment="1">
      <alignment horizontal="left"/>
    </xf>
    <xf numFmtId="0" fontId="5" fillId="5" borderId="17" xfId="7" applyFont="1" applyBorder="1"/>
    <xf numFmtId="10" fontId="0" fillId="0" borderId="4" xfId="0" applyNumberFormat="1" applyBorder="1"/>
    <xf numFmtId="0" fontId="5" fillId="0" borderId="0" xfId="0" applyFont="1"/>
    <xf numFmtId="0" fontId="6" fillId="0" borderId="4" xfId="0" applyFont="1" applyBorder="1"/>
    <xf numFmtId="9" fontId="0" fillId="0" borderId="4" xfId="0" applyNumberFormat="1" applyBorder="1"/>
    <xf numFmtId="166" fontId="5" fillId="6" borderId="4" xfId="0" applyNumberFormat="1" applyFont="1" applyFill="1" applyBorder="1"/>
    <xf numFmtId="166" fontId="5" fillId="0" borderId="5" xfId="0" applyNumberFormat="1" applyFont="1" applyBorder="1"/>
    <xf numFmtId="166" fontId="5" fillId="0" borderId="4" xfId="0" applyNumberFormat="1" applyFont="1" applyBorder="1"/>
    <xf numFmtId="0" fontId="5" fillId="0" borderId="13" xfId="0" applyFont="1" applyBorder="1"/>
    <xf numFmtId="0" fontId="6" fillId="0" borderId="9" xfId="0" applyFont="1" applyBorder="1"/>
    <xf numFmtId="2" fontId="9" fillId="0" borderId="4" xfId="0" applyNumberFormat="1" applyFont="1" applyBorder="1"/>
    <xf numFmtId="2" fontId="1" fillId="3" borderId="0" xfId="5" applyNumberFormat="1"/>
    <xf numFmtId="0" fontId="1" fillId="3" borderId="4" xfId="5" applyBorder="1" applyAlignment="1">
      <alignment wrapText="1"/>
    </xf>
    <xf numFmtId="3" fontId="1" fillId="3" borderId="4" xfId="5" applyNumberFormat="1" applyBorder="1"/>
    <xf numFmtId="2" fontId="1" fillId="3" borderId="14" xfId="5" applyNumberFormat="1" applyBorder="1"/>
    <xf numFmtId="2" fontId="1" fillId="3" borderId="4" xfId="5" applyNumberFormat="1" applyBorder="1" applyAlignment="1">
      <alignment horizontal="right"/>
    </xf>
    <xf numFmtId="0" fontId="8" fillId="2" borderId="4" xfId="4" applyNumberFormat="1" applyFont="1" applyBorder="1"/>
    <xf numFmtId="2" fontId="8" fillId="2" borderId="0" xfId="4" applyNumberFormat="1" applyFont="1"/>
    <xf numFmtId="166" fontId="8" fillId="2" borderId="5" xfId="4" applyNumberFormat="1" applyFont="1" applyBorder="1"/>
    <xf numFmtId="166" fontId="8" fillId="2" borderId="4" xfId="4" applyNumberFormat="1" applyFont="1" applyBorder="1"/>
    <xf numFmtId="0" fontId="1" fillId="3" borderId="4" xfId="5" applyNumberFormat="1" applyBorder="1"/>
    <xf numFmtId="4" fontId="1" fillId="3" borderId="4" xfId="5" applyNumberFormat="1" applyBorder="1"/>
    <xf numFmtId="0" fontId="5" fillId="4" borderId="14" xfId="6" applyFont="1" applyBorder="1"/>
    <xf numFmtId="0" fontId="5" fillId="3" borderId="4" xfId="5" applyFont="1" applyBorder="1"/>
    <xf numFmtId="0" fontId="8" fillId="2" borderId="4" xfId="4" applyFont="1" applyBorder="1" applyAlignment="1">
      <alignment horizontal="center"/>
    </xf>
    <xf numFmtId="2" fontId="8" fillId="2" borderId="6" xfId="4" applyNumberFormat="1" applyFont="1" applyBorder="1"/>
    <xf numFmtId="2" fontId="5" fillId="0" borderId="0" xfId="0" applyNumberFormat="1" applyFont="1"/>
    <xf numFmtId="0" fontId="6" fillId="3" borderId="4" xfId="5" applyFont="1" applyBorder="1"/>
    <xf numFmtId="2" fontId="6" fillId="3" borderId="4" xfId="5" applyNumberFormat="1" applyFont="1" applyBorder="1"/>
    <xf numFmtId="0" fontId="15" fillId="2" borderId="8" xfId="4" applyFont="1" applyBorder="1" applyAlignment="1">
      <alignment horizontal="center"/>
    </xf>
    <xf numFmtId="2" fontId="15" fillId="2" borderId="15" xfId="4" applyNumberFormat="1" applyFont="1" applyBorder="1"/>
    <xf numFmtId="2" fontId="6" fillId="0" borderId="0" xfId="0" applyNumberFormat="1" applyFont="1"/>
    <xf numFmtId="2" fontId="15" fillId="2" borderId="4" xfId="4" applyNumberFormat="1" applyFont="1" applyBorder="1"/>
    <xf numFmtId="10" fontId="8" fillId="2" borderId="4" xfId="4" applyNumberFormat="1" applyFont="1" applyBorder="1"/>
    <xf numFmtId="0" fontId="5" fillId="4" borderId="0" xfId="6" applyFont="1"/>
    <xf numFmtId="0" fontId="1" fillId="3" borderId="0" xfId="5" applyBorder="1" applyAlignment="1">
      <alignment horizontal="center"/>
    </xf>
    <xf numFmtId="0" fontId="8" fillId="2" borderId="0" xfId="4" applyFont="1" applyBorder="1"/>
    <xf numFmtId="0" fontId="14" fillId="2" borderId="17" xfId="4" applyFont="1" applyBorder="1"/>
    <xf numFmtId="164" fontId="0" fillId="0" borderId="4" xfId="0" applyNumberFormat="1" applyBorder="1"/>
    <xf numFmtId="0" fontId="6" fillId="0" borderId="5" xfId="0" applyFont="1" applyBorder="1"/>
    <xf numFmtId="0" fontId="16" fillId="0" borderId="0" xfId="0" applyFont="1"/>
    <xf numFmtId="0" fontId="7" fillId="2" borderId="3" xfId="4" applyFont="1" applyBorder="1" applyAlignment="1">
      <alignment horizontal="center"/>
    </xf>
    <xf numFmtId="0" fontId="6" fillId="6" borderId="6" xfId="0" applyFont="1" applyFill="1" applyBorder="1"/>
    <xf numFmtId="0" fontId="6" fillId="6" borderId="9" xfId="0" applyFont="1" applyFill="1" applyBorder="1"/>
    <xf numFmtId="0" fontId="6" fillId="6" borderId="5" xfId="0" applyFont="1" applyFill="1" applyBorder="1"/>
    <xf numFmtId="0" fontId="2" fillId="6" borderId="6" xfId="3" applyFill="1" applyBorder="1" applyAlignment="1"/>
    <xf numFmtId="0" fontId="2" fillId="6" borderId="9" xfId="3" applyFill="1" applyBorder="1" applyAlignment="1"/>
    <xf numFmtId="0" fontId="2" fillId="6" borderId="5" xfId="3" applyFill="1" applyBorder="1" applyAlignment="1"/>
    <xf numFmtId="0" fontId="7" fillId="2" borderId="0" xfId="4" applyFont="1" applyBorder="1" applyAlignment="1">
      <alignment horizontal="center"/>
    </xf>
    <xf numFmtId="0" fontId="7" fillId="2" borderId="0" xfId="4" applyFont="1" applyAlignment="1"/>
    <xf numFmtId="0" fontId="6" fillId="6" borderId="4" xfId="0" applyFont="1" applyFill="1" applyBorder="1"/>
    <xf numFmtId="0" fontId="0" fillId="0" borderId="4" xfId="0" applyBorder="1"/>
    <xf numFmtId="0" fontId="1" fillId="3" borderId="4" xfId="5" applyBorder="1"/>
    <xf numFmtId="0" fontId="7" fillId="2" borderId="7" xfId="4" applyFont="1" applyBorder="1" applyAlignment="1">
      <alignment horizontal="center"/>
    </xf>
    <xf numFmtId="0" fontId="7" fillId="2" borderId="0" xfId="4" applyFont="1" applyBorder="1" applyAlignment="1"/>
    <xf numFmtId="0" fontId="0" fillId="0" borderId="0" xfId="0"/>
    <xf numFmtId="0" fontId="1" fillId="3" borderId="6" xfId="5" applyBorder="1" applyAlignment="1">
      <alignment wrapText="1"/>
    </xf>
    <xf numFmtId="0" fontId="1" fillId="3" borderId="9" xfId="5" applyBorder="1" applyAlignment="1">
      <alignment wrapText="1"/>
    </xf>
    <xf numFmtId="0" fontId="1" fillId="3" borderId="5" xfId="5" applyBorder="1" applyAlignment="1">
      <alignment wrapText="1"/>
    </xf>
    <xf numFmtId="0" fontId="1" fillId="3" borderId="4" xfId="5" applyBorder="1" applyAlignment="1">
      <alignment horizontal="center"/>
    </xf>
    <xf numFmtId="164" fontId="1" fillId="3" borderId="4" xfId="1" applyNumberFormat="1" applyFill="1" applyBorder="1" applyAlignment="1">
      <alignment horizontal="center" vertical="center"/>
    </xf>
    <xf numFmtId="9" fontId="1" fillId="3" borderId="4" xfId="5" applyNumberFormat="1" applyBorder="1" applyAlignment="1">
      <alignment horizontal="center"/>
    </xf>
    <xf numFmtId="0" fontId="1" fillId="3" borderId="4" xfId="5" applyNumberFormat="1" applyBorder="1" applyAlignment="1">
      <alignment horizontal="center"/>
    </xf>
    <xf numFmtId="0" fontId="1" fillId="3" borderId="6" xfId="5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/>
    <xf numFmtId="0" fontId="0" fillId="0" borderId="3" xfId="0" applyBorder="1"/>
    <xf numFmtId="0" fontId="5" fillId="5" borderId="4" xfId="7" applyFont="1" applyBorder="1" applyAlignment="1"/>
    <xf numFmtId="0" fontId="1" fillId="3" borderId="6" xfId="5" applyBorder="1" applyAlignment="1"/>
    <xf numFmtId="0" fontId="0" fillId="0" borderId="9" xfId="0" applyBorder="1"/>
    <xf numFmtId="0" fontId="0" fillId="0" borderId="5" xfId="0" applyBorder="1"/>
    <xf numFmtId="0" fontId="7" fillId="2" borderId="15" xfId="4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2" borderId="0" xfId="4" applyFont="1" applyAlignment="1">
      <alignment horizontal="center"/>
    </xf>
    <xf numFmtId="0" fontId="7" fillId="2" borderId="4" xfId="4" applyFont="1" applyBorder="1" applyAlignment="1">
      <alignment horizontal="center"/>
    </xf>
    <xf numFmtId="0" fontId="7" fillId="2" borderId="2" xfId="4" applyFont="1" applyBorder="1" applyAlignment="1">
      <alignment horizontal="center"/>
    </xf>
    <xf numFmtId="165" fontId="1" fillId="3" borderId="4" xfId="2" applyNumberFormat="1" applyFill="1" applyBorder="1" applyAlignment="1">
      <alignment horizontal="center"/>
    </xf>
    <xf numFmtId="10" fontId="1" fillId="3" borderId="4" xfId="2" applyNumberFormat="1" applyFill="1" applyBorder="1" applyAlignment="1">
      <alignment horizontal="center"/>
    </xf>
    <xf numFmtId="0" fontId="1" fillId="3" borderId="4" xfId="5" applyNumberFormat="1" applyBorder="1" applyAlignment="1">
      <alignment horizontal="center" vertical="center"/>
    </xf>
    <xf numFmtId="0" fontId="7" fillId="2" borderId="1" xfId="4" applyFont="1" applyBorder="1" applyAlignment="1">
      <alignment horizontal="center" wrapText="1"/>
    </xf>
    <xf numFmtId="0" fontId="7" fillId="2" borderId="1" xfId="4" applyFont="1" applyBorder="1" applyAlignment="1">
      <alignment horizontal="center"/>
    </xf>
    <xf numFmtId="2" fontId="1" fillId="3" borderId="4" xfId="1" applyNumberFormat="1" applyFill="1" applyBorder="1" applyAlignment="1">
      <alignment horizontal="center" vertical="center"/>
    </xf>
    <xf numFmtId="0" fontId="5" fillId="5" borderId="4" xfId="7" applyFont="1" applyBorder="1"/>
    <xf numFmtId="0" fontId="7" fillId="2" borderId="13" xfId="4" applyFont="1" applyBorder="1" applyAlignment="1">
      <alignment horizontal="center"/>
    </xf>
    <xf numFmtId="0" fontId="7" fillId="2" borderId="11" xfId="4" applyFont="1" applyBorder="1" applyAlignment="1">
      <alignment horizontal="center"/>
    </xf>
    <xf numFmtId="0" fontId="7" fillId="2" borderId="9" xfId="4" applyFont="1" applyBorder="1" applyAlignment="1">
      <alignment horizontal="center"/>
    </xf>
    <xf numFmtId="0" fontId="5" fillId="4" borderId="4" xfId="6" applyFont="1" applyBorder="1" applyAlignment="1">
      <alignment wrapText="1"/>
    </xf>
    <xf numFmtId="0" fontId="5" fillId="4" borderId="4" xfId="6" applyFont="1" applyBorder="1"/>
    <xf numFmtId="0" fontId="5" fillId="0" borderId="4" xfId="0" applyFont="1" applyBorder="1"/>
    <xf numFmtId="0" fontId="5" fillId="0" borderId="4" xfId="0" applyFont="1" applyBorder="1" applyAlignment="1">
      <alignment wrapText="1"/>
    </xf>
    <xf numFmtId="2" fontId="7" fillId="2" borderId="13" xfId="4" applyNumberFormat="1" applyFont="1" applyBorder="1" applyAlignment="1">
      <alignment horizontal="center"/>
    </xf>
    <xf numFmtId="2" fontId="7" fillId="2" borderId="11" xfId="4" applyNumberFormat="1" applyFont="1" applyBorder="1" applyAlignment="1">
      <alignment horizontal="center"/>
    </xf>
    <xf numFmtId="2" fontId="7" fillId="2" borderId="9" xfId="4" applyNumberFormat="1" applyFont="1" applyBorder="1" applyAlignment="1">
      <alignment horizontal="center"/>
    </xf>
    <xf numFmtId="2" fontId="0" fillId="0" borderId="9" xfId="0" applyNumberFormat="1" applyBorder="1"/>
    <xf numFmtId="2" fontId="0" fillId="0" borderId="5" xfId="0" applyNumberFormat="1" applyBorder="1"/>
    <xf numFmtId="2" fontId="5" fillId="0" borderId="4" xfId="0" applyNumberFormat="1" applyFont="1" applyBorder="1"/>
    <xf numFmtId="2" fontId="5" fillId="0" borderId="4" xfId="0" applyNumberFormat="1" applyFont="1" applyBorder="1" applyAlignment="1">
      <alignment wrapText="1"/>
    </xf>
  </cellXfs>
  <cellStyles count="8">
    <cellStyle name="20% — акцент1" xfId="5" builtinId="30"/>
    <cellStyle name="40% — акцент1" xfId="6" builtinId="31"/>
    <cellStyle name="60% — акцент1" xfId="7" builtinId="32"/>
    <cellStyle name="Акцент1" xfId="4" builtinId="29"/>
    <cellStyle name="Заголовок 1" xfId="3" builtinId="16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colors>
    <mruColors>
      <color rgb="FF0009B3"/>
      <color rgb="FF008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'Investment Analysis'!$X$21</c:f>
              <c:strCache>
                <c:ptCount val="1"/>
                <c:pt idx="0">
                  <c:v>Негативный сценарий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'Investment Analysis'!$X$22:$X$29</c:f>
              <c:numCache>
                <c:formatCode>General</c:formatCode>
                <c:ptCount val="8"/>
                <c:pt idx="1">
                  <c:v>-31.69</c:v>
                </c:pt>
                <c:pt idx="3">
                  <c:v>-27.21</c:v>
                </c:pt>
                <c:pt idx="4">
                  <c:v>-14.84</c:v>
                </c:pt>
                <c:pt idx="6">
                  <c:v>-8.44</c:v>
                </c:pt>
                <c:pt idx="7">
                  <c:v>-7.24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D-FA4D-A002-8858F5CEC5C6}"/>
            </c:ext>
          </c:extLst>
        </c:ser>
        <c:ser>
          <c:idx val="1"/>
          <c:order val="1"/>
          <c:tx>
            <c:strRef>
              <c:f>'Investment Analysis'!$Y$21</c:f>
              <c:strCache>
                <c:ptCount val="1"/>
                <c:pt idx="0">
                  <c:v>Позитицный сценарий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'Investment Analysis'!$Y$22:$Y$29</c:f>
              <c:numCache>
                <c:formatCode>General</c:formatCode>
                <c:ptCount val="8"/>
                <c:pt idx="1">
                  <c:v>11.1</c:v>
                </c:pt>
                <c:pt idx="3">
                  <c:v>27.21</c:v>
                </c:pt>
                <c:pt idx="4">
                  <c:v>14.76</c:v>
                </c:pt>
                <c:pt idx="6">
                  <c:v>8.36</c:v>
                </c:pt>
                <c:pt idx="7">
                  <c:v>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3D-FA4D-A002-8858F5CEC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3232688"/>
        <c:axId val="653199984"/>
      </c:barChart>
      <c:catAx>
        <c:axId val="6532326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3199984"/>
        <c:crosses val="autoZero"/>
        <c:auto val="1"/>
        <c:lblAlgn val="ctr"/>
        <c:lblOffset val="100"/>
        <c:noMultiLvlLbl val="0"/>
      </c:catAx>
      <c:valAx>
        <c:axId val="65319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323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55638</xdr:colOff>
      <xdr:row>3</xdr:row>
      <xdr:rowOff>191911</xdr:rowOff>
    </xdr:from>
    <xdr:to>
      <xdr:col>13</xdr:col>
      <xdr:colOff>525345</xdr:colOff>
      <xdr:row>13</xdr:row>
      <xdr:rowOff>76200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F662406-C4CA-085F-5C62-9108E790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4838" y="979311"/>
          <a:ext cx="4660707" cy="2449689"/>
        </a:xfrm>
        <a:prstGeom prst="rect">
          <a:avLst/>
        </a:prstGeom>
      </xdr:spPr>
    </xdr:pic>
    <xdr:clientData/>
  </xdr:twoCellAnchor>
  <xdr:twoCellAnchor editAs="oneCell">
    <xdr:from>
      <xdr:col>4</xdr:col>
      <xdr:colOff>913779</xdr:colOff>
      <xdr:row>34</xdr:row>
      <xdr:rowOff>25400</xdr:rowOff>
    </xdr:from>
    <xdr:to>
      <xdr:col>7</xdr:col>
      <xdr:colOff>2211211</xdr:colOff>
      <xdr:row>46</xdr:row>
      <xdr:rowOff>19693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EC78F77-F8E2-D880-A8D7-C6EC59B70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179" y="8305800"/>
          <a:ext cx="5424932" cy="2483493"/>
        </a:xfrm>
        <a:prstGeom prst="rect">
          <a:avLst/>
        </a:prstGeom>
      </xdr:spPr>
    </xdr:pic>
    <xdr:clientData/>
  </xdr:twoCellAnchor>
  <xdr:twoCellAnchor editAs="oneCell">
    <xdr:from>
      <xdr:col>5</xdr:col>
      <xdr:colOff>373566</xdr:colOff>
      <xdr:row>61</xdr:row>
      <xdr:rowOff>56376</xdr:rowOff>
    </xdr:from>
    <xdr:to>
      <xdr:col>7</xdr:col>
      <xdr:colOff>2049966</xdr:colOff>
      <xdr:row>72</xdr:row>
      <xdr:rowOff>184269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1FA8A5E-E136-38D8-18D2-6EAF71A09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91859" y="14398083"/>
          <a:ext cx="4804936" cy="2590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368300</xdr:colOff>
      <xdr:row>29</xdr:row>
      <xdr:rowOff>38100</xdr:rowOff>
    </xdr:from>
    <xdr:to>
      <xdr:col>27</xdr:col>
      <xdr:colOff>0</xdr:colOff>
      <xdr:row>42</xdr:row>
      <xdr:rowOff>12700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73310DB-9AD6-CF82-F826-34C3A4E52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49E6-9BED-9E44-A5C6-3CD9B364C0BB}">
  <sheetPr codeName="Лист1"/>
  <dimension ref="A1:O105"/>
  <sheetViews>
    <sheetView zoomScale="64" zoomScaleNormal="140" workbookViewId="0">
      <selection activeCell="O52" sqref="O52:O105"/>
    </sheetView>
  </sheetViews>
  <sheetFormatPr baseColWidth="10" defaultRowHeight="16" x14ac:dyDescent="0.2"/>
  <cols>
    <col min="1" max="1" width="31.6640625" customWidth="1"/>
    <col min="2" max="2" width="16.83203125" customWidth="1"/>
    <col min="3" max="3" width="23.83203125" customWidth="1"/>
    <col min="4" max="4" width="26.33203125" customWidth="1"/>
    <col min="5" max="5" width="13" customWidth="1"/>
    <col min="6" max="6" width="25.5" customWidth="1"/>
    <col min="7" max="7" width="15.6640625" customWidth="1"/>
    <col min="8" max="8" width="29.1640625" customWidth="1"/>
  </cols>
  <sheetData>
    <row r="1" spans="1:8" ht="26" x14ac:dyDescent="0.3">
      <c r="A1" s="156" t="s">
        <v>76</v>
      </c>
      <c r="B1" s="156"/>
      <c r="C1" s="156"/>
      <c r="D1" s="156"/>
      <c r="E1" s="157"/>
      <c r="F1" s="157"/>
      <c r="G1" s="157"/>
      <c r="H1" s="157"/>
    </row>
    <row r="2" spans="1:8" x14ac:dyDescent="0.2">
      <c r="A2" s="158"/>
      <c r="B2" s="158"/>
      <c r="C2" s="158"/>
      <c r="D2" s="158"/>
      <c r="E2" s="158"/>
      <c r="F2" s="158"/>
      <c r="G2" s="158"/>
      <c r="H2" s="158"/>
    </row>
    <row r="3" spans="1:8" ht="20" x14ac:dyDescent="0.25">
      <c r="A3" s="14" t="s">
        <v>0</v>
      </c>
      <c r="B3" s="14" t="s">
        <v>13</v>
      </c>
      <c r="C3" s="14" t="s">
        <v>12</v>
      </c>
      <c r="D3" s="14" t="s">
        <v>19</v>
      </c>
      <c r="F3" s="153" t="s">
        <v>21</v>
      </c>
      <c r="G3" s="154"/>
      <c r="H3" s="155"/>
    </row>
    <row r="4" spans="1:8" x14ac:dyDescent="0.2">
      <c r="A4" s="11" t="s">
        <v>3</v>
      </c>
      <c r="B4" s="36">
        <f>37.4</f>
        <v>37.4</v>
      </c>
      <c r="C4" s="9">
        <v>2.5</v>
      </c>
      <c r="D4" s="9">
        <f>(C4/13.33)*(B4/100)</f>
        <v>7.0142535633908473E-2</v>
      </c>
      <c r="F4" s="20" t="s">
        <v>22</v>
      </c>
      <c r="G4" s="20" t="s">
        <v>23</v>
      </c>
      <c r="H4" s="20" t="s">
        <v>1</v>
      </c>
    </row>
    <row r="5" spans="1:8" x14ac:dyDescent="0.2">
      <c r="A5" s="11" t="s">
        <v>2</v>
      </c>
      <c r="B5" s="36">
        <v>29.360000000000003</v>
      </c>
      <c r="C5" s="9">
        <v>226</v>
      </c>
      <c r="D5" s="9">
        <f>(C5/13.33)*(B5/100)</f>
        <v>4.9777644411102786</v>
      </c>
      <c r="F5" s="30" t="s">
        <v>24</v>
      </c>
      <c r="G5" s="34">
        <f t="shared" ref="G5:G11" si="0">H5/$H$12</f>
        <v>0.46906759944787907</v>
      </c>
      <c r="H5" s="9">
        <f>D19</f>
        <v>54.726691672918221</v>
      </c>
    </row>
    <row r="6" spans="1:8" x14ac:dyDescent="0.2">
      <c r="A6" s="11" t="s">
        <v>8</v>
      </c>
      <c r="B6" s="36">
        <v>2.9359999999999999</v>
      </c>
      <c r="C6" s="9">
        <v>135</v>
      </c>
      <c r="D6" s="9">
        <f t="shared" ref="D6:D18" si="1">(C6/13.33)*(B6/100)</f>
        <v>0.297344336084021</v>
      </c>
      <c r="F6" s="30" t="s">
        <v>25</v>
      </c>
      <c r="G6" s="34">
        <f t="shared" si="0"/>
        <v>0.25456148138580037</v>
      </c>
      <c r="H6" s="10">
        <v>29.7</v>
      </c>
    </row>
    <row r="7" spans="1:8" x14ac:dyDescent="0.2">
      <c r="A7" s="11" t="s">
        <v>9</v>
      </c>
      <c r="B7" s="36">
        <v>11.747</v>
      </c>
      <c r="C7" s="9">
        <v>530</v>
      </c>
      <c r="D7" s="9">
        <f t="shared" si="1"/>
        <v>4.6706001500375098</v>
      </c>
      <c r="F7" s="30" t="s">
        <v>26</v>
      </c>
      <c r="G7" s="34">
        <f t="shared" si="0"/>
        <v>7.5425624114311224E-2</v>
      </c>
      <c r="H7" s="10">
        <v>8.8000000000000007</v>
      </c>
    </row>
    <row r="8" spans="1:8" ht="30" customHeight="1" x14ac:dyDescent="0.2">
      <c r="A8" s="11" t="s">
        <v>4</v>
      </c>
      <c r="B8" s="36">
        <v>6.8529999999999998</v>
      </c>
      <c r="C8" s="9">
        <v>5150</v>
      </c>
      <c r="D8" s="9">
        <f t="shared" si="1"/>
        <v>26.476331582895721</v>
      </c>
      <c r="F8" s="31" t="s">
        <v>58</v>
      </c>
      <c r="G8" s="34">
        <f t="shared" si="0"/>
        <v>8.8282264588341541E-2</v>
      </c>
      <c r="H8" s="10">
        <v>10.3</v>
      </c>
    </row>
    <row r="9" spans="1:8" ht="34" customHeight="1" x14ac:dyDescent="0.2">
      <c r="A9" s="11" t="s">
        <v>10</v>
      </c>
      <c r="B9" s="36">
        <v>0.441</v>
      </c>
      <c r="C9" s="9">
        <v>4800</v>
      </c>
      <c r="D9" s="9">
        <f t="shared" si="1"/>
        <v>1.5879969992498124</v>
      </c>
      <c r="F9" s="31" t="s">
        <v>59</v>
      </c>
      <c r="G9" s="34">
        <f t="shared" si="0"/>
        <v>9.3813519889575821E-3</v>
      </c>
      <c r="H9" s="32">
        <f>H5*0.02</f>
        <v>1.0945338334583645</v>
      </c>
    </row>
    <row r="10" spans="1:8" x14ac:dyDescent="0.2">
      <c r="A10" s="11" t="s">
        <v>5</v>
      </c>
      <c r="B10" s="36">
        <v>0.98000000000000009</v>
      </c>
      <c r="C10" s="9">
        <v>4780</v>
      </c>
      <c r="D10" s="9">
        <f t="shared" si="1"/>
        <v>3.5141785446361595</v>
      </c>
      <c r="F10" s="30" t="s">
        <v>60</v>
      </c>
      <c r="G10" s="34">
        <f t="shared" si="0"/>
        <v>1.9456382584032553E-2</v>
      </c>
      <c r="H10" s="10">
        <v>2.27</v>
      </c>
    </row>
    <row r="11" spans="1:8" ht="19" customHeight="1" x14ac:dyDescent="0.2">
      <c r="A11" s="11" t="s">
        <v>11</v>
      </c>
      <c r="B11" s="36">
        <v>0.49000000000000005</v>
      </c>
      <c r="C11" s="9">
        <v>430</v>
      </c>
      <c r="D11" s="9">
        <f t="shared" si="1"/>
        <v>0.15806451612903227</v>
      </c>
      <c r="F11" s="30" t="s">
        <v>72</v>
      </c>
      <c r="G11" s="34">
        <f t="shared" si="0"/>
        <v>8.3825295890677706E-2</v>
      </c>
      <c r="H11" s="10">
        <f>H21*2</f>
        <v>9.7800000000000011</v>
      </c>
    </row>
    <row r="12" spans="1:8" x14ac:dyDescent="0.2">
      <c r="A12" s="11" t="s">
        <v>6</v>
      </c>
      <c r="B12" s="36">
        <v>2.94</v>
      </c>
      <c r="C12" s="9">
        <v>850</v>
      </c>
      <c r="D12" s="9">
        <f t="shared" si="1"/>
        <v>1.8747186796699173</v>
      </c>
      <c r="F12" s="33" t="s">
        <v>7</v>
      </c>
      <c r="G12" s="35">
        <f>SUM(G5:G11)</f>
        <v>1</v>
      </c>
      <c r="H12" s="17">
        <f>SUM(H5:H11)*CHOOSE(Scenarios!B8,Scenarios!B6,Scenarios!C6,Scenarios!D6)</f>
        <v>116.67122550637659</v>
      </c>
    </row>
    <row r="13" spans="1:8" ht="21" customHeight="1" x14ac:dyDescent="0.2">
      <c r="A13" s="12" t="s">
        <v>14</v>
      </c>
      <c r="B13" s="36">
        <v>0.49000000000000005</v>
      </c>
      <c r="C13" s="9">
        <v>8000</v>
      </c>
      <c r="D13" s="9">
        <f t="shared" si="1"/>
        <v>2.9407351837959492</v>
      </c>
      <c r="F13" s="39"/>
      <c r="G13" s="40"/>
      <c r="H13" s="41"/>
    </row>
    <row r="14" spans="1:8" ht="20" x14ac:dyDescent="0.25">
      <c r="A14" s="12" t="s">
        <v>15</v>
      </c>
      <c r="B14" s="36">
        <v>1.25</v>
      </c>
      <c r="C14" s="9">
        <v>785</v>
      </c>
      <c r="D14" s="9">
        <f t="shared" si="1"/>
        <v>0.73612153038259565</v>
      </c>
      <c r="F14" s="42" t="s">
        <v>70</v>
      </c>
      <c r="G14" s="42"/>
      <c r="H14" s="42"/>
    </row>
    <row r="15" spans="1:8" x14ac:dyDescent="0.2">
      <c r="A15" s="13" t="s">
        <v>16</v>
      </c>
      <c r="B15" s="36">
        <v>1.5</v>
      </c>
      <c r="C15" s="9">
        <v>2980</v>
      </c>
      <c r="D15" s="9">
        <f t="shared" si="1"/>
        <v>3.3533383345836456</v>
      </c>
      <c r="F15" s="20" t="s">
        <v>63</v>
      </c>
      <c r="G15" s="20" t="s">
        <v>64</v>
      </c>
      <c r="H15" s="20" t="s">
        <v>71</v>
      </c>
    </row>
    <row r="16" spans="1:8" x14ac:dyDescent="0.2">
      <c r="A16" s="13" t="s">
        <v>17</v>
      </c>
      <c r="B16" s="36">
        <v>0.25</v>
      </c>
      <c r="C16" s="9">
        <v>85</v>
      </c>
      <c r="D16" s="9">
        <f t="shared" si="1"/>
        <v>1.5941485371342837E-2</v>
      </c>
      <c r="F16" s="30" t="s">
        <v>65</v>
      </c>
      <c r="G16" s="43">
        <v>0.4</v>
      </c>
      <c r="H16" s="10">
        <v>0.97</v>
      </c>
    </row>
    <row r="17" spans="1:14" x14ac:dyDescent="0.2">
      <c r="A17" s="13" t="s">
        <v>18</v>
      </c>
      <c r="B17" s="36">
        <v>0.8</v>
      </c>
      <c r="C17" s="9">
        <v>290</v>
      </c>
      <c r="D17" s="9">
        <f t="shared" si="1"/>
        <v>0.17404351087771944</v>
      </c>
      <c r="F17" s="30" t="s">
        <v>66</v>
      </c>
      <c r="G17" s="43">
        <v>0.2</v>
      </c>
      <c r="H17" s="10">
        <v>0.93</v>
      </c>
    </row>
    <row r="18" spans="1:14" x14ac:dyDescent="0.2">
      <c r="A18" s="13" t="s">
        <v>20</v>
      </c>
      <c r="B18" s="37">
        <v>2.56</v>
      </c>
      <c r="C18" s="9">
        <v>2020</v>
      </c>
      <c r="D18" s="9">
        <f t="shared" si="1"/>
        <v>3.8793698424606156</v>
      </c>
      <c r="F18" s="30" t="s">
        <v>67</v>
      </c>
      <c r="G18" s="43">
        <v>0.15</v>
      </c>
      <c r="H18" s="10">
        <v>0.51</v>
      </c>
    </row>
    <row r="19" spans="1:14" x14ac:dyDescent="0.2">
      <c r="A19" s="15" t="s">
        <v>7</v>
      </c>
      <c r="B19" s="16">
        <f>SUM(B4:B18)</f>
        <v>99.996999999999986</v>
      </c>
      <c r="C19" s="4"/>
      <c r="D19" s="17">
        <f>SUM(D4:D18)</f>
        <v>54.726691672918221</v>
      </c>
      <c r="F19" s="30" t="s">
        <v>68</v>
      </c>
      <c r="G19" s="43">
        <v>0.1</v>
      </c>
      <c r="H19" s="10">
        <v>0.48</v>
      </c>
    </row>
    <row r="20" spans="1:14" x14ac:dyDescent="0.2">
      <c r="F20" s="30" t="s">
        <v>69</v>
      </c>
      <c r="G20" s="43">
        <v>0.15</v>
      </c>
      <c r="H20" s="10">
        <v>2</v>
      </c>
    </row>
    <row r="21" spans="1:14" x14ac:dyDescent="0.2">
      <c r="F21" s="33" t="s">
        <v>61</v>
      </c>
      <c r="G21" s="44">
        <v>1</v>
      </c>
      <c r="H21" s="45">
        <f>SUM(H16:H20)</f>
        <v>4.8900000000000006</v>
      </c>
      <c r="L21" s="1"/>
    </row>
    <row r="24" spans="1:14" ht="26" x14ac:dyDescent="0.3">
      <c r="A24" s="156" t="s">
        <v>77</v>
      </c>
      <c r="B24" s="156"/>
      <c r="C24" s="156"/>
      <c r="D24" s="156"/>
      <c r="E24" s="157"/>
      <c r="F24" s="157"/>
      <c r="G24" s="157"/>
      <c r="H24" s="157"/>
    </row>
    <row r="25" spans="1:14" x14ac:dyDescent="0.2">
      <c r="A25" s="158"/>
      <c r="B25" s="158"/>
      <c r="C25" s="158"/>
      <c r="D25" s="158"/>
      <c r="E25" s="158"/>
      <c r="F25" s="158"/>
      <c r="G25" s="158"/>
      <c r="H25" s="158"/>
    </row>
    <row r="26" spans="1:14" ht="20" x14ac:dyDescent="0.25">
      <c r="A26" s="22" t="s">
        <v>0</v>
      </c>
      <c r="B26" s="22" t="s">
        <v>13</v>
      </c>
      <c r="C26" s="22" t="s">
        <v>12</v>
      </c>
      <c r="D26" s="22" t="s">
        <v>19</v>
      </c>
      <c r="F26" s="153" t="s">
        <v>21</v>
      </c>
      <c r="G26" s="154"/>
      <c r="H26" s="155"/>
    </row>
    <row r="27" spans="1:14" x14ac:dyDescent="0.2">
      <c r="A27" s="19" t="s">
        <v>3</v>
      </c>
      <c r="B27" s="10">
        <v>34.479999999999997</v>
      </c>
      <c r="C27" s="9">
        <v>2.5</v>
      </c>
      <c r="D27" s="9">
        <f>(C27/13.33)*(B27/100)</f>
        <v>6.46661665416354E-2</v>
      </c>
      <c r="F27" s="20" t="s">
        <v>22</v>
      </c>
      <c r="G27" s="20" t="s">
        <v>23</v>
      </c>
      <c r="H27" s="20" t="s">
        <v>1</v>
      </c>
    </row>
    <row r="28" spans="1:14" x14ac:dyDescent="0.2">
      <c r="A28" s="19" t="s">
        <v>2</v>
      </c>
      <c r="B28" s="10">
        <v>29.97</v>
      </c>
      <c r="C28" s="9">
        <v>226</v>
      </c>
      <c r="D28" s="9">
        <f>(C28/13.33)*(B28/100)</f>
        <v>5.0811852963240804</v>
      </c>
      <c r="F28" s="30" t="s">
        <v>24</v>
      </c>
      <c r="G28" s="34">
        <f>H28/$H$34</f>
        <v>0.5507054471028322</v>
      </c>
      <c r="H28" s="9">
        <f>D42</f>
        <v>64.705303825956491</v>
      </c>
    </row>
    <row r="29" spans="1:14" x14ac:dyDescent="0.2">
      <c r="A29" s="19" t="s">
        <v>8</v>
      </c>
      <c r="B29" s="10">
        <v>2.99</v>
      </c>
      <c r="C29" s="9">
        <v>135</v>
      </c>
      <c r="D29" s="9">
        <f t="shared" ref="D29:D41" si="2">(C29/13.33)*(B29/100)</f>
        <v>0.30281320330082523</v>
      </c>
      <c r="F29" s="30" t="s">
        <v>25</v>
      </c>
      <c r="G29" s="34">
        <f t="shared" ref="G29:G33" si="3">H29/$H$34</f>
        <v>0.25447825595047002</v>
      </c>
      <c r="H29" s="10">
        <v>29.9</v>
      </c>
    </row>
    <row r="30" spans="1:14" x14ac:dyDescent="0.2">
      <c r="A30" s="19" t="s">
        <v>81</v>
      </c>
      <c r="B30" s="10">
        <v>10.53</v>
      </c>
      <c r="C30" s="9">
        <v>530</v>
      </c>
      <c r="D30" s="9">
        <f t="shared" si="2"/>
        <v>4.1867216804201046</v>
      </c>
      <c r="F30" s="30" t="s">
        <v>26</v>
      </c>
      <c r="G30" s="34">
        <f t="shared" si="3"/>
        <v>7.5747708292949273E-2</v>
      </c>
      <c r="H30" s="10">
        <v>8.9</v>
      </c>
      <c r="L30" s="1"/>
      <c r="M30" s="1"/>
      <c r="N30" s="1"/>
    </row>
    <row r="31" spans="1:14" ht="34" x14ac:dyDescent="0.2">
      <c r="A31" s="19" t="s">
        <v>78</v>
      </c>
      <c r="B31" s="10">
        <v>4.9800000000000004</v>
      </c>
      <c r="C31" s="9">
        <v>5150</v>
      </c>
      <c r="D31" s="9">
        <f t="shared" si="2"/>
        <v>19.240060015003753</v>
      </c>
      <c r="F31" s="31" t="s">
        <v>58</v>
      </c>
      <c r="G31" s="34">
        <f t="shared" si="3"/>
        <v>8.8514175982772184E-2</v>
      </c>
      <c r="H31" s="10">
        <v>10.4</v>
      </c>
      <c r="M31" s="3"/>
    </row>
    <row r="32" spans="1:14" ht="34" x14ac:dyDescent="0.2">
      <c r="A32" s="19" t="s">
        <v>4</v>
      </c>
      <c r="B32" s="10">
        <v>5.51</v>
      </c>
      <c r="C32" s="9">
        <v>4800</v>
      </c>
      <c r="D32" s="9">
        <f t="shared" si="2"/>
        <v>19.840960240060014</v>
      </c>
      <c r="F32" s="31" t="s">
        <v>59</v>
      </c>
      <c r="G32" s="34">
        <f t="shared" si="3"/>
        <v>1.14047111362418E-2</v>
      </c>
      <c r="H32" s="10">
        <v>1.34</v>
      </c>
      <c r="M32" s="3"/>
    </row>
    <row r="33" spans="1:14" x14ac:dyDescent="0.2">
      <c r="A33" s="19" t="s">
        <v>79</v>
      </c>
      <c r="B33" s="10">
        <v>0.41</v>
      </c>
      <c r="C33" s="9">
        <v>4780</v>
      </c>
      <c r="D33" s="9">
        <f t="shared" si="2"/>
        <v>1.4702175543885971</v>
      </c>
      <c r="F33" s="30" t="s">
        <v>60</v>
      </c>
      <c r="G33" s="34">
        <f t="shared" si="3"/>
        <v>1.9149701534734366E-2</v>
      </c>
      <c r="H33" s="10">
        <v>2.25</v>
      </c>
      <c r="M33" s="3"/>
    </row>
    <row r="34" spans="1:14" x14ac:dyDescent="0.2">
      <c r="A34" s="19" t="s">
        <v>11</v>
      </c>
      <c r="B34" s="10">
        <v>0.49</v>
      </c>
      <c r="C34" s="9">
        <v>430</v>
      </c>
      <c r="D34" s="9">
        <f t="shared" si="2"/>
        <v>0.15806451612903225</v>
      </c>
      <c r="F34" s="33" t="s">
        <v>7</v>
      </c>
      <c r="G34" s="35">
        <f>SUM(G27:G33)</f>
        <v>0.99999999999999989</v>
      </c>
      <c r="H34" s="17">
        <f>SUM(H27:H33)*CHOOSE(Scenarios!B8,Scenarios!B6,Scenarios!C6,Scenarios!D6)</f>
        <v>117.49530382595651</v>
      </c>
      <c r="M34" s="3"/>
    </row>
    <row r="35" spans="1:14" x14ac:dyDescent="0.2">
      <c r="A35" s="19" t="s">
        <v>6</v>
      </c>
      <c r="B35" s="10">
        <v>2.2200000000000002</v>
      </c>
      <c r="C35" s="9">
        <v>850</v>
      </c>
      <c r="D35" s="9">
        <f t="shared" si="2"/>
        <v>1.4156039009752439</v>
      </c>
      <c r="F35" s="49"/>
      <c r="G35" s="57"/>
      <c r="H35" s="58"/>
      <c r="M35" s="3"/>
    </row>
    <row r="36" spans="1:14" x14ac:dyDescent="0.2">
      <c r="A36" s="19" t="s">
        <v>15</v>
      </c>
      <c r="B36" s="10">
        <v>1.23</v>
      </c>
      <c r="C36" s="9">
        <v>8000</v>
      </c>
      <c r="D36" s="9">
        <f t="shared" si="2"/>
        <v>7.3818454613653408</v>
      </c>
      <c r="F36" s="39"/>
      <c r="G36" s="40"/>
      <c r="H36" s="41"/>
      <c r="M36" s="3"/>
    </row>
    <row r="37" spans="1:14" ht="20" x14ac:dyDescent="0.25">
      <c r="A37" s="19" t="s">
        <v>16</v>
      </c>
      <c r="B37" s="10">
        <v>1.47</v>
      </c>
      <c r="C37" s="9">
        <v>785</v>
      </c>
      <c r="D37" s="9">
        <f t="shared" si="2"/>
        <v>0.86567891972993238</v>
      </c>
      <c r="F37" s="50"/>
      <c r="G37" s="50"/>
      <c r="H37" s="50"/>
      <c r="L37" s="1"/>
      <c r="M37" s="3"/>
      <c r="N37" s="1"/>
    </row>
    <row r="38" spans="1:14" x14ac:dyDescent="0.2">
      <c r="A38" s="19" t="s">
        <v>17</v>
      </c>
      <c r="B38" s="10">
        <v>0.26</v>
      </c>
      <c r="C38" s="9">
        <v>2980</v>
      </c>
      <c r="D38" s="9">
        <f t="shared" si="2"/>
        <v>0.58124531132783186</v>
      </c>
      <c r="F38" s="51"/>
      <c r="G38" s="51"/>
      <c r="H38" s="51"/>
    </row>
    <row r="39" spans="1:14" x14ac:dyDescent="0.2">
      <c r="A39" s="19" t="s">
        <v>18</v>
      </c>
      <c r="B39" s="10">
        <v>0.79</v>
      </c>
      <c r="C39" s="9">
        <v>85</v>
      </c>
      <c r="D39" s="9">
        <f t="shared" si="2"/>
        <v>5.0375093773443368E-2</v>
      </c>
      <c r="F39" s="52"/>
      <c r="G39" s="53"/>
      <c r="H39" s="54"/>
    </row>
    <row r="40" spans="1:14" x14ac:dyDescent="0.2">
      <c r="A40" s="19" t="s">
        <v>20</v>
      </c>
      <c r="B40" s="10">
        <v>2.3199999999999998</v>
      </c>
      <c r="C40" s="9">
        <v>290</v>
      </c>
      <c r="D40" s="9">
        <f t="shared" si="2"/>
        <v>0.50472618154538629</v>
      </c>
      <c r="F40" s="52"/>
      <c r="G40" s="53"/>
      <c r="H40" s="54"/>
    </row>
    <row r="41" spans="1:14" x14ac:dyDescent="0.2">
      <c r="A41" s="19" t="s">
        <v>80</v>
      </c>
      <c r="B41" s="135">
        <v>2.35</v>
      </c>
      <c r="C41" s="136">
        <v>2020</v>
      </c>
      <c r="D41" s="136">
        <f t="shared" si="2"/>
        <v>3.5611402850712679</v>
      </c>
      <c r="F41" s="52"/>
      <c r="G41" s="53"/>
      <c r="H41" s="54"/>
    </row>
    <row r="42" spans="1:14" x14ac:dyDescent="0.2">
      <c r="A42" s="132" t="s">
        <v>7</v>
      </c>
      <c r="B42" s="133">
        <f>SUM(B27:B41)</f>
        <v>99.999999999999986</v>
      </c>
      <c r="C42" s="134"/>
      <c r="D42" s="69">
        <f>SUM(D27:D41)</f>
        <v>64.705303825956491</v>
      </c>
      <c r="F42" s="52"/>
      <c r="G42" s="53"/>
      <c r="H42" s="54"/>
    </row>
    <row r="43" spans="1:14" x14ac:dyDescent="0.2">
      <c r="F43" s="52"/>
      <c r="G43" s="53"/>
      <c r="H43" s="54"/>
    </row>
    <row r="44" spans="1:14" x14ac:dyDescent="0.2">
      <c r="F44" s="39"/>
      <c r="G44" s="55"/>
      <c r="H44" s="56"/>
    </row>
    <row r="50" spans="1:15" ht="26" x14ac:dyDescent="0.3">
      <c r="A50" s="149" t="s">
        <v>82</v>
      </c>
      <c r="B50" s="149"/>
      <c r="C50" s="149"/>
      <c r="D50" s="149"/>
      <c r="E50" s="149"/>
      <c r="F50" s="149"/>
      <c r="G50" s="149"/>
      <c r="H50" s="149"/>
    </row>
    <row r="51" spans="1:15" x14ac:dyDescent="0.2">
      <c r="A51" s="150"/>
      <c r="B51" s="151"/>
      <c r="C51" s="151"/>
      <c r="D51" s="151"/>
      <c r="E51" s="151"/>
      <c r="F51" s="151"/>
      <c r="G51" s="151"/>
      <c r="H51" s="152"/>
    </row>
    <row r="52" spans="1:15" ht="20" x14ac:dyDescent="0.25">
      <c r="A52" s="14" t="s">
        <v>0</v>
      </c>
      <c r="B52" s="14" t="s">
        <v>13</v>
      </c>
      <c r="C52" s="14" t="s">
        <v>12</v>
      </c>
      <c r="D52" s="14" t="s">
        <v>19</v>
      </c>
      <c r="F52" s="153" t="s">
        <v>21</v>
      </c>
      <c r="G52" s="154"/>
      <c r="H52" s="155"/>
      <c r="O52" s="148"/>
    </row>
    <row r="53" spans="1:15" ht="17" x14ac:dyDescent="0.2">
      <c r="A53" s="131" t="s">
        <v>3</v>
      </c>
      <c r="B53" s="10">
        <v>38.75</v>
      </c>
      <c r="C53" s="10">
        <v>2.5</v>
      </c>
      <c r="D53" s="9">
        <f>(C53/13.33)*(B53/100)</f>
        <v>7.2674418604651153E-2</v>
      </c>
      <c r="F53" s="20" t="s">
        <v>22</v>
      </c>
      <c r="G53" s="20" t="s">
        <v>23</v>
      </c>
      <c r="H53" s="20" t="s">
        <v>1</v>
      </c>
      <c r="O53" s="148"/>
    </row>
    <row r="54" spans="1:15" ht="17" x14ac:dyDescent="0.2">
      <c r="A54" s="131" t="s">
        <v>2</v>
      </c>
      <c r="B54" s="10">
        <v>29.9</v>
      </c>
      <c r="C54" s="10">
        <v>226</v>
      </c>
      <c r="D54" s="9">
        <f>(C54/13.33)*(B54/100)</f>
        <v>5.0693173293323337</v>
      </c>
      <c r="F54" s="30" t="s">
        <v>24</v>
      </c>
      <c r="G54" s="34">
        <f t="shared" ref="G54:G58" si="4">H54/$H$61</f>
        <v>0.47245526737367588</v>
      </c>
      <c r="H54" s="9">
        <f>D67</f>
        <v>46.623574643660923</v>
      </c>
      <c r="O54" s="148"/>
    </row>
    <row r="55" spans="1:15" ht="17" x14ac:dyDescent="0.2">
      <c r="A55" s="131" t="s">
        <v>8</v>
      </c>
      <c r="B55" s="10">
        <v>2.95</v>
      </c>
      <c r="C55" s="10">
        <v>135</v>
      </c>
      <c r="D55" s="9">
        <f t="shared" ref="D55:D66" si="5">(C55/13.33)*(B55/100)</f>
        <v>0.29876219054763692</v>
      </c>
      <c r="F55" s="30" t="s">
        <v>25</v>
      </c>
      <c r="G55" s="34">
        <f t="shared" si="4"/>
        <v>0.30227928110340468</v>
      </c>
      <c r="H55" s="10">
        <v>29.83</v>
      </c>
      <c r="O55" s="148"/>
    </row>
    <row r="56" spans="1:15" ht="17" x14ac:dyDescent="0.2">
      <c r="A56" s="131" t="s">
        <v>81</v>
      </c>
      <c r="B56" s="10">
        <v>11</v>
      </c>
      <c r="C56" s="10">
        <v>530</v>
      </c>
      <c r="D56" s="9">
        <f t="shared" si="5"/>
        <v>4.3735933983495876</v>
      </c>
      <c r="F56" s="30" t="s">
        <v>26</v>
      </c>
      <c r="G56" s="34">
        <f t="shared" si="4"/>
        <v>8.8768571990138295E-2</v>
      </c>
      <c r="H56" s="10">
        <v>8.76</v>
      </c>
      <c r="O56" s="148"/>
    </row>
    <row r="57" spans="1:15" ht="34" x14ac:dyDescent="0.2">
      <c r="A57" s="131" t="s">
        <v>4</v>
      </c>
      <c r="B57" s="10">
        <v>6</v>
      </c>
      <c r="C57" s="10">
        <v>4800</v>
      </c>
      <c r="D57" s="9">
        <f t="shared" si="5"/>
        <v>21.605401350337583</v>
      </c>
      <c r="F57" s="31" t="s">
        <v>58</v>
      </c>
      <c r="G57" s="34">
        <f t="shared" si="4"/>
        <v>0.1045766738513958</v>
      </c>
      <c r="H57" s="10">
        <v>10.32</v>
      </c>
      <c r="O57" s="148"/>
    </row>
    <row r="58" spans="1:15" ht="34" x14ac:dyDescent="0.2">
      <c r="A58" s="131" t="s">
        <v>84</v>
      </c>
      <c r="B58" s="10">
        <v>0.5</v>
      </c>
      <c r="C58" s="10">
        <v>6000</v>
      </c>
      <c r="D58" s="9">
        <f t="shared" si="5"/>
        <v>2.2505626406601649</v>
      </c>
      <c r="F58" s="31" t="s">
        <v>59</v>
      </c>
      <c r="G58" s="34">
        <f t="shared" si="4"/>
        <v>9.5253947112705472E-3</v>
      </c>
      <c r="H58" s="10">
        <v>0.94</v>
      </c>
      <c r="O58" s="148"/>
    </row>
    <row r="59" spans="1:15" ht="17" x14ac:dyDescent="0.2">
      <c r="A59" s="131" t="s">
        <v>79</v>
      </c>
      <c r="B59" s="10">
        <v>0.45</v>
      </c>
      <c r="C59" s="10">
        <v>4780</v>
      </c>
      <c r="D59" s="9">
        <f t="shared" si="5"/>
        <v>1.6136534133533387</v>
      </c>
      <c r="F59" s="30" t="s">
        <v>60</v>
      </c>
      <c r="G59" s="34">
        <f>H59/$H$61</f>
        <v>2.2394810970114799E-2</v>
      </c>
      <c r="H59" s="10">
        <v>2.21</v>
      </c>
      <c r="O59" s="148"/>
    </row>
    <row r="60" spans="1:15" ht="17" x14ac:dyDescent="0.2">
      <c r="A60" s="131" t="s">
        <v>11</v>
      </c>
      <c r="B60" s="10">
        <v>0.55000000000000004</v>
      </c>
      <c r="C60" s="10">
        <v>430</v>
      </c>
      <c r="D60" s="9">
        <f t="shared" si="5"/>
        <v>0.17741935483870969</v>
      </c>
      <c r="F60" s="48"/>
      <c r="G60" s="64"/>
      <c r="H60" s="65"/>
      <c r="O60" s="148"/>
    </row>
    <row r="61" spans="1:15" ht="17" x14ac:dyDescent="0.2">
      <c r="A61" s="131" t="s">
        <v>6</v>
      </c>
      <c r="B61" s="10">
        <v>3</v>
      </c>
      <c r="C61" s="10">
        <v>850</v>
      </c>
      <c r="D61" s="9">
        <f t="shared" si="5"/>
        <v>1.9129782445611403</v>
      </c>
      <c r="F61" s="67" t="s">
        <v>7</v>
      </c>
      <c r="G61" s="141">
        <f>SUM(G54:G60)</f>
        <v>1</v>
      </c>
      <c r="H61" s="69">
        <f>SUM(H54:H60)*CHOOSE(Scenarios!B8,Scenarios!B6,Scenarios!C6,Scenarios!D6)</f>
        <v>98.683574643660918</v>
      </c>
      <c r="O61" s="148"/>
    </row>
    <row r="62" spans="1:15" ht="17" x14ac:dyDescent="0.2">
      <c r="A62" s="131" t="s">
        <v>15</v>
      </c>
      <c r="B62" s="10">
        <v>1.1499999999999999</v>
      </c>
      <c r="C62" s="10">
        <v>8000</v>
      </c>
      <c r="D62" s="9">
        <f t="shared" si="5"/>
        <v>6.9017254313578382</v>
      </c>
      <c r="F62" s="39"/>
      <c r="G62" s="40"/>
      <c r="H62" s="41"/>
      <c r="O62" s="148"/>
    </row>
    <row r="63" spans="1:15" ht="20" x14ac:dyDescent="0.25">
      <c r="A63" s="131" t="s">
        <v>16</v>
      </c>
      <c r="B63" s="10">
        <v>1.98</v>
      </c>
      <c r="C63" s="10">
        <v>785</v>
      </c>
      <c r="D63" s="9">
        <f t="shared" si="5"/>
        <v>1.1660165041260313</v>
      </c>
      <c r="F63" s="50"/>
      <c r="G63" s="50"/>
      <c r="H63" s="50"/>
      <c r="O63" s="148"/>
    </row>
    <row r="64" spans="1:15" ht="17" x14ac:dyDescent="0.2">
      <c r="A64" s="131" t="s">
        <v>17</v>
      </c>
      <c r="B64" s="10">
        <v>0.24</v>
      </c>
      <c r="C64" s="10">
        <v>2980</v>
      </c>
      <c r="D64" s="9">
        <f t="shared" si="5"/>
        <v>0.53653413353338331</v>
      </c>
      <c r="F64" s="51"/>
      <c r="G64" s="51"/>
      <c r="H64" s="51"/>
      <c r="O64" s="148"/>
    </row>
    <row r="65" spans="1:15" ht="17" x14ac:dyDescent="0.2">
      <c r="A65" s="131" t="s">
        <v>18</v>
      </c>
      <c r="B65" s="10">
        <v>0.8</v>
      </c>
      <c r="C65" s="10">
        <v>85</v>
      </c>
      <c r="D65" s="9">
        <f t="shared" si="5"/>
        <v>5.1012753188297073E-2</v>
      </c>
      <c r="F65" s="52"/>
      <c r="G65" s="53"/>
      <c r="H65" s="54"/>
      <c r="O65" s="148"/>
    </row>
    <row r="66" spans="1:15" ht="17" x14ac:dyDescent="0.2">
      <c r="A66" s="131" t="s">
        <v>20</v>
      </c>
      <c r="B66" s="10">
        <v>2.73</v>
      </c>
      <c r="C66" s="10">
        <v>290</v>
      </c>
      <c r="D66" s="9">
        <f t="shared" si="5"/>
        <v>0.59392348087021762</v>
      </c>
      <c r="F66" s="52"/>
      <c r="G66" s="53"/>
      <c r="H66" s="54"/>
      <c r="O66" s="148"/>
    </row>
    <row r="67" spans="1:15" ht="17" x14ac:dyDescent="0.2">
      <c r="A67" s="137" t="s">
        <v>7</v>
      </c>
      <c r="B67" s="138">
        <f>SUM(B52:B66)</f>
        <v>100.00000000000001</v>
      </c>
      <c r="C67" s="139"/>
      <c r="D67" s="140">
        <f>SUM(D52:D66)</f>
        <v>46.623574643660923</v>
      </c>
      <c r="F67" s="52"/>
      <c r="G67" s="53"/>
      <c r="H67" s="54"/>
      <c r="O67" s="148"/>
    </row>
    <row r="68" spans="1:15" ht="17" x14ac:dyDescent="0.2">
      <c r="A68" s="61"/>
      <c r="B68" s="62"/>
      <c r="C68" s="63"/>
      <c r="D68" s="58"/>
      <c r="F68" s="52"/>
      <c r="G68" s="53"/>
      <c r="H68" s="54"/>
      <c r="O68" s="148"/>
    </row>
    <row r="69" spans="1:15" ht="17" x14ac:dyDescent="0.2">
      <c r="F69" s="52"/>
      <c r="G69" s="53"/>
      <c r="H69" s="54"/>
      <c r="O69" s="148"/>
    </row>
    <row r="70" spans="1:15" ht="17" x14ac:dyDescent="0.2">
      <c r="F70" s="39"/>
      <c r="G70" s="55"/>
      <c r="H70" s="56"/>
      <c r="O70" s="148"/>
    </row>
    <row r="71" spans="1:15" ht="17" x14ac:dyDescent="0.2">
      <c r="O71" s="148"/>
    </row>
    <row r="72" spans="1:15" ht="17" x14ac:dyDescent="0.2">
      <c r="O72" s="148"/>
    </row>
    <row r="73" spans="1:15" ht="17" x14ac:dyDescent="0.2">
      <c r="O73" s="148"/>
    </row>
    <row r="74" spans="1:15" ht="17" x14ac:dyDescent="0.2">
      <c r="O74" s="148"/>
    </row>
    <row r="75" spans="1:15" ht="17" x14ac:dyDescent="0.2">
      <c r="O75" s="148"/>
    </row>
    <row r="76" spans="1:15" ht="17" x14ac:dyDescent="0.2">
      <c r="O76" s="148"/>
    </row>
    <row r="77" spans="1:15" ht="17" x14ac:dyDescent="0.2">
      <c r="O77" s="148"/>
    </row>
    <row r="78" spans="1:15" ht="17" x14ac:dyDescent="0.2">
      <c r="O78" s="148"/>
    </row>
    <row r="79" spans="1:15" ht="17" x14ac:dyDescent="0.2">
      <c r="O79" s="148"/>
    </row>
    <row r="80" spans="1:15" ht="17" x14ac:dyDescent="0.2">
      <c r="O80" s="148"/>
    </row>
    <row r="81" spans="15:15" ht="17" x14ac:dyDescent="0.2">
      <c r="O81" s="148"/>
    </row>
    <row r="82" spans="15:15" ht="17" x14ac:dyDescent="0.2">
      <c r="O82" s="148"/>
    </row>
    <row r="83" spans="15:15" ht="17" x14ac:dyDescent="0.2">
      <c r="O83" s="148"/>
    </row>
    <row r="84" spans="15:15" ht="17" x14ac:dyDescent="0.2">
      <c r="O84" s="148"/>
    </row>
    <row r="85" spans="15:15" ht="17" x14ac:dyDescent="0.2">
      <c r="O85" s="148"/>
    </row>
    <row r="86" spans="15:15" ht="17" x14ac:dyDescent="0.2">
      <c r="O86" s="148"/>
    </row>
    <row r="87" spans="15:15" ht="17" x14ac:dyDescent="0.2">
      <c r="O87" s="148"/>
    </row>
    <row r="88" spans="15:15" ht="17" x14ac:dyDescent="0.2">
      <c r="O88" s="148"/>
    </row>
    <row r="89" spans="15:15" ht="17" x14ac:dyDescent="0.2">
      <c r="O89" s="148"/>
    </row>
    <row r="90" spans="15:15" ht="17" x14ac:dyDescent="0.2">
      <c r="O90" s="148"/>
    </row>
    <row r="91" spans="15:15" ht="17" x14ac:dyDescent="0.2">
      <c r="O91" s="148"/>
    </row>
    <row r="92" spans="15:15" ht="17" x14ac:dyDescent="0.2">
      <c r="O92" s="148"/>
    </row>
    <row r="93" spans="15:15" ht="17" x14ac:dyDescent="0.2">
      <c r="O93" s="148"/>
    </row>
    <row r="94" spans="15:15" ht="17" x14ac:dyDescent="0.2">
      <c r="O94" s="148"/>
    </row>
    <row r="95" spans="15:15" ht="17" x14ac:dyDescent="0.2">
      <c r="O95" s="148"/>
    </row>
    <row r="96" spans="15:15" ht="17" x14ac:dyDescent="0.2">
      <c r="O96" s="148"/>
    </row>
    <row r="97" spans="15:15" ht="17" x14ac:dyDescent="0.2">
      <c r="O97" s="148"/>
    </row>
    <row r="98" spans="15:15" ht="17" x14ac:dyDescent="0.2">
      <c r="O98" s="148"/>
    </row>
    <row r="99" spans="15:15" ht="17" x14ac:dyDescent="0.2">
      <c r="O99" s="148"/>
    </row>
    <row r="100" spans="15:15" ht="17" x14ac:dyDescent="0.2">
      <c r="O100" s="148"/>
    </row>
    <row r="101" spans="15:15" ht="17" x14ac:dyDescent="0.2">
      <c r="O101" s="148"/>
    </row>
    <row r="102" spans="15:15" ht="17" x14ac:dyDescent="0.2">
      <c r="O102" s="148"/>
    </row>
    <row r="103" spans="15:15" ht="17" x14ac:dyDescent="0.2">
      <c r="O103" s="148"/>
    </row>
    <row r="104" spans="15:15" ht="17" x14ac:dyDescent="0.2">
      <c r="O104" s="148"/>
    </row>
    <row r="105" spans="15:15" ht="17" x14ac:dyDescent="0.2">
      <c r="O105" s="148"/>
    </row>
  </sheetData>
  <mergeCells count="9">
    <mergeCell ref="A50:H50"/>
    <mergeCell ref="A51:H51"/>
    <mergeCell ref="F52:H52"/>
    <mergeCell ref="F26:H26"/>
    <mergeCell ref="A1:H1"/>
    <mergeCell ref="F3:H3"/>
    <mergeCell ref="A2:H2"/>
    <mergeCell ref="A24:H24"/>
    <mergeCell ref="A25:H25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D748-EDA7-B34E-80E7-6500C606A161}">
  <sheetPr codeName="Лист5"/>
  <dimension ref="A1:F11"/>
  <sheetViews>
    <sheetView zoomScale="118" workbookViewId="0">
      <selection activeCell="G8" sqref="G8"/>
    </sheetView>
  </sheetViews>
  <sheetFormatPr baseColWidth="10" defaultRowHeight="16" x14ac:dyDescent="0.2"/>
  <cols>
    <col min="1" max="1" width="28.33203125" customWidth="1"/>
    <col min="4" max="4" width="17.6640625" customWidth="1"/>
    <col min="5" max="5" width="13" customWidth="1"/>
  </cols>
  <sheetData>
    <row r="1" spans="1:6" x14ac:dyDescent="0.2">
      <c r="A1" s="33" t="s">
        <v>162</v>
      </c>
      <c r="B1" s="33" t="s">
        <v>166</v>
      </c>
      <c r="C1" s="33" t="s">
        <v>168</v>
      </c>
      <c r="D1" s="33" t="s">
        <v>167</v>
      </c>
    </row>
    <row r="2" spans="1:6" ht="24" customHeight="1" x14ac:dyDescent="0.2">
      <c r="A2" s="20" t="s">
        <v>169</v>
      </c>
      <c r="B2" s="6">
        <v>0.9</v>
      </c>
      <c r="C2" s="6">
        <v>1</v>
      </c>
      <c r="D2" s="6">
        <v>1.1000000000000001</v>
      </c>
    </row>
    <row r="3" spans="1:6" ht="26" customHeight="1" x14ac:dyDescent="0.2">
      <c r="A3" s="20" t="s">
        <v>170</v>
      </c>
      <c r="B3" s="6">
        <v>0.9</v>
      </c>
      <c r="C3" s="6">
        <v>1</v>
      </c>
      <c r="D3" s="6">
        <v>1</v>
      </c>
      <c r="F3" s="1"/>
    </row>
    <row r="4" spans="1:6" ht="27" customHeight="1" x14ac:dyDescent="0.2">
      <c r="A4" s="20" t="s">
        <v>171</v>
      </c>
      <c r="B4" s="6">
        <v>1.1000000000000001</v>
      </c>
      <c r="C4" s="6">
        <v>1</v>
      </c>
      <c r="D4" s="6">
        <v>0.9</v>
      </c>
    </row>
    <row r="5" spans="1:6" ht="35" customHeight="1" x14ac:dyDescent="0.2">
      <c r="A5" s="20" t="s">
        <v>172</v>
      </c>
      <c r="B5" s="6">
        <v>0.02</v>
      </c>
      <c r="C5" s="6">
        <v>0</v>
      </c>
      <c r="D5" s="6">
        <v>-0.03</v>
      </c>
    </row>
    <row r="6" spans="1:6" ht="32" customHeight="1" x14ac:dyDescent="0.2">
      <c r="A6" s="21" t="s">
        <v>163</v>
      </c>
      <c r="B6" s="6">
        <v>1.1000000000000001</v>
      </c>
      <c r="C6" s="6">
        <v>1</v>
      </c>
      <c r="D6" s="6">
        <v>0.9</v>
      </c>
    </row>
    <row r="7" spans="1:6" ht="47" customHeight="1" x14ac:dyDescent="0.2">
      <c r="A7" s="21" t="s">
        <v>164</v>
      </c>
      <c r="B7" s="6">
        <v>1.075</v>
      </c>
      <c r="C7" s="6">
        <v>1</v>
      </c>
      <c r="D7" s="6">
        <v>0.9</v>
      </c>
    </row>
    <row r="8" spans="1:6" x14ac:dyDescent="0.2">
      <c r="A8" s="20" t="s">
        <v>165</v>
      </c>
      <c r="B8" s="6">
        <v>2</v>
      </c>
      <c r="C8" s="159" t="s">
        <v>173</v>
      </c>
      <c r="D8" s="159"/>
      <c r="E8" s="159"/>
    </row>
    <row r="9" spans="1:6" x14ac:dyDescent="0.2">
      <c r="D9" s="2"/>
      <c r="E9" s="2"/>
      <c r="F9" s="2"/>
    </row>
    <row r="10" spans="1:6" x14ac:dyDescent="0.2">
      <c r="D10" s="2"/>
      <c r="E10" s="2"/>
      <c r="F10" s="2"/>
    </row>
    <row r="11" spans="1:6" x14ac:dyDescent="0.2">
      <c r="D11" s="2"/>
      <c r="E11" s="2"/>
      <c r="F11" s="2"/>
    </row>
  </sheetData>
  <mergeCells count="1">
    <mergeCell ref="C8:E8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E4F8-2CE8-2241-9DD4-A79CAA2D86A1}">
  <sheetPr codeName="Лист2"/>
  <dimension ref="A2:R52"/>
  <sheetViews>
    <sheetView topLeftCell="G8" zoomScale="69" zoomScaleNormal="85" workbookViewId="0">
      <selection activeCell="R22" sqref="R22"/>
    </sheetView>
  </sheetViews>
  <sheetFormatPr baseColWidth="10" defaultRowHeight="16" x14ac:dyDescent="0.2"/>
  <cols>
    <col min="1" max="1" width="39" customWidth="1"/>
    <col min="2" max="2" width="25.6640625" customWidth="1"/>
    <col min="3" max="3" width="27.6640625" customWidth="1"/>
    <col min="4" max="4" width="27.33203125" customWidth="1"/>
    <col min="5" max="5" width="35.33203125" customWidth="1"/>
    <col min="6" max="6" width="30.1640625" customWidth="1"/>
    <col min="7" max="7" width="26.6640625" customWidth="1"/>
    <col min="9" max="9" width="27.6640625" customWidth="1"/>
    <col min="10" max="10" width="16" customWidth="1"/>
    <col min="12" max="12" width="14.1640625" customWidth="1"/>
    <col min="13" max="13" width="27.6640625" customWidth="1"/>
    <col min="14" max="14" width="25.5" customWidth="1"/>
    <col min="15" max="15" width="27.83203125" customWidth="1"/>
    <col min="16" max="16" width="25.6640625" customWidth="1"/>
    <col min="17" max="17" width="28.1640625" customWidth="1"/>
    <col min="18" max="18" width="25.6640625" customWidth="1"/>
  </cols>
  <sheetData>
    <row r="2" spans="1:7" ht="36" customHeight="1" thickBot="1" x14ac:dyDescent="0.35">
      <c r="A2" s="184" t="s">
        <v>27</v>
      </c>
      <c r="B2" s="184"/>
      <c r="C2" s="184"/>
      <c r="D2" s="184"/>
    </row>
    <row r="3" spans="1:7" ht="17" thickTop="1" x14ac:dyDescent="0.2">
      <c r="A3" s="20" t="s">
        <v>28</v>
      </c>
      <c r="B3" s="185">
        <v>0.155</v>
      </c>
      <c r="C3" s="185"/>
      <c r="D3" s="185"/>
    </row>
    <row r="4" spans="1:7" x14ac:dyDescent="0.2">
      <c r="A4" s="20" t="s">
        <v>30</v>
      </c>
      <c r="B4" s="185">
        <v>1.2E-2</v>
      </c>
      <c r="C4" s="185"/>
      <c r="D4" s="185"/>
    </row>
    <row r="5" spans="1:7" ht="30" customHeight="1" x14ac:dyDescent="0.2">
      <c r="A5" s="21" t="s">
        <v>29</v>
      </c>
      <c r="B5" s="186">
        <v>5.8099999999999999E-2</v>
      </c>
      <c r="C5" s="186"/>
      <c r="D5" s="186"/>
    </row>
    <row r="6" spans="1:7" s="7" customFormat="1" ht="36" customHeight="1" x14ac:dyDescent="0.2">
      <c r="F6"/>
      <c r="G6"/>
    </row>
    <row r="7" spans="1:7" ht="31" customHeight="1" x14ac:dyDescent="0.3">
      <c r="A7" s="183" t="s">
        <v>45</v>
      </c>
      <c r="B7" s="183"/>
      <c r="C7" s="183"/>
      <c r="D7" s="183"/>
    </row>
    <row r="8" spans="1:7" x14ac:dyDescent="0.2">
      <c r="A8" s="22" t="s">
        <v>51</v>
      </c>
      <c r="B8" s="167">
        <v>57000</v>
      </c>
      <c r="C8" s="167"/>
      <c r="D8" s="167"/>
    </row>
    <row r="9" spans="1:7" ht="30" customHeight="1" x14ac:dyDescent="0.2">
      <c r="A9" s="23" t="s">
        <v>52</v>
      </c>
      <c r="B9" s="167">
        <v>232</v>
      </c>
      <c r="C9" s="167"/>
      <c r="D9" s="167"/>
    </row>
    <row r="10" spans="1:7" x14ac:dyDescent="0.2">
      <c r="A10" s="22" t="s">
        <v>31</v>
      </c>
      <c r="B10" s="169">
        <v>0.25</v>
      </c>
      <c r="C10" s="167"/>
      <c r="D10" s="167"/>
    </row>
    <row r="11" spans="1:7" ht="29" customHeight="1" x14ac:dyDescent="0.2">
      <c r="A11" s="23" t="s">
        <v>32</v>
      </c>
      <c r="B11" s="170">
        <f>17.8/100</f>
        <v>0.17800000000000002</v>
      </c>
      <c r="C11" s="170"/>
      <c r="D11" s="170"/>
    </row>
    <row r="12" spans="1:7" ht="29" customHeight="1" x14ac:dyDescent="0.2">
      <c r="A12" s="23" t="s">
        <v>53</v>
      </c>
      <c r="B12" s="171">
        <f>B11*B8</f>
        <v>10146.000000000002</v>
      </c>
      <c r="C12" s="172"/>
      <c r="D12" s="173"/>
    </row>
    <row r="13" spans="1:7" x14ac:dyDescent="0.2">
      <c r="A13" s="22" t="s">
        <v>33</v>
      </c>
      <c r="B13" s="167" t="s">
        <v>47</v>
      </c>
      <c r="C13" s="167"/>
      <c r="D13" s="167"/>
    </row>
    <row r="14" spans="1:7" ht="17" x14ac:dyDescent="0.2">
      <c r="A14" s="23" t="s">
        <v>34</v>
      </c>
      <c r="B14" s="167" t="s">
        <v>48</v>
      </c>
      <c r="C14" s="167"/>
      <c r="D14" s="167"/>
    </row>
    <row r="15" spans="1:7" ht="17" x14ac:dyDescent="0.2">
      <c r="A15" s="23" t="s">
        <v>46</v>
      </c>
      <c r="B15" s="169">
        <v>0.05</v>
      </c>
      <c r="C15" s="167"/>
      <c r="D15" s="167"/>
    </row>
    <row r="17" spans="1:18" ht="36" customHeight="1" thickBot="1" x14ac:dyDescent="0.35">
      <c r="A17" s="188" t="s">
        <v>35</v>
      </c>
      <c r="B17" s="189"/>
      <c r="C17" s="189"/>
      <c r="D17" s="189"/>
      <c r="F17" s="161" t="s">
        <v>44</v>
      </c>
      <c r="G17" s="156"/>
      <c r="H17" s="156"/>
      <c r="I17" s="156"/>
      <c r="J17" s="156"/>
      <c r="K17" s="156"/>
      <c r="L17" s="156"/>
      <c r="M17" s="162"/>
      <c r="N17" s="163"/>
      <c r="O17" s="163"/>
      <c r="P17" s="163"/>
      <c r="Q17" s="163"/>
      <c r="R17" s="163"/>
    </row>
    <row r="18" spans="1:18" ht="30" customHeight="1" thickTop="1" x14ac:dyDescent="0.2">
      <c r="A18" s="174"/>
      <c r="B18" s="174"/>
      <c r="C18" s="174"/>
      <c r="D18" s="174"/>
      <c r="F18" s="22" t="s">
        <v>22</v>
      </c>
      <c r="G18" s="23" t="s">
        <v>40</v>
      </c>
      <c r="H18" s="191" t="s">
        <v>36</v>
      </c>
      <c r="I18" s="191"/>
      <c r="J18" s="191"/>
      <c r="K18" s="191"/>
      <c r="L18" s="191"/>
      <c r="M18" s="22" t="s">
        <v>155</v>
      </c>
      <c r="N18" s="22" t="s">
        <v>156</v>
      </c>
      <c r="O18" s="108" t="s">
        <v>157</v>
      </c>
      <c r="P18" s="108" t="s">
        <v>158</v>
      </c>
      <c r="Q18" s="108" t="s">
        <v>122</v>
      </c>
      <c r="R18" s="108" t="s">
        <v>141</v>
      </c>
    </row>
    <row r="19" spans="1:18" x14ac:dyDescent="0.2">
      <c r="A19" s="175"/>
      <c r="B19" s="175"/>
      <c r="C19" s="175"/>
      <c r="D19" s="175"/>
      <c r="F19" s="47" t="s">
        <v>62</v>
      </c>
      <c r="G19" s="46">
        <v>60</v>
      </c>
      <c r="H19" s="177" t="s">
        <v>41</v>
      </c>
      <c r="I19" s="178"/>
      <c r="J19" s="178"/>
      <c r="K19" s="178"/>
      <c r="L19" s="179"/>
      <c r="M19" s="9">
        <f>N19/1.2 * 0.65</f>
        <v>265.41666666666669</v>
      </c>
      <c r="N19" s="9">
        <v>490</v>
      </c>
      <c r="O19" s="9">
        <f>P19/1.2 * 0.65</f>
        <v>281.66666666666669</v>
      </c>
      <c r="P19" s="9">
        <v>520</v>
      </c>
      <c r="Q19" s="9">
        <f>R19/1.2 * 0.65</f>
        <v>319.58333333333337</v>
      </c>
      <c r="R19" s="9">
        <v>590</v>
      </c>
    </row>
    <row r="20" spans="1:18" ht="32" customHeight="1" x14ac:dyDescent="0.2">
      <c r="A20" s="18" t="s">
        <v>22</v>
      </c>
      <c r="B20" s="19" t="s">
        <v>38</v>
      </c>
      <c r="C20" s="19" t="s">
        <v>37</v>
      </c>
      <c r="D20" s="19" t="s">
        <v>39</v>
      </c>
      <c r="F20" s="19" t="s">
        <v>37</v>
      </c>
      <c r="G20" s="10">
        <v>25</v>
      </c>
      <c r="H20" s="164" t="s">
        <v>43</v>
      </c>
      <c r="I20" s="165"/>
      <c r="J20" s="165"/>
      <c r="K20" s="165"/>
      <c r="L20" s="166"/>
      <c r="M20" s="9">
        <f>N20/1.2 * 0.65</f>
        <v>238.33333333333334</v>
      </c>
      <c r="N20" s="9">
        <v>440</v>
      </c>
      <c r="O20" s="9">
        <f>P20/1.2 * 0.65</f>
        <v>254.58333333333334</v>
      </c>
      <c r="P20" s="9">
        <v>470</v>
      </c>
      <c r="Q20" s="9">
        <f>R20/1.2 * 0.65</f>
        <v>276.25</v>
      </c>
      <c r="R20" s="9">
        <v>510</v>
      </c>
    </row>
    <row r="21" spans="1:18" x14ac:dyDescent="0.2">
      <c r="A21" s="176" t="s">
        <v>49</v>
      </c>
      <c r="B21" s="168">
        <f>B24/12</f>
        <v>50</v>
      </c>
      <c r="C21" s="190">
        <f t="shared" ref="C21:D21" si="0">C24/12</f>
        <v>20.833333333333332</v>
      </c>
      <c r="D21" s="168">
        <f t="shared" si="0"/>
        <v>12.5</v>
      </c>
      <c r="F21" s="19" t="s">
        <v>39</v>
      </c>
      <c r="G21" s="10">
        <v>15</v>
      </c>
      <c r="H21" s="160" t="s">
        <v>42</v>
      </c>
      <c r="I21" s="160"/>
      <c r="J21" s="160"/>
      <c r="K21" s="160"/>
      <c r="L21" s="160"/>
      <c r="M21" s="9">
        <f t="shared" ref="M21" si="1">N21/1.2 * 0.65</f>
        <v>238.33333333333334</v>
      </c>
      <c r="N21" s="9">
        <v>440</v>
      </c>
      <c r="O21" s="9">
        <f t="shared" ref="O21" si="2">P21/1.2 * 0.65</f>
        <v>243.75</v>
      </c>
      <c r="P21" s="9">
        <v>450</v>
      </c>
      <c r="Q21" s="9">
        <f t="shared" ref="Q21" si="3">R21/1.2 * 0.65</f>
        <v>270.83333333333337</v>
      </c>
      <c r="R21" s="9">
        <v>500</v>
      </c>
    </row>
    <row r="22" spans="1:18" x14ac:dyDescent="0.2">
      <c r="A22" s="176"/>
      <c r="B22" s="168"/>
      <c r="C22" s="190"/>
      <c r="D22" s="168"/>
      <c r="F22" s="7"/>
      <c r="G22" s="7"/>
      <c r="H22" s="7"/>
      <c r="I22" s="7"/>
      <c r="J22" s="7"/>
      <c r="K22" s="7"/>
      <c r="L22" s="7"/>
    </row>
    <row r="23" spans="1:18" x14ac:dyDescent="0.2">
      <c r="A23" s="176"/>
      <c r="B23" s="168"/>
      <c r="C23" s="190"/>
      <c r="D23" s="168"/>
    </row>
    <row r="24" spans="1:18" x14ac:dyDescent="0.2">
      <c r="A24" s="176" t="s">
        <v>50</v>
      </c>
      <c r="B24" s="187">
        <f>1000*G19/100</f>
        <v>600</v>
      </c>
      <c r="C24" s="187">
        <f>1000*G20/100</f>
        <v>250</v>
      </c>
      <c r="D24" s="187">
        <f>1000*G21/100</f>
        <v>150</v>
      </c>
    </row>
    <row r="25" spans="1:18" x14ac:dyDescent="0.2">
      <c r="A25" s="176"/>
      <c r="B25" s="187"/>
      <c r="C25" s="187"/>
      <c r="D25" s="187"/>
    </row>
    <row r="26" spans="1:18" x14ac:dyDescent="0.2">
      <c r="A26" s="176"/>
      <c r="B26" s="187"/>
      <c r="C26" s="187"/>
      <c r="D26" s="187"/>
    </row>
    <row r="29" spans="1:18" ht="26" x14ac:dyDescent="0.3">
      <c r="A29" s="182" t="s">
        <v>87</v>
      </c>
      <c r="B29" s="182"/>
      <c r="C29" s="182"/>
      <c r="E29" s="183" t="s">
        <v>83</v>
      </c>
      <c r="F29" s="183"/>
      <c r="G29" s="183"/>
      <c r="L29" s="180" t="s">
        <v>121</v>
      </c>
      <c r="M29" s="181"/>
    </row>
    <row r="30" spans="1:18" x14ac:dyDescent="0.2">
      <c r="A30" s="22" t="s">
        <v>22</v>
      </c>
      <c r="B30" s="22" t="s">
        <v>93</v>
      </c>
      <c r="C30" s="22" t="s">
        <v>94</v>
      </c>
      <c r="E30" s="22" t="s">
        <v>98</v>
      </c>
      <c r="F30" s="22" t="s">
        <v>123</v>
      </c>
      <c r="G30" s="22" t="s">
        <v>124</v>
      </c>
      <c r="L30" s="105" t="s">
        <v>98</v>
      </c>
      <c r="M30" s="105" t="s">
        <v>99</v>
      </c>
    </row>
    <row r="31" spans="1:18" ht="62" customHeight="1" x14ac:dyDescent="0.2">
      <c r="A31" s="70" t="s">
        <v>88</v>
      </c>
      <c r="B31" s="66">
        <f>1510*CHOOSE(Scenarios!B8,Scenarios!B4,Scenarios!C4,Scenarios!D4)</f>
        <v>1510</v>
      </c>
      <c r="C31" s="29">
        <v>10</v>
      </c>
      <c r="E31" s="19" t="s">
        <v>100</v>
      </c>
      <c r="F31" s="29">
        <v>500</v>
      </c>
      <c r="G31" s="29">
        <v>500</v>
      </c>
      <c r="L31" s="106" t="s">
        <v>62</v>
      </c>
      <c r="M31" s="107">
        <f>'Стоимость производства'!H12</f>
        <v>116.67122550637659</v>
      </c>
    </row>
    <row r="32" spans="1:18" ht="54" customHeight="1" x14ac:dyDescent="0.2">
      <c r="A32" s="19" t="s">
        <v>89</v>
      </c>
      <c r="B32" s="29">
        <f>3010*CHOOSE(Scenarios!B8,Scenarios!B4,Scenarios!C4,Scenarios!D4)</f>
        <v>3010</v>
      </c>
      <c r="C32" s="29">
        <v>10</v>
      </c>
      <c r="E32" s="70" t="s">
        <v>110</v>
      </c>
      <c r="F32" s="29">
        <v>1830</v>
      </c>
      <c r="G32" s="29">
        <v>1800</v>
      </c>
      <c r="L32" s="106" t="s">
        <v>37</v>
      </c>
      <c r="M32" s="107">
        <f>'Стоимость производства'!H34</f>
        <v>117.49530382595651</v>
      </c>
    </row>
    <row r="33" spans="1:13" ht="38" customHeight="1" x14ac:dyDescent="0.2">
      <c r="A33" s="19" t="s">
        <v>91</v>
      </c>
      <c r="B33" s="29">
        <f>749*CHOOSE(Scenarios!B8,Scenarios!B4,Scenarios!C4,Scenarios!D4)</f>
        <v>749</v>
      </c>
      <c r="C33" s="29">
        <v>7</v>
      </c>
      <c r="E33" s="70" t="s">
        <v>101</v>
      </c>
      <c r="F33" s="29">
        <v>200</v>
      </c>
      <c r="G33" s="29">
        <v>200</v>
      </c>
      <c r="L33" s="106" t="s">
        <v>39</v>
      </c>
      <c r="M33" s="107">
        <f>'Стоимость производства'!H61</f>
        <v>98.683574643660918</v>
      </c>
    </row>
    <row r="34" spans="1:13" ht="33" customHeight="1" x14ac:dyDescent="0.2">
      <c r="A34" s="19" t="s">
        <v>92</v>
      </c>
      <c r="B34" s="29">
        <f>293*CHOOSE(Scenarios!B8,Scenarios!B4,Scenarios!C4,Scenarios!D4)</f>
        <v>293</v>
      </c>
      <c r="C34" s="29">
        <v>7</v>
      </c>
      <c r="E34" s="70" t="s">
        <v>102</v>
      </c>
      <c r="F34" s="29">
        <v>400</v>
      </c>
      <c r="G34" s="29">
        <v>400</v>
      </c>
      <c r="I34" s="1"/>
      <c r="J34" s="1"/>
    </row>
    <row r="35" spans="1:13" x14ac:dyDescent="0.2">
      <c r="A35" s="19" t="s">
        <v>95</v>
      </c>
      <c r="B35" s="29">
        <f>312*CHOOSE(Scenarios!B8,Scenarios!B4,Scenarios!C4,Scenarios!D4)</f>
        <v>312</v>
      </c>
      <c r="C35" s="29">
        <v>8</v>
      </c>
      <c r="E35" s="19" t="s">
        <v>103</v>
      </c>
      <c r="F35" s="29">
        <v>100</v>
      </c>
      <c r="G35" s="29">
        <v>100</v>
      </c>
      <c r="I35" s="2"/>
    </row>
    <row r="36" spans="1:13" x14ac:dyDescent="0.2">
      <c r="A36" s="19" t="s">
        <v>96</v>
      </c>
      <c r="B36" s="29">
        <f>3125*CHOOSE(Scenarios!B8,Scenarios!B4,Scenarios!C4,Scenarios!D4)</f>
        <v>3125</v>
      </c>
      <c r="C36" s="29">
        <v>6</v>
      </c>
      <c r="E36" s="19" t="s">
        <v>104</v>
      </c>
      <c r="F36" s="29">
        <v>50</v>
      </c>
      <c r="G36" s="29">
        <v>50</v>
      </c>
      <c r="I36" s="2"/>
    </row>
    <row r="37" spans="1:13" x14ac:dyDescent="0.2">
      <c r="A37" s="19" t="s">
        <v>90</v>
      </c>
      <c r="B37" s="29">
        <f>1050*CHOOSE(Scenarios!B8,Scenarios!B4,Scenarios!C4,Scenarios!D4)</f>
        <v>1050</v>
      </c>
      <c r="C37" s="29">
        <v>5</v>
      </c>
      <c r="E37" s="19" t="s">
        <v>105</v>
      </c>
      <c r="F37" s="29">
        <v>50</v>
      </c>
      <c r="G37" s="29">
        <v>50</v>
      </c>
      <c r="I37" s="2"/>
    </row>
    <row r="38" spans="1:13" ht="33" customHeight="1" x14ac:dyDescent="0.2">
      <c r="A38" s="19" t="s">
        <v>137</v>
      </c>
      <c r="B38" s="29">
        <f>45000*CHOOSE(Scenarios!B8,Scenarios!B4,Scenarios!C4,Scenarios!D4)</f>
        <v>45000</v>
      </c>
      <c r="C38" s="29">
        <v>20</v>
      </c>
      <c r="E38" s="70" t="s">
        <v>109</v>
      </c>
      <c r="F38" s="29">
        <v>1500</v>
      </c>
      <c r="G38" s="29">
        <v>1050</v>
      </c>
      <c r="I38" s="2"/>
    </row>
    <row r="39" spans="1:13" ht="33" customHeight="1" x14ac:dyDescent="0.2">
      <c r="A39" s="142" t="s">
        <v>138</v>
      </c>
      <c r="B39" s="29">
        <f>8000*CHOOSE(Scenarios!B8,Scenarios!B4,Scenarios!C4,Scenarios!D4)</f>
        <v>8000</v>
      </c>
      <c r="C39" s="29">
        <v>10</v>
      </c>
      <c r="E39" s="67" t="s">
        <v>120</v>
      </c>
      <c r="F39" s="67">
        <f>SUM(F31:F38)*CHOOSE(Scenarios!B8,Scenarios!B7,Scenarios!C7,Scenarios!D7)</f>
        <v>4630</v>
      </c>
      <c r="I39" s="2"/>
    </row>
    <row r="40" spans="1:13" ht="33" customHeight="1" x14ac:dyDescent="0.2">
      <c r="A40" s="19" t="s">
        <v>139</v>
      </c>
      <c r="B40" s="29">
        <f>7000*CHOOSE(Scenarios!B8,Scenarios!B4,Scenarios!C4,Scenarios!D4)</f>
        <v>7000</v>
      </c>
      <c r="C40" s="29">
        <v>20</v>
      </c>
      <c r="E40" s="67" t="s">
        <v>140</v>
      </c>
      <c r="F40" s="67">
        <f>SUM(G31:G38)*CHOOSE(Scenarios!B8,Scenarios!B7,Scenarios!C7,Scenarios!D7)</f>
        <v>4150</v>
      </c>
      <c r="I40" s="2"/>
    </row>
    <row r="41" spans="1:13" ht="33" customHeight="1" x14ac:dyDescent="0.2">
      <c r="A41" s="19" t="s">
        <v>142</v>
      </c>
      <c r="B41" s="29">
        <f>15000*CHOOSE(Scenarios!B8,Scenarios!B4,Scenarios!C4,Scenarios!D4)</f>
        <v>15000</v>
      </c>
      <c r="C41" s="143">
        <v>8</v>
      </c>
      <c r="E41" s="144"/>
      <c r="F41" s="144"/>
      <c r="I41" s="2"/>
    </row>
    <row r="42" spans="1:13" ht="32" customHeight="1" x14ac:dyDescent="0.2">
      <c r="A42" s="67" t="s">
        <v>55</v>
      </c>
      <c r="B42" s="67">
        <f>SUM(B31:B41)</f>
        <v>85049</v>
      </c>
      <c r="I42" s="2"/>
      <c r="K42" s="1"/>
    </row>
    <row r="43" spans="1:13" ht="17" x14ac:dyDescent="0.2">
      <c r="A43" s="68" t="s">
        <v>97</v>
      </c>
      <c r="B43" s="69">
        <f>(B31/C31+B32/C32+B33/C33+B34/C34+B35/C35+B36/C36+B37/C37+B38/C38+B39/C39+B40/C40 + B41/C41)/12</f>
        <v>553.80753968253964</v>
      </c>
      <c r="E43" s="1"/>
      <c r="G43" s="38"/>
      <c r="I43" s="2"/>
    </row>
    <row r="44" spans="1:13" x14ac:dyDescent="0.2">
      <c r="E44" s="1"/>
      <c r="I44" s="2"/>
    </row>
    <row r="45" spans="1:13" x14ac:dyDescent="0.2">
      <c r="E45" s="1"/>
      <c r="H45" s="83"/>
      <c r="I45" s="2"/>
    </row>
    <row r="46" spans="1:13" x14ac:dyDescent="0.2">
      <c r="E46" s="1"/>
      <c r="I46" s="104"/>
    </row>
    <row r="47" spans="1:13" x14ac:dyDescent="0.2">
      <c r="E47" s="1"/>
    </row>
    <row r="48" spans="1:13" x14ac:dyDescent="0.2">
      <c r="E48" s="1"/>
    </row>
    <row r="49" spans="5:8" x14ac:dyDescent="0.2">
      <c r="E49" s="1"/>
      <c r="G49" s="38"/>
    </row>
    <row r="50" spans="5:8" x14ac:dyDescent="0.2">
      <c r="E50" s="1"/>
      <c r="F50" s="1"/>
      <c r="G50" s="83"/>
    </row>
    <row r="51" spans="5:8" x14ac:dyDescent="0.2">
      <c r="E51" s="1"/>
      <c r="F51" s="1"/>
      <c r="G51" s="1"/>
      <c r="H51" s="1"/>
    </row>
    <row r="52" spans="5:8" x14ac:dyDescent="0.2">
      <c r="H52" s="83"/>
    </row>
  </sheetData>
  <scenarios current="0">
    <scenario name="Базовый" locked="1" count="13" user="Microsoft Office User" comment="Автор: Microsoft Office User , 07.03.2026_x000a_Автор изменений: Microsoft Office User , 07.03.2026">
      <inputCells r="M19" val="265,416666666667*1,05"/>
      <inputCells r="M20" val="238,333333333333"/>
      <inputCells r="M21" val="238,333333333333"/>
      <inputCells r="O19" val="281,666666666667"/>
      <inputCells r="O20" val="254,583333333333"/>
      <inputCells r="O21" val="243,75"/>
      <inputCells r="Q19" val="319,583333333333"/>
      <inputCells r="Q20" val="276,25"/>
      <inputCells r="Q21" val="270,833333333333"/>
      <inputCells r="F39" val="4630"/>
      <inputCells r="F40" val="4150"/>
      <inputCells r="B42" val="85049"/>
      <inputCells r="B43" val="553,80753968254"/>
    </scenario>
  </scenarios>
  <mergeCells count="31">
    <mergeCell ref="L29:M29"/>
    <mergeCell ref="A29:C29"/>
    <mergeCell ref="E29:G29"/>
    <mergeCell ref="A2:D2"/>
    <mergeCell ref="B3:D3"/>
    <mergeCell ref="B4:D4"/>
    <mergeCell ref="B5:D5"/>
    <mergeCell ref="A7:D7"/>
    <mergeCell ref="C24:C26"/>
    <mergeCell ref="B24:B26"/>
    <mergeCell ref="D24:D26"/>
    <mergeCell ref="A17:D17"/>
    <mergeCell ref="A24:A26"/>
    <mergeCell ref="B21:B23"/>
    <mergeCell ref="C21:C23"/>
    <mergeCell ref="H18:L18"/>
    <mergeCell ref="H21:L21"/>
    <mergeCell ref="F17:R17"/>
    <mergeCell ref="H20:L20"/>
    <mergeCell ref="B8:D8"/>
    <mergeCell ref="D21:D23"/>
    <mergeCell ref="B9:D9"/>
    <mergeCell ref="B10:D10"/>
    <mergeCell ref="B11:D11"/>
    <mergeCell ref="B13:D13"/>
    <mergeCell ref="B14:D14"/>
    <mergeCell ref="B15:D15"/>
    <mergeCell ref="B12:D12"/>
    <mergeCell ref="A18:D19"/>
    <mergeCell ref="A21:A23"/>
    <mergeCell ref="H19:L19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15CD-7A53-EA43-A550-9CF2574B2559}">
  <sheetPr codeName="Лист3">
    <tabColor theme="1"/>
  </sheetPr>
  <dimension ref="D7:AG162"/>
  <sheetViews>
    <sheetView topLeftCell="R3" zoomScale="92" zoomScaleNormal="107" workbookViewId="0">
      <selection activeCell="Y9" sqref="Y9:Y13"/>
    </sheetView>
  </sheetViews>
  <sheetFormatPr baseColWidth="10" defaultRowHeight="16" x14ac:dyDescent="0.2"/>
  <cols>
    <col min="4" max="4" width="24.1640625" customWidth="1"/>
    <col min="5" max="5" width="31.6640625" customWidth="1"/>
    <col min="6" max="6" width="12.6640625" customWidth="1"/>
    <col min="7" max="7" width="13.1640625" customWidth="1"/>
    <col min="8" max="8" width="15.1640625" customWidth="1"/>
    <col min="9" max="9" width="16.6640625" customWidth="1"/>
    <col min="10" max="10" width="19.83203125" customWidth="1"/>
    <col min="11" max="11" width="18" customWidth="1"/>
    <col min="12" max="12" width="21.5" customWidth="1"/>
    <col min="13" max="13" width="13.5" customWidth="1"/>
    <col min="14" max="17" width="12.6640625" bestFit="1" customWidth="1"/>
    <col min="18" max="18" width="14.33203125" customWidth="1"/>
    <col min="21" max="21" width="14.5" customWidth="1"/>
    <col min="22" max="22" width="27.1640625" customWidth="1"/>
    <col min="23" max="23" width="19" customWidth="1"/>
    <col min="24" max="24" width="23.33203125" customWidth="1"/>
    <col min="25" max="25" width="12.6640625" customWidth="1"/>
    <col min="26" max="26" width="31.33203125" customWidth="1"/>
    <col min="29" max="29" width="13.6640625" customWidth="1"/>
    <col min="30" max="30" width="19.5" customWidth="1"/>
    <col min="31" max="31" width="15.5" customWidth="1"/>
  </cols>
  <sheetData>
    <row r="7" spans="4:30" ht="41" customHeight="1" x14ac:dyDescent="0.3">
      <c r="D7" s="192" t="s">
        <v>73</v>
      </c>
      <c r="E7" s="193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78"/>
      <c r="Q7" s="178"/>
      <c r="R7" s="179"/>
    </row>
    <row r="8" spans="4:30" ht="21" x14ac:dyDescent="0.25">
      <c r="D8" s="27"/>
      <c r="E8" s="28"/>
      <c r="F8" s="126">
        <v>46023</v>
      </c>
      <c r="G8" s="127">
        <v>46054</v>
      </c>
      <c r="H8" s="127">
        <v>46082</v>
      </c>
      <c r="I8" s="127">
        <v>46113</v>
      </c>
      <c r="J8" s="127">
        <v>46143</v>
      </c>
      <c r="K8" s="127">
        <v>46174</v>
      </c>
      <c r="L8" s="127">
        <v>46204</v>
      </c>
      <c r="M8" s="127">
        <v>46235</v>
      </c>
      <c r="N8" s="127">
        <v>46266</v>
      </c>
      <c r="O8" s="127">
        <v>46296</v>
      </c>
      <c r="P8" s="127">
        <v>46327</v>
      </c>
      <c r="Q8" s="127">
        <v>46357</v>
      </c>
      <c r="R8" s="67" t="s">
        <v>7</v>
      </c>
      <c r="U8" s="103" t="s">
        <v>115</v>
      </c>
      <c r="V8" s="103" t="s">
        <v>118</v>
      </c>
      <c r="W8" s="103" t="s">
        <v>117</v>
      </c>
      <c r="X8" s="103" t="s">
        <v>119</v>
      </c>
      <c r="Y8" s="103" t="s">
        <v>116</v>
      </c>
      <c r="Z8" s="103" t="s">
        <v>75</v>
      </c>
      <c r="AA8" s="103" t="s">
        <v>125</v>
      </c>
      <c r="AB8" s="145" t="s">
        <v>147</v>
      </c>
      <c r="AC8" s="6" t="s">
        <v>178</v>
      </c>
      <c r="AD8" s="6" t="s">
        <v>179</v>
      </c>
    </row>
    <row r="9" spans="4:30" x14ac:dyDescent="0.2">
      <c r="D9" s="196" t="s">
        <v>108</v>
      </c>
      <c r="E9" s="72" t="s">
        <v>38</v>
      </c>
      <c r="F9" s="121">
        <f>12000*CHOOSE(Scenarios!$B$8,Scenarios!$B$2,Scenarios!$C$2,Scenarios!$D$2)</f>
        <v>12000</v>
      </c>
      <c r="G9" s="121">
        <f>18000*CHOOSE(Scenarios!$B$8,Scenarios!$B$2,Scenarios!$C$2,Scenarios!$D$2)</f>
        <v>18000</v>
      </c>
      <c r="H9" s="121">
        <f>24000*CHOOSE(Scenarios!$B$8,Scenarios!$B$2,Scenarios!$C$2,Scenarios!$D$2)</f>
        <v>24000</v>
      </c>
      <c r="I9" s="121">
        <f>30000*CHOOSE(Scenarios!$B$8,Scenarios!$B$2,Scenarios!$C$2,Scenarios!$D$2)</f>
        <v>30000</v>
      </c>
      <c r="J9" s="121">
        <f>33000*CHOOSE(Scenarios!$B$8,Scenarios!$B$2,Scenarios!$C$2,Scenarios!$D$2)</f>
        <v>33000</v>
      </c>
      <c r="K9" s="121">
        <f>36000*CHOOSE(Scenarios!$B$8,Scenarios!$B$2,Scenarios!$C$2,Scenarios!$D$2)</f>
        <v>36000</v>
      </c>
      <c r="L9" s="121">
        <f>36000*CHOOSE(Scenarios!$B$8,Scenarios!$B$2,Scenarios!$C$2,Scenarios!$D$2)</f>
        <v>36000</v>
      </c>
      <c r="M9" s="121">
        <f>39000*CHOOSE(Scenarios!$B$8,Scenarios!$B$2,Scenarios!$C$2,Scenarios!$D$2)</f>
        <v>39000</v>
      </c>
      <c r="N9" s="121">
        <f>39000*CHOOSE(Scenarios!$B$8,Scenarios!$B$2,Scenarios!$C$2,Scenarios!$D$2)</f>
        <v>39000</v>
      </c>
      <c r="O9" s="121">
        <f>39000*CHOOSE(Scenarios!$B$8,Scenarios!$B$2,Scenarios!$C$2,Scenarios!$D$2)</f>
        <v>39000</v>
      </c>
      <c r="P9" s="121">
        <f>42000*CHOOSE(Scenarios!$B$8,Scenarios!$B$2,Scenarios!$C$2,Scenarios!$D$2)</f>
        <v>42000</v>
      </c>
      <c r="Q9" s="121">
        <f>42000*CHOOSE(Scenarios!$B$8,Scenarios!$B$2,Scenarios!$C$2,Scenarios!$D$2)</f>
        <v>42000</v>
      </c>
      <c r="R9" s="124">
        <f>SUM(F9:Q9)</f>
        <v>390000</v>
      </c>
      <c r="U9" s="14">
        <v>2027</v>
      </c>
      <c r="V9" s="128">
        <f>SUM(R9:R11)</f>
        <v>650000</v>
      </c>
      <c r="W9" s="9">
        <f>SUM(R12:R14)</f>
        <v>165479.16666666669</v>
      </c>
      <c r="X9" s="9">
        <f>R27</f>
        <v>20955.946311250438</v>
      </c>
      <c r="Y9" s="34">
        <f>X9/W9</f>
        <v>0.1266379734281784</v>
      </c>
      <c r="Z9" s="9">
        <f>SUM(R22:R24)</f>
        <v>91262.753319704934</v>
      </c>
      <c r="AA9" s="43">
        <f>(SUM(Z9:Z11)-(R18*3)) / (R18*3)</f>
        <v>4.5728312799681436</v>
      </c>
      <c r="AB9" s="109">
        <f>(SUM(X9:X13)-Assumptions!B42)/(Assumptions!B42)</f>
        <v>2.0806536448814921</v>
      </c>
      <c r="AC9" s="5">
        <f>$R$20/(Assumptions!$M$19-'Стоимость производства'!$H$12)</f>
        <v>373.52405268090058</v>
      </c>
      <c r="AD9" s="6">
        <f>AC9*0.6+AC10*0.25+AC11*0.15</f>
        <v>398.73955729859449</v>
      </c>
    </row>
    <row r="10" spans="4:30" x14ac:dyDescent="0.2">
      <c r="D10" s="196"/>
      <c r="E10" s="72" t="s">
        <v>37</v>
      </c>
      <c r="F10" s="121">
        <f>5000*CHOOSE(Scenarios!$B$8,Scenarios!$B$2,Scenarios!$C$2,Scenarios!$D$2)</f>
        <v>5000</v>
      </c>
      <c r="G10" s="121">
        <f>7500*CHOOSE(Scenarios!$B$8,Scenarios!$B$2,Scenarios!$C$2,Scenarios!$D$2)</f>
        <v>7500</v>
      </c>
      <c r="H10" s="121">
        <f>10000*CHOOSE(Scenarios!$B$8,Scenarios!$B$2,Scenarios!$C$2,Scenarios!$D$2)</f>
        <v>10000</v>
      </c>
      <c r="I10" s="121">
        <f>12500*CHOOSE(Scenarios!$B$8,Scenarios!$B$2,Scenarios!$C$2,Scenarios!$D$2)</f>
        <v>12500</v>
      </c>
      <c r="J10" s="121">
        <f>13750*CHOOSE(Scenarios!$B$8,Scenarios!$B$2,Scenarios!$C$2,Scenarios!$D$2)</f>
        <v>13750</v>
      </c>
      <c r="K10" s="121">
        <f>15000*CHOOSE(Scenarios!$B$8,Scenarios!$B$2,Scenarios!$C$2,Scenarios!$D$2)</f>
        <v>15000</v>
      </c>
      <c r="L10" s="121">
        <f>15000*CHOOSE(Scenarios!$B$8,Scenarios!$B$2,Scenarios!$C$2,Scenarios!$D$2)</f>
        <v>15000</v>
      </c>
      <c r="M10" s="121">
        <f>16250*CHOOSE(Scenarios!$B$8,Scenarios!$B$2,Scenarios!$C$2,Scenarios!$D$2)</f>
        <v>16250</v>
      </c>
      <c r="N10" s="121">
        <f>16250*CHOOSE(Scenarios!$B$8,Scenarios!$B$2,Scenarios!$C$2,Scenarios!$D$2)</f>
        <v>16250</v>
      </c>
      <c r="O10" s="121">
        <f>16250*CHOOSE(Scenarios!$B$8,Scenarios!$B$2,Scenarios!$C$2,Scenarios!$D$2)</f>
        <v>16250</v>
      </c>
      <c r="P10" s="121">
        <f>17500*CHOOSE(Scenarios!$B$8,Scenarios!$B$2,Scenarios!$C$2,Scenarios!$D$2)</f>
        <v>17500</v>
      </c>
      <c r="Q10" s="121">
        <f>17500*CHOOSE(Scenarios!$B$8,Scenarios!$B$2,Scenarios!$C$2,Scenarios!$D$2)</f>
        <v>17500</v>
      </c>
      <c r="R10" s="124">
        <f t="shared" ref="R10:R11" si="0">SUM(F10:Q10)</f>
        <v>162500</v>
      </c>
      <c r="U10" s="22">
        <v>2028</v>
      </c>
      <c r="V10" s="128">
        <f>SUM(R35:R37)</f>
        <v>915500</v>
      </c>
      <c r="W10" s="129">
        <f>SUM(R38:R40)</f>
        <v>246228.125</v>
      </c>
      <c r="X10" s="129">
        <f>R53</f>
        <v>52495.253805467037</v>
      </c>
      <c r="Y10" s="34">
        <f t="shared" ref="Y10:Y13" si="1">X10/W10</f>
        <v>0.21319763453288301</v>
      </c>
      <c r="Z10" s="129">
        <f>SUM(R48:R50)</f>
        <v>135532.9622168132</v>
      </c>
      <c r="AC10" s="5">
        <f>$R$20/(Assumptions!$M$20-'Стоимость производства'!$H$34)</f>
        <v>459.78902690239761</v>
      </c>
    </row>
    <row r="11" spans="4:30" x14ac:dyDescent="0.2">
      <c r="D11" s="196"/>
      <c r="E11" s="72" t="s">
        <v>39</v>
      </c>
      <c r="F11" s="121">
        <f>3000*CHOOSE(Scenarios!$B$8,Scenarios!$B$2,Scenarios!$C$2,Scenarios!$D$2)</f>
        <v>3000</v>
      </c>
      <c r="G11" s="121">
        <f>4500*CHOOSE(Scenarios!$B$8,Scenarios!$B$2,Scenarios!$C$2,Scenarios!$D$2)</f>
        <v>4500</v>
      </c>
      <c r="H11" s="121">
        <f>6000*CHOOSE(Scenarios!$B$8,Scenarios!$B$2,Scenarios!$C$2,Scenarios!$D$2)</f>
        <v>6000</v>
      </c>
      <c r="I11" s="121">
        <f>7500*CHOOSE(Scenarios!$B$8,Scenarios!$B$2,Scenarios!$C$2,Scenarios!$D$2)</f>
        <v>7500</v>
      </c>
      <c r="J11" s="121">
        <f>8250*CHOOSE(Scenarios!$B$8,Scenarios!$B$2,Scenarios!$C$2,Scenarios!$D$2)</f>
        <v>8250</v>
      </c>
      <c r="K11" s="121">
        <f>9000*CHOOSE(Scenarios!$B$8,Scenarios!$B$2,Scenarios!$C$2,Scenarios!$D$2)</f>
        <v>9000</v>
      </c>
      <c r="L11" s="121">
        <f>9000*CHOOSE(Scenarios!$B$8,Scenarios!$B$2,Scenarios!$C$2,Scenarios!$D$2)</f>
        <v>9000</v>
      </c>
      <c r="M11" s="121">
        <f>9750*CHOOSE(Scenarios!$B$8,Scenarios!$B$2,Scenarios!$C$2,Scenarios!$D$2)</f>
        <v>9750</v>
      </c>
      <c r="N11" s="121">
        <f>9750*CHOOSE(Scenarios!$B$8,Scenarios!$B$2,Scenarios!$C$2,Scenarios!$D$2)</f>
        <v>9750</v>
      </c>
      <c r="O11" s="121">
        <f>9750*CHOOSE(Scenarios!$B$8,Scenarios!$B$2,Scenarios!$C$2,Scenarios!$D$2)</f>
        <v>9750</v>
      </c>
      <c r="P11" s="121">
        <f>10500*CHOOSE(Scenarios!$B$8,Scenarios!$B$2,Scenarios!$C$2,Scenarios!$D$2)</f>
        <v>10500</v>
      </c>
      <c r="Q11" s="121">
        <f>10500*CHOOSE(Scenarios!$B$8,Scenarios!$B$2,Scenarios!$C$2,Scenarios!$D$2)</f>
        <v>10500</v>
      </c>
      <c r="R11" s="124">
        <f t="shared" si="0"/>
        <v>97500</v>
      </c>
      <c r="U11" s="22">
        <v>2029</v>
      </c>
      <c r="V11" s="128">
        <f>SUM(R61:R63)</f>
        <v>996000</v>
      </c>
      <c r="W11" s="9">
        <f>SUM(R64:R66)</f>
        <v>268108.75</v>
      </c>
      <c r="X11" s="9">
        <f>R79</f>
        <v>53452.127033694458</v>
      </c>
      <c r="Y11" s="34">
        <f t="shared" si="1"/>
        <v>0.19936733520891972</v>
      </c>
      <c r="Z11" s="9">
        <f>SUM(R74:R76)</f>
        <v>140342.40918778311</v>
      </c>
      <c r="AC11" s="5">
        <f>$R$20/(Assumptions!$M$21-'Стоимость производства'!$H$61)</f>
        <v>397.85245976303185</v>
      </c>
    </row>
    <row r="12" spans="4:30" x14ac:dyDescent="0.2">
      <c r="D12" s="195" t="s">
        <v>107</v>
      </c>
      <c r="E12" s="72" t="s">
        <v>38</v>
      </c>
      <c r="F12" s="10">
        <f>F9/1000*Assumptions!$M$19</f>
        <v>3185</v>
      </c>
      <c r="G12" s="10">
        <f>G9/1000*Assumptions!$M$19</f>
        <v>4777.5</v>
      </c>
      <c r="H12" s="10">
        <f>H9/1000*Assumptions!$M$19</f>
        <v>6370</v>
      </c>
      <c r="I12" s="10">
        <f>I9/1000*Assumptions!$M$19</f>
        <v>7962.5000000000009</v>
      </c>
      <c r="J12" s="10">
        <f>J9/1000*Assumptions!$M$19</f>
        <v>8758.75</v>
      </c>
      <c r="K12" s="10">
        <f>K9/1000*Assumptions!$M$19</f>
        <v>9555</v>
      </c>
      <c r="L12" s="10">
        <f>L9/1000*Assumptions!$M$19</f>
        <v>9555</v>
      </c>
      <c r="M12" s="10">
        <f>M9/1000*Assumptions!$M$19</f>
        <v>10351.25</v>
      </c>
      <c r="N12" s="10">
        <f>N9/1000*Assumptions!$M$19</f>
        <v>10351.25</v>
      </c>
      <c r="O12" s="10">
        <f>O9/1000*Assumptions!$M$19</f>
        <v>10351.25</v>
      </c>
      <c r="P12" s="10">
        <f>P9/1000*Assumptions!$M$19</f>
        <v>11147.5</v>
      </c>
      <c r="Q12" s="10">
        <f>Q9/1000*Assumptions!$M$19</f>
        <v>11147.5</v>
      </c>
      <c r="R12" s="69">
        <f>SUM(F12:Q12)</f>
        <v>103512.5</v>
      </c>
      <c r="U12" s="22">
        <v>2030</v>
      </c>
      <c r="V12" s="128">
        <f>SUM(R87:R89)</f>
        <v>999000</v>
      </c>
      <c r="W12" s="129">
        <f>SUM(R90:R92)</f>
        <v>301161.25</v>
      </c>
      <c r="X12" s="129">
        <f>R105</f>
        <v>69370.138060429876</v>
      </c>
      <c r="Y12" s="34">
        <f t="shared" si="1"/>
        <v>0.23034217735658183</v>
      </c>
      <c r="Z12" s="129">
        <f>SUM(R100:R102)</f>
        <v>165312.056850097</v>
      </c>
    </row>
    <row r="13" spans="4:30" x14ac:dyDescent="0.2">
      <c r="D13" s="195"/>
      <c r="E13" s="72" t="s">
        <v>37</v>
      </c>
      <c r="F13" s="10">
        <f>F10/1000*Assumptions!$M$20</f>
        <v>1191.6666666666667</v>
      </c>
      <c r="G13" s="10">
        <f>G10/1000*Assumptions!$M$20</f>
        <v>1787.5</v>
      </c>
      <c r="H13" s="10">
        <f>H10/1000*Assumptions!$M$20</f>
        <v>2383.3333333333335</v>
      </c>
      <c r="I13" s="10">
        <f>I10/1000*Assumptions!$M$20</f>
        <v>2979.166666666667</v>
      </c>
      <c r="J13" s="10">
        <f>J10/1000*Assumptions!$M$20</f>
        <v>3277.0833333333335</v>
      </c>
      <c r="K13" s="10">
        <f>K10/1000*Assumptions!$M$20</f>
        <v>3575</v>
      </c>
      <c r="L13" s="10">
        <f>L10/1000*Assumptions!$M$20</f>
        <v>3575</v>
      </c>
      <c r="M13" s="10">
        <f>M10/1000*Assumptions!$M$20</f>
        <v>3872.916666666667</v>
      </c>
      <c r="N13" s="10">
        <f>N10/1000*Assumptions!$M$20</f>
        <v>3872.916666666667</v>
      </c>
      <c r="O13" s="10">
        <f>O10/1000*Assumptions!$M$20</f>
        <v>3872.916666666667</v>
      </c>
      <c r="P13" s="10">
        <f>P10/1000*Assumptions!$M$20</f>
        <v>4170.8333333333339</v>
      </c>
      <c r="Q13" s="10">
        <f>Q10/1000*Assumptions!$M$20</f>
        <v>4170.8333333333339</v>
      </c>
      <c r="R13" s="69">
        <f t="shared" ref="R13:R14" si="2">SUM(F13:Q13)</f>
        <v>38729.166666666672</v>
      </c>
      <c r="U13" s="22">
        <v>2031</v>
      </c>
      <c r="V13" s="128">
        <f>SUM(R113:R115)</f>
        <v>999000</v>
      </c>
      <c r="W13" s="129">
        <f>SUM(R116:R118)</f>
        <v>301161.25</v>
      </c>
      <c r="X13" s="129">
        <f>R131</f>
        <v>65733.046632684229</v>
      </c>
      <c r="Y13" s="34">
        <f t="shared" si="1"/>
        <v>0.21826528689426089</v>
      </c>
      <c r="Z13" s="129">
        <f>SUM(R126:R128)</f>
        <v>157161.10526110278</v>
      </c>
    </row>
    <row r="14" spans="4:30" x14ac:dyDescent="0.2">
      <c r="D14" s="195"/>
      <c r="E14" s="72" t="s">
        <v>39</v>
      </c>
      <c r="F14" s="10">
        <f>F11/1000*Assumptions!$M$21</f>
        <v>715</v>
      </c>
      <c r="G14" s="10">
        <f>G11/1000*Assumptions!$M$21</f>
        <v>1072.5</v>
      </c>
      <c r="H14" s="10">
        <f>H11/1000*Assumptions!$M$21</f>
        <v>1430</v>
      </c>
      <c r="I14" s="10">
        <f>I11/1000*Assumptions!$M$21</f>
        <v>1787.5</v>
      </c>
      <c r="J14" s="10">
        <f>J11/1000*Assumptions!$M$21</f>
        <v>1966.25</v>
      </c>
      <c r="K14" s="10">
        <f>K11/1000*Assumptions!$M$21</f>
        <v>2145</v>
      </c>
      <c r="L14" s="10">
        <f>L11/1000*Assumptions!$M$21</f>
        <v>2145</v>
      </c>
      <c r="M14" s="10">
        <f>M11/1000*Assumptions!$M$21</f>
        <v>2323.75</v>
      </c>
      <c r="N14" s="10">
        <f>N11/1000*Assumptions!$M$21</f>
        <v>2323.75</v>
      </c>
      <c r="O14" s="10">
        <f>O11/1000*Assumptions!$M$21</f>
        <v>2323.75</v>
      </c>
      <c r="P14" s="10">
        <f>P11/1000*Assumptions!$M$21</f>
        <v>2502.5</v>
      </c>
      <c r="Q14" s="10">
        <f>Q11/1000*Assumptions!$M$21</f>
        <v>2502.5</v>
      </c>
      <c r="R14" s="69">
        <f t="shared" si="2"/>
        <v>23237.5</v>
      </c>
    </row>
    <row r="15" spans="4:30" ht="15" customHeight="1" x14ac:dyDescent="0.2">
      <c r="D15" s="195" t="s">
        <v>106</v>
      </c>
      <c r="E15" s="72" t="s">
        <v>38</v>
      </c>
      <c r="F15" s="119">
        <f>(F9/1000) * 'Стоимость производства'!$H$12</f>
        <v>1400.0547060765191</v>
      </c>
      <c r="G15" s="119">
        <f>(G9/1000) * 'Стоимость производства'!$H$12</f>
        <v>2100.0820591147785</v>
      </c>
      <c r="H15" s="119">
        <f>(H9/1000) * 'Стоимость производства'!$H$12</f>
        <v>2800.1094121530382</v>
      </c>
      <c r="I15" s="119">
        <f>(I9/1000) * 'Стоимость производства'!$H$12</f>
        <v>3500.1367651912974</v>
      </c>
      <c r="J15" s="119">
        <f>(J9/1000) * 'Стоимость производства'!$H$12</f>
        <v>3850.1504417104275</v>
      </c>
      <c r="K15" s="119">
        <f>(K9/1000) * 'Стоимость производства'!$H$12</f>
        <v>4200.1641182295571</v>
      </c>
      <c r="L15" s="119">
        <f>(L9/1000) * 'Стоимость производства'!$H$12</f>
        <v>4200.1641182295571</v>
      </c>
      <c r="M15" s="119">
        <f>(M9/1000) * 'Стоимость производства'!$H$12</f>
        <v>4550.1777947486871</v>
      </c>
      <c r="N15" s="119">
        <f>(N9/1000) * 'Стоимость производства'!$H$12</f>
        <v>4550.1777947486871</v>
      </c>
      <c r="O15" s="119">
        <f>(O9/1000) * 'Стоимость производства'!$H$12</f>
        <v>4550.1777947486871</v>
      </c>
      <c r="P15" s="119">
        <f>(P9/1000) * 'Стоимость производства'!$H$12</f>
        <v>4900.1914712678163</v>
      </c>
      <c r="Q15" s="119">
        <f>(Q9/1000) * 'Стоимость производства'!$H$12</f>
        <v>4900.1914712678163</v>
      </c>
      <c r="R15" s="69">
        <f>SUM(F15:Q15)</f>
        <v>45501.777947486873</v>
      </c>
    </row>
    <row r="16" spans="4:30" ht="14" customHeight="1" x14ac:dyDescent="0.2">
      <c r="D16" s="195"/>
      <c r="E16" s="72" t="s">
        <v>37</v>
      </c>
      <c r="F16" s="122">
        <f>F10/1000 * 'Стоимость производства'!$H$34</f>
        <v>587.47651912978256</v>
      </c>
      <c r="G16" s="122">
        <f>G10/1000 * 'Стоимость производства'!$H$34</f>
        <v>881.2147786946739</v>
      </c>
      <c r="H16" s="122">
        <f>H10/1000 * 'Стоимость производства'!$H$34</f>
        <v>1174.9530382595651</v>
      </c>
      <c r="I16" s="122">
        <f>I10/1000 * 'Стоимость производства'!$H$34</f>
        <v>1468.6912978244563</v>
      </c>
      <c r="J16" s="122">
        <f>J10/1000 * 'Стоимость производства'!$H$34</f>
        <v>1615.5604276069021</v>
      </c>
      <c r="K16" s="122">
        <f>K10/1000 * 'Стоимость производства'!$H$34</f>
        <v>1762.4295573893478</v>
      </c>
      <c r="L16" s="122">
        <f>L10/1000 * 'Стоимость производства'!$H$34</f>
        <v>1762.4295573893478</v>
      </c>
      <c r="M16" s="122">
        <f>M10/1000 * 'Стоимость производства'!$H$34</f>
        <v>1909.2986871717933</v>
      </c>
      <c r="N16" s="122">
        <f>N10/1000 * 'Стоимость производства'!$H$34</f>
        <v>1909.2986871717933</v>
      </c>
      <c r="O16" s="122">
        <f>O10/1000 * 'Стоимость производства'!$H$34</f>
        <v>1909.2986871717933</v>
      </c>
      <c r="P16" s="122">
        <f>P10/1000 * 'Стоимость производства'!$H$34</f>
        <v>2056.1678169542388</v>
      </c>
      <c r="Q16" s="122">
        <f>Q10/1000 * 'Стоимость производства'!$H$34</f>
        <v>2056.1678169542388</v>
      </c>
      <c r="R16" s="125">
        <f>SUM(F16:Q16)</f>
        <v>19092.986871717931</v>
      </c>
    </row>
    <row r="17" spans="4:18" ht="14" customHeight="1" x14ac:dyDescent="0.2">
      <c r="D17" s="195"/>
      <c r="E17" s="73" t="s">
        <v>39</v>
      </c>
      <c r="F17" s="9">
        <f>('Стоимость производства'!$H$61)*'P&amp;L'!F11/1000</f>
        <v>296.05072393098277</v>
      </c>
      <c r="G17" s="9">
        <f>('Стоимость производства'!$H$61)*'P&amp;L'!G11/1000</f>
        <v>444.07608589647413</v>
      </c>
      <c r="H17" s="9">
        <f>('Стоимость производства'!$H$61)*'P&amp;L'!H11/1000</f>
        <v>592.10144786196554</v>
      </c>
      <c r="I17" s="9">
        <f>('Стоимость производства'!$H$61)*'P&amp;L'!I11/1000</f>
        <v>740.12680982745678</v>
      </c>
      <c r="J17" s="9">
        <f>('Стоимость производства'!$H$61)*'P&amp;L'!J11/1000</f>
        <v>814.13949081020257</v>
      </c>
      <c r="K17" s="9">
        <f>('Стоимость производства'!$H$61)*'P&amp;L'!K11/1000</f>
        <v>888.15217179294825</v>
      </c>
      <c r="L17" s="9">
        <f>('Стоимость производства'!$H$61)*'P&amp;L'!L11/1000</f>
        <v>888.15217179294825</v>
      </c>
      <c r="M17" s="9">
        <f>('Стоимость производства'!$H$61)*'P&amp;L'!M11/1000</f>
        <v>962.16485277569404</v>
      </c>
      <c r="N17" s="9">
        <f>('Стоимость производства'!$H$61)*'P&amp;L'!N11/1000</f>
        <v>962.16485277569404</v>
      </c>
      <c r="O17" s="9">
        <f>('Стоимость производства'!$H$61)*'P&amp;L'!O11/1000</f>
        <v>962.16485277569404</v>
      </c>
      <c r="P17" s="9">
        <f>('Стоимость производства'!$H$61)*'P&amp;L'!P11/1000</f>
        <v>1036.1775337584395</v>
      </c>
      <c r="Q17" s="9">
        <f>('Стоимость производства'!$H$61)*'P&amp;L'!Q11/1000</f>
        <v>1036.1775337584395</v>
      </c>
      <c r="R17" s="69">
        <f>SUM(F17:Q17)</f>
        <v>9621.6485277569409</v>
      </c>
    </row>
    <row r="18" spans="4:18" ht="42" customHeight="1" x14ac:dyDescent="0.2">
      <c r="D18" s="70" t="s">
        <v>126</v>
      </c>
      <c r="E18" s="7"/>
      <c r="F18" s="10">
        <f>Assumptions!$F$32</f>
        <v>1830</v>
      </c>
      <c r="G18" s="10">
        <f>Assumptions!$F$32</f>
        <v>1830</v>
      </c>
      <c r="H18" s="10">
        <f>Assumptions!$F$32</f>
        <v>1830</v>
      </c>
      <c r="I18" s="10">
        <f>Assumptions!$F$32</f>
        <v>1830</v>
      </c>
      <c r="J18" s="10">
        <f>Assumptions!$F$32</f>
        <v>1830</v>
      </c>
      <c r="K18" s="10">
        <f>Assumptions!$F$32</f>
        <v>1830</v>
      </c>
      <c r="L18" s="10">
        <f>Assumptions!$F$32</f>
        <v>1830</v>
      </c>
      <c r="M18" s="10">
        <f>Assumptions!$F$32</f>
        <v>1830</v>
      </c>
      <c r="N18" s="10">
        <f>Assumptions!$F$32</f>
        <v>1830</v>
      </c>
      <c r="O18" s="10">
        <f>Assumptions!$F$32</f>
        <v>1830</v>
      </c>
      <c r="P18" s="10">
        <f>Assumptions!$F$32</f>
        <v>1830</v>
      </c>
      <c r="Q18" s="10">
        <f>Assumptions!$F$32</f>
        <v>1830</v>
      </c>
      <c r="R18" s="67">
        <f>SUM(F18:Q18)</f>
        <v>21960</v>
      </c>
    </row>
    <row r="19" spans="4:18" x14ac:dyDescent="0.2">
      <c r="D19" s="19" t="s">
        <v>57</v>
      </c>
      <c r="E19" s="7"/>
      <c r="F19" s="9">
        <f>Assumptions!$B$43</f>
        <v>553.80753968253964</v>
      </c>
      <c r="G19" s="9">
        <f>Assumptions!$B$43</f>
        <v>553.80753968253964</v>
      </c>
      <c r="H19" s="9">
        <f>Assumptions!$B$43</f>
        <v>553.80753968253964</v>
      </c>
      <c r="I19" s="9">
        <f>Assumptions!$B$43</f>
        <v>553.80753968253964</v>
      </c>
      <c r="J19" s="9">
        <f>Assumptions!$B$43</f>
        <v>553.80753968253964</v>
      </c>
      <c r="K19" s="9">
        <f>Assumptions!$B$43</f>
        <v>553.80753968253964</v>
      </c>
      <c r="L19" s="9">
        <f>Assumptions!$B$43</f>
        <v>553.80753968253964</v>
      </c>
      <c r="M19" s="9">
        <f>Assumptions!$B$43</f>
        <v>553.80753968253964</v>
      </c>
      <c r="N19" s="9">
        <f>Assumptions!$B$43</f>
        <v>553.80753968253964</v>
      </c>
      <c r="O19" s="9">
        <f>Assumptions!$B$43</f>
        <v>553.80753968253964</v>
      </c>
      <c r="P19" s="9">
        <f>Assumptions!$B$43</f>
        <v>553.80753968253964</v>
      </c>
      <c r="Q19" s="9">
        <f>Assumptions!$B$43</f>
        <v>553.80753968253964</v>
      </c>
      <c r="R19" s="69">
        <f>Q19*12</f>
        <v>6645.6904761904752</v>
      </c>
    </row>
    <row r="20" spans="4:18" x14ac:dyDescent="0.2">
      <c r="D20" s="19" t="s">
        <v>83</v>
      </c>
      <c r="E20" s="71"/>
      <c r="F20" s="10">
        <f>Assumptions!$F$39</f>
        <v>4630</v>
      </c>
      <c r="G20" s="10">
        <f>Assumptions!$F$39</f>
        <v>4630</v>
      </c>
      <c r="H20" s="10">
        <f>Assumptions!$F$39</f>
        <v>4630</v>
      </c>
      <c r="I20" s="10">
        <f>Assumptions!$F$39</f>
        <v>4630</v>
      </c>
      <c r="J20" s="10">
        <f>Assumptions!$F$39</f>
        <v>4630</v>
      </c>
      <c r="K20" s="10">
        <f>Assumptions!$F$39</f>
        <v>4630</v>
      </c>
      <c r="L20" s="10">
        <f>Assumptions!$F$39</f>
        <v>4630</v>
      </c>
      <c r="M20" s="10">
        <f>Assumptions!$F$39</f>
        <v>4630</v>
      </c>
      <c r="N20" s="10">
        <f>Assumptions!$F$39</f>
        <v>4630</v>
      </c>
      <c r="O20" s="10">
        <f>Assumptions!$F$39</f>
        <v>4630</v>
      </c>
      <c r="P20" s="10">
        <f>Assumptions!$F$39</f>
        <v>4630</v>
      </c>
      <c r="Q20" s="10">
        <f>Assumptions!$F$39</f>
        <v>4630</v>
      </c>
      <c r="R20" s="69">
        <f>SUM(F20:Q20)</f>
        <v>55560</v>
      </c>
    </row>
    <row r="21" spans="4:18" x14ac:dyDescent="0.2">
      <c r="D21" s="19" t="s">
        <v>74</v>
      </c>
      <c r="E21" s="71"/>
      <c r="F21" s="9">
        <f>SUM(F22:F24) - F20 - F19</f>
        <v>-2375.7228221531573</v>
      </c>
      <c r="G21" s="9">
        <f t="shared" ref="G21:Q21" si="3">SUM(G22:G24) - G20 - G19</f>
        <v>-971.68046338846659</v>
      </c>
      <c r="H21" s="9">
        <f t="shared" si="3"/>
        <v>432.36189537622533</v>
      </c>
      <c r="I21" s="9">
        <f t="shared" si="3"/>
        <v>1836.4042541409171</v>
      </c>
      <c r="J21" s="9">
        <f t="shared" si="3"/>
        <v>2538.4254335232608</v>
      </c>
      <c r="K21" s="9">
        <f t="shared" si="3"/>
        <v>3240.4466129056063</v>
      </c>
      <c r="L21" s="9">
        <f t="shared" si="3"/>
        <v>3240.4466129056063</v>
      </c>
      <c r="M21" s="9">
        <f t="shared" si="3"/>
        <v>3942.4677922879537</v>
      </c>
      <c r="N21" s="9">
        <f t="shared" si="3"/>
        <v>3942.4677922879537</v>
      </c>
      <c r="O21" s="9">
        <f t="shared" si="3"/>
        <v>3942.4677922879537</v>
      </c>
      <c r="P21" s="9">
        <f t="shared" si="3"/>
        <v>4644.488971670301</v>
      </c>
      <c r="Q21" s="9">
        <f t="shared" si="3"/>
        <v>4644.488971670301</v>
      </c>
      <c r="R21" s="69">
        <f>SUM(R22:R24) - R20 - R19</f>
        <v>29057.062843514461</v>
      </c>
    </row>
    <row r="22" spans="4:18" x14ac:dyDescent="0.2">
      <c r="D22" s="196" t="s">
        <v>75</v>
      </c>
      <c r="E22" s="8" t="s">
        <v>38</v>
      </c>
      <c r="F22" s="9">
        <f>F12-F15</f>
        <v>1784.9452939234809</v>
      </c>
      <c r="G22" s="9">
        <f t="shared" ref="G22:Q22" si="4">G12-G15</f>
        <v>2677.4179408852215</v>
      </c>
      <c r="H22" s="9">
        <f t="shared" si="4"/>
        <v>3569.8905878469618</v>
      </c>
      <c r="I22" s="9">
        <f t="shared" si="4"/>
        <v>4462.3632348087031</v>
      </c>
      <c r="J22" s="9">
        <f t="shared" si="4"/>
        <v>4908.5995582895721</v>
      </c>
      <c r="K22" s="9">
        <f t="shared" si="4"/>
        <v>5354.8358817704429</v>
      </c>
      <c r="L22" s="9">
        <f t="shared" si="4"/>
        <v>5354.8358817704429</v>
      </c>
      <c r="M22" s="9">
        <f t="shared" si="4"/>
        <v>5801.0722052513129</v>
      </c>
      <c r="N22" s="9">
        <f t="shared" si="4"/>
        <v>5801.0722052513129</v>
      </c>
      <c r="O22" s="9">
        <f t="shared" si="4"/>
        <v>5801.0722052513129</v>
      </c>
      <c r="P22" s="9">
        <f t="shared" si="4"/>
        <v>6247.3085287321837</v>
      </c>
      <c r="Q22" s="9">
        <f t="shared" si="4"/>
        <v>6247.3085287321837</v>
      </c>
      <c r="R22" s="69">
        <f t="shared" ref="R22:R27" si="5">SUM(F22:Q22)</f>
        <v>58010.722052513134</v>
      </c>
    </row>
    <row r="23" spans="4:18" x14ac:dyDescent="0.2">
      <c r="D23" s="196"/>
      <c r="E23" s="72" t="s">
        <v>37</v>
      </c>
      <c r="F23" s="9">
        <f t="shared" ref="F23:F24" si="6">F13-F16</f>
        <v>604.19014753688418</v>
      </c>
      <c r="G23" s="9">
        <f t="shared" ref="G23:Q23" si="7">G13-G16</f>
        <v>906.2852213053261</v>
      </c>
      <c r="H23" s="9">
        <f t="shared" si="7"/>
        <v>1208.3802950737684</v>
      </c>
      <c r="I23" s="9">
        <f t="shared" si="7"/>
        <v>1510.4753688422106</v>
      </c>
      <c r="J23" s="9">
        <f t="shared" si="7"/>
        <v>1661.5229057264314</v>
      </c>
      <c r="K23" s="9">
        <f t="shared" si="7"/>
        <v>1812.5704426106522</v>
      </c>
      <c r="L23" s="9">
        <f t="shared" si="7"/>
        <v>1812.5704426106522</v>
      </c>
      <c r="M23" s="9">
        <f t="shared" si="7"/>
        <v>1963.6179794948737</v>
      </c>
      <c r="N23" s="9">
        <f t="shared" si="7"/>
        <v>1963.6179794948737</v>
      </c>
      <c r="O23" s="9">
        <f t="shared" si="7"/>
        <v>1963.6179794948737</v>
      </c>
      <c r="P23" s="9">
        <f t="shared" si="7"/>
        <v>2114.6655163790952</v>
      </c>
      <c r="Q23" s="9">
        <f t="shared" si="7"/>
        <v>2114.6655163790952</v>
      </c>
      <c r="R23" s="69">
        <f t="shared" si="5"/>
        <v>19636.179794948737</v>
      </c>
    </row>
    <row r="24" spans="4:18" x14ac:dyDescent="0.2">
      <c r="D24" s="196"/>
      <c r="E24" s="72" t="s">
        <v>39</v>
      </c>
      <c r="F24" s="9">
        <f t="shared" si="6"/>
        <v>418.94927606901723</v>
      </c>
      <c r="G24" s="9">
        <f t="shared" ref="G24:Q24" si="8">G14-G17</f>
        <v>628.42391410352593</v>
      </c>
      <c r="H24" s="9">
        <f t="shared" si="8"/>
        <v>837.89855213803446</v>
      </c>
      <c r="I24" s="9">
        <f t="shared" si="8"/>
        <v>1047.3731901725432</v>
      </c>
      <c r="J24" s="9">
        <f t="shared" si="8"/>
        <v>1152.1105091897975</v>
      </c>
      <c r="K24" s="9">
        <f t="shared" si="8"/>
        <v>1256.8478282070519</v>
      </c>
      <c r="L24" s="9">
        <f t="shared" si="8"/>
        <v>1256.8478282070519</v>
      </c>
      <c r="M24" s="9">
        <f t="shared" si="8"/>
        <v>1361.585147224306</v>
      </c>
      <c r="N24" s="9">
        <f t="shared" si="8"/>
        <v>1361.585147224306</v>
      </c>
      <c r="O24" s="9">
        <f t="shared" si="8"/>
        <v>1361.585147224306</v>
      </c>
      <c r="P24" s="9">
        <f t="shared" si="8"/>
        <v>1466.3224662415605</v>
      </c>
      <c r="Q24" s="9">
        <f t="shared" si="8"/>
        <v>1466.3224662415605</v>
      </c>
      <c r="R24" s="69">
        <f t="shared" si="5"/>
        <v>13615.851472243059</v>
      </c>
    </row>
    <row r="25" spans="4:18" x14ac:dyDescent="0.2">
      <c r="D25" s="19" t="s">
        <v>85</v>
      </c>
      <c r="E25" s="74"/>
      <c r="F25" s="123">
        <f>F27+F19+F26</f>
        <v>-1821.9152824706175</v>
      </c>
      <c r="G25" s="123">
        <f t="shared" ref="G25:Q25" si="9">G27+G19+G26</f>
        <v>-417.87292370592695</v>
      </c>
      <c r="H25" s="123">
        <f t="shared" si="9"/>
        <v>986.16943505876498</v>
      </c>
      <c r="I25" s="123">
        <f t="shared" si="9"/>
        <v>2390.2117938234569</v>
      </c>
      <c r="J25" s="123">
        <f t="shared" si="9"/>
        <v>3092.2329732058006</v>
      </c>
      <c r="K25" s="123">
        <f t="shared" si="9"/>
        <v>3794.2541525881461</v>
      </c>
      <c r="L25" s="123">
        <f t="shared" si="9"/>
        <v>3794.2541525881461</v>
      </c>
      <c r="M25" s="123">
        <f t="shared" si="9"/>
        <v>4496.2753319704934</v>
      </c>
      <c r="N25" s="123">
        <f t="shared" si="9"/>
        <v>4496.2753319704934</v>
      </c>
      <c r="O25" s="123">
        <f t="shared" si="9"/>
        <v>4496.2753319704934</v>
      </c>
      <c r="P25" s="123">
        <f t="shared" si="9"/>
        <v>5198.2965113528408</v>
      </c>
      <c r="Q25" s="123">
        <f t="shared" si="9"/>
        <v>5198.2965113528408</v>
      </c>
      <c r="R25" s="69">
        <f t="shared" si="5"/>
        <v>35702.753319704934</v>
      </c>
    </row>
    <row r="26" spans="4:18" x14ac:dyDescent="0.2">
      <c r="D26" s="130" t="s">
        <v>31</v>
      </c>
      <c r="F26" s="10">
        <f>MAX(0,F21*Assumptions!$B$10)</f>
        <v>0</v>
      </c>
      <c r="G26" s="10">
        <f>MAX(0,G21*Assumptions!$B$10)</f>
        <v>0</v>
      </c>
      <c r="H26" s="10">
        <f>MAX(0,H21*Assumptions!$B$10)</f>
        <v>108.09047384405633</v>
      </c>
      <c r="I26" s="10">
        <f>MAX(0,I21*Assumptions!$B$10)</f>
        <v>459.10106353522929</v>
      </c>
      <c r="J26" s="10">
        <f>MAX(0,J21*Assumptions!$B$10)</f>
        <v>634.60635838081521</v>
      </c>
      <c r="K26" s="10">
        <f>MAX(0,K21*Assumptions!$B$10)</f>
        <v>810.11165322640159</v>
      </c>
      <c r="L26" s="10">
        <f>MAX(0,L21*Assumptions!$B$10)</f>
        <v>810.11165322640159</v>
      </c>
      <c r="M26" s="10">
        <f>MAX(0,M21*Assumptions!$B$10)</f>
        <v>985.61694807198842</v>
      </c>
      <c r="N26" s="10">
        <f>MAX(0,N21*Assumptions!$B$10)</f>
        <v>985.61694807198842</v>
      </c>
      <c r="O26" s="10">
        <f>MAX(0,O21*Assumptions!$B$10)</f>
        <v>985.61694807198842</v>
      </c>
      <c r="P26" s="10">
        <f>MAX(0,P21*Assumptions!$B$10)</f>
        <v>1161.1222429175752</v>
      </c>
      <c r="Q26" s="10">
        <f>MAX(0,Q21*Assumptions!$B$10)</f>
        <v>1161.1222429175752</v>
      </c>
      <c r="R26" s="67">
        <f t="shared" si="5"/>
        <v>8101.116532264019</v>
      </c>
    </row>
    <row r="27" spans="4:18" x14ac:dyDescent="0.2">
      <c r="D27" s="19" t="s">
        <v>86</v>
      </c>
      <c r="E27" s="76"/>
      <c r="F27" s="9">
        <f>F21-F26</f>
        <v>-2375.7228221531573</v>
      </c>
      <c r="G27" s="9">
        <f t="shared" ref="G27:Q27" si="10">G21-G26</f>
        <v>-971.68046338846659</v>
      </c>
      <c r="H27" s="9">
        <f t="shared" si="10"/>
        <v>324.27142153216903</v>
      </c>
      <c r="I27" s="9">
        <f t="shared" si="10"/>
        <v>1377.3031906056879</v>
      </c>
      <c r="J27" s="9">
        <f t="shared" si="10"/>
        <v>1903.8190751424456</v>
      </c>
      <c r="K27" s="9">
        <f t="shared" si="10"/>
        <v>2430.334959679205</v>
      </c>
      <c r="L27" s="9">
        <f t="shared" si="10"/>
        <v>2430.334959679205</v>
      </c>
      <c r="M27" s="9">
        <f t="shared" si="10"/>
        <v>2956.8508442159655</v>
      </c>
      <c r="N27" s="9">
        <f t="shared" si="10"/>
        <v>2956.8508442159655</v>
      </c>
      <c r="O27" s="9">
        <f t="shared" si="10"/>
        <v>2956.8508442159655</v>
      </c>
      <c r="P27" s="9">
        <f t="shared" si="10"/>
        <v>3483.366728752726</v>
      </c>
      <c r="Q27" s="9">
        <f t="shared" si="10"/>
        <v>3483.366728752726</v>
      </c>
      <c r="R27" s="69">
        <f t="shared" si="5"/>
        <v>20955.946311250438</v>
      </c>
    </row>
    <row r="28" spans="4:18" x14ac:dyDescent="0.2">
      <c r="D28" s="77"/>
      <c r="J28" s="2"/>
    </row>
    <row r="29" spans="4:18" x14ac:dyDescent="0.2">
      <c r="J29" s="2"/>
    </row>
    <row r="30" spans="4:18" x14ac:dyDescent="0.2">
      <c r="J30" s="2"/>
    </row>
    <row r="31" spans="4:18" x14ac:dyDescent="0.2">
      <c r="J31" s="2"/>
    </row>
    <row r="32" spans="4:18" x14ac:dyDescent="0.2">
      <c r="E32" s="1"/>
      <c r="F32" s="1"/>
      <c r="G32" s="1"/>
      <c r="H32" s="1"/>
      <c r="I32" s="1"/>
      <c r="J32" s="2"/>
    </row>
    <row r="33" spans="4:20" ht="43" customHeight="1" x14ac:dyDescent="0.3">
      <c r="D33" s="192" t="s">
        <v>111</v>
      </c>
      <c r="E33" s="193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78"/>
      <c r="Q33" s="178"/>
      <c r="R33" s="179"/>
    </row>
    <row r="34" spans="4:20" x14ac:dyDescent="0.2">
      <c r="D34" s="27"/>
      <c r="E34" s="28"/>
      <c r="F34" s="26">
        <v>46023</v>
      </c>
      <c r="G34" s="24">
        <v>46054</v>
      </c>
      <c r="H34" s="24">
        <v>46082</v>
      </c>
      <c r="I34" s="24">
        <v>46113</v>
      </c>
      <c r="J34" s="24">
        <v>46143</v>
      </c>
      <c r="K34" s="24">
        <v>46174</v>
      </c>
      <c r="L34" s="24">
        <v>46204</v>
      </c>
      <c r="M34" s="24">
        <v>46235</v>
      </c>
      <c r="N34" s="24">
        <v>46266</v>
      </c>
      <c r="O34" s="24">
        <v>46296</v>
      </c>
      <c r="P34" s="24">
        <v>46327</v>
      </c>
      <c r="Q34" s="24">
        <v>46357</v>
      </c>
      <c r="R34" s="6" t="s">
        <v>7</v>
      </c>
      <c r="S34" s="38"/>
      <c r="T34" s="38"/>
    </row>
    <row r="35" spans="4:20" x14ac:dyDescent="0.2">
      <c r="D35" s="197" t="s">
        <v>108</v>
      </c>
      <c r="E35" s="72" t="s">
        <v>38</v>
      </c>
      <c r="F35" s="97">
        <f>42500*CHOOSE(Scenarios!$B$8,Scenarios!$B$2,Scenarios!$C$2,Scenarios!$D$2)</f>
        <v>42500</v>
      </c>
      <c r="G35" s="97">
        <f>43000*CHOOSE(Scenarios!$B$8,Scenarios!$B$2,Scenarios!$C$2,Scenarios!$D$2)</f>
        <v>43000</v>
      </c>
      <c r="H35" s="97">
        <f>43500*CHOOSE(Scenarios!$B$8,Scenarios!$B$2,Scenarios!$C$2,Scenarios!$D$2)</f>
        <v>43500</v>
      </c>
      <c r="I35" s="97">
        <f>44000*CHOOSE(Scenarios!$B$8,Scenarios!$B$2,Scenarios!$C$2,Scenarios!$D$2)</f>
        <v>44000</v>
      </c>
      <c r="J35" s="97">
        <f>44500*CHOOSE(Scenarios!$B$8,Scenarios!$B$2,Scenarios!$C$2,Scenarios!$D$2)</f>
        <v>44500</v>
      </c>
      <c r="K35" s="97">
        <f>45000*CHOOSE(Scenarios!$B$8,Scenarios!$B$2,Scenarios!$C$2,Scenarios!$D$2)</f>
        <v>45000</v>
      </c>
      <c r="L35" s="97">
        <f>45500*CHOOSE(Scenarios!$B$8,Scenarios!$B$2,Scenarios!$C$2,Scenarios!$D$2)</f>
        <v>45500</v>
      </c>
      <c r="M35" s="97">
        <f>46000*CHOOSE(Scenarios!$B$8,Scenarios!$B$2,Scenarios!$C$2,Scenarios!$D$2)</f>
        <v>46000</v>
      </c>
      <c r="N35" s="97">
        <f>46500*CHOOSE(Scenarios!$B$8,Scenarios!$B$2,Scenarios!$C$2,Scenarios!$D$2)</f>
        <v>46500</v>
      </c>
      <c r="O35" s="97">
        <f>47000*CHOOSE(Scenarios!$B$8,Scenarios!$B$2,Scenarios!$C$2,Scenarios!$D$2)</f>
        <v>47000</v>
      </c>
      <c r="P35" s="97">
        <f>47500*CHOOSE(Scenarios!$B$8,Scenarios!$B$2,Scenarios!$C$2,Scenarios!$D$2)</f>
        <v>47500</v>
      </c>
      <c r="Q35" s="97">
        <f>48000*CHOOSE(Scenarios!$B$8,Scenarios!$B$2,Scenarios!$C$2,Scenarios!$D$2)</f>
        <v>48000</v>
      </c>
      <c r="R35" s="6">
        <f>SUM(F35:Q35)</f>
        <v>543000</v>
      </c>
      <c r="S35" s="38"/>
      <c r="T35" s="38"/>
    </row>
    <row r="36" spans="4:20" ht="19" x14ac:dyDescent="0.25">
      <c r="D36" s="197"/>
      <c r="E36" s="72" t="s">
        <v>37</v>
      </c>
      <c r="F36" s="97">
        <f>17750*CHOOSE(Scenarios!$B$8,Scenarios!$B$2,Scenarios!$C$2,Scenarios!$D$2)</f>
        <v>17750</v>
      </c>
      <c r="G36" s="99">
        <f>18000*CHOOSE(Scenarios!$B$8,Scenarios!$B$2,Scenarios!$C$2,Scenarios!$D$2)</f>
        <v>18000</v>
      </c>
      <c r="H36" s="97">
        <f>18250*CHOOSE(Scenarios!$B$8,Scenarios!$B$2,Scenarios!$C$2,Scenarios!$D$2)</f>
        <v>18250</v>
      </c>
      <c r="I36" s="97">
        <f>18500*CHOOSE(Scenarios!$B$8,Scenarios!$B$2,Scenarios!$C$2,Scenarios!$D$2)</f>
        <v>18500</v>
      </c>
      <c r="J36" s="97">
        <f>18750*CHOOSE(Scenarios!$B$8,Scenarios!$B$2,Scenarios!$C$2,Scenarios!$D$2)</f>
        <v>18750</v>
      </c>
      <c r="K36" s="97">
        <f>19000*CHOOSE(Scenarios!$B$8,Scenarios!$B$2,Scenarios!$C$2,Scenarios!$D$2)</f>
        <v>19000</v>
      </c>
      <c r="L36" s="97">
        <f>19250*CHOOSE(Scenarios!$B$8,Scenarios!$B$2,Scenarios!$C$2,Scenarios!$D$2)</f>
        <v>19250</v>
      </c>
      <c r="M36" s="97">
        <f>19500*CHOOSE(Scenarios!$B$8,Scenarios!$B$2,Scenarios!$C$2,Scenarios!$D$2)</f>
        <v>19500</v>
      </c>
      <c r="N36" s="97">
        <f>19750*CHOOSE(Scenarios!$B$8,Scenarios!$B$2,Scenarios!$C$2,Scenarios!$D$2)</f>
        <v>19750</v>
      </c>
      <c r="O36" s="97">
        <f>20000*CHOOSE(Scenarios!$B$8,Scenarios!$B$2,Scenarios!$C$2,Scenarios!$D$2)</f>
        <v>20000</v>
      </c>
      <c r="P36" s="97">
        <f>20250*CHOOSE(Scenarios!$B$8,Scenarios!$B$2,Scenarios!$C$2,Scenarios!$D$2)</f>
        <v>20250</v>
      </c>
      <c r="Q36" s="97">
        <f>20500*CHOOSE(Scenarios!$B$8,Scenarios!$B$2,Scenarios!$C$2,Scenarios!$D$2)</f>
        <v>20500</v>
      </c>
      <c r="R36" s="6">
        <f>SUM(F36:Q36)</f>
        <v>229500</v>
      </c>
      <c r="S36" s="38"/>
      <c r="T36" s="38"/>
    </row>
    <row r="37" spans="4:20" x14ac:dyDescent="0.2">
      <c r="D37" s="197"/>
      <c r="E37" s="72" t="s">
        <v>39</v>
      </c>
      <c r="F37" s="97">
        <f>10750*CHOOSE(Scenarios!$B$8,Scenarios!$B$2,Scenarios!$C$2,Scenarios!$D$2)</f>
        <v>10750</v>
      </c>
      <c r="G37" s="97">
        <f>11000*CHOOSE(Scenarios!$B$8,Scenarios!$B$2,Scenarios!$C$2,Scenarios!$D$2)</f>
        <v>11000</v>
      </c>
      <c r="H37" s="97">
        <f>11250*CHOOSE(Scenarios!$B$8,Scenarios!$B$2,Scenarios!$C$2,Scenarios!$D$2)</f>
        <v>11250</v>
      </c>
      <c r="I37" s="97">
        <f>11500*CHOOSE(Scenarios!$B$8,Scenarios!$B$2,Scenarios!$C$2,Scenarios!$D$2)</f>
        <v>11500</v>
      </c>
      <c r="J37" s="97">
        <f>11750*CHOOSE(Scenarios!$B$8,Scenarios!$B$2,Scenarios!$C$2,Scenarios!$D$2)</f>
        <v>11750</v>
      </c>
      <c r="K37" s="97">
        <f>12000*CHOOSE(Scenarios!$B$8,Scenarios!$B$2,Scenarios!$C$2,Scenarios!$D$2)</f>
        <v>12000</v>
      </c>
      <c r="L37" s="97">
        <f>12250*CHOOSE(Scenarios!$B$8,Scenarios!$B$2,Scenarios!$C$2,Scenarios!$D$2)</f>
        <v>12250</v>
      </c>
      <c r="M37" s="97">
        <f>12500*CHOOSE(Scenarios!$B$8,Scenarios!$B$2,Scenarios!$C$2,Scenarios!$D$2)</f>
        <v>12500</v>
      </c>
      <c r="N37" s="97">
        <f>12500*CHOOSE(Scenarios!$B$8,Scenarios!$B$2,Scenarios!$C$2,Scenarios!$D$2)</f>
        <v>12500</v>
      </c>
      <c r="O37" s="97">
        <f>12500*CHOOSE(Scenarios!$B$8,Scenarios!$B$2,Scenarios!$C$2,Scenarios!$D$2)</f>
        <v>12500</v>
      </c>
      <c r="P37" s="97">
        <f>12500*CHOOSE(Scenarios!$B$8,Scenarios!$B$2,Scenarios!$C$2,Scenarios!$D$2)</f>
        <v>12500</v>
      </c>
      <c r="Q37" s="97">
        <f>12500*CHOOSE(Scenarios!$B$8,Scenarios!$B$2,Scenarios!$C$2,Scenarios!$D$2)</f>
        <v>12500</v>
      </c>
      <c r="R37" s="6">
        <f t="shared" ref="R37" si="11">SUM(F37:Q37)</f>
        <v>143000</v>
      </c>
    </row>
    <row r="38" spans="4:20" x14ac:dyDescent="0.2">
      <c r="D38" s="198" t="s">
        <v>107</v>
      </c>
      <c r="E38" s="72" t="s">
        <v>38</v>
      </c>
      <c r="F38" s="98">
        <f>F35/1000*Assumptions!$O$19</f>
        <v>11970.833333333334</v>
      </c>
      <c r="G38" s="98">
        <f>G35/1000*Assumptions!$O$19</f>
        <v>12111.666666666668</v>
      </c>
      <c r="H38" s="98">
        <f>H35/1000*Assumptions!$O$19</f>
        <v>12252.5</v>
      </c>
      <c r="I38" s="98">
        <f>I35/1000*Assumptions!$O$19</f>
        <v>12393.333333333334</v>
      </c>
      <c r="J38" s="98">
        <f>J35/1000*Assumptions!$O$19</f>
        <v>12534.166666666668</v>
      </c>
      <c r="K38" s="98">
        <f>K35/1000*Assumptions!$O$19</f>
        <v>12675</v>
      </c>
      <c r="L38" s="98">
        <f>L35/1000*Assumptions!$O$19</f>
        <v>12815.833333333334</v>
      </c>
      <c r="M38" s="98">
        <f>M35/1000*Assumptions!$O$19</f>
        <v>12956.666666666668</v>
      </c>
      <c r="N38" s="98">
        <f>N35/1000*Assumptions!$O$19</f>
        <v>13097.5</v>
      </c>
      <c r="O38" s="98">
        <f>O35/1000*Assumptions!$O$19</f>
        <v>13238.333333333334</v>
      </c>
      <c r="P38" s="98">
        <f>P35/1000*Assumptions!$O$19</f>
        <v>13379.166666666668</v>
      </c>
      <c r="Q38" s="98">
        <f>Q35/1000*Assumptions!$O$19</f>
        <v>13520</v>
      </c>
      <c r="R38" s="98">
        <f>SUM(F38:Q38)</f>
        <v>152945</v>
      </c>
    </row>
    <row r="39" spans="4:20" x14ac:dyDescent="0.2">
      <c r="D39" s="198"/>
      <c r="E39" s="72" t="s">
        <v>37</v>
      </c>
      <c r="F39" s="98">
        <f>F36/1000*Assumptions!$O$20</f>
        <v>4518.854166666667</v>
      </c>
      <c r="G39" s="98">
        <f>G36/1000*Assumptions!$O$20</f>
        <v>4582.5</v>
      </c>
      <c r="H39" s="98">
        <f>H36/1000*Assumptions!$O$20</f>
        <v>4646.1458333333339</v>
      </c>
      <c r="I39" s="98">
        <f>I36/1000*Assumptions!$O$20</f>
        <v>4709.791666666667</v>
      </c>
      <c r="J39" s="98">
        <f>J36/1000*Assumptions!$O$20</f>
        <v>4773.4375</v>
      </c>
      <c r="K39" s="98">
        <f>K36/1000*Assumptions!$O$20</f>
        <v>4837.0833333333339</v>
      </c>
      <c r="L39" s="98">
        <f>L36/1000*Assumptions!$O$20</f>
        <v>4900.729166666667</v>
      </c>
      <c r="M39" s="98">
        <f>M36/1000*Assumptions!$O$20</f>
        <v>4964.375</v>
      </c>
      <c r="N39" s="98">
        <f>N36/1000*Assumptions!$O$20</f>
        <v>5028.0208333333339</v>
      </c>
      <c r="O39" s="98">
        <f>O36/1000*Assumptions!$O$20</f>
        <v>5091.666666666667</v>
      </c>
      <c r="P39" s="98">
        <f>P36/1000*Assumptions!$O$20</f>
        <v>5155.3125</v>
      </c>
      <c r="Q39" s="98">
        <f>Q36/1000*Assumptions!$O$20</f>
        <v>5218.9583333333339</v>
      </c>
      <c r="R39" s="98">
        <f t="shared" ref="R39:R40" si="12">SUM(F39:Q39)</f>
        <v>58426.875</v>
      </c>
    </row>
    <row r="40" spans="4:20" x14ac:dyDescent="0.2">
      <c r="D40" s="198"/>
      <c r="E40" s="72" t="s">
        <v>39</v>
      </c>
      <c r="F40" s="98">
        <f>F37/1000*Assumptions!$O$21</f>
        <v>2620.3125</v>
      </c>
      <c r="G40" s="98">
        <f>G37/1000*Assumptions!$O$21</f>
        <v>2681.25</v>
      </c>
      <c r="H40" s="98">
        <f>H37/1000*Assumptions!$O$21</f>
        <v>2742.1875</v>
      </c>
      <c r="I40" s="98">
        <f>I37/1000*Assumptions!$O$21</f>
        <v>2803.125</v>
      </c>
      <c r="J40" s="98">
        <f>J37/1000*Assumptions!$O$21</f>
        <v>2864.0625</v>
      </c>
      <c r="K40" s="98">
        <f>K37/1000*Assumptions!$O$21</f>
        <v>2925</v>
      </c>
      <c r="L40" s="98">
        <f>L37/1000*Assumptions!$O$21</f>
        <v>2985.9375</v>
      </c>
      <c r="M40" s="98">
        <f>M37/1000*Assumptions!$O$21</f>
        <v>3046.875</v>
      </c>
      <c r="N40" s="98">
        <f>N37/1000*Assumptions!$O$21</f>
        <v>3046.875</v>
      </c>
      <c r="O40" s="98">
        <f>O37/1000*Assumptions!$O$21</f>
        <v>3046.875</v>
      </c>
      <c r="P40" s="98">
        <f>P37/1000*Assumptions!$O$21</f>
        <v>3046.875</v>
      </c>
      <c r="Q40" s="98">
        <f>Q37/1000*Assumptions!$O$21</f>
        <v>3046.875</v>
      </c>
      <c r="R40" s="98">
        <f t="shared" si="12"/>
        <v>34856.25</v>
      </c>
    </row>
    <row r="41" spans="4:20" x14ac:dyDescent="0.2">
      <c r="D41" s="198" t="s">
        <v>106</v>
      </c>
      <c r="E41" s="72" t="s">
        <v>38</v>
      </c>
      <c r="F41" s="100">
        <f>(F35/1000) * 'Стоимость производства'!$H$12 * 1.06</f>
        <v>5256.0387090622653</v>
      </c>
      <c r="G41" s="100">
        <f>(G35/1000) * 'Стоимость производства'!$H$12 * 1.06</f>
        <v>5317.8744585806444</v>
      </c>
      <c r="H41" s="100">
        <f>(H35/1000) * 'Стоимость производства'!$H$12 * 1.06</f>
        <v>5379.7102080990253</v>
      </c>
      <c r="I41" s="100">
        <f>(I35/1000) * 'Стоимость производства'!$H$12 * 1.06</f>
        <v>5441.5459576174044</v>
      </c>
      <c r="J41" s="100">
        <f>(J35/1000) * 'Стоимость производства'!$H$12 * 1.06</f>
        <v>5503.3817071357844</v>
      </c>
      <c r="K41" s="100">
        <f>(K35/1000) * 'Стоимость производства'!$H$12 * 1.06</f>
        <v>5565.2174566541635</v>
      </c>
      <c r="L41" s="100">
        <f>(L35/1000) * 'Стоимость производства'!$H$12 * 1.06</f>
        <v>5627.0532061725435</v>
      </c>
      <c r="M41" s="100">
        <f>(M35/1000) * 'Стоимость производства'!$H$12 * 1.06</f>
        <v>5688.8889556909226</v>
      </c>
      <c r="N41" s="100">
        <f>(N35/1000) * 'Стоимость производства'!$H$12 * 1.06</f>
        <v>5750.7247052093016</v>
      </c>
      <c r="O41" s="100">
        <f>(O35/1000) * 'Стоимость производства'!$H$12 * 1.06</f>
        <v>5812.5604547276816</v>
      </c>
      <c r="P41" s="100">
        <f>(P35/1000) * 'Стоимость производства'!$H$12 * 1.06</f>
        <v>5874.3962042460607</v>
      </c>
      <c r="Q41" s="100">
        <f>(Q35/1000) * 'Стоимость производства'!$H$12 * 1.06</f>
        <v>5936.2319537644416</v>
      </c>
      <c r="R41" s="98">
        <f t="shared" ref="R41:R46" si="13">SUM(F41:Q41)</f>
        <v>67153.62397696024</v>
      </c>
    </row>
    <row r="42" spans="4:20" x14ac:dyDescent="0.2">
      <c r="D42" s="198"/>
      <c r="E42" s="72" t="s">
        <v>37</v>
      </c>
      <c r="F42" s="101">
        <f>'Стоимость производства'!$H$34*'P&amp;L'!F36 /1000 * 1.06</f>
        <v>2210.6741414853718</v>
      </c>
      <c r="G42" s="101">
        <f>'Стоимость производства'!$H$34*'P&amp;L'!G36 /1000 * 1.06</f>
        <v>2241.8103969992503</v>
      </c>
      <c r="H42" s="101">
        <f>'Стоимость производства'!$H$34*'P&amp;L'!H36 /1000 * 1.06</f>
        <v>2272.9466525131288</v>
      </c>
      <c r="I42" s="101">
        <f>'Стоимость производства'!$H$34*'P&amp;L'!I36 /1000 * 1.06</f>
        <v>2304.0829080270073</v>
      </c>
      <c r="J42" s="101">
        <f>'Стоимость производства'!$H$34*'P&amp;L'!J36 /1000 * 1.06</f>
        <v>2335.2191635408858</v>
      </c>
      <c r="K42" s="101">
        <f>'Стоимость производства'!$H$34*'P&amp;L'!K36 /1000 * 1.06</f>
        <v>2366.3554190547638</v>
      </c>
      <c r="L42" s="101">
        <f>'Стоимость производства'!$H$34*'P&amp;L'!L36 /1000 * 1.06</f>
        <v>2397.4916745686428</v>
      </c>
      <c r="M42" s="101">
        <f>'Стоимость производства'!$H$34*'P&amp;L'!M36 /1000 * 1.06</f>
        <v>2428.6279300825213</v>
      </c>
      <c r="N42" s="101">
        <f>'Стоимость производства'!$H$34*'P&amp;L'!N36 /1000 * 1.06</f>
        <v>2459.7641855963998</v>
      </c>
      <c r="O42" s="101">
        <f>'Стоимость производства'!$H$34*'P&amp;L'!O36 /1000 * 1.06</f>
        <v>2490.9004411102783</v>
      </c>
      <c r="P42" s="101">
        <f>'Стоимость производства'!$H$34*'P&amp;L'!P36 /1000 * 1.06</f>
        <v>2522.0366966241563</v>
      </c>
      <c r="Q42" s="101">
        <f>'Стоимость производства'!$H$34*'P&amp;L'!Q36 /1000 * 1.06</f>
        <v>2553.1729521380353</v>
      </c>
      <c r="R42" s="100">
        <f t="shared" si="13"/>
        <v>28583.082561740444</v>
      </c>
    </row>
    <row r="43" spans="4:20" x14ac:dyDescent="0.2">
      <c r="D43" s="198"/>
      <c r="E43" s="73" t="s">
        <v>39</v>
      </c>
      <c r="F43" s="98">
        <f>('Стоимость производства'!$H$61)*'P&amp;L'!F37/1000 * 1.06</f>
        <v>1124.4993330645163</v>
      </c>
      <c r="G43" s="98">
        <f>('Стоимость производства'!$H$61)*'P&amp;L'!G37/1000 * 1.06</f>
        <v>1150.6504803450862</v>
      </c>
      <c r="H43" s="98">
        <f>('Стоимость производства'!$H$61)*'P&amp;L'!H37/1000 * 1.06</f>
        <v>1176.8016276256567</v>
      </c>
      <c r="I43" s="98">
        <f>('Стоимость производства'!$H$61)*'P&amp;L'!I37/1000 * 1.06</f>
        <v>1202.9527749062268</v>
      </c>
      <c r="J43" s="98">
        <f>('Стоимость производства'!$H$61)*'P&amp;L'!J37/1000 * 1.06</f>
        <v>1229.1039221867966</v>
      </c>
      <c r="K43" s="98">
        <f>('Стоимость производства'!$H$61)*'P&amp;L'!K37/1000 * 1.06</f>
        <v>1255.2550694673671</v>
      </c>
      <c r="L43" s="98">
        <f>('Стоимость производства'!$H$61)*'P&amp;L'!L37/1000 * 1.06</f>
        <v>1281.4062167479372</v>
      </c>
      <c r="M43" s="98">
        <f>('Стоимость производства'!$H$61)*'P&amp;L'!M37/1000 * 1.06</f>
        <v>1307.5573640285072</v>
      </c>
      <c r="N43" s="98">
        <f>('Стоимость производства'!$H$61)*'P&amp;L'!N37/1000 * 1.06</f>
        <v>1307.5573640285072</v>
      </c>
      <c r="O43" s="98">
        <f>('Стоимость производства'!$H$61)*'P&amp;L'!O37/1000 * 1.06</f>
        <v>1307.5573640285072</v>
      </c>
      <c r="P43" s="98">
        <f>('Стоимость производства'!$H$61)*'P&amp;L'!P37/1000 * 1.06</f>
        <v>1307.5573640285072</v>
      </c>
      <c r="Q43" s="98">
        <f>('Стоимость производства'!$H$61)*'P&amp;L'!Q37/1000 * 1.06</f>
        <v>1307.5573640285072</v>
      </c>
      <c r="R43" s="98">
        <f t="shared" si="13"/>
        <v>14958.456244486124</v>
      </c>
    </row>
    <row r="44" spans="4:20" ht="34" customHeight="1" x14ac:dyDescent="0.2">
      <c r="D44" s="81" t="s">
        <v>126</v>
      </c>
      <c r="E44" s="7"/>
      <c r="F44" s="6">
        <f>Assumptions!$F$32</f>
        <v>1830</v>
      </c>
      <c r="G44" s="6">
        <f>Assumptions!$F$32</f>
        <v>1830</v>
      </c>
      <c r="H44" s="6">
        <f>Assumptions!$F$32</f>
        <v>1830</v>
      </c>
      <c r="I44" s="6">
        <f>Assumptions!$F$32</f>
        <v>1830</v>
      </c>
      <c r="J44" s="6">
        <f>Assumptions!$F$32</f>
        <v>1830</v>
      </c>
      <c r="K44" s="6">
        <f>Assumptions!$F$32</f>
        <v>1830</v>
      </c>
      <c r="L44" s="6">
        <f>Assumptions!$F$32</f>
        <v>1830</v>
      </c>
      <c r="M44" s="6">
        <f>Assumptions!$F$32</f>
        <v>1830</v>
      </c>
      <c r="N44" s="6">
        <f>Assumptions!$F$32</f>
        <v>1830</v>
      </c>
      <c r="O44" s="6">
        <f>Assumptions!$F$32</f>
        <v>1830</v>
      </c>
      <c r="P44" s="6">
        <f>Assumptions!$F$32</f>
        <v>1830</v>
      </c>
      <c r="Q44" s="6">
        <f>Assumptions!$F$32</f>
        <v>1830</v>
      </c>
      <c r="R44" s="6">
        <f t="shared" si="13"/>
        <v>21960</v>
      </c>
    </row>
    <row r="45" spans="4:20" x14ac:dyDescent="0.2">
      <c r="D45" s="59" t="s">
        <v>57</v>
      </c>
      <c r="E45" s="7"/>
      <c r="F45" s="98">
        <f>Assumptions!$B$43</f>
        <v>553.80753968253964</v>
      </c>
      <c r="G45" s="98">
        <f>Assumptions!$B$43</f>
        <v>553.80753968253964</v>
      </c>
      <c r="H45" s="98">
        <f>Assumptions!$B$43</f>
        <v>553.80753968253964</v>
      </c>
      <c r="I45" s="98">
        <f>Assumptions!$B$43</f>
        <v>553.80753968253964</v>
      </c>
      <c r="J45" s="98">
        <f>Assumptions!$B$43</f>
        <v>553.80753968253964</v>
      </c>
      <c r="K45" s="98">
        <f>Assumptions!$B$43</f>
        <v>553.80753968253964</v>
      </c>
      <c r="L45" s="98">
        <f>Assumptions!$B$43</f>
        <v>553.80753968253964</v>
      </c>
      <c r="M45" s="98">
        <f>Assumptions!$B$43</f>
        <v>553.80753968253964</v>
      </c>
      <c r="N45" s="98">
        <f>Assumptions!$B$43</f>
        <v>553.80753968253964</v>
      </c>
      <c r="O45" s="98">
        <f>Assumptions!$B$43</f>
        <v>553.80753968253964</v>
      </c>
      <c r="P45" s="98">
        <f>Assumptions!$B$43</f>
        <v>553.80753968253964</v>
      </c>
      <c r="Q45" s="98">
        <f>Assumptions!$B$43</f>
        <v>553.80753968253964</v>
      </c>
      <c r="R45" s="6">
        <f t="shared" si="13"/>
        <v>6645.6904761904761</v>
      </c>
    </row>
    <row r="46" spans="4:20" x14ac:dyDescent="0.2">
      <c r="D46" s="59" t="s">
        <v>83</v>
      </c>
      <c r="E46" s="71"/>
      <c r="F46" s="98">
        <f>Assumptions!$F$39 * 1.06</f>
        <v>4907.8</v>
      </c>
      <c r="G46" s="98">
        <f>Assumptions!$F$39 * 1.06</f>
        <v>4907.8</v>
      </c>
      <c r="H46" s="98">
        <f>Assumptions!$F$39 * 1.06</f>
        <v>4907.8</v>
      </c>
      <c r="I46" s="98">
        <f>Assumptions!$F$39 * 1.06</f>
        <v>4907.8</v>
      </c>
      <c r="J46" s="98">
        <f>Assumptions!$F$39 * 1.06</f>
        <v>4907.8</v>
      </c>
      <c r="K46" s="98">
        <f>Assumptions!$F$39 * 1.06</f>
        <v>4907.8</v>
      </c>
      <c r="L46" s="98">
        <f>Assumptions!$F$39 * 1.06</f>
        <v>4907.8</v>
      </c>
      <c r="M46" s="98">
        <f>Assumptions!$F$39 * 1.06</f>
        <v>4907.8</v>
      </c>
      <c r="N46" s="98">
        <f>Assumptions!$F$39 * 1.06</f>
        <v>4907.8</v>
      </c>
      <c r="O46" s="98">
        <f>Assumptions!$F$39 * 1.06</f>
        <v>4907.8</v>
      </c>
      <c r="P46" s="98">
        <f>Assumptions!$F$39 * 1.06</f>
        <v>4907.8</v>
      </c>
      <c r="Q46" s="98">
        <f>Assumptions!$F$39 * 1.06</f>
        <v>4907.8</v>
      </c>
      <c r="R46" s="98">
        <f t="shared" si="13"/>
        <v>58893.600000000013</v>
      </c>
    </row>
    <row r="47" spans="4:20" x14ac:dyDescent="0.2">
      <c r="D47" s="59" t="s">
        <v>74</v>
      </c>
      <c r="E47" s="71"/>
      <c r="F47" s="98">
        <f>SUM(F48:F50) - F46 - F45</f>
        <v>5057.1802767053086</v>
      </c>
      <c r="G47" s="98">
        <f t="shared" ref="G47:R47" si="14">SUM(G48:G50) - G46 - G45</f>
        <v>5203.4737910591466</v>
      </c>
      <c r="H47" s="98">
        <f t="shared" si="14"/>
        <v>5349.7673054129828</v>
      </c>
      <c r="I47" s="98">
        <f t="shared" si="14"/>
        <v>5496.0608197668225</v>
      </c>
      <c r="J47" s="98">
        <f t="shared" si="14"/>
        <v>5642.3543341206623</v>
      </c>
      <c r="K47" s="98">
        <f t="shared" si="14"/>
        <v>5788.6478484745003</v>
      </c>
      <c r="L47" s="98">
        <f t="shared" si="14"/>
        <v>5934.9413628283382</v>
      </c>
      <c r="M47" s="98">
        <f t="shared" si="14"/>
        <v>6081.2348771821762</v>
      </c>
      <c r="N47" s="98">
        <f t="shared" si="14"/>
        <v>6192.7420388165847</v>
      </c>
      <c r="O47" s="98">
        <f t="shared" si="14"/>
        <v>6304.2492004509932</v>
      </c>
      <c r="P47" s="98">
        <f t="shared" si="14"/>
        <v>6415.7563620854035</v>
      </c>
      <c r="Q47" s="98">
        <f t="shared" si="14"/>
        <v>6527.2635237198101</v>
      </c>
      <c r="R47" s="98">
        <f t="shared" si="14"/>
        <v>69993.671740622725</v>
      </c>
    </row>
    <row r="48" spans="4:20" x14ac:dyDescent="0.2">
      <c r="D48" s="197" t="s">
        <v>75</v>
      </c>
      <c r="E48" s="8" t="s">
        <v>38</v>
      </c>
      <c r="F48" s="98">
        <f>F38-F41</f>
        <v>6714.7946242710686</v>
      </c>
      <c r="G48" s="98">
        <f t="shared" ref="G48:Q48" si="15">G38-G41</f>
        <v>6793.7922080860235</v>
      </c>
      <c r="H48" s="98">
        <f t="shared" si="15"/>
        <v>6872.7897919009747</v>
      </c>
      <c r="I48" s="98">
        <f t="shared" si="15"/>
        <v>6951.7873757159296</v>
      </c>
      <c r="J48" s="98">
        <f t="shared" si="15"/>
        <v>7030.7849595308835</v>
      </c>
      <c r="K48" s="98">
        <f t="shared" si="15"/>
        <v>7109.7825433458365</v>
      </c>
      <c r="L48" s="98">
        <f t="shared" si="15"/>
        <v>7188.7801271607905</v>
      </c>
      <c r="M48" s="98">
        <f t="shared" si="15"/>
        <v>7267.7777109757453</v>
      </c>
      <c r="N48" s="98">
        <f t="shared" si="15"/>
        <v>7346.7752947906984</v>
      </c>
      <c r="O48" s="98">
        <f t="shared" si="15"/>
        <v>7425.7728786056523</v>
      </c>
      <c r="P48" s="98">
        <f t="shared" si="15"/>
        <v>7504.7704624206071</v>
      </c>
      <c r="Q48" s="98">
        <f t="shared" si="15"/>
        <v>7583.7680462355584</v>
      </c>
      <c r="R48" s="98">
        <f>SUM(F48:Q48)</f>
        <v>85791.376023039775</v>
      </c>
    </row>
    <row r="49" spans="4:18" x14ac:dyDescent="0.2">
      <c r="D49" s="197"/>
      <c r="E49" s="72" t="s">
        <v>37</v>
      </c>
      <c r="F49" s="98">
        <f t="shared" ref="F49:Q49" si="16">F39-F42</f>
        <v>2308.1800251812952</v>
      </c>
      <c r="G49" s="98">
        <f t="shared" si="16"/>
        <v>2340.6896030007497</v>
      </c>
      <c r="H49" s="98">
        <f t="shared" si="16"/>
        <v>2373.1991808202051</v>
      </c>
      <c r="I49" s="98">
        <f t="shared" si="16"/>
        <v>2405.7087586396597</v>
      </c>
      <c r="J49" s="98">
        <f t="shared" si="16"/>
        <v>2438.2183364591142</v>
      </c>
      <c r="K49" s="98">
        <f t="shared" si="16"/>
        <v>2470.7279142785701</v>
      </c>
      <c r="L49" s="98">
        <f t="shared" si="16"/>
        <v>2503.2374920980242</v>
      </c>
      <c r="M49" s="98">
        <f t="shared" si="16"/>
        <v>2535.7470699174787</v>
      </c>
      <c r="N49" s="98">
        <f t="shared" si="16"/>
        <v>2568.2566477369342</v>
      </c>
      <c r="O49" s="98">
        <f t="shared" si="16"/>
        <v>2600.7662255563887</v>
      </c>
      <c r="P49" s="98">
        <f t="shared" si="16"/>
        <v>2633.2758033758437</v>
      </c>
      <c r="Q49" s="98">
        <f t="shared" si="16"/>
        <v>2665.7853811952987</v>
      </c>
      <c r="R49" s="98">
        <f>SUM(F49:Q49)</f>
        <v>29843.792438259559</v>
      </c>
    </row>
    <row r="50" spans="4:18" x14ac:dyDescent="0.2">
      <c r="D50" s="197"/>
      <c r="E50" s="72" t="s">
        <v>39</v>
      </c>
      <c r="F50" s="98">
        <f t="shared" ref="F50:Q50" si="17">F40-F43</f>
        <v>1495.8131669354837</v>
      </c>
      <c r="G50" s="98">
        <f t="shared" si="17"/>
        <v>1530.5995196549138</v>
      </c>
      <c r="H50" s="98">
        <f t="shared" si="17"/>
        <v>1565.3858723743433</v>
      </c>
      <c r="I50" s="98">
        <f t="shared" si="17"/>
        <v>1600.1722250937732</v>
      </c>
      <c r="J50" s="98">
        <f t="shared" si="17"/>
        <v>1634.9585778132034</v>
      </c>
      <c r="K50" s="98">
        <f t="shared" si="17"/>
        <v>1669.7449305326329</v>
      </c>
      <c r="L50" s="98">
        <f t="shared" si="17"/>
        <v>1704.5312832520628</v>
      </c>
      <c r="M50" s="98">
        <f t="shared" si="17"/>
        <v>1739.3176359714928</v>
      </c>
      <c r="N50" s="98">
        <f t="shared" si="17"/>
        <v>1739.3176359714928</v>
      </c>
      <c r="O50" s="98">
        <f t="shared" si="17"/>
        <v>1739.3176359714928</v>
      </c>
      <c r="P50" s="98">
        <f t="shared" si="17"/>
        <v>1739.3176359714928</v>
      </c>
      <c r="Q50" s="98">
        <f t="shared" si="17"/>
        <v>1739.3176359714928</v>
      </c>
      <c r="R50" s="98">
        <f>SUM(F50:Q50)</f>
        <v>19897.793755513878</v>
      </c>
    </row>
    <row r="51" spans="4:18" x14ac:dyDescent="0.2">
      <c r="D51" s="59" t="s">
        <v>85</v>
      </c>
      <c r="E51" s="74"/>
      <c r="F51" s="102">
        <f>F53+F45+F52</f>
        <v>5610.9878163878484</v>
      </c>
      <c r="G51" s="102">
        <f t="shared" ref="G51:M51" si="18">G53+G45+G52</f>
        <v>5757.2813307416864</v>
      </c>
      <c r="H51" s="102">
        <f t="shared" si="18"/>
        <v>5903.5748450955216</v>
      </c>
      <c r="I51" s="102">
        <f t="shared" si="18"/>
        <v>6049.8683594493623</v>
      </c>
      <c r="J51" s="102">
        <f t="shared" si="18"/>
        <v>6196.161873803203</v>
      </c>
      <c r="K51" s="102">
        <f t="shared" si="18"/>
        <v>6342.4553881570391</v>
      </c>
      <c r="L51" s="102">
        <f t="shared" si="18"/>
        <v>6488.7489025108789</v>
      </c>
      <c r="M51" s="102">
        <f t="shared" si="18"/>
        <v>6635.0424168647151</v>
      </c>
      <c r="N51" s="102">
        <f>N53+N45+N52</f>
        <v>6746.5495784991244</v>
      </c>
      <c r="O51" s="102">
        <f t="shared" ref="O51" si="19">O53+O45+O52</f>
        <v>6858.0567401335338</v>
      </c>
      <c r="P51" s="102">
        <f t="shared" ref="P51" si="20">P53+P45+P52</f>
        <v>6969.5639017679423</v>
      </c>
      <c r="Q51" s="102">
        <f t="shared" ref="Q51" si="21">Q53+Q45+Q52</f>
        <v>7081.071063402349</v>
      </c>
      <c r="R51" s="98"/>
    </row>
    <row r="52" spans="4:18" x14ac:dyDescent="0.2">
      <c r="D52" s="75" t="s">
        <v>31</v>
      </c>
      <c r="F52" s="98">
        <f>MAX(0,F47*Assumptions!$B$10)</f>
        <v>1264.2950691763272</v>
      </c>
      <c r="G52" s="98">
        <f>MAX(0,G47*Assumptions!$B$10)</f>
        <v>1300.8684477647867</v>
      </c>
      <c r="H52" s="98">
        <f>MAX(0,H47*Assumptions!$B$10)</f>
        <v>1337.4418263532457</v>
      </c>
      <c r="I52" s="98">
        <f>MAX(0,I47*Assumptions!$B$10)</f>
        <v>1374.0152049417056</v>
      </c>
      <c r="J52" s="98">
        <f>MAX(0,J47*Assumptions!$B$10)</f>
        <v>1410.5885835301656</v>
      </c>
      <c r="K52" s="98">
        <f>MAX(0,K47*Assumptions!$B$10)</f>
        <v>1447.1619621186251</v>
      </c>
      <c r="L52" s="98">
        <f>MAX(0,L47*Assumptions!$B$10)</f>
        <v>1483.7353407070846</v>
      </c>
      <c r="M52" s="98">
        <f>MAX(0,M47*Assumptions!$B$10)</f>
        <v>1520.3087192955441</v>
      </c>
      <c r="N52" s="98">
        <f>MAX(0,N47*Assumptions!$B$10)</f>
        <v>1548.1855097041462</v>
      </c>
      <c r="O52" s="98">
        <f>MAX(0,O47*Assumptions!$B$10)</f>
        <v>1576.0623001127483</v>
      </c>
      <c r="P52" s="98">
        <f>MAX(0,P47*Assumptions!$B$10)</f>
        <v>1603.9390905213509</v>
      </c>
      <c r="Q52" s="98">
        <f>MAX(0,Q47*Assumptions!$B$10)</f>
        <v>1631.8158809299525</v>
      </c>
      <c r="R52" s="98">
        <f>SUM(F52:Q52)</f>
        <v>17498.417935155681</v>
      </c>
    </row>
    <row r="53" spans="4:18" x14ac:dyDescent="0.2">
      <c r="D53" s="59" t="s">
        <v>86</v>
      </c>
      <c r="E53" s="76"/>
      <c r="F53" s="98">
        <f>F47-F52</f>
        <v>3792.8852075289815</v>
      </c>
      <c r="G53" s="98">
        <f t="shared" ref="G53:Q53" si="22">G47-G52</f>
        <v>3902.60534329436</v>
      </c>
      <c r="H53" s="98">
        <f t="shared" si="22"/>
        <v>4012.3254790597371</v>
      </c>
      <c r="I53" s="98">
        <f t="shared" si="22"/>
        <v>4122.0456148251169</v>
      </c>
      <c r="J53" s="98">
        <f t="shared" si="22"/>
        <v>4231.7657505904972</v>
      </c>
      <c r="K53" s="98">
        <f t="shared" si="22"/>
        <v>4341.4858863558748</v>
      </c>
      <c r="L53" s="98">
        <f t="shared" si="22"/>
        <v>4451.2060221212541</v>
      </c>
      <c r="M53" s="98">
        <f t="shared" si="22"/>
        <v>4560.9261578866317</v>
      </c>
      <c r="N53" s="98">
        <f t="shared" si="22"/>
        <v>4644.5565291124385</v>
      </c>
      <c r="O53" s="98">
        <f t="shared" si="22"/>
        <v>4728.1869003382453</v>
      </c>
      <c r="P53" s="98">
        <f t="shared" si="22"/>
        <v>4811.8172715640521</v>
      </c>
      <c r="Q53" s="98">
        <f t="shared" si="22"/>
        <v>4895.4476427898571</v>
      </c>
      <c r="R53" s="98">
        <f>SUM(F53:Q53)</f>
        <v>52495.253805467037</v>
      </c>
    </row>
    <row r="54" spans="4:18" x14ac:dyDescent="0.2">
      <c r="D54" s="77"/>
      <c r="J54" s="2"/>
    </row>
    <row r="58" spans="4:18" ht="22" customHeight="1" x14ac:dyDescent="0.2"/>
    <row r="59" spans="4:18" ht="44" customHeight="1" x14ac:dyDescent="0.3">
      <c r="D59" s="199" t="s">
        <v>112</v>
      </c>
      <c r="E59" s="200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2"/>
      <c r="Q59" s="202"/>
      <c r="R59" s="203"/>
    </row>
    <row r="60" spans="4:18" x14ac:dyDescent="0.2">
      <c r="D60" s="85"/>
      <c r="E60" s="86"/>
      <c r="F60" s="26">
        <v>46023</v>
      </c>
      <c r="G60" s="24">
        <v>46054</v>
      </c>
      <c r="H60" s="24">
        <v>46082</v>
      </c>
      <c r="I60" s="24">
        <v>46113</v>
      </c>
      <c r="J60" s="24">
        <v>46143</v>
      </c>
      <c r="K60" s="24">
        <v>46174</v>
      </c>
      <c r="L60" s="24">
        <v>46204</v>
      </c>
      <c r="M60" s="24">
        <v>46235</v>
      </c>
      <c r="N60" s="24">
        <v>46266</v>
      </c>
      <c r="O60" s="24">
        <v>46296</v>
      </c>
      <c r="P60" s="24">
        <v>46327</v>
      </c>
      <c r="Q60" s="24">
        <v>46357</v>
      </c>
      <c r="R60" s="5" t="s">
        <v>55</v>
      </c>
    </row>
    <row r="61" spans="4:18" x14ac:dyDescent="0.2">
      <c r="D61" s="204" t="s">
        <v>108</v>
      </c>
      <c r="E61" s="88" t="s">
        <v>38</v>
      </c>
      <c r="F61" s="6">
        <f>48500*CHOOSE(Scenarios!$B$8,Scenarios!$B$3,Scenarios!$C$3,Scenarios!$D$3)</f>
        <v>48500</v>
      </c>
      <c r="G61" s="6">
        <f>49000*CHOOSE(Scenarios!$B$8,Scenarios!$B$3,Scenarios!$C$3,Scenarios!$D$3)</f>
        <v>49000</v>
      </c>
      <c r="H61" s="6">
        <f>49500*CHOOSE(Scenarios!$B$8,Scenarios!$B$3,Scenarios!$C$3,Scenarios!$D$3)</f>
        <v>49500</v>
      </c>
      <c r="I61" s="6">
        <f>50000*CHOOSE(Scenarios!$B$8,Scenarios!$B$3,Scenarios!$C$3,Scenarios!$D$3)</f>
        <v>50000</v>
      </c>
      <c r="J61" s="6">
        <f>50000*CHOOSE(Scenarios!$B$8,Scenarios!$B$3,Scenarios!$C$3,Scenarios!$D$3)</f>
        <v>50000</v>
      </c>
      <c r="K61" s="6">
        <f>50000*CHOOSE(Scenarios!$B$8,Scenarios!$B$3,Scenarios!$C$3,Scenarios!$D$3)</f>
        <v>50000</v>
      </c>
      <c r="L61" s="6">
        <f>50000*CHOOSE(Scenarios!$B$8,Scenarios!$B$3,Scenarios!$C$3,Scenarios!$D$3)</f>
        <v>50000</v>
      </c>
      <c r="M61" s="6">
        <f>50000*CHOOSE(Scenarios!$B$8,Scenarios!$B$3,Scenarios!$C$3,Scenarios!$D$3)</f>
        <v>50000</v>
      </c>
      <c r="N61" s="6">
        <f>50000*CHOOSE(Scenarios!$B$8,Scenarios!$B$3,Scenarios!$C$3,Scenarios!$D$3)</f>
        <v>50000</v>
      </c>
      <c r="O61" s="6">
        <f>50000*CHOOSE(Scenarios!$B$8,Scenarios!$B$3,Scenarios!$C$3,Scenarios!$D$3)</f>
        <v>50000</v>
      </c>
      <c r="P61" s="6">
        <f>50000*CHOOSE(Scenarios!$B$8,Scenarios!$B$3,Scenarios!$C$3,Scenarios!$D$3)</f>
        <v>50000</v>
      </c>
      <c r="Q61" s="6">
        <f>50000*CHOOSE(Scenarios!$B$8,Scenarios!$B$3,Scenarios!$C$3,Scenarios!$D$3)</f>
        <v>50000</v>
      </c>
      <c r="R61" s="6">
        <f>SUM(F61:Q61)</f>
        <v>597000</v>
      </c>
    </row>
    <row r="62" spans="4:18" x14ac:dyDescent="0.2">
      <c r="D62" s="204"/>
      <c r="E62" s="88" t="s">
        <v>37</v>
      </c>
      <c r="F62" s="6">
        <f>20750*CHOOSE(Scenarios!$B$8,Scenarios!$B$3,Scenarios!$C$3,Scenarios!$D$3)</f>
        <v>20750</v>
      </c>
      <c r="G62" s="6">
        <f>20750*CHOOSE(Scenarios!$B$8,Scenarios!$B$3,Scenarios!$C$3,Scenarios!$D$3)</f>
        <v>20750</v>
      </c>
      <c r="H62" s="6">
        <f>20750*CHOOSE(Scenarios!$B$8,Scenarios!$B$3,Scenarios!$C$3,Scenarios!$D$3)</f>
        <v>20750</v>
      </c>
      <c r="I62" s="6">
        <f>20750*CHOOSE(Scenarios!$B$8,Scenarios!$B$3,Scenarios!$C$3,Scenarios!$D$3)</f>
        <v>20750</v>
      </c>
      <c r="J62" s="6">
        <f>20750*CHOOSE(Scenarios!$B$8,Scenarios!$B$3,Scenarios!$C$3,Scenarios!$D$3)</f>
        <v>20750</v>
      </c>
      <c r="K62" s="6">
        <f>20750*CHOOSE(Scenarios!$B$8,Scenarios!$B$3,Scenarios!$C$3,Scenarios!$D$3)</f>
        <v>20750</v>
      </c>
      <c r="L62" s="6">
        <f>20750*CHOOSE(Scenarios!$B$8,Scenarios!$B$3,Scenarios!$C$3,Scenarios!$D$3)</f>
        <v>20750</v>
      </c>
      <c r="M62" s="6">
        <f>20750*CHOOSE(Scenarios!$B$8,Scenarios!$B$3,Scenarios!$C$3,Scenarios!$D$3)</f>
        <v>20750</v>
      </c>
      <c r="N62" s="6">
        <f>20750*CHOOSE(Scenarios!$B$8,Scenarios!$B$3,Scenarios!$C$3,Scenarios!$D$3)</f>
        <v>20750</v>
      </c>
      <c r="O62" s="6">
        <f>20750*CHOOSE(Scenarios!$B$8,Scenarios!$B$3,Scenarios!$C$3,Scenarios!$D$3)</f>
        <v>20750</v>
      </c>
      <c r="P62" s="6">
        <f>20750*CHOOSE(Scenarios!$B$8,Scenarios!$B$3,Scenarios!$C$3,Scenarios!$D$3)</f>
        <v>20750</v>
      </c>
      <c r="Q62" s="6">
        <f>20750*CHOOSE(Scenarios!$B$8,Scenarios!$B$3,Scenarios!$C$3,Scenarios!$D$3)</f>
        <v>20750</v>
      </c>
      <c r="R62" s="6">
        <f t="shared" ref="R62:R63" si="23">SUM(F62:Q62)</f>
        <v>249000</v>
      </c>
    </row>
    <row r="63" spans="4:18" x14ac:dyDescent="0.2">
      <c r="D63" s="204"/>
      <c r="E63" s="88" t="s">
        <v>39</v>
      </c>
      <c r="F63" s="6">
        <f>12500*CHOOSE(Scenarios!$B$8,Scenarios!$B$3,Scenarios!$C$3,Scenarios!$D$3)</f>
        <v>12500</v>
      </c>
      <c r="G63" s="6">
        <f>12500*CHOOSE(Scenarios!$B$8,Scenarios!$B$3,Scenarios!$C$3,Scenarios!$D$3)</f>
        <v>12500</v>
      </c>
      <c r="H63" s="6">
        <f>12500*CHOOSE(Scenarios!$B$8,Scenarios!$B$3,Scenarios!$C$3,Scenarios!$D$3)</f>
        <v>12500</v>
      </c>
      <c r="I63" s="6">
        <f>12500*CHOOSE(Scenarios!$B$8,Scenarios!$B$3,Scenarios!$C$3,Scenarios!$D$3)</f>
        <v>12500</v>
      </c>
      <c r="J63" s="6">
        <f>12500*CHOOSE(Scenarios!$B$8,Scenarios!$B$3,Scenarios!$C$3,Scenarios!$D$3)</f>
        <v>12500</v>
      </c>
      <c r="K63" s="6">
        <f>12500*CHOOSE(Scenarios!$B$8,Scenarios!$B$3,Scenarios!$C$3,Scenarios!$D$3)</f>
        <v>12500</v>
      </c>
      <c r="L63" s="6">
        <f>12500*CHOOSE(Scenarios!$B$8,Scenarios!$B$3,Scenarios!$C$3,Scenarios!$D$3)</f>
        <v>12500</v>
      </c>
      <c r="M63" s="6">
        <f>12500*CHOOSE(Scenarios!$B$8,Scenarios!$B$3,Scenarios!$C$3,Scenarios!$D$3)</f>
        <v>12500</v>
      </c>
      <c r="N63" s="6">
        <f>12500*CHOOSE(Scenarios!$B$8,Scenarios!$B$3,Scenarios!$C$3,Scenarios!$D$3)</f>
        <v>12500</v>
      </c>
      <c r="O63" s="6">
        <f>12500*CHOOSE(Scenarios!$B$8,Scenarios!$B$3,Scenarios!$C$3,Scenarios!$D$3)</f>
        <v>12500</v>
      </c>
      <c r="P63" s="6">
        <f>12500*CHOOSE(Scenarios!$B$8,Scenarios!$B$3,Scenarios!$C$3,Scenarios!$D$3)</f>
        <v>12500</v>
      </c>
      <c r="Q63" s="6">
        <f>12500*CHOOSE(Scenarios!$B$8,Scenarios!$B$3,Scenarios!$C$3,Scenarios!$D$3)</f>
        <v>12500</v>
      </c>
      <c r="R63" s="6">
        <f t="shared" si="23"/>
        <v>150000</v>
      </c>
    </row>
    <row r="64" spans="4:18" ht="16" customHeight="1" x14ac:dyDescent="0.2">
      <c r="D64" s="205" t="s">
        <v>107</v>
      </c>
      <c r="E64" s="88" t="s">
        <v>38</v>
      </c>
      <c r="F64" s="5">
        <f>F61/1000*Assumptions!$O$19</f>
        <v>13660.833333333334</v>
      </c>
      <c r="G64" s="5">
        <f>G61/1000*Assumptions!$O$19</f>
        <v>13801.666666666668</v>
      </c>
      <c r="H64" s="5">
        <f>H61/1000*Assumptions!$O$19</f>
        <v>13942.500000000002</v>
      </c>
      <c r="I64" s="5">
        <f>I61/1000*Assumptions!$O$19</f>
        <v>14083.333333333334</v>
      </c>
      <c r="J64" s="5">
        <f>J61/1000*Assumptions!$O$19</f>
        <v>14083.333333333334</v>
      </c>
      <c r="K64" s="5">
        <f>K61/1000*Assumptions!$O$19</f>
        <v>14083.333333333334</v>
      </c>
      <c r="L64" s="5">
        <f>L61/1000*Assumptions!$O$19</f>
        <v>14083.333333333334</v>
      </c>
      <c r="M64" s="5">
        <f>M61/1000*Assumptions!$O$19</f>
        <v>14083.333333333334</v>
      </c>
      <c r="N64" s="5">
        <f>N61/1000*Assumptions!$O$19</f>
        <v>14083.333333333334</v>
      </c>
      <c r="O64" s="5">
        <f>O61/1000*Assumptions!$O$19</f>
        <v>14083.333333333334</v>
      </c>
      <c r="P64" s="5">
        <f>P61/1000*Assumptions!$O$19</f>
        <v>14083.333333333334</v>
      </c>
      <c r="Q64" s="5">
        <f>Q61/1000*Assumptions!$O$19</f>
        <v>14083.333333333334</v>
      </c>
      <c r="R64" s="5">
        <f>SUM(F64:Q64)</f>
        <v>168155</v>
      </c>
    </row>
    <row r="65" spans="4:18" x14ac:dyDescent="0.2">
      <c r="D65" s="205"/>
      <c r="E65" s="88" t="s">
        <v>37</v>
      </c>
      <c r="F65" s="5">
        <f>F62/1000*Assumptions!$O$20</f>
        <v>5282.604166666667</v>
      </c>
      <c r="G65" s="5">
        <f>G62/1000*Assumptions!$O$20</f>
        <v>5282.604166666667</v>
      </c>
      <c r="H65" s="5">
        <f>H62/1000*Assumptions!$O$20</f>
        <v>5282.604166666667</v>
      </c>
      <c r="I65" s="5">
        <f>I62/1000*Assumptions!$O$20</f>
        <v>5282.604166666667</v>
      </c>
      <c r="J65" s="5">
        <f>J62/1000*Assumptions!$O$20</f>
        <v>5282.604166666667</v>
      </c>
      <c r="K65" s="5">
        <f>K62/1000*Assumptions!$O$20</f>
        <v>5282.604166666667</v>
      </c>
      <c r="L65" s="5">
        <f>L62/1000*Assumptions!$O$20</f>
        <v>5282.604166666667</v>
      </c>
      <c r="M65" s="5">
        <f>M62/1000*Assumptions!$O$20</f>
        <v>5282.604166666667</v>
      </c>
      <c r="N65" s="5">
        <f>N62/1000*Assumptions!$O$20</f>
        <v>5282.604166666667</v>
      </c>
      <c r="O65" s="5">
        <f>O62/1000*Assumptions!$O$20</f>
        <v>5282.604166666667</v>
      </c>
      <c r="P65" s="5">
        <f>P62/1000*Assumptions!$O$20</f>
        <v>5282.604166666667</v>
      </c>
      <c r="Q65" s="5">
        <f>Q62/1000*Assumptions!$O$20</f>
        <v>5282.604166666667</v>
      </c>
      <c r="R65" s="5">
        <f t="shared" ref="R65:R66" si="24">SUM(F65:Q65)</f>
        <v>63391.249999999993</v>
      </c>
    </row>
    <row r="66" spans="4:18" x14ac:dyDescent="0.2">
      <c r="D66" s="205"/>
      <c r="E66" s="88" t="s">
        <v>39</v>
      </c>
      <c r="F66" s="5">
        <f>F63/1000*Assumptions!$O$21</f>
        <v>3046.875</v>
      </c>
      <c r="G66" s="5">
        <f>G63/1000*Assumptions!$O$21</f>
        <v>3046.875</v>
      </c>
      <c r="H66" s="5">
        <f>H63/1000*Assumptions!$O$21</f>
        <v>3046.875</v>
      </c>
      <c r="I66" s="5">
        <f>I63/1000*Assumptions!$O$21</f>
        <v>3046.875</v>
      </c>
      <c r="J66" s="5">
        <f>J63/1000*Assumptions!$O$21</f>
        <v>3046.875</v>
      </c>
      <c r="K66" s="5">
        <f>K63/1000*Assumptions!$O$21</f>
        <v>3046.875</v>
      </c>
      <c r="L66" s="5">
        <f>L63/1000*Assumptions!$O$21</f>
        <v>3046.875</v>
      </c>
      <c r="M66" s="5">
        <f>M63/1000*Assumptions!$O$21</f>
        <v>3046.875</v>
      </c>
      <c r="N66" s="5">
        <f>N63/1000*Assumptions!$O$21</f>
        <v>3046.875</v>
      </c>
      <c r="O66" s="5">
        <f>O63/1000*Assumptions!$O$21</f>
        <v>3046.875</v>
      </c>
      <c r="P66" s="5">
        <f>P63/1000*Assumptions!$O$21</f>
        <v>3046.875</v>
      </c>
      <c r="Q66" s="5">
        <f>Q63/1000*Assumptions!$O$21</f>
        <v>3046.875</v>
      </c>
      <c r="R66" s="5">
        <f t="shared" si="24"/>
        <v>36562.5</v>
      </c>
    </row>
    <row r="67" spans="4:18" ht="16" customHeight="1" x14ac:dyDescent="0.2">
      <c r="D67" s="205" t="s">
        <v>106</v>
      </c>
      <c r="E67" s="88" t="s">
        <v>38</v>
      </c>
      <c r="F67" s="4">
        <f>(F61/1000) * 'Стоимость производства'!$H$12 * 1.06*1.06</f>
        <v>6357.9517654797901</v>
      </c>
      <c r="G67" s="4">
        <f>(G61/1000) * 'Стоимость производства'!$H$12 * 1.06*1.06</f>
        <v>6423.4976599692727</v>
      </c>
      <c r="H67" s="4">
        <f>(H61/1000) * 'Стоимость производства'!$H$12 * 1.06*1.06</f>
        <v>6489.0435544587554</v>
      </c>
      <c r="I67" s="4">
        <f>(I61/1000) * 'Стоимость производства'!$H$12 * 1.06*1.06</f>
        <v>6554.589448948238</v>
      </c>
      <c r="J67" s="4">
        <f>(J61/1000) * 'Стоимость производства'!$H$12 * 1.06*1.06</f>
        <v>6554.589448948238</v>
      </c>
      <c r="K67" s="4">
        <f>(K61/1000) * 'Стоимость производства'!$H$12 * 1.06*1.06</f>
        <v>6554.589448948238</v>
      </c>
      <c r="L67" s="4">
        <f>(L61/1000) * 'Стоимость производства'!$H$12 * 1.06*1.06</f>
        <v>6554.589448948238</v>
      </c>
      <c r="M67" s="4">
        <f>(M61/1000) * 'Стоимость производства'!$H$12 * 1.06*1.06</f>
        <v>6554.589448948238</v>
      </c>
      <c r="N67" s="4">
        <f>(N61/1000) * 'Стоимость производства'!$H$12 * 1.06*1.06</f>
        <v>6554.589448948238</v>
      </c>
      <c r="O67" s="4">
        <f>(O61/1000) * 'Стоимость производства'!$H$12 * 1.06*1.06</f>
        <v>6554.589448948238</v>
      </c>
      <c r="P67" s="4">
        <f>(P61/1000) * 'Стоимость производства'!$H$12 * 1.06*1.06</f>
        <v>6554.589448948238</v>
      </c>
      <c r="Q67" s="4">
        <f>(Q61/1000) * 'Стоимость производства'!$H$12 * 1.06*1.06</f>
        <v>6554.589448948238</v>
      </c>
      <c r="R67" s="5">
        <f>SUM(F67:Q67)</f>
        <v>78261.798020441958</v>
      </c>
    </row>
    <row r="68" spans="4:18" x14ac:dyDescent="0.2">
      <c r="D68" s="205"/>
      <c r="E68" s="88" t="s">
        <v>37</v>
      </c>
      <c r="F68" s="60">
        <f>'Стоимость производства'!$H$34*'P&amp;L'!F62 /1000* 1.06*1.06</f>
        <v>2739.3677601110289</v>
      </c>
      <c r="G68" s="60">
        <f>'Стоимость производства'!$H$34*'P&amp;L'!G62 /1000* 1.06*1.06</f>
        <v>2739.3677601110289</v>
      </c>
      <c r="H68" s="60">
        <f>'Стоимость производства'!$H$34*'P&amp;L'!H62 /1000* 1.06*1.06</f>
        <v>2739.3677601110289</v>
      </c>
      <c r="I68" s="60">
        <f>'Стоимость производства'!$H$34*'P&amp;L'!I62 /1000* 1.06*1.06</f>
        <v>2739.3677601110289</v>
      </c>
      <c r="J68" s="60">
        <f>'Стоимость производства'!$H$34*'P&amp;L'!J62 /1000* 1.06*1.06</f>
        <v>2739.3677601110289</v>
      </c>
      <c r="K68" s="60">
        <f>'Стоимость производства'!$H$34*'P&amp;L'!K62 /1000* 1.06*1.06</f>
        <v>2739.3677601110289</v>
      </c>
      <c r="L68" s="60">
        <f>'Стоимость производства'!$H$34*'P&amp;L'!L62 /1000* 1.06*1.06</f>
        <v>2739.3677601110289</v>
      </c>
      <c r="M68" s="60">
        <f>'Стоимость производства'!$H$34*'P&amp;L'!M62 /1000* 1.06*1.06</f>
        <v>2739.3677601110289</v>
      </c>
      <c r="N68" s="60">
        <f>'Стоимость производства'!$H$34*'P&amp;L'!N62 /1000* 1.06*1.06</f>
        <v>2739.3677601110289</v>
      </c>
      <c r="O68" s="60">
        <f>'Стоимость производства'!$H$34*'P&amp;L'!O62 /1000* 1.06*1.06</f>
        <v>2739.3677601110289</v>
      </c>
      <c r="P68" s="60">
        <f>'Стоимость производства'!$H$34*'P&amp;L'!P62 /1000* 1.06*1.06</f>
        <v>2739.3677601110289</v>
      </c>
      <c r="Q68" s="60">
        <f>'Стоимость производства'!$H$34*'P&amp;L'!Q62 /1000* 1.06*1.06</f>
        <v>2739.3677601110289</v>
      </c>
      <c r="R68" s="4">
        <f>SUM(F68:Q68)</f>
        <v>32872.413121332349</v>
      </c>
    </row>
    <row r="69" spans="4:18" x14ac:dyDescent="0.2">
      <c r="D69" s="205"/>
      <c r="E69" s="89" t="s">
        <v>39</v>
      </c>
      <c r="F69" s="5">
        <f>('Стоимость производства'!$H$61)*'P&amp;L'!F63/1000* 1.06*1.06</f>
        <v>1386.0108058702176</v>
      </c>
      <c r="G69" s="5">
        <f>('Стоимость производства'!$H$61)*'P&amp;L'!G63/1000* 1.06*1.06</f>
        <v>1386.0108058702176</v>
      </c>
      <c r="H69" s="5">
        <f>('Стоимость производства'!$H$61)*'P&amp;L'!H63/1000* 1.06*1.06</f>
        <v>1386.0108058702176</v>
      </c>
      <c r="I69" s="5">
        <f>('Стоимость производства'!$H$61)*'P&amp;L'!I63/1000* 1.06*1.06</f>
        <v>1386.0108058702176</v>
      </c>
      <c r="J69" s="5">
        <f>('Стоимость производства'!$H$61)*'P&amp;L'!J63/1000* 1.06*1.06</f>
        <v>1386.0108058702176</v>
      </c>
      <c r="K69" s="5">
        <f>('Стоимость производства'!$H$61)*'P&amp;L'!K63/1000* 1.06*1.06</f>
        <v>1386.0108058702176</v>
      </c>
      <c r="L69" s="5">
        <f>('Стоимость производства'!$H$61)*'P&amp;L'!L63/1000* 1.06*1.06</f>
        <v>1386.0108058702176</v>
      </c>
      <c r="M69" s="5">
        <f>('Стоимость производства'!$H$61)*'P&amp;L'!M63/1000* 1.06*1.06</f>
        <v>1386.0108058702176</v>
      </c>
      <c r="N69" s="5">
        <f>('Стоимость производства'!$H$61)*'P&amp;L'!N63/1000* 1.06*1.06</f>
        <v>1386.0108058702176</v>
      </c>
      <c r="O69" s="5">
        <f>('Стоимость производства'!$H$61)*'P&amp;L'!O63/1000* 1.06*1.06</f>
        <v>1386.0108058702176</v>
      </c>
      <c r="P69" s="5">
        <f>('Стоимость производства'!$H$61)*'P&amp;L'!P63/1000* 1.06*1.06</f>
        <v>1386.0108058702176</v>
      </c>
      <c r="Q69" s="5">
        <f>('Стоимость производства'!$H$61)*'P&amp;L'!Q63/1000* 1.06*1.06</f>
        <v>1386.0108058702176</v>
      </c>
      <c r="R69" s="5">
        <f>SUM(F69:Q69)</f>
        <v>16632.129670442609</v>
      </c>
    </row>
    <row r="70" spans="4:18" x14ac:dyDescent="0.2">
      <c r="D70" s="87" t="s">
        <v>56</v>
      </c>
      <c r="E70" s="63"/>
      <c r="F70" s="6">
        <f>Assumptions!$F$32</f>
        <v>1830</v>
      </c>
      <c r="G70" s="6">
        <f>Assumptions!$F$32</f>
        <v>1830</v>
      </c>
      <c r="H70" s="6">
        <f>Assumptions!$F$32</f>
        <v>1830</v>
      </c>
      <c r="I70" s="6">
        <f>Assumptions!$F$32</f>
        <v>1830</v>
      </c>
      <c r="J70" s="6">
        <f>Assumptions!$F$32</f>
        <v>1830</v>
      </c>
      <c r="K70" s="6">
        <f>Assumptions!$F$32</f>
        <v>1830</v>
      </c>
      <c r="L70" s="6">
        <f>Assumptions!$F$32</f>
        <v>1830</v>
      </c>
      <c r="M70" s="6">
        <f>Assumptions!$F$32</f>
        <v>1830</v>
      </c>
      <c r="N70" s="6">
        <f>Assumptions!$F$32</f>
        <v>1830</v>
      </c>
      <c r="O70" s="6">
        <f>Assumptions!$F$32</f>
        <v>1830</v>
      </c>
      <c r="P70" s="6">
        <f>Assumptions!$F$32</f>
        <v>1830</v>
      </c>
      <c r="Q70" s="6">
        <f>Assumptions!$F$32</f>
        <v>1830</v>
      </c>
      <c r="R70" s="6">
        <f>SUM(F70:Q70)</f>
        <v>21960</v>
      </c>
    </row>
    <row r="71" spans="4:18" x14ac:dyDescent="0.2">
      <c r="D71" s="87" t="s">
        <v>57</v>
      </c>
      <c r="E71" s="63"/>
      <c r="F71" s="5">
        <f>Assumptions!$B$43</f>
        <v>553.80753968253964</v>
      </c>
      <c r="G71" s="5">
        <f>Assumptions!$B$43</f>
        <v>553.80753968253964</v>
      </c>
      <c r="H71" s="5">
        <f>Assumptions!$B$43</f>
        <v>553.80753968253964</v>
      </c>
      <c r="I71" s="5">
        <f>Assumptions!$B$43</f>
        <v>553.80753968253964</v>
      </c>
      <c r="J71" s="5">
        <f>Assumptions!$B$43</f>
        <v>553.80753968253964</v>
      </c>
      <c r="K71" s="5">
        <f>Assumptions!$B$43</f>
        <v>553.80753968253964</v>
      </c>
      <c r="L71" s="5">
        <f>Assumptions!$B$43</f>
        <v>553.80753968253964</v>
      </c>
      <c r="M71" s="5">
        <f>Assumptions!$B$43</f>
        <v>553.80753968253964</v>
      </c>
      <c r="N71" s="5">
        <f>Assumptions!$B$43</f>
        <v>553.80753968253964</v>
      </c>
      <c r="O71" s="5">
        <f>Assumptions!$B$43</f>
        <v>553.80753968253964</v>
      </c>
      <c r="P71" s="5">
        <f>Assumptions!$B$43</f>
        <v>553.80753968253964</v>
      </c>
      <c r="Q71" s="5">
        <f>Assumptions!$B$43</f>
        <v>553.80753968253964</v>
      </c>
      <c r="R71" s="5">
        <f>Q71*12</f>
        <v>6645.6904761904752</v>
      </c>
    </row>
    <row r="72" spans="4:18" x14ac:dyDescent="0.2">
      <c r="D72" s="87" t="s">
        <v>83</v>
      </c>
      <c r="E72" s="90"/>
      <c r="F72" s="5">
        <f>Assumptions!$F$39* 1.06*1.06</f>
        <v>5202.268</v>
      </c>
      <c r="G72" s="5">
        <f>Assumptions!$F$39* 1.06*1.06</f>
        <v>5202.268</v>
      </c>
      <c r="H72" s="5">
        <f>Assumptions!$F$39* 1.06*1.06</f>
        <v>5202.268</v>
      </c>
      <c r="I72" s="5">
        <f>Assumptions!$F$39* 1.06*1.06</f>
        <v>5202.268</v>
      </c>
      <c r="J72" s="5">
        <f>Assumptions!$F$39* 1.06*1.06</f>
        <v>5202.268</v>
      </c>
      <c r="K72" s="5">
        <f>Assumptions!$F$39* 1.06*1.06</f>
        <v>5202.268</v>
      </c>
      <c r="L72" s="5">
        <f>Assumptions!$F$39* 1.06*1.06</f>
        <v>5202.268</v>
      </c>
      <c r="M72" s="5">
        <f>Assumptions!$F$39* 1.06*1.06</f>
        <v>5202.268</v>
      </c>
      <c r="N72" s="5">
        <f>Assumptions!$F$39* 1.06*1.06</f>
        <v>5202.268</v>
      </c>
      <c r="O72" s="5">
        <f>Assumptions!$F$39* 1.06*1.06</f>
        <v>5202.268</v>
      </c>
      <c r="P72" s="5">
        <f>Assumptions!$F$39* 1.06*1.06</f>
        <v>5202.268</v>
      </c>
      <c r="Q72" s="5">
        <f>Assumptions!$F$39* 1.06*1.06</f>
        <v>5202.268</v>
      </c>
      <c r="R72" s="5">
        <f>SUM(F72:Q72)</f>
        <v>62427.215999999986</v>
      </c>
    </row>
    <row r="73" spans="4:18" x14ac:dyDescent="0.2">
      <c r="D73" s="87" t="s">
        <v>74</v>
      </c>
      <c r="E73" s="90"/>
      <c r="F73" s="5">
        <f>SUM(F74:F76) - F72 - F71</f>
        <v>5750.9066288564254</v>
      </c>
      <c r="G73" s="5">
        <f t="shared" ref="G73:P73" si="25">SUM(G74:G76) - G72 - G71</f>
        <v>5826.1940677002758</v>
      </c>
      <c r="H73" s="5">
        <f t="shared" si="25"/>
        <v>5901.481506544128</v>
      </c>
      <c r="I73" s="5">
        <f t="shared" si="25"/>
        <v>5976.7689453879766</v>
      </c>
      <c r="J73" s="5">
        <f t="shared" si="25"/>
        <v>5976.7689453879766</v>
      </c>
      <c r="K73" s="5">
        <f t="shared" si="25"/>
        <v>5976.7689453879766</v>
      </c>
      <c r="L73" s="5">
        <f t="shared" si="25"/>
        <v>5976.7689453879766</v>
      </c>
      <c r="M73" s="5">
        <f t="shared" si="25"/>
        <v>5976.7689453879766</v>
      </c>
      <c r="N73" s="5">
        <f t="shared" si="25"/>
        <v>5976.7689453879766</v>
      </c>
      <c r="O73" s="5">
        <f t="shared" si="25"/>
        <v>5976.7689453879766</v>
      </c>
      <c r="P73" s="5">
        <f t="shared" si="25"/>
        <v>5976.7689453879766</v>
      </c>
      <c r="Q73" s="5">
        <f>SUM(Q74:Q76) - Q72 - Q71</f>
        <v>5976.7689453879766</v>
      </c>
      <c r="R73" s="5">
        <f t="shared" ref="R73" si="26">SUM(R74:R76) - R72 - R71</f>
        <v>71269.50271159265</v>
      </c>
    </row>
    <row r="74" spans="4:18" x14ac:dyDescent="0.2">
      <c r="D74" s="204" t="s">
        <v>75</v>
      </c>
      <c r="E74" s="91" t="s">
        <v>38</v>
      </c>
      <c r="F74" s="5">
        <f>F64-F67</f>
        <v>7302.8815678535439</v>
      </c>
      <c r="G74" s="5">
        <f t="shared" ref="G74:P74" si="27">G64-G67</f>
        <v>7378.1690066973952</v>
      </c>
      <c r="H74" s="5">
        <f t="shared" si="27"/>
        <v>7453.4564455412465</v>
      </c>
      <c r="I74" s="5">
        <f t="shared" si="27"/>
        <v>7528.743884385096</v>
      </c>
      <c r="J74" s="5">
        <f t="shared" si="27"/>
        <v>7528.743884385096</v>
      </c>
      <c r="K74" s="5">
        <f t="shared" si="27"/>
        <v>7528.743884385096</v>
      </c>
      <c r="L74" s="5">
        <f t="shared" si="27"/>
        <v>7528.743884385096</v>
      </c>
      <c r="M74" s="5">
        <f t="shared" si="27"/>
        <v>7528.743884385096</v>
      </c>
      <c r="N74" s="5">
        <f t="shared" si="27"/>
        <v>7528.743884385096</v>
      </c>
      <c r="O74" s="5">
        <f t="shared" si="27"/>
        <v>7528.743884385096</v>
      </c>
      <c r="P74" s="5">
        <f t="shared" si="27"/>
        <v>7528.743884385096</v>
      </c>
      <c r="Q74" s="5">
        <f>Q64-Q67</f>
        <v>7528.743884385096</v>
      </c>
      <c r="R74" s="5">
        <f t="shared" ref="R74:R79" si="28">SUM(F74:Q74)</f>
        <v>89893.201979558056</v>
      </c>
    </row>
    <row r="75" spans="4:18" x14ac:dyDescent="0.2">
      <c r="D75" s="204"/>
      <c r="E75" s="88" t="s">
        <v>37</v>
      </c>
      <c r="F75" s="5">
        <f t="shared" ref="F75" si="29">F65-F68</f>
        <v>2543.236406555638</v>
      </c>
      <c r="G75" s="5">
        <f t="shared" ref="G75:Q75" si="30">G65-G68</f>
        <v>2543.236406555638</v>
      </c>
      <c r="H75" s="5">
        <f t="shared" si="30"/>
        <v>2543.236406555638</v>
      </c>
      <c r="I75" s="5">
        <f t="shared" si="30"/>
        <v>2543.236406555638</v>
      </c>
      <c r="J75" s="5">
        <f t="shared" si="30"/>
        <v>2543.236406555638</v>
      </c>
      <c r="K75" s="5">
        <f t="shared" si="30"/>
        <v>2543.236406555638</v>
      </c>
      <c r="L75" s="5">
        <f t="shared" si="30"/>
        <v>2543.236406555638</v>
      </c>
      <c r="M75" s="5">
        <f t="shared" si="30"/>
        <v>2543.236406555638</v>
      </c>
      <c r="N75" s="5">
        <f t="shared" si="30"/>
        <v>2543.236406555638</v>
      </c>
      <c r="O75" s="5">
        <f t="shared" si="30"/>
        <v>2543.236406555638</v>
      </c>
      <c r="P75" s="5">
        <f t="shared" si="30"/>
        <v>2543.236406555638</v>
      </c>
      <c r="Q75" s="5">
        <f t="shared" si="30"/>
        <v>2543.236406555638</v>
      </c>
      <c r="R75" s="5">
        <f t="shared" si="28"/>
        <v>30518.836878667662</v>
      </c>
    </row>
    <row r="76" spans="4:18" x14ac:dyDescent="0.2">
      <c r="D76" s="204"/>
      <c r="E76" s="88" t="s">
        <v>39</v>
      </c>
      <c r="F76" s="5">
        <f t="shared" ref="F76" si="31">F66-F69</f>
        <v>1660.8641941297824</v>
      </c>
      <c r="G76" s="5">
        <f t="shared" ref="G76:Q76" si="32">G66-G69</f>
        <v>1660.8641941297824</v>
      </c>
      <c r="H76" s="5">
        <f t="shared" si="32"/>
        <v>1660.8641941297824</v>
      </c>
      <c r="I76" s="5">
        <f t="shared" si="32"/>
        <v>1660.8641941297824</v>
      </c>
      <c r="J76" s="5">
        <f t="shared" si="32"/>
        <v>1660.8641941297824</v>
      </c>
      <c r="K76" s="5">
        <f t="shared" si="32"/>
        <v>1660.8641941297824</v>
      </c>
      <c r="L76" s="5">
        <f t="shared" si="32"/>
        <v>1660.8641941297824</v>
      </c>
      <c r="M76" s="5">
        <f t="shared" si="32"/>
        <v>1660.8641941297824</v>
      </c>
      <c r="N76" s="5">
        <f t="shared" si="32"/>
        <v>1660.8641941297824</v>
      </c>
      <c r="O76" s="5">
        <f t="shared" si="32"/>
        <v>1660.8641941297824</v>
      </c>
      <c r="P76" s="5">
        <f t="shared" si="32"/>
        <v>1660.8641941297824</v>
      </c>
      <c r="Q76" s="5">
        <f t="shared" si="32"/>
        <v>1660.8641941297824</v>
      </c>
      <c r="R76" s="5">
        <f t="shared" si="28"/>
        <v>19930.370329557391</v>
      </c>
    </row>
    <row r="77" spans="4:18" x14ac:dyDescent="0.2">
      <c r="D77" s="87" t="s">
        <v>85</v>
      </c>
      <c r="E77" s="92"/>
      <c r="F77" s="25">
        <f>F79+F78+F71</f>
        <v>6304.7141685389652</v>
      </c>
      <c r="G77" s="25">
        <f t="shared" ref="G77:P77" si="33">G79+G78+G71</f>
        <v>6380.0016073828156</v>
      </c>
      <c r="H77" s="25">
        <f t="shared" si="33"/>
        <v>6455.2890462266678</v>
      </c>
      <c r="I77" s="25">
        <f t="shared" si="33"/>
        <v>6530.5764850705164</v>
      </c>
      <c r="J77" s="25">
        <f t="shared" si="33"/>
        <v>6530.5764850705164</v>
      </c>
      <c r="K77" s="25">
        <f t="shared" si="33"/>
        <v>6530.5764850705164</v>
      </c>
      <c r="L77" s="25">
        <f t="shared" si="33"/>
        <v>6530.5764850705164</v>
      </c>
      <c r="M77" s="25">
        <f t="shared" si="33"/>
        <v>6530.5764850705164</v>
      </c>
      <c r="N77" s="25">
        <f t="shared" si="33"/>
        <v>6530.5764850705164</v>
      </c>
      <c r="O77" s="25">
        <f t="shared" si="33"/>
        <v>6530.5764850705164</v>
      </c>
      <c r="P77" s="25">
        <f t="shared" si="33"/>
        <v>6530.5764850705164</v>
      </c>
      <c r="Q77" s="25">
        <f>Q79+Q78+Q71</f>
        <v>6530.5764850705164</v>
      </c>
      <c r="R77" s="5">
        <f t="shared" si="28"/>
        <v>77915.193187783094</v>
      </c>
    </row>
    <row r="78" spans="4:18" x14ac:dyDescent="0.2">
      <c r="D78" s="93" t="s">
        <v>31</v>
      </c>
      <c r="E78" s="4"/>
      <c r="F78" s="5">
        <f>MAX(0,F73*Assumptions!$B$10)</f>
        <v>1437.7266572141064</v>
      </c>
      <c r="G78" s="5">
        <f>MAX(0,G73*Assumptions!$B$10)</f>
        <v>1456.548516925069</v>
      </c>
      <c r="H78" s="5">
        <f>MAX(0,H73*Assumptions!$B$10)</f>
        <v>1475.370376636032</v>
      </c>
      <c r="I78" s="5">
        <f>MAX(0,I73*Assumptions!$B$10)</f>
        <v>1494.1922363469942</v>
      </c>
      <c r="J78" s="5">
        <f>MAX(0,J73*Assumptions!$B$10)</f>
        <v>1494.1922363469942</v>
      </c>
      <c r="K78" s="5">
        <f>MAX(0,K73*Assumptions!$B$10)</f>
        <v>1494.1922363469942</v>
      </c>
      <c r="L78" s="5">
        <f>MAX(0,L73*Assumptions!$B$10)</f>
        <v>1494.1922363469942</v>
      </c>
      <c r="M78" s="5">
        <f>MAX(0,M73*Assumptions!$B$10)</f>
        <v>1494.1922363469942</v>
      </c>
      <c r="N78" s="5">
        <f>MAX(0,N73*Assumptions!$B$10)</f>
        <v>1494.1922363469942</v>
      </c>
      <c r="O78" s="5">
        <f>MAX(0,O73*Assumptions!$B$10)</f>
        <v>1494.1922363469942</v>
      </c>
      <c r="P78" s="5">
        <f>MAX(0,P73*Assumptions!$B$10)</f>
        <v>1494.1922363469942</v>
      </c>
      <c r="Q78" s="5">
        <f>MAX(0,Q73*Assumptions!$B$10)</f>
        <v>1494.1922363469942</v>
      </c>
      <c r="R78" s="5">
        <f t="shared" si="28"/>
        <v>17817.375677898159</v>
      </c>
    </row>
    <row r="79" spans="4:18" x14ac:dyDescent="0.2">
      <c r="D79" s="87" t="s">
        <v>86</v>
      </c>
      <c r="E79" s="94"/>
      <c r="F79" s="5">
        <f>F73-F78</f>
        <v>4313.1799716423193</v>
      </c>
      <c r="G79" s="5">
        <f t="shared" ref="G79:P79" si="34">G73-G78</f>
        <v>4369.6455507752071</v>
      </c>
      <c r="H79" s="5">
        <f t="shared" si="34"/>
        <v>4426.1111299080958</v>
      </c>
      <c r="I79" s="5">
        <f t="shared" si="34"/>
        <v>4482.5767090409827</v>
      </c>
      <c r="J79" s="5">
        <f t="shared" si="34"/>
        <v>4482.5767090409827</v>
      </c>
      <c r="K79" s="5">
        <f t="shared" si="34"/>
        <v>4482.5767090409827</v>
      </c>
      <c r="L79" s="5">
        <f t="shared" si="34"/>
        <v>4482.5767090409827</v>
      </c>
      <c r="M79" s="5">
        <f t="shared" si="34"/>
        <v>4482.5767090409827</v>
      </c>
      <c r="N79" s="5">
        <f t="shared" si="34"/>
        <v>4482.5767090409827</v>
      </c>
      <c r="O79" s="5">
        <f t="shared" si="34"/>
        <v>4482.5767090409827</v>
      </c>
      <c r="P79" s="5">
        <f t="shared" si="34"/>
        <v>4482.5767090409827</v>
      </c>
      <c r="Q79" s="5">
        <f>Q73-Q78</f>
        <v>4482.5767090409827</v>
      </c>
      <c r="R79" s="5">
        <f t="shared" si="28"/>
        <v>53452.127033694458</v>
      </c>
    </row>
    <row r="80" spans="4:18" x14ac:dyDescent="0.2">
      <c r="D80" s="95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</row>
    <row r="85" spans="4:21" ht="32" customHeight="1" x14ac:dyDescent="0.3">
      <c r="D85" s="192" t="s">
        <v>113</v>
      </c>
      <c r="E85" s="193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78"/>
      <c r="Q85" s="178"/>
      <c r="R85" s="179"/>
    </row>
    <row r="86" spans="4:21" x14ac:dyDescent="0.2">
      <c r="D86" s="27"/>
      <c r="E86" s="28"/>
      <c r="F86" s="26">
        <v>46023</v>
      </c>
      <c r="G86" s="24">
        <v>46054</v>
      </c>
      <c r="H86" s="24">
        <v>46082</v>
      </c>
      <c r="I86" s="24">
        <v>46113</v>
      </c>
      <c r="J86" s="24">
        <v>46143</v>
      </c>
      <c r="K86" s="24">
        <v>46174</v>
      </c>
      <c r="L86" s="24">
        <v>46204</v>
      </c>
      <c r="M86" s="24">
        <v>46235</v>
      </c>
      <c r="N86" s="24">
        <v>46266</v>
      </c>
      <c r="O86" s="24">
        <v>46296</v>
      </c>
      <c r="P86" s="24">
        <v>46327</v>
      </c>
      <c r="Q86" s="24">
        <v>46357</v>
      </c>
      <c r="R86" s="6" t="s">
        <v>7</v>
      </c>
    </row>
    <row r="87" spans="4:21" x14ac:dyDescent="0.2">
      <c r="D87" s="197" t="s">
        <v>108</v>
      </c>
      <c r="E87" s="72" t="s">
        <v>38</v>
      </c>
      <c r="F87" s="6">
        <f>50000*CHOOSE(Scenarios!$B$8,Scenarios!$B$3,Scenarios!$C$3,Scenarios!$D$3)</f>
        <v>50000</v>
      </c>
      <c r="G87" s="6">
        <f>50000*CHOOSE(Scenarios!$B$8,Scenarios!$B$3,Scenarios!$C$3,Scenarios!$D$3)</f>
        <v>50000</v>
      </c>
      <c r="H87" s="6">
        <f>50000*CHOOSE(Scenarios!$B$8,Scenarios!$B$3,Scenarios!$C$3,Scenarios!$D$3)</f>
        <v>50000</v>
      </c>
      <c r="I87" s="6">
        <f>50000*CHOOSE(Scenarios!$B$8,Scenarios!$B$3,Scenarios!$C$3,Scenarios!$D$3)</f>
        <v>50000</v>
      </c>
      <c r="J87" s="6">
        <f>50000*CHOOSE(Scenarios!$B$8,Scenarios!$B$3,Scenarios!$C$3,Scenarios!$D$3)</f>
        <v>50000</v>
      </c>
      <c r="K87" s="6">
        <f>50000*CHOOSE(Scenarios!$B$8,Scenarios!$B$3,Scenarios!$C$3,Scenarios!$D$3)</f>
        <v>50000</v>
      </c>
      <c r="L87" s="6">
        <f>50000*CHOOSE(Scenarios!$B$8,Scenarios!$B$3,Scenarios!$C$3,Scenarios!$D$3)</f>
        <v>50000</v>
      </c>
      <c r="M87" s="6">
        <f>50000*CHOOSE(Scenarios!$B$8,Scenarios!$B$3,Scenarios!$C$3,Scenarios!$D$3)</f>
        <v>50000</v>
      </c>
      <c r="N87" s="6">
        <f>50000*CHOOSE(Scenarios!$B$8,Scenarios!$B$3,Scenarios!$C$3,Scenarios!$D$3)</f>
        <v>50000</v>
      </c>
      <c r="O87" s="6">
        <f>50000*CHOOSE(Scenarios!$B$8,Scenarios!$B$3,Scenarios!$C$3,Scenarios!$D$3)</f>
        <v>50000</v>
      </c>
      <c r="P87" s="6">
        <f>50000*CHOOSE(Scenarios!$B$8,Scenarios!$B$3,Scenarios!$C$3,Scenarios!$D$3)</f>
        <v>50000</v>
      </c>
      <c r="Q87" s="6">
        <f>50000*CHOOSE(Scenarios!$B$8,Scenarios!$B$3,Scenarios!$C$3,Scenarios!$D$3)</f>
        <v>50000</v>
      </c>
      <c r="R87" s="6">
        <f>SUM(F87:Q87)</f>
        <v>600000</v>
      </c>
    </row>
    <row r="88" spans="4:21" x14ac:dyDescent="0.2">
      <c r="D88" s="197"/>
      <c r="E88" s="72" t="s">
        <v>37</v>
      </c>
      <c r="F88" s="6">
        <f>20750*CHOOSE(Scenarios!$B$8,Scenarios!$B$3,Scenarios!$C$3,Scenarios!$D$3)</f>
        <v>20750</v>
      </c>
      <c r="G88" s="6">
        <f>20750*CHOOSE(Scenarios!$B$8,Scenarios!$B$3,Scenarios!$C$3,Scenarios!$D$3)</f>
        <v>20750</v>
      </c>
      <c r="H88" s="6">
        <f>20750*CHOOSE(Scenarios!$B$8,Scenarios!$B$3,Scenarios!$C$3,Scenarios!$D$3)</f>
        <v>20750</v>
      </c>
      <c r="I88" s="6">
        <f>20750*CHOOSE(Scenarios!$B$8,Scenarios!$B$3,Scenarios!$C$3,Scenarios!$D$3)</f>
        <v>20750</v>
      </c>
      <c r="J88" s="6">
        <f>20750*CHOOSE(Scenarios!$B$8,Scenarios!$B$3,Scenarios!$C$3,Scenarios!$D$3)</f>
        <v>20750</v>
      </c>
      <c r="K88" s="6">
        <f>20750*CHOOSE(Scenarios!$B$8,Scenarios!$B$3,Scenarios!$C$3,Scenarios!$D$3)</f>
        <v>20750</v>
      </c>
      <c r="L88" s="6">
        <f>20750*CHOOSE(Scenarios!$B$8,Scenarios!$B$3,Scenarios!$C$3,Scenarios!$D$3)</f>
        <v>20750</v>
      </c>
      <c r="M88" s="6">
        <f>20750*CHOOSE(Scenarios!$B$8,Scenarios!$B$3,Scenarios!$C$3,Scenarios!$D$3)</f>
        <v>20750</v>
      </c>
      <c r="N88" s="6">
        <f>20750*CHOOSE(Scenarios!$B$8,Scenarios!$B$3,Scenarios!$C$3,Scenarios!$D$3)</f>
        <v>20750</v>
      </c>
      <c r="O88" s="6">
        <f>20750*CHOOSE(Scenarios!$B$8,Scenarios!$B$3,Scenarios!$C$3,Scenarios!$D$3)</f>
        <v>20750</v>
      </c>
      <c r="P88" s="6">
        <f>20750*CHOOSE(Scenarios!$B$8,Scenarios!$B$3,Scenarios!$C$3,Scenarios!$D$3)</f>
        <v>20750</v>
      </c>
      <c r="Q88" s="6">
        <f>20750*CHOOSE(Scenarios!$B$8,Scenarios!$B$3,Scenarios!$C$3,Scenarios!$D$3)</f>
        <v>20750</v>
      </c>
      <c r="R88" s="6">
        <f t="shared" ref="R88:R89" si="35">SUM(F88:Q88)</f>
        <v>249000</v>
      </c>
    </row>
    <row r="89" spans="4:21" x14ac:dyDescent="0.2">
      <c r="D89" s="197"/>
      <c r="E89" s="72" t="s">
        <v>39</v>
      </c>
      <c r="F89" s="6">
        <f>12500*CHOOSE(Scenarios!$B$8,Scenarios!$B$3,Scenarios!$C$3,Scenarios!$D$3)</f>
        <v>12500</v>
      </c>
      <c r="G89" s="6">
        <f>12500*CHOOSE(Scenarios!$B$8,Scenarios!$B$3,Scenarios!$C$3,Scenarios!$D$3)</f>
        <v>12500</v>
      </c>
      <c r="H89" s="6">
        <f>12500*CHOOSE(Scenarios!$B$8,Scenarios!$B$3,Scenarios!$C$3,Scenarios!$D$3)</f>
        <v>12500</v>
      </c>
      <c r="I89" s="6">
        <f>12500*CHOOSE(Scenarios!$B$8,Scenarios!$B$3,Scenarios!$C$3,Scenarios!$D$3)</f>
        <v>12500</v>
      </c>
      <c r="J89" s="6">
        <f>12500*CHOOSE(Scenarios!$B$8,Scenarios!$B$3,Scenarios!$C$3,Scenarios!$D$3)</f>
        <v>12500</v>
      </c>
      <c r="K89" s="6">
        <f>12500*CHOOSE(Scenarios!$B$8,Scenarios!$B$3,Scenarios!$C$3,Scenarios!$D$3)</f>
        <v>12500</v>
      </c>
      <c r="L89" s="6">
        <f>12500*CHOOSE(Scenarios!$B$8,Scenarios!$B$3,Scenarios!$C$3,Scenarios!$D$3)</f>
        <v>12500</v>
      </c>
      <c r="M89" s="6">
        <f>12500*CHOOSE(Scenarios!$B$8,Scenarios!$B$3,Scenarios!$C$3,Scenarios!$D$3)</f>
        <v>12500</v>
      </c>
      <c r="N89" s="6">
        <f>12500*CHOOSE(Scenarios!$B$8,Scenarios!$B$3,Scenarios!$C$3,Scenarios!$D$3)</f>
        <v>12500</v>
      </c>
      <c r="O89" s="6">
        <f>12500*CHOOSE(Scenarios!$B$8,Scenarios!$B$3,Scenarios!$C$3,Scenarios!$D$3)</f>
        <v>12500</v>
      </c>
      <c r="P89" s="6">
        <f>12500*CHOOSE(Scenarios!$B$8,Scenarios!$B$3,Scenarios!$C$3,Scenarios!$D$3)</f>
        <v>12500</v>
      </c>
      <c r="Q89" s="6">
        <f>12500*CHOOSE(Scenarios!$B$8,Scenarios!$B$3,Scenarios!$C$3,Scenarios!$D$3)</f>
        <v>12500</v>
      </c>
      <c r="R89" s="6">
        <f t="shared" si="35"/>
        <v>150000</v>
      </c>
    </row>
    <row r="90" spans="4:21" ht="16" customHeight="1" x14ac:dyDescent="0.2">
      <c r="D90" s="198" t="s">
        <v>107</v>
      </c>
      <c r="E90" s="72" t="s">
        <v>38</v>
      </c>
      <c r="F90" s="98">
        <f>F87/1000*Assumptions!$Q$19</f>
        <v>15979.166666666668</v>
      </c>
      <c r="G90" s="98">
        <f>G87/1000*Assumptions!$Q$19</f>
        <v>15979.166666666668</v>
      </c>
      <c r="H90" s="98">
        <f>H87/1000*Assumptions!$Q$19</f>
        <v>15979.166666666668</v>
      </c>
      <c r="I90" s="98">
        <f>I87/1000*Assumptions!$Q$19</f>
        <v>15979.166666666668</v>
      </c>
      <c r="J90" s="98">
        <f>J87/1000*Assumptions!$Q$19</f>
        <v>15979.166666666668</v>
      </c>
      <c r="K90" s="98">
        <f>K87/1000*Assumptions!$Q$19</f>
        <v>15979.166666666668</v>
      </c>
      <c r="L90" s="98">
        <f>L87/1000*Assumptions!$Q$19</f>
        <v>15979.166666666668</v>
      </c>
      <c r="M90" s="98">
        <f>M87/1000*Assumptions!$Q$19</f>
        <v>15979.166666666668</v>
      </c>
      <c r="N90" s="98">
        <f>N87/1000*Assumptions!$Q$19</f>
        <v>15979.166666666668</v>
      </c>
      <c r="O90" s="98">
        <f>O87/1000*Assumptions!$Q$19</f>
        <v>15979.166666666668</v>
      </c>
      <c r="P90" s="98">
        <f>P87/1000*Assumptions!$Q$19</f>
        <v>15979.166666666668</v>
      </c>
      <c r="Q90" s="98">
        <f>Q87/1000*Assumptions!$Q$19</f>
        <v>15979.166666666668</v>
      </c>
      <c r="R90" s="98">
        <f>SUM(F90:Q90)</f>
        <v>191750</v>
      </c>
      <c r="T90" s="6" t="s">
        <v>145</v>
      </c>
      <c r="U90" s="6" t="s">
        <v>146</v>
      </c>
    </row>
    <row r="91" spans="4:21" x14ac:dyDescent="0.2">
      <c r="D91" s="198"/>
      <c r="E91" s="72" t="s">
        <v>37</v>
      </c>
      <c r="F91" s="98">
        <f>F88/1000*Assumptions!$Q$20</f>
        <v>5732.1875</v>
      </c>
      <c r="G91" s="98">
        <f>G88/1000*Assumptions!$Q$20</f>
        <v>5732.1875</v>
      </c>
      <c r="H91" s="98">
        <f>H88/1000*Assumptions!$Q$20</f>
        <v>5732.1875</v>
      </c>
      <c r="I91" s="98">
        <f>I88/1000*Assumptions!$Q$20</f>
        <v>5732.1875</v>
      </c>
      <c r="J91" s="98">
        <f>J88/1000*Assumptions!$Q$20</f>
        <v>5732.1875</v>
      </c>
      <c r="K91" s="98">
        <f>K88/1000*Assumptions!$Q$20</f>
        <v>5732.1875</v>
      </c>
      <c r="L91" s="98">
        <f>L88/1000*Assumptions!$Q$20</f>
        <v>5732.1875</v>
      </c>
      <c r="M91" s="98">
        <f>M88/1000*Assumptions!$Q$20</f>
        <v>5732.1875</v>
      </c>
      <c r="N91" s="98">
        <f>N88/1000*Assumptions!$Q$20</f>
        <v>5732.1875</v>
      </c>
      <c r="O91" s="98">
        <f>O88/1000*Assumptions!$Q$20</f>
        <v>5732.1875</v>
      </c>
      <c r="P91" s="98">
        <f>P88/1000*Assumptions!$Q$20</f>
        <v>5732.1875</v>
      </c>
      <c r="Q91" s="98">
        <f>Q88/1000*Assumptions!$Q$20</f>
        <v>5732.1875</v>
      </c>
      <c r="R91" s="98">
        <f t="shared" ref="R91:R92" si="36">SUM(F91:Q91)</f>
        <v>68786.25</v>
      </c>
      <c r="T91" s="98">
        <f>$R$98/(Assumptions!$M$19-'Стоимость производства'!$H$12)</f>
        <v>444.87312312779551</v>
      </c>
      <c r="U91" s="6">
        <f>(T91+T92+T93)/3</f>
        <v>488.77928533670291</v>
      </c>
    </row>
    <row r="92" spans="4:21" x14ac:dyDescent="0.2">
      <c r="D92" s="198"/>
      <c r="E92" s="72" t="s">
        <v>39</v>
      </c>
      <c r="F92" s="98">
        <f>F89/1000*Assumptions!$Q$21</f>
        <v>3385.416666666667</v>
      </c>
      <c r="G92" s="98">
        <f>G89/1000*Assumptions!$Q$21</f>
        <v>3385.416666666667</v>
      </c>
      <c r="H92" s="98">
        <f>H89/1000*Assumptions!$Q$21</f>
        <v>3385.416666666667</v>
      </c>
      <c r="I92" s="98">
        <f>I89/1000*Assumptions!$Q$21</f>
        <v>3385.416666666667</v>
      </c>
      <c r="J92" s="98">
        <f>J89/1000*Assumptions!$Q$21</f>
        <v>3385.416666666667</v>
      </c>
      <c r="K92" s="98">
        <f>K89/1000*Assumptions!$Q$21</f>
        <v>3385.416666666667</v>
      </c>
      <c r="L92" s="98">
        <f>L89/1000*Assumptions!$Q$21</f>
        <v>3385.416666666667</v>
      </c>
      <c r="M92" s="98">
        <f>M89/1000*Assumptions!$Q$21</f>
        <v>3385.416666666667</v>
      </c>
      <c r="N92" s="98">
        <f>N89/1000*Assumptions!$Q$21</f>
        <v>3385.416666666667</v>
      </c>
      <c r="O92" s="98">
        <f>O89/1000*Assumptions!$Q$21</f>
        <v>3385.416666666667</v>
      </c>
      <c r="P92" s="98">
        <f>P89/1000*Assumptions!$Q$21</f>
        <v>3385.416666666667</v>
      </c>
      <c r="Q92" s="98">
        <f>Q89/1000*Assumptions!$Q$21</f>
        <v>3385.416666666667</v>
      </c>
      <c r="R92" s="98">
        <f t="shared" si="36"/>
        <v>40625</v>
      </c>
      <c r="T92" s="98">
        <f>$R$98/(Assumptions!$M$20-'Стоимость производства'!$H$34)</f>
        <v>547.616087665186</v>
      </c>
    </row>
    <row r="93" spans="4:21" ht="16" customHeight="1" x14ac:dyDescent="0.2">
      <c r="D93" s="198" t="s">
        <v>106</v>
      </c>
      <c r="E93" s="72" t="s">
        <v>38</v>
      </c>
      <c r="F93" s="100">
        <f>(F87/1000) * 'Стоимость производства'!$H$12 * 1.06*1.06*1.06</f>
        <v>6947.8648158851329</v>
      </c>
      <c r="G93" s="100">
        <f>(G87/1000) * 'Стоимость производства'!$H$12 * 1.06*1.06*1.06</f>
        <v>6947.8648158851329</v>
      </c>
      <c r="H93" s="100">
        <f>(H87/1000) * 'Стоимость производства'!$H$12 * 1.06*1.06*1.06</f>
        <v>6947.8648158851329</v>
      </c>
      <c r="I93" s="100">
        <f>(I87/1000) * 'Стоимость производства'!$H$12 * 1.06*1.06*1.06</f>
        <v>6947.8648158851329</v>
      </c>
      <c r="J93" s="100">
        <f>(J87/1000) * 'Стоимость производства'!$H$12 * 1.06*1.06*1.06</f>
        <v>6947.8648158851329</v>
      </c>
      <c r="K93" s="100">
        <f>(K87/1000) * 'Стоимость производства'!$H$12 * 1.06*1.06*1.06</f>
        <v>6947.8648158851329</v>
      </c>
      <c r="L93" s="100">
        <f>(L87/1000) * 'Стоимость производства'!$H$12 * 1.06*1.06*1.06</f>
        <v>6947.8648158851329</v>
      </c>
      <c r="M93" s="100">
        <f>(M87/1000) * 'Стоимость производства'!$H$12 * 1.06*1.06*1.06</f>
        <v>6947.8648158851329</v>
      </c>
      <c r="N93" s="100">
        <f>(N87/1000) * 'Стоимость производства'!$H$12 * 1.06*1.06*1.06</f>
        <v>6947.8648158851329</v>
      </c>
      <c r="O93" s="100">
        <f>(O87/1000) * 'Стоимость производства'!$H$12 * 1.06*1.06*1.06</f>
        <v>6947.8648158851329</v>
      </c>
      <c r="P93" s="100">
        <f>(P87/1000) * 'Стоимость производства'!$H$12 * 1.06*1.06*1.06</f>
        <v>6947.8648158851329</v>
      </c>
      <c r="Q93" s="100">
        <f>(Q87/1000) * 'Стоимость производства'!$H$12 * 1.06*1.06*1.06</f>
        <v>6947.8648158851329</v>
      </c>
      <c r="R93" s="98">
        <f>SUM(F93:Q93)</f>
        <v>83374.377790621598</v>
      </c>
      <c r="T93" s="98">
        <f>$R$98/(Assumptions!$M$21-'Стоимость производства'!$H$61)</f>
        <v>473.84864521712717</v>
      </c>
    </row>
    <row r="94" spans="4:21" x14ac:dyDescent="0.2">
      <c r="D94" s="198"/>
      <c r="E94" s="72" t="s">
        <v>37</v>
      </c>
      <c r="F94" s="101">
        <f>'Стоимость производства'!$H$34*'P&amp;L'!F88 /1000* 1.06*1.06*1.06</f>
        <v>2903.7298257176908</v>
      </c>
      <c r="G94" s="101">
        <f>'Стоимость производства'!$H$34*'P&amp;L'!G88 /1000* 1.06*1.06*1.06</f>
        <v>2903.7298257176908</v>
      </c>
      <c r="H94" s="101">
        <f>'Стоимость производства'!$H$34*'P&amp;L'!H88 /1000* 1.06*1.06*1.06</f>
        <v>2903.7298257176908</v>
      </c>
      <c r="I94" s="101">
        <f>'Стоимость производства'!$H$34*'P&amp;L'!I88 /1000* 1.06*1.06*1.06</f>
        <v>2903.7298257176908</v>
      </c>
      <c r="J94" s="101">
        <f>'Стоимость производства'!$H$34*'P&amp;L'!J88 /1000* 1.06*1.06*1.06</f>
        <v>2903.7298257176908</v>
      </c>
      <c r="K94" s="101">
        <f>'Стоимость производства'!$H$34*'P&amp;L'!K88 /1000* 1.06*1.06*1.06</f>
        <v>2903.7298257176908</v>
      </c>
      <c r="L94" s="101">
        <f>'Стоимость производства'!$H$34*'P&amp;L'!L88 /1000* 1.06*1.06*1.06</f>
        <v>2903.7298257176908</v>
      </c>
      <c r="M94" s="101">
        <f>'Стоимость производства'!$H$34*'P&amp;L'!M88 /1000* 1.06*1.06*1.06</f>
        <v>2903.7298257176908</v>
      </c>
      <c r="N94" s="101">
        <f>'Стоимость производства'!$H$34*'P&amp;L'!N88 /1000* 1.06*1.06*1.06</f>
        <v>2903.7298257176908</v>
      </c>
      <c r="O94" s="101">
        <f>'Стоимость производства'!$H$34*'P&amp;L'!O88 /1000* 1.06*1.06*1.06</f>
        <v>2903.7298257176908</v>
      </c>
      <c r="P94" s="101">
        <f>'Стоимость производства'!$H$34*'P&amp;L'!P88 /1000* 1.06*1.06*1.06</f>
        <v>2903.7298257176908</v>
      </c>
      <c r="Q94" s="101">
        <f>'Стоимость производства'!$H$34*'P&amp;L'!Q88 /1000* 1.06*1.06*1.06</f>
        <v>2903.7298257176908</v>
      </c>
      <c r="R94" s="100">
        <f>SUM(F94:Q94)</f>
        <v>34844.757908612293</v>
      </c>
    </row>
    <row r="95" spans="4:21" x14ac:dyDescent="0.2">
      <c r="D95" s="198"/>
      <c r="E95" s="73" t="s">
        <v>39</v>
      </c>
      <c r="F95" s="98">
        <f>('Стоимость производства'!$H$61)*'P&amp;L'!F89/1000* 1.06*1.06*1.06</f>
        <v>1469.1714542224308</v>
      </c>
      <c r="G95" s="98">
        <f>('Стоимость производства'!$H$61)*'P&amp;L'!G89/1000* 1.06*1.06*1.06</f>
        <v>1469.1714542224308</v>
      </c>
      <c r="H95" s="98">
        <f>('Стоимость производства'!$H$61)*'P&amp;L'!H89/1000* 1.06*1.06*1.06</f>
        <v>1469.1714542224308</v>
      </c>
      <c r="I95" s="98">
        <f>('Стоимость производства'!$H$61)*'P&amp;L'!I89/1000* 1.06*1.06*1.06</f>
        <v>1469.1714542224308</v>
      </c>
      <c r="J95" s="98">
        <f>('Стоимость производства'!$H$61)*'P&amp;L'!J89/1000* 1.06*1.06*1.06</f>
        <v>1469.1714542224308</v>
      </c>
      <c r="K95" s="98">
        <f>('Стоимость производства'!$H$61)*'P&amp;L'!K89/1000* 1.06*1.06*1.06</f>
        <v>1469.1714542224308</v>
      </c>
      <c r="L95" s="98">
        <f>('Стоимость производства'!$H$61)*'P&amp;L'!L89/1000* 1.06*1.06*1.06</f>
        <v>1469.1714542224308</v>
      </c>
      <c r="M95" s="98">
        <f>('Стоимость производства'!$H$61)*'P&amp;L'!M89/1000* 1.06*1.06*1.06</f>
        <v>1469.1714542224308</v>
      </c>
      <c r="N95" s="98">
        <f>('Стоимость производства'!$H$61)*'P&amp;L'!N89/1000* 1.06*1.06*1.06</f>
        <v>1469.1714542224308</v>
      </c>
      <c r="O95" s="98">
        <f>('Стоимость производства'!$H$61)*'P&amp;L'!O89/1000* 1.06*1.06*1.06</f>
        <v>1469.1714542224308</v>
      </c>
      <c r="P95" s="98">
        <f>('Стоимость производства'!$H$61)*'P&amp;L'!P89/1000* 1.06*1.06*1.06</f>
        <v>1469.1714542224308</v>
      </c>
      <c r="Q95" s="98">
        <f>('Стоимость производства'!$H$61)*'P&amp;L'!Q89/1000* 1.06*1.06*1.06</f>
        <v>1469.1714542224308</v>
      </c>
      <c r="R95" s="98">
        <f>SUM(F95:Q95)</f>
        <v>17630.05745066917</v>
      </c>
    </row>
    <row r="96" spans="4:21" x14ac:dyDescent="0.2">
      <c r="D96" s="59" t="s">
        <v>56</v>
      </c>
      <c r="E96" s="7"/>
      <c r="F96" s="6">
        <f>Assumptions!$F$32* 1.06*1.06*1.06</f>
        <v>2179.5592800000004</v>
      </c>
      <c r="G96" s="6">
        <f>Assumptions!$F$32* 1.06*1.06*1.06</f>
        <v>2179.5592800000004</v>
      </c>
      <c r="H96" s="6">
        <f>Assumptions!$F$32* 1.06*1.06*1.06</f>
        <v>2179.5592800000004</v>
      </c>
      <c r="I96" s="6">
        <f>Assumptions!$F$32* 1.06*1.06*1.06</f>
        <v>2179.5592800000004</v>
      </c>
      <c r="J96" s="6">
        <f>Assumptions!$F$32* 1.06*1.06*1.06</f>
        <v>2179.5592800000004</v>
      </c>
      <c r="K96" s="6">
        <f>Assumptions!$F$32* 1.06*1.06*1.06</f>
        <v>2179.5592800000004</v>
      </c>
      <c r="L96" s="6">
        <f>Assumptions!$F$32* 1.06*1.06*1.06</f>
        <v>2179.5592800000004</v>
      </c>
      <c r="M96" s="6">
        <f>Assumptions!$F$32* 1.06*1.06*1.06</f>
        <v>2179.5592800000004</v>
      </c>
      <c r="N96" s="6">
        <f>Assumptions!$F$32* 1.06*1.06*1.06</f>
        <v>2179.5592800000004</v>
      </c>
      <c r="O96" s="6">
        <f>Assumptions!$F$32* 1.06*1.06*1.06</f>
        <v>2179.5592800000004</v>
      </c>
      <c r="P96" s="6">
        <f>Assumptions!$F$32* 1.06*1.06*1.06</f>
        <v>2179.5592800000004</v>
      </c>
      <c r="Q96" s="6">
        <f>Assumptions!$F$32* 1.06*1.06*1.06</f>
        <v>2179.5592800000004</v>
      </c>
      <c r="R96" s="6">
        <f>SUM(F96:Q96)</f>
        <v>26154.711360000012</v>
      </c>
    </row>
    <row r="97" spans="4:18" x14ac:dyDescent="0.2">
      <c r="D97" s="59" t="s">
        <v>57</v>
      </c>
      <c r="E97" s="7"/>
      <c r="F97" s="98">
        <f>Assumptions!$B$43</f>
        <v>553.80753968253964</v>
      </c>
      <c r="G97" s="98">
        <f>Assumptions!$B$43</f>
        <v>553.80753968253964</v>
      </c>
      <c r="H97" s="98">
        <f>Assumptions!$B$43</f>
        <v>553.80753968253964</v>
      </c>
      <c r="I97" s="98">
        <f>Assumptions!$B$43</f>
        <v>553.80753968253964</v>
      </c>
      <c r="J97" s="98">
        <f>Assumptions!$B$43</f>
        <v>553.80753968253964</v>
      </c>
      <c r="K97" s="98">
        <f>Assumptions!$B$43</f>
        <v>553.80753968253964</v>
      </c>
      <c r="L97" s="98">
        <f>Assumptions!$B$43</f>
        <v>553.80753968253964</v>
      </c>
      <c r="M97" s="98">
        <f>Assumptions!$B$43</f>
        <v>553.80753968253964</v>
      </c>
      <c r="N97" s="98">
        <f>Assumptions!$B$43</f>
        <v>553.80753968253964</v>
      </c>
      <c r="O97" s="98">
        <f>Assumptions!$B$43</f>
        <v>553.80753968253964</v>
      </c>
      <c r="P97" s="98">
        <f>Assumptions!$B$43</f>
        <v>553.80753968253964</v>
      </c>
      <c r="Q97" s="98">
        <f>Assumptions!$B$43</f>
        <v>553.80753968253964</v>
      </c>
      <c r="R97" s="98">
        <f>Q97*12</f>
        <v>6645.6904761904752</v>
      </c>
    </row>
    <row r="98" spans="4:18" x14ac:dyDescent="0.2">
      <c r="D98" s="59" t="s">
        <v>83</v>
      </c>
      <c r="E98" s="71"/>
      <c r="F98" s="98">
        <f>Assumptions!$F$39* 1.06*1.06*1.06</f>
        <v>5514.4040800000002</v>
      </c>
      <c r="G98" s="98">
        <f>Assumptions!$F$39* 1.06*1.06*1.06</f>
        <v>5514.4040800000002</v>
      </c>
      <c r="H98" s="98">
        <f>Assumptions!$F$39* 1.06*1.06*1.06</f>
        <v>5514.4040800000002</v>
      </c>
      <c r="I98" s="98">
        <f>Assumptions!$F$39* 1.06*1.06*1.06</f>
        <v>5514.4040800000002</v>
      </c>
      <c r="J98" s="98">
        <f>Assumptions!$F$39* 1.06*1.06*1.06</f>
        <v>5514.4040800000002</v>
      </c>
      <c r="K98" s="98">
        <f>Assumptions!$F$39* 1.06*1.06*1.06</f>
        <v>5514.4040800000002</v>
      </c>
      <c r="L98" s="98">
        <f>Assumptions!$F$39* 1.06*1.06*1.06</f>
        <v>5514.4040800000002</v>
      </c>
      <c r="M98" s="98">
        <f>Assumptions!$F$39* 1.06*1.06*1.06</f>
        <v>5514.4040800000002</v>
      </c>
      <c r="N98" s="98">
        <f>Assumptions!$F$39* 1.06*1.06*1.06</f>
        <v>5514.4040800000002</v>
      </c>
      <c r="O98" s="98">
        <f>Assumptions!$F$39* 1.06*1.06*1.06</f>
        <v>5514.4040800000002</v>
      </c>
      <c r="P98" s="98">
        <f>Assumptions!$F$39* 1.06*1.06*1.06</f>
        <v>5514.4040800000002</v>
      </c>
      <c r="Q98" s="98">
        <f>Assumptions!$F$39* 1.06*1.06*1.06</f>
        <v>5514.4040800000002</v>
      </c>
      <c r="R98" s="98">
        <f>SUM(F98:Q98)</f>
        <v>66172.848960000003</v>
      </c>
    </row>
    <row r="99" spans="4:18" x14ac:dyDescent="0.2">
      <c r="D99" s="59" t="s">
        <v>74</v>
      </c>
      <c r="E99" s="71"/>
      <c r="F99" s="98">
        <f>SUM(F100:F102) - F98 - F97</f>
        <v>7707.7931178255394</v>
      </c>
      <c r="G99" s="98">
        <f t="shared" ref="G99:Q99" si="37">SUM(G100:G102) - G98 - G97</f>
        <v>7707.7931178255394</v>
      </c>
      <c r="H99" s="98">
        <f t="shared" si="37"/>
        <v>7707.7931178255394</v>
      </c>
      <c r="I99" s="98">
        <f t="shared" si="37"/>
        <v>7707.7931178255394</v>
      </c>
      <c r="J99" s="98">
        <f t="shared" si="37"/>
        <v>7707.7931178255394</v>
      </c>
      <c r="K99" s="98">
        <f t="shared" si="37"/>
        <v>7707.7931178255394</v>
      </c>
      <c r="L99" s="98">
        <f t="shared" si="37"/>
        <v>7707.7931178255394</v>
      </c>
      <c r="M99" s="98">
        <f t="shared" si="37"/>
        <v>7707.7931178255394</v>
      </c>
      <c r="N99" s="98">
        <f t="shared" si="37"/>
        <v>7707.7931178255394</v>
      </c>
      <c r="O99" s="98">
        <f t="shared" si="37"/>
        <v>7707.7931178255394</v>
      </c>
      <c r="P99" s="98">
        <f t="shared" si="37"/>
        <v>7707.7931178255394</v>
      </c>
      <c r="Q99" s="98">
        <f t="shared" si="37"/>
        <v>7707.7931178255394</v>
      </c>
      <c r="R99" s="98">
        <f t="shared" ref="R99" si="38">SUM(R100:R102) - R98 - R97</f>
        <v>92493.51741390652</v>
      </c>
    </row>
    <row r="100" spans="4:18" x14ac:dyDescent="0.2">
      <c r="D100" s="197" t="s">
        <v>75</v>
      </c>
      <c r="E100" s="8" t="s">
        <v>38</v>
      </c>
      <c r="F100" s="98">
        <f>F90-F93</f>
        <v>9031.3018507815359</v>
      </c>
      <c r="G100" s="98">
        <f t="shared" ref="G100:Q100" si="39">G90-G93</f>
        <v>9031.3018507815359</v>
      </c>
      <c r="H100" s="98">
        <f t="shared" si="39"/>
        <v>9031.3018507815359</v>
      </c>
      <c r="I100" s="98">
        <f t="shared" si="39"/>
        <v>9031.3018507815359</v>
      </c>
      <c r="J100" s="98">
        <f t="shared" si="39"/>
        <v>9031.3018507815359</v>
      </c>
      <c r="K100" s="98">
        <f t="shared" si="39"/>
        <v>9031.3018507815359</v>
      </c>
      <c r="L100" s="98">
        <f t="shared" si="39"/>
        <v>9031.3018507815359</v>
      </c>
      <c r="M100" s="98">
        <f t="shared" si="39"/>
        <v>9031.3018507815359</v>
      </c>
      <c r="N100" s="98">
        <f t="shared" si="39"/>
        <v>9031.3018507815359</v>
      </c>
      <c r="O100" s="98">
        <f t="shared" si="39"/>
        <v>9031.3018507815359</v>
      </c>
      <c r="P100" s="98">
        <f t="shared" si="39"/>
        <v>9031.3018507815359</v>
      </c>
      <c r="Q100" s="98">
        <f t="shared" si="39"/>
        <v>9031.3018507815359</v>
      </c>
      <c r="R100" s="98">
        <f t="shared" ref="R100:R105" si="40">SUM(F100:Q100)</f>
        <v>108375.62220937846</v>
      </c>
    </row>
    <row r="101" spans="4:18" x14ac:dyDescent="0.2">
      <c r="D101" s="197"/>
      <c r="E101" s="72" t="s">
        <v>37</v>
      </c>
      <c r="F101" s="98">
        <f t="shared" ref="F101" si="41">F91-F94</f>
        <v>2828.4576742823092</v>
      </c>
      <c r="G101" s="98">
        <f t="shared" ref="G101:Q101" si="42">G91-G94</f>
        <v>2828.4576742823092</v>
      </c>
      <c r="H101" s="98">
        <f t="shared" si="42"/>
        <v>2828.4576742823092</v>
      </c>
      <c r="I101" s="98">
        <f t="shared" si="42"/>
        <v>2828.4576742823092</v>
      </c>
      <c r="J101" s="98">
        <f t="shared" si="42"/>
        <v>2828.4576742823092</v>
      </c>
      <c r="K101" s="98">
        <f t="shared" si="42"/>
        <v>2828.4576742823092</v>
      </c>
      <c r="L101" s="98">
        <f t="shared" si="42"/>
        <v>2828.4576742823092</v>
      </c>
      <c r="M101" s="98">
        <f t="shared" si="42"/>
        <v>2828.4576742823092</v>
      </c>
      <c r="N101" s="98">
        <f t="shared" si="42"/>
        <v>2828.4576742823092</v>
      </c>
      <c r="O101" s="98">
        <f t="shared" si="42"/>
        <v>2828.4576742823092</v>
      </c>
      <c r="P101" s="98">
        <f t="shared" si="42"/>
        <v>2828.4576742823092</v>
      </c>
      <c r="Q101" s="98">
        <f t="shared" si="42"/>
        <v>2828.4576742823092</v>
      </c>
      <c r="R101" s="98">
        <f t="shared" si="40"/>
        <v>33941.492091387707</v>
      </c>
    </row>
    <row r="102" spans="4:18" x14ac:dyDescent="0.2">
      <c r="D102" s="197"/>
      <c r="E102" s="72" t="s">
        <v>39</v>
      </c>
      <c r="F102" s="98">
        <f t="shared" ref="F102" si="43">F92-F95</f>
        <v>1916.2452124442361</v>
      </c>
      <c r="G102" s="98">
        <f t="shared" ref="G102:Q102" si="44">G92-G95</f>
        <v>1916.2452124442361</v>
      </c>
      <c r="H102" s="98">
        <f t="shared" si="44"/>
        <v>1916.2452124442361</v>
      </c>
      <c r="I102" s="98">
        <f t="shared" si="44"/>
        <v>1916.2452124442361</v>
      </c>
      <c r="J102" s="98">
        <f t="shared" si="44"/>
        <v>1916.2452124442361</v>
      </c>
      <c r="K102" s="98">
        <f t="shared" si="44"/>
        <v>1916.2452124442361</v>
      </c>
      <c r="L102" s="98">
        <f t="shared" si="44"/>
        <v>1916.2452124442361</v>
      </c>
      <c r="M102" s="98">
        <f t="shared" si="44"/>
        <v>1916.2452124442361</v>
      </c>
      <c r="N102" s="98">
        <f t="shared" si="44"/>
        <v>1916.2452124442361</v>
      </c>
      <c r="O102" s="98">
        <f t="shared" si="44"/>
        <v>1916.2452124442361</v>
      </c>
      <c r="P102" s="98">
        <f t="shared" si="44"/>
        <v>1916.2452124442361</v>
      </c>
      <c r="Q102" s="98">
        <f t="shared" si="44"/>
        <v>1916.2452124442361</v>
      </c>
      <c r="R102" s="98">
        <f t="shared" si="40"/>
        <v>22994.942549330826</v>
      </c>
    </row>
    <row r="103" spans="4:18" x14ac:dyDescent="0.2">
      <c r="D103" s="59" t="s">
        <v>85</v>
      </c>
      <c r="E103" s="74"/>
      <c r="F103" s="102">
        <f>F105+F104+F97</f>
        <v>8261.6006575080792</v>
      </c>
      <c r="G103" s="102">
        <f t="shared" ref="G103:Q103" si="45">G105+G104+G97</f>
        <v>8261.6006575080792</v>
      </c>
      <c r="H103" s="102">
        <f t="shared" si="45"/>
        <v>8261.6006575080792</v>
      </c>
      <c r="I103" s="102">
        <f t="shared" si="45"/>
        <v>8261.6006575080792</v>
      </c>
      <c r="J103" s="102">
        <f t="shared" si="45"/>
        <v>8261.6006575080792</v>
      </c>
      <c r="K103" s="102">
        <f t="shared" si="45"/>
        <v>8261.6006575080792</v>
      </c>
      <c r="L103" s="102">
        <f t="shared" si="45"/>
        <v>8261.6006575080792</v>
      </c>
      <c r="M103" s="102">
        <f t="shared" si="45"/>
        <v>8261.6006575080792</v>
      </c>
      <c r="N103" s="102">
        <f t="shared" si="45"/>
        <v>8261.6006575080792</v>
      </c>
      <c r="O103" s="102">
        <f t="shared" si="45"/>
        <v>8261.6006575080792</v>
      </c>
      <c r="P103" s="102">
        <f t="shared" si="45"/>
        <v>8261.6006575080792</v>
      </c>
      <c r="Q103" s="102">
        <f t="shared" si="45"/>
        <v>8261.6006575080792</v>
      </c>
      <c r="R103" s="98">
        <f t="shared" si="40"/>
        <v>99139.207890096979</v>
      </c>
    </row>
    <row r="104" spans="4:18" x14ac:dyDescent="0.2">
      <c r="D104" s="75" t="s">
        <v>31</v>
      </c>
      <c r="F104" s="98">
        <f>MAX(0,F99*Assumptions!$B$10)</f>
        <v>1926.9482794563849</v>
      </c>
      <c r="G104" s="98">
        <f>MAX(0,G99*Assumptions!$B$10)</f>
        <v>1926.9482794563849</v>
      </c>
      <c r="H104" s="98">
        <f>MAX(0,H99*Assumptions!$B$10)</f>
        <v>1926.9482794563849</v>
      </c>
      <c r="I104" s="98">
        <f>MAX(0,I99*Assumptions!$B$10)</f>
        <v>1926.9482794563849</v>
      </c>
      <c r="J104" s="98">
        <f>MAX(0,J99*Assumptions!$B$10)</f>
        <v>1926.9482794563849</v>
      </c>
      <c r="K104" s="98">
        <f>MAX(0,K99*Assumptions!$B$10)</f>
        <v>1926.9482794563849</v>
      </c>
      <c r="L104" s="98">
        <f>MAX(0,L99*Assumptions!$B$10)</f>
        <v>1926.9482794563849</v>
      </c>
      <c r="M104" s="98">
        <f>MAX(0,M99*Assumptions!$B$10)</f>
        <v>1926.9482794563849</v>
      </c>
      <c r="N104" s="98">
        <f>MAX(0,N99*Assumptions!$B$10)</f>
        <v>1926.9482794563849</v>
      </c>
      <c r="O104" s="98">
        <f>MAX(0,O99*Assumptions!$B$10)</f>
        <v>1926.9482794563849</v>
      </c>
      <c r="P104" s="98">
        <f>MAX(0,P99*Assumptions!$B$10)</f>
        <v>1926.9482794563849</v>
      </c>
      <c r="Q104" s="98">
        <f>MAX(0,Q99*Assumptions!$B$10)</f>
        <v>1926.9482794563849</v>
      </c>
      <c r="R104" s="98">
        <f t="shared" si="40"/>
        <v>23123.379353476619</v>
      </c>
    </row>
    <row r="105" spans="4:18" x14ac:dyDescent="0.2">
      <c r="D105" s="59" t="s">
        <v>86</v>
      </c>
      <c r="E105" s="76"/>
      <c r="F105" s="98">
        <f>F99-F104</f>
        <v>5780.8448383691548</v>
      </c>
      <c r="G105" s="98">
        <f t="shared" ref="G105:Q105" si="46">G99-G104</f>
        <v>5780.8448383691548</v>
      </c>
      <c r="H105" s="98">
        <f t="shared" si="46"/>
        <v>5780.8448383691548</v>
      </c>
      <c r="I105" s="98">
        <f t="shared" si="46"/>
        <v>5780.8448383691548</v>
      </c>
      <c r="J105" s="98">
        <f t="shared" si="46"/>
        <v>5780.8448383691548</v>
      </c>
      <c r="K105" s="98">
        <f t="shared" si="46"/>
        <v>5780.8448383691548</v>
      </c>
      <c r="L105" s="98">
        <f t="shared" si="46"/>
        <v>5780.8448383691548</v>
      </c>
      <c r="M105" s="98">
        <f t="shared" si="46"/>
        <v>5780.8448383691548</v>
      </c>
      <c r="N105" s="98">
        <f t="shared" si="46"/>
        <v>5780.8448383691548</v>
      </c>
      <c r="O105" s="98">
        <f t="shared" si="46"/>
        <v>5780.8448383691548</v>
      </c>
      <c r="P105" s="98">
        <f t="shared" si="46"/>
        <v>5780.8448383691548</v>
      </c>
      <c r="Q105" s="98">
        <f t="shared" si="46"/>
        <v>5780.8448383691548</v>
      </c>
      <c r="R105" s="98">
        <f t="shared" si="40"/>
        <v>69370.138060429876</v>
      </c>
    </row>
    <row r="106" spans="4:18" x14ac:dyDescent="0.2">
      <c r="D106" s="79"/>
      <c r="E106" s="78"/>
      <c r="F106" s="78"/>
      <c r="G106" s="78"/>
      <c r="H106" s="78"/>
      <c r="I106" s="78"/>
      <c r="J106" s="80"/>
      <c r="K106" s="78"/>
      <c r="L106" s="78"/>
      <c r="M106" s="78"/>
      <c r="N106" s="78"/>
      <c r="O106" s="78"/>
      <c r="P106" s="78"/>
      <c r="Q106" s="78"/>
      <c r="R106" s="78"/>
    </row>
    <row r="111" spans="4:18" ht="38" customHeight="1" x14ac:dyDescent="0.3">
      <c r="D111" s="192" t="s">
        <v>114</v>
      </c>
      <c r="E111" s="193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78"/>
      <c r="Q111" s="178"/>
      <c r="R111" s="179"/>
    </row>
    <row r="112" spans="4:18" x14ac:dyDescent="0.2">
      <c r="D112" s="27"/>
      <c r="E112" s="28"/>
      <c r="F112" s="26">
        <v>46023</v>
      </c>
      <c r="G112" s="24">
        <v>46054</v>
      </c>
      <c r="H112" s="24">
        <v>46082</v>
      </c>
      <c r="I112" s="24">
        <v>46113</v>
      </c>
      <c r="J112" s="24">
        <v>46143</v>
      </c>
      <c r="K112" s="24">
        <v>46174</v>
      </c>
      <c r="L112" s="24">
        <v>46204</v>
      </c>
      <c r="M112" s="24">
        <v>46235</v>
      </c>
      <c r="N112" s="24">
        <v>46266</v>
      </c>
      <c r="O112" s="24">
        <v>46296</v>
      </c>
      <c r="P112" s="24">
        <v>46327</v>
      </c>
      <c r="Q112" s="24">
        <v>46357</v>
      </c>
      <c r="R112" s="6" t="s">
        <v>7</v>
      </c>
    </row>
    <row r="113" spans="4:18" x14ac:dyDescent="0.2">
      <c r="D113" s="197" t="s">
        <v>108</v>
      </c>
      <c r="E113" s="72" t="s">
        <v>38</v>
      </c>
      <c r="F113" s="6">
        <f>50000*CHOOSE(Scenarios!$B$8,Scenarios!$B$3,Scenarios!$C$3,Scenarios!$D$3)</f>
        <v>50000</v>
      </c>
      <c r="G113" s="6">
        <f>50000*CHOOSE(Scenarios!$B$8,Scenarios!$B$3,Scenarios!$C$3,Scenarios!$D$3)</f>
        <v>50000</v>
      </c>
      <c r="H113" s="6">
        <f>50000*CHOOSE(Scenarios!$B$8,Scenarios!$B$3,Scenarios!$C$3,Scenarios!$D$3)</f>
        <v>50000</v>
      </c>
      <c r="I113" s="6">
        <f>50000*CHOOSE(Scenarios!$B$8,Scenarios!$B$3,Scenarios!$C$3,Scenarios!$D$3)</f>
        <v>50000</v>
      </c>
      <c r="J113" s="6">
        <f>50000*CHOOSE(Scenarios!$B$8,Scenarios!$B$3,Scenarios!$C$3,Scenarios!$D$3)</f>
        <v>50000</v>
      </c>
      <c r="K113" s="6">
        <f>50000*CHOOSE(Scenarios!$B$8,Scenarios!$B$3,Scenarios!$C$3,Scenarios!$D$3)</f>
        <v>50000</v>
      </c>
      <c r="L113" s="6">
        <f>50000*CHOOSE(Scenarios!$B$8,Scenarios!$B$3,Scenarios!$C$3,Scenarios!$D$3)</f>
        <v>50000</v>
      </c>
      <c r="M113" s="6">
        <f>50000*CHOOSE(Scenarios!$B$8,Scenarios!$B$3,Scenarios!$C$3,Scenarios!$D$3)</f>
        <v>50000</v>
      </c>
      <c r="N113" s="6">
        <f>50000*CHOOSE(Scenarios!$B$8,Scenarios!$B$3,Scenarios!$C$3,Scenarios!$D$3)</f>
        <v>50000</v>
      </c>
      <c r="O113" s="6">
        <f>50000*CHOOSE(Scenarios!$B$8,Scenarios!$B$3,Scenarios!$C$3,Scenarios!$D$3)</f>
        <v>50000</v>
      </c>
      <c r="P113" s="6">
        <f>50000*CHOOSE(Scenarios!$B$8,Scenarios!$B$3,Scenarios!$C$3,Scenarios!$D$3)</f>
        <v>50000</v>
      </c>
      <c r="Q113" s="6">
        <f>50000*CHOOSE(Scenarios!$B$8,Scenarios!$B$3,Scenarios!$C$3,Scenarios!$D$3)</f>
        <v>50000</v>
      </c>
      <c r="R113" s="6">
        <f>SUM(F113:Q113)</f>
        <v>600000</v>
      </c>
    </row>
    <row r="114" spans="4:18" x14ac:dyDescent="0.2">
      <c r="D114" s="197"/>
      <c r="E114" s="72" t="s">
        <v>37</v>
      </c>
      <c r="F114" s="6">
        <f>20750*CHOOSE(Scenarios!$B$8,Scenarios!$B$3,Scenarios!$C$3,Scenarios!$D$3)</f>
        <v>20750</v>
      </c>
      <c r="G114" s="6">
        <f>20750*CHOOSE(Scenarios!$B$8,Scenarios!$B$3,Scenarios!$C$3,Scenarios!$D$3)</f>
        <v>20750</v>
      </c>
      <c r="H114" s="6">
        <f>20750*CHOOSE(Scenarios!$B$8,Scenarios!$B$3,Scenarios!$C$3,Scenarios!$D$3)</f>
        <v>20750</v>
      </c>
      <c r="I114" s="6">
        <f>20750*CHOOSE(Scenarios!$B$8,Scenarios!$B$3,Scenarios!$C$3,Scenarios!$D$3)</f>
        <v>20750</v>
      </c>
      <c r="J114" s="6">
        <f>20750*CHOOSE(Scenarios!$B$8,Scenarios!$B$3,Scenarios!$C$3,Scenarios!$D$3)</f>
        <v>20750</v>
      </c>
      <c r="K114" s="6">
        <f>20750*CHOOSE(Scenarios!$B$8,Scenarios!$B$3,Scenarios!$C$3,Scenarios!$D$3)</f>
        <v>20750</v>
      </c>
      <c r="L114" s="6">
        <f>20750*CHOOSE(Scenarios!$B$8,Scenarios!$B$3,Scenarios!$C$3,Scenarios!$D$3)</f>
        <v>20750</v>
      </c>
      <c r="M114" s="6">
        <f>20750*CHOOSE(Scenarios!$B$8,Scenarios!$B$3,Scenarios!$C$3,Scenarios!$D$3)</f>
        <v>20750</v>
      </c>
      <c r="N114" s="6">
        <f>20750*CHOOSE(Scenarios!$B$8,Scenarios!$B$3,Scenarios!$C$3,Scenarios!$D$3)</f>
        <v>20750</v>
      </c>
      <c r="O114" s="6">
        <f>20750*CHOOSE(Scenarios!$B$8,Scenarios!$B$3,Scenarios!$C$3,Scenarios!$D$3)</f>
        <v>20750</v>
      </c>
      <c r="P114" s="6">
        <f>20750*CHOOSE(Scenarios!$B$8,Scenarios!$B$3,Scenarios!$C$3,Scenarios!$D$3)</f>
        <v>20750</v>
      </c>
      <c r="Q114" s="6">
        <f>20750*CHOOSE(Scenarios!$B$8,Scenarios!$B$3,Scenarios!$C$3,Scenarios!$D$3)</f>
        <v>20750</v>
      </c>
      <c r="R114" s="6">
        <f t="shared" ref="R114:R115" si="47">SUM(F114:Q114)</f>
        <v>249000</v>
      </c>
    </row>
    <row r="115" spans="4:18" x14ac:dyDescent="0.2">
      <c r="D115" s="197"/>
      <c r="E115" s="72" t="s">
        <v>39</v>
      </c>
      <c r="F115" s="6">
        <f>12500*CHOOSE(Scenarios!$B$8,Scenarios!$B$3,Scenarios!$C$3,Scenarios!$D$3)</f>
        <v>12500</v>
      </c>
      <c r="G115" s="6">
        <f>12500*CHOOSE(Scenarios!$B$8,Scenarios!$B$3,Scenarios!$C$3,Scenarios!$D$3)</f>
        <v>12500</v>
      </c>
      <c r="H115" s="6">
        <f>12500*CHOOSE(Scenarios!$B$8,Scenarios!$B$3,Scenarios!$C$3,Scenarios!$D$3)</f>
        <v>12500</v>
      </c>
      <c r="I115" s="6">
        <f>12500*CHOOSE(Scenarios!$B$8,Scenarios!$B$3,Scenarios!$C$3,Scenarios!$D$3)</f>
        <v>12500</v>
      </c>
      <c r="J115" s="6">
        <f>12500*CHOOSE(Scenarios!$B$8,Scenarios!$B$3,Scenarios!$C$3,Scenarios!$D$3)</f>
        <v>12500</v>
      </c>
      <c r="K115" s="6">
        <f>12500*CHOOSE(Scenarios!$B$8,Scenarios!$B$3,Scenarios!$C$3,Scenarios!$D$3)</f>
        <v>12500</v>
      </c>
      <c r="L115" s="6">
        <f>12500*CHOOSE(Scenarios!$B$8,Scenarios!$B$3,Scenarios!$C$3,Scenarios!$D$3)</f>
        <v>12500</v>
      </c>
      <c r="M115" s="6">
        <f>12500*CHOOSE(Scenarios!$B$8,Scenarios!$B$3,Scenarios!$C$3,Scenarios!$D$3)</f>
        <v>12500</v>
      </c>
      <c r="N115" s="6">
        <f>12500*CHOOSE(Scenarios!$B$8,Scenarios!$B$3,Scenarios!$C$3,Scenarios!$D$3)</f>
        <v>12500</v>
      </c>
      <c r="O115" s="6">
        <f>12500*CHOOSE(Scenarios!$B$8,Scenarios!$B$3,Scenarios!$C$3,Scenarios!$D$3)</f>
        <v>12500</v>
      </c>
      <c r="P115" s="6">
        <f>12500*CHOOSE(Scenarios!$B$8,Scenarios!$B$3,Scenarios!$C$3,Scenarios!$D$3)</f>
        <v>12500</v>
      </c>
      <c r="Q115" s="6">
        <f>12500*CHOOSE(Scenarios!$B$8,Scenarios!$B$3,Scenarios!$C$3,Scenarios!$D$3)</f>
        <v>12500</v>
      </c>
      <c r="R115" s="6">
        <f t="shared" si="47"/>
        <v>150000</v>
      </c>
    </row>
    <row r="116" spans="4:18" ht="16" customHeight="1" x14ac:dyDescent="0.2">
      <c r="D116" s="198" t="s">
        <v>107</v>
      </c>
      <c r="E116" s="72" t="s">
        <v>38</v>
      </c>
      <c r="F116" s="98">
        <f>F113/1000*Assumptions!$Q$19</f>
        <v>15979.166666666668</v>
      </c>
      <c r="G116" s="98">
        <f>G113/1000*Assumptions!$Q$19</f>
        <v>15979.166666666668</v>
      </c>
      <c r="H116" s="98">
        <f>H113/1000*Assumptions!$Q$19</f>
        <v>15979.166666666668</v>
      </c>
      <c r="I116" s="98">
        <f>I113/1000*Assumptions!$Q$19</f>
        <v>15979.166666666668</v>
      </c>
      <c r="J116" s="98">
        <f>J113/1000*Assumptions!$Q$19</f>
        <v>15979.166666666668</v>
      </c>
      <c r="K116" s="98">
        <f>K113/1000*Assumptions!$Q$19</f>
        <v>15979.166666666668</v>
      </c>
      <c r="L116" s="98">
        <f>L113/1000*Assumptions!$Q$19</f>
        <v>15979.166666666668</v>
      </c>
      <c r="M116" s="98">
        <f>M113/1000*Assumptions!$Q$19</f>
        <v>15979.166666666668</v>
      </c>
      <c r="N116" s="98">
        <f>N113/1000*Assumptions!$Q$19</f>
        <v>15979.166666666668</v>
      </c>
      <c r="O116" s="98">
        <f>O113/1000*Assumptions!$Q$19</f>
        <v>15979.166666666668</v>
      </c>
      <c r="P116" s="98">
        <f>P113/1000*Assumptions!$Q$19</f>
        <v>15979.166666666668</v>
      </c>
      <c r="Q116" s="98">
        <f>Q113/1000*Assumptions!$Q$19</f>
        <v>15979.166666666668</v>
      </c>
      <c r="R116" s="98">
        <f>SUM(F116:Q116)</f>
        <v>191750</v>
      </c>
    </row>
    <row r="117" spans="4:18" x14ac:dyDescent="0.2">
      <c r="D117" s="198"/>
      <c r="E117" s="72" t="s">
        <v>37</v>
      </c>
      <c r="F117" s="98">
        <f>F114/1000*Assumptions!$Q$20</f>
        <v>5732.1875</v>
      </c>
      <c r="G117" s="98">
        <f>G114/1000*Assumptions!$Q$20</f>
        <v>5732.1875</v>
      </c>
      <c r="H117" s="98">
        <f>H114/1000*Assumptions!$Q$20</f>
        <v>5732.1875</v>
      </c>
      <c r="I117" s="98">
        <f>I114/1000*Assumptions!$Q$20</f>
        <v>5732.1875</v>
      </c>
      <c r="J117" s="98">
        <f>J114/1000*Assumptions!$Q$20</f>
        <v>5732.1875</v>
      </c>
      <c r="K117" s="98">
        <f>K114/1000*Assumptions!$Q$20</f>
        <v>5732.1875</v>
      </c>
      <c r="L117" s="98">
        <f>L114/1000*Assumptions!$Q$20</f>
        <v>5732.1875</v>
      </c>
      <c r="M117" s="98">
        <f>M114/1000*Assumptions!$Q$20</f>
        <v>5732.1875</v>
      </c>
      <c r="N117" s="98">
        <f>N114/1000*Assumptions!$Q$20</f>
        <v>5732.1875</v>
      </c>
      <c r="O117" s="98">
        <f>O114/1000*Assumptions!$Q$20</f>
        <v>5732.1875</v>
      </c>
      <c r="P117" s="98">
        <f>P114/1000*Assumptions!$Q$20</f>
        <v>5732.1875</v>
      </c>
      <c r="Q117" s="98">
        <f>Q114/1000*Assumptions!$Q$20</f>
        <v>5732.1875</v>
      </c>
      <c r="R117" s="98">
        <f t="shared" ref="R117:R118" si="48">SUM(F117:Q117)</f>
        <v>68786.25</v>
      </c>
    </row>
    <row r="118" spans="4:18" x14ac:dyDescent="0.2">
      <c r="D118" s="198"/>
      <c r="E118" s="72" t="s">
        <v>39</v>
      </c>
      <c r="F118" s="98">
        <f>F115/1000*Assumptions!$Q$21</f>
        <v>3385.416666666667</v>
      </c>
      <c r="G118" s="98">
        <f>G115/1000*Assumptions!$Q$21</f>
        <v>3385.416666666667</v>
      </c>
      <c r="H118" s="98">
        <f>H115/1000*Assumptions!$Q$21</f>
        <v>3385.416666666667</v>
      </c>
      <c r="I118" s="98">
        <f>I115/1000*Assumptions!$Q$21</f>
        <v>3385.416666666667</v>
      </c>
      <c r="J118" s="98">
        <f>J115/1000*Assumptions!$Q$21</f>
        <v>3385.416666666667</v>
      </c>
      <c r="K118" s="98">
        <f>K115/1000*Assumptions!$Q$21</f>
        <v>3385.416666666667</v>
      </c>
      <c r="L118" s="98">
        <f>L115/1000*Assumptions!$Q$21</f>
        <v>3385.416666666667</v>
      </c>
      <c r="M118" s="98">
        <f>M115/1000*Assumptions!$Q$21</f>
        <v>3385.416666666667</v>
      </c>
      <c r="N118" s="98">
        <f>N115/1000*Assumptions!$Q$21</f>
        <v>3385.416666666667</v>
      </c>
      <c r="O118" s="98">
        <f>O115/1000*Assumptions!$Q$21</f>
        <v>3385.416666666667</v>
      </c>
      <c r="P118" s="98">
        <f>P115/1000*Assumptions!$Q$21</f>
        <v>3385.416666666667</v>
      </c>
      <c r="Q118" s="98">
        <f>Q115/1000*Assumptions!$Q$21</f>
        <v>3385.416666666667</v>
      </c>
      <c r="R118" s="98">
        <f t="shared" si="48"/>
        <v>40625</v>
      </c>
    </row>
    <row r="119" spans="4:18" ht="16" customHeight="1" x14ac:dyDescent="0.2">
      <c r="D119" s="198" t="s">
        <v>106</v>
      </c>
      <c r="E119" s="72" t="s">
        <v>38</v>
      </c>
      <c r="F119" s="100">
        <f>(F113/1000) * 'Стоимость производства'!$H$12* 1.06*1.06*1.06*1.06</f>
        <v>7364.7367048382412</v>
      </c>
      <c r="G119" s="100">
        <f>(G113/1000) * 'Стоимость производства'!$H$12* 1.06*1.06*1.06*1.06</f>
        <v>7364.7367048382412</v>
      </c>
      <c r="H119" s="100">
        <f>(H113/1000) * 'Стоимость производства'!$H$12* 1.06*1.06*1.06*1.06</f>
        <v>7364.7367048382412</v>
      </c>
      <c r="I119" s="100">
        <f>(I113/1000) * 'Стоимость производства'!$H$12* 1.06*1.06*1.06*1.06</f>
        <v>7364.7367048382412</v>
      </c>
      <c r="J119" s="100">
        <f>(J113/1000) * 'Стоимость производства'!$H$12* 1.06*1.06*1.06*1.06</f>
        <v>7364.7367048382412</v>
      </c>
      <c r="K119" s="100">
        <f>(K113/1000) * 'Стоимость производства'!$H$12* 1.06*1.06*1.06*1.06</f>
        <v>7364.7367048382412</v>
      </c>
      <c r="L119" s="100">
        <f>(L113/1000) * 'Стоимость производства'!$H$12* 1.06*1.06*1.06*1.06</f>
        <v>7364.7367048382412</v>
      </c>
      <c r="M119" s="100">
        <f>(M113/1000) * 'Стоимость производства'!$H$12* 1.06*1.06*1.06*1.06</f>
        <v>7364.7367048382412</v>
      </c>
      <c r="N119" s="100">
        <f>(N113/1000) * 'Стоимость производства'!$H$12* 1.06*1.06*1.06*1.06</f>
        <v>7364.7367048382412</v>
      </c>
      <c r="O119" s="100">
        <f>(O113/1000) * 'Стоимость производства'!$H$12* 1.06*1.06*1.06*1.06</f>
        <v>7364.7367048382412</v>
      </c>
      <c r="P119" s="100">
        <f>(P113/1000) * 'Стоимость производства'!$H$12* 1.06*1.06*1.06*1.06</f>
        <v>7364.7367048382412</v>
      </c>
      <c r="Q119" s="100">
        <f>(Q113/1000) * 'Стоимость производства'!$H$12* 1.06*1.06*1.06*1.06</f>
        <v>7364.7367048382412</v>
      </c>
      <c r="R119" s="98">
        <f>SUM(F119:Q119)</f>
        <v>88376.840458058912</v>
      </c>
    </row>
    <row r="120" spans="4:18" x14ac:dyDescent="0.2">
      <c r="D120" s="198"/>
      <c r="E120" s="72" t="s">
        <v>37</v>
      </c>
      <c r="F120" s="101">
        <f>'Стоимость производства'!$H$34*'P&amp;L'!F114 /1000* 1.06*1.06*1.06*1.06</f>
        <v>3077.9536152607525</v>
      </c>
      <c r="G120" s="101">
        <f>'Стоимость производства'!$H$34*'P&amp;L'!G114 /1000* 1.06*1.06*1.06*1.06</f>
        <v>3077.9536152607525</v>
      </c>
      <c r="H120" s="101">
        <f>'Стоимость производства'!$H$34*'P&amp;L'!H114 /1000* 1.06*1.06*1.06*1.06</f>
        <v>3077.9536152607525</v>
      </c>
      <c r="I120" s="101">
        <f>'Стоимость производства'!$H$34*'P&amp;L'!I114 /1000* 1.06*1.06*1.06*1.06</f>
        <v>3077.9536152607525</v>
      </c>
      <c r="J120" s="101">
        <f>'Стоимость производства'!$H$34*'P&amp;L'!J114 /1000* 1.06*1.06*1.06*1.06</f>
        <v>3077.9536152607525</v>
      </c>
      <c r="K120" s="101">
        <f>'Стоимость производства'!$H$34*'P&amp;L'!K114 /1000* 1.06*1.06*1.06*1.06</f>
        <v>3077.9536152607525</v>
      </c>
      <c r="L120" s="101">
        <f>'Стоимость производства'!$H$34*'P&amp;L'!L114 /1000* 1.06*1.06*1.06*1.06</f>
        <v>3077.9536152607525</v>
      </c>
      <c r="M120" s="101">
        <f>'Стоимость производства'!$H$34*'P&amp;L'!M114 /1000* 1.06*1.06*1.06*1.06</f>
        <v>3077.9536152607525</v>
      </c>
      <c r="N120" s="101">
        <f>'Стоимость производства'!$H$34*'P&amp;L'!N114 /1000* 1.06*1.06*1.06*1.06</f>
        <v>3077.9536152607525</v>
      </c>
      <c r="O120" s="101">
        <f>'Стоимость производства'!$H$34*'P&amp;L'!O114 /1000* 1.06*1.06*1.06*1.06</f>
        <v>3077.9536152607525</v>
      </c>
      <c r="P120" s="101">
        <f>'Стоимость производства'!$H$34*'P&amp;L'!P114 /1000* 1.06*1.06*1.06*1.06</f>
        <v>3077.9536152607525</v>
      </c>
      <c r="Q120" s="101">
        <f>'Стоимость производства'!$H$34*'P&amp;L'!Q114 /1000* 1.06*1.06*1.06*1.06</f>
        <v>3077.9536152607525</v>
      </c>
      <c r="R120" s="100">
        <f>SUM(F120:Q120)</f>
        <v>36935.443383129037</v>
      </c>
    </row>
    <row r="121" spans="4:18" x14ac:dyDescent="0.2">
      <c r="D121" s="198"/>
      <c r="E121" s="73" t="s">
        <v>39</v>
      </c>
      <c r="F121" s="98">
        <f>('Стоимость производства'!$H$61)*'P&amp;L'!F115/1000* 1.06*1.06*1.06*1.06</f>
        <v>1557.3217414757767</v>
      </c>
      <c r="G121" s="98">
        <f>('Стоимость производства'!$H$61)*'P&amp;L'!G115/1000* 1.06*1.06*1.06*1.06</f>
        <v>1557.3217414757767</v>
      </c>
      <c r="H121" s="98">
        <f>('Стоимость производства'!$H$61)*'P&amp;L'!H115/1000* 1.06*1.06*1.06*1.06</f>
        <v>1557.3217414757767</v>
      </c>
      <c r="I121" s="98">
        <f>('Стоимость производства'!$H$61)*'P&amp;L'!I115/1000* 1.06*1.06*1.06*1.06</f>
        <v>1557.3217414757767</v>
      </c>
      <c r="J121" s="98">
        <f>('Стоимость производства'!$H$61)*'P&amp;L'!J115/1000* 1.06*1.06*1.06*1.06</f>
        <v>1557.3217414757767</v>
      </c>
      <c r="K121" s="98">
        <f>('Стоимость производства'!$H$61)*'P&amp;L'!K115/1000* 1.06*1.06*1.06*1.06</f>
        <v>1557.3217414757767</v>
      </c>
      <c r="L121" s="98">
        <f>('Стоимость производства'!$H$61)*'P&amp;L'!L115/1000* 1.06*1.06*1.06*1.06</f>
        <v>1557.3217414757767</v>
      </c>
      <c r="M121" s="98">
        <f>('Стоимость производства'!$H$61)*'P&amp;L'!M115/1000* 1.06*1.06*1.06*1.06</f>
        <v>1557.3217414757767</v>
      </c>
      <c r="N121" s="98">
        <f>('Стоимость производства'!$H$61)*'P&amp;L'!N115/1000* 1.06*1.06*1.06*1.06</f>
        <v>1557.3217414757767</v>
      </c>
      <c r="O121" s="98">
        <f>('Стоимость производства'!$H$61)*'P&amp;L'!O115/1000* 1.06*1.06*1.06*1.06</f>
        <v>1557.3217414757767</v>
      </c>
      <c r="P121" s="98">
        <f>('Стоимость производства'!$H$61)*'P&amp;L'!P115/1000* 1.06*1.06*1.06*1.06</f>
        <v>1557.3217414757767</v>
      </c>
      <c r="Q121" s="98">
        <f>('Стоимость производства'!$H$61)*'P&amp;L'!Q115/1000* 1.06*1.06*1.06*1.06</f>
        <v>1557.3217414757767</v>
      </c>
      <c r="R121" s="98">
        <f>SUM(F121:Q121)</f>
        <v>18687.860897709321</v>
      </c>
    </row>
    <row r="122" spans="4:18" x14ac:dyDescent="0.2">
      <c r="D122" s="59" t="s">
        <v>56</v>
      </c>
      <c r="E122" s="7"/>
      <c r="F122" s="6">
        <f>Assumptions!$G$32* 1.06*1.06*1.06*1.06</f>
        <v>2272.4585280000006</v>
      </c>
      <c r="G122" s="6">
        <f>Assumptions!$G$32* 1.06*1.06*1.06*1.06</f>
        <v>2272.4585280000006</v>
      </c>
      <c r="H122" s="6">
        <f>Assumptions!$G$32* 1.06*1.06*1.06*1.06</f>
        <v>2272.4585280000006</v>
      </c>
      <c r="I122" s="6">
        <f>Assumptions!$G$32* 1.06*1.06*1.06*1.06</f>
        <v>2272.4585280000006</v>
      </c>
      <c r="J122" s="6">
        <f>Assumptions!$G$32* 1.06*1.06*1.06*1.06</f>
        <v>2272.4585280000006</v>
      </c>
      <c r="K122" s="6">
        <f>Assumptions!$G$32* 1.06*1.06*1.06*1.06</f>
        <v>2272.4585280000006</v>
      </c>
      <c r="L122" s="6">
        <f>Assumptions!$G$32* 1.06*1.06*1.06*1.06</f>
        <v>2272.4585280000006</v>
      </c>
      <c r="M122" s="6">
        <f>Assumptions!$G$32* 1.06*1.06*1.06*1.06</f>
        <v>2272.4585280000006</v>
      </c>
      <c r="N122" s="6">
        <f>Assumptions!$G$32* 1.06*1.06*1.06*1.06</f>
        <v>2272.4585280000006</v>
      </c>
      <c r="O122" s="6">
        <f>Assumptions!$G$32* 1.06*1.06*1.06*1.06</f>
        <v>2272.4585280000006</v>
      </c>
      <c r="P122" s="6">
        <f>Assumptions!$G$32* 1.06*1.06*1.06*1.06</f>
        <v>2272.4585280000006</v>
      </c>
      <c r="Q122" s="6">
        <f>Assumptions!$G$32* 1.06*1.06*1.06*1.06</f>
        <v>2272.4585280000006</v>
      </c>
      <c r="R122" s="6">
        <f>SUM(F122:Q122)</f>
        <v>27269.502336000001</v>
      </c>
    </row>
    <row r="123" spans="4:18" x14ac:dyDescent="0.2">
      <c r="D123" s="59" t="s">
        <v>57</v>
      </c>
      <c r="E123" s="7"/>
      <c r="F123" s="98">
        <f>Assumptions!$B$43</f>
        <v>553.80753968253964</v>
      </c>
      <c r="G123" s="98">
        <f>Assumptions!$B$43</f>
        <v>553.80753968253964</v>
      </c>
      <c r="H123" s="98">
        <f>Assumptions!$B$43</f>
        <v>553.80753968253964</v>
      </c>
      <c r="I123" s="98">
        <f>Assumptions!$B$43</f>
        <v>553.80753968253964</v>
      </c>
      <c r="J123" s="98">
        <f>Assumptions!$B$43</f>
        <v>553.80753968253964</v>
      </c>
      <c r="K123" s="98">
        <f>Assumptions!$B$43</f>
        <v>553.80753968253964</v>
      </c>
      <c r="L123" s="98">
        <f>Assumptions!$B$43</f>
        <v>553.80753968253964</v>
      </c>
      <c r="M123" s="98">
        <f>Assumptions!$B$43</f>
        <v>553.80753968253964</v>
      </c>
      <c r="N123" s="98">
        <f>Assumptions!$B$43</f>
        <v>553.80753968253964</v>
      </c>
      <c r="O123" s="98">
        <f>Assumptions!$B$43</f>
        <v>553.80753968253964</v>
      </c>
      <c r="P123" s="98">
        <f>Assumptions!$B$43</f>
        <v>553.80753968253964</v>
      </c>
      <c r="Q123" s="98">
        <f>Assumptions!$B$43</f>
        <v>553.80753968253964</v>
      </c>
      <c r="R123" s="98">
        <f>Q123*12</f>
        <v>6645.6904761904752</v>
      </c>
    </row>
    <row r="124" spans="4:18" x14ac:dyDescent="0.2">
      <c r="D124" s="59" t="s">
        <v>83</v>
      </c>
      <c r="E124" s="71"/>
      <c r="F124" s="98">
        <f>Assumptions!$F$40* 1.06*1.06*1.06*1.06</f>
        <v>5239.2793840000013</v>
      </c>
      <c r="G124" s="98">
        <f>Assumptions!$F$40* 1.06*1.06*1.06*1.06</f>
        <v>5239.2793840000013</v>
      </c>
      <c r="H124" s="98">
        <f>Assumptions!$F$40* 1.06*1.06*1.06*1.06</f>
        <v>5239.2793840000013</v>
      </c>
      <c r="I124" s="98">
        <f>Assumptions!$F$40* 1.06*1.06*1.06*1.06</f>
        <v>5239.2793840000013</v>
      </c>
      <c r="J124" s="98">
        <f>Assumptions!$F$40* 1.06*1.06*1.06*1.06</f>
        <v>5239.2793840000013</v>
      </c>
      <c r="K124" s="98">
        <f>Assumptions!$F$40* 1.06*1.06*1.06*1.06</f>
        <v>5239.2793840000013</v>
      </c>
      <c r="L124" s="98">
        <f>Assumptions!$F$40* 1.06*1.06*1.06*1.06</f>
        <v>5239.2793840000013</v>
      </c>
      <c r="M124" s="98">
        <f>Assumptions!$F$40* 1.06*1.06*1.06*1.06</f>
        <v>5239.2793840000013</v>
      </c>
      <c r="N124" s="98">
        <f>Assumptions!$F$40* 1.06*1.06*1.06*1.06</f>
        <v>5239.2793840000013</v>
      </c>
      <c r="O124" s="98">
        <f>Assumptions!$F$40* 1.06*1.06*1.06*1.06</f>
        <v>5239.2793840000013</v>
      </c>
      <c r="P124" s="98">
        <f>Assumptions!$F$40* 1.06*1.06*1.06*1.06</f>
        <v>5239.2793840000013</v>
      </c>
      <c r="Q124" s="98">
        <f>Assumptions!$F$40* 1.06*1.06*1.06*1.06</f>
        <v>5239.2793840000013</v>
      </c>
      <c r="R124" s="98">
        <f>SUM(F124:Q124)</f>
        <v>62871.352608000016</v>
      </c>
    </row>
    <row r="125" spans="4:18" x14ac:dyDescent="0.2">
      <c r="D125" s="59" t="s">
        <v>74</v>
      </c>
      <c r="E125" s="71"/>
      <c r="F125" s="98">
        <f>SUM(F126:F128) - F124 - F123</f>
        <v>7303.6718480760237</v>
      </c>
      <c r="G125" s="98">
        <f t="shared" ref="G125:Q125" si="49">SUM(G126:G128) - G124 - G123</f>
        <v>7303.6718480760237</v>
      </c>
      <c r="H125" s="98">
        <f t="shared" si="49"/>
        <v>7303.6718480760237</v>
      </c>
      <c r="I125" s="98">
        <f t="shared" si="49"/>
        <v>7303.6718480760237</v>
      </c>
      <c r="J125" s="98">
        <f t="shared" si="49"/>
        <v>7303.6718480760237</v>
      </c>
      <c r="K125" s="98">
        <f t="shared" si="49"/>
        <v>7303.6718480760237</v>
      </c>
      <c r="L125" s="98">
        <f t="shared" si="49"/>
        <v>7303.6718480760237</v>
      </c>
      <c r="M125" s="98">
        <f t="shared" si="49"/>
        <v>7303.6718480760237</v>
      </c>
      <c r="N125" s="98">
        <f t="shared" si="49"/>
        <v>7303.6718480760237</v>
      </c>
      <c r="O125" s="98">
        <f t="shared" si="49"/>
        <v>7303.6718480760237</v>
      </c>
      <c r="P125" s="98">
        <f t="shared" si="49"/>
        <v>7303.6718480760237</v>
      </c>
      <c r="Q125" s="98">
        <f t="shared" si="49"/>
        <v>7303.6718480760237</v>
      </c>
      <c r="R125" s="98">
        <f t="shared" ref="R125" si="50">SUM(R126:R128) - R124 - R123</f>
        <v>87644.062176912295</v>
      </c>
    </row>
    <row r="126" spans="4:18" x14ac:dyDescent="0.2">
      <c r="D126" s="197" t="s">
        <v>75</v>
      </c>
      <c r="E126" s="8" t="s">
        <v>38</v>
      </c>
      <c r="F126" s="98">
        <f>F116-F119</f>
        <v>8614.4299618284276</v>
      </c>
      <c r="G126" s="98">
        <f t="shared" ref="G126:Q126" si="51">G116-G119</f>
        <v>8614.4299618284276</v>
      </c>
      <c r="H126" s="98">
        <f t="shared" si="51"/>
        <v>8614.4299618284276</v>
      </c>
      <c r="I126" s="98">
        <f t="shared" si="51"/>
        <v>8614.4299618284276</v>
      </c>
      <c r="J126" s="98">
        <f t="shared" si="51"/>
        <v>8614.4299618284276</v>
      </c>
      <c r="K126" s="98">
        <f t="shared" si="51"/>
        <v>8614.4299618284276</v>
      </c>
      <c r="L126" s="98">
        <f t="shared" si="51"/>
        <v>8614.4299618284276</v>
      </c>
      <c r="M126" s="98">
        <f t="shared" si="51"/>
        <v>8614.4299618284276</v>
      </c>
      <c r="N126" s="98">
        <f t="shared" si="51"/>
        <v>8614.4299618284276</v>
      </c>
      <c r="O126" s="98">
        <f t="shared" si="51"/>
        <v>8614.4299618284276</v>
      </c>
      <c r="P126" s="98">
        <f t="shared" si="51"/>
        <v>8614.4299618284276</v>
      </c>
      <c r="Q126" s="98">
        <f t="shared" si="51"/>
        <v>8614.4299618284276</v>
      </c>
      <c r="R126" s="98">
        <f t="shared" ref="R126:R131" si="52">SUM(F126:Q126)</f>
        <v>103373.15954194113</v>
      </c>
    </row>
    <row r="127" spans="4:18" x14ac:dyDescent="0.2">
      <c r="D127" s="197"/>
      <c r="E127" s="72" t="s">
        <v>37</v>
      </c>
      <c r="F127" s="98">
        <f t="shared" ref="F127" si="53">F117-F120</f>
        <v>2654.2338847392475</v>
      </c>
      <c r="G127" s="98">
        <f t="shared" ref="G127:Q127" si="54">G117-G120</f>
        <v>2654.2338847392475</v>
      </c>
      <c r="H127" s="98">
        <f t="shared" si="54"/>
        <v>2654.2338847392475</v>
      </c>
      <c r="I127" s="98">
        <f t="shared" si="54"/>
        <v>2654.2338847392475</v>
      </c>
      <c r="J127" s="98">
        <f t="shared" si="54"/>
        <v>2654.2338847392475</v>
      </c>
      <c r="K127" s="98">
        <f t="shared" si="54"/>
        <v>2654.2338847392475</v>
      </c>
      <c r="L127" s="98">
        <f t="shared" si="54"/>
        <v>2654.2338847392475</v>
      </c>
      <c r="M127" s="98">
        <f t="shared" si="54"/>
        <v>2654.2338847392475</v>
      </c>
      <c r="N127" s="98">
        <f t="shared" si="54"/>
        <v>2654.2338847392475</v>
      </c>
      <c r="O127" s="98">
        <f t="shared" si="54"/>
        <v>2654.2338847392475</v>
      </c>
      <c r="P127" s="98">
        <f t="shared" si="54"/>
        <v>2654.2338847392475</v>
      </c>
      <c r="Q127" s="98">
        <f t="shared" si="54"/>
        <v>2654.2338847392475</v>
      </c>
      <c r="R127" s="98">
        <f t="shared" si="52"/>
        <v>31850.806616870963</v>
      </c>
    </row>
    <row r="128" spans="4:18" x14ac:dyDescent="0.2">
      <c r="D128" s="197"/>
      <c r="E128" s="72" t="s">
        <v>39</v>
      </c>
      <c r="F128" s="98">
        <f t="shared" ref="F128" si="55">F118-F121</f>
        <v>1828.0949251908903</v>
      </c>
      <c r="G128" s="98">
        <f t="shared" ref="G128:Q128" si="56">G118-G121</f>
        <v>1828.0949251908903</v>
      </c>
      <c r="H128" s="98">
        <f t="shared" si="56"/>
        <v>1828.0949251908903</v>
      </c>
      <c r="I128" s="98">
        <f t="shared" si="56"/>
        <v>1828.0949251908903</v>
      </c>
      <c r="J128" s="98">
        <f t="shared" si="56"/>
        <v>1828.0949251908903</v>
      </c>
      <c r="K128" s="98">
        <f t="shared" si="56"/>
        <v>1828.0949251908903</v>
      </c>
      <c r="L128" s="98">
        <f t="shared" si="56"/>
        <v>1828.0949251908903</v>
      </c>
      <c r="M128" s="98">
        <f t="shared" si="56"/>
        <v>1828.0949251908903</v>
      </c>
      <c r="N128" s="98">
        <f t="shared" si="56"/>
        <v>1828.0949251908903</v>
      </c>
      <c r="O128" s="98">
        <f t="shared" si="56"/>
        <v>1828.0949251908903</v>
      </c>
      <c r="P128" s="98">
        <f t="shared" si="56"/>
        <v>1828.0949251908903</v>
      </c>
      <c r="Q128" s="98">
        <f t="shared" si="56"/>
        <v>1828.0949251908903</v>
      </c>
      <c r="R128" s="98">
        <f t="shared" si="52"/>
        <v>21937.139102290679</v>
      </c>
    </row>
    <row r="129" spans="4:33" x14ac:dyDescent="0.2">
      <c r="D129" s="59" t="s">
        <v>85</v>
      </c>
      <c r="E129" s="74"/>
      <c r="F129" s="102">
        <f>F131+F130+F123</f>
        <v>7857.4793877585635</v>
      </c>
      <c r="G129" s="102">
        <f t="shared" ref="G129:Q129" si="57">G131+G130+G123</f>
        <v>7857.4793877585635</v>
      </c>
      <c r="H129" s="102">
        <f t="shared" si="57"/>
        <v>7857.4793877585635</v>
      </c>
      <c r="I129" s="102">
        <f t="shared" si="57"/>
        <v>7857.4793877585635</v>
      </c>
      <c r="J129" s="102">
        <f t="shared" si="57"/>
        <v>7857.4793877585635</v>
      </c>
      <c r="K129" s="102">
        <f t="shared" si="57"/>
        <v>7857.4793877585635</v>
      </c>
      <c r="L129" s="102">
        <f t="shared" si="57"/>
        <v>7857.4793877585635</v>
      </c>
      <c r="M129" s="102">
        <f t="shared" si="57"/>
        <v>7857.4793877585635</v>
      </c>
      <c r="N129" s="102">
        <f t="shared" si="57"/>
        <v>7857.4793877585635</v>
      </c>
      <c r="O129" s="102">
        <f t="shared" si="57"/>
        <v>7857.4793877585635</v>
      </c>
      <c r="P129" s="102">
        <f t="shared" si="57"/>
        <v>7857.4793877585635</v>
      </c>
      <c r="Q129" s="102">
        <f t="shared" si="57"/>
        <v>7857.4793877585635</v>
      </c>
      <c r="R129" s="98">
        <f t="shared" si="52"/>
        <v>94289.752653102754</v>
      </c>
    </row>
    <row r="130" spans="4:33" x14ac:dyDescent="0.2">
      <c r="D130" s="75" t="s">
        <v>31</v>
      </c>
      <c r="F130" s="98">
        <f>MAX(0,F125*Assumptions!$B$10)</f>
        <v>1825.9179620190059</v>
      </c>
      <c r="G130" s="98">
        <f>MAX(0,G125*Assumptions!$B$10)</f>
        <v>1825.9179620190059</v>
      </c>
      <c r="H130" s="98">
        <f>MAX(0,H125*Assumptions!$B$10)</f>
        <v>1825.9179620190059</v>
      </c>
      <c r="I130" s="98">
        <f>MAX(0,I125*Assumptions!$B$10)</f>
        <v>1825.9179620190059</v>
      </c>
      <c r="J130" s="98">
        <f>MAX(0,J125*Assumptions!$B$10)</f>
        <v>1825.9179620190059</v>
      </c>
      <c r="K130" s="98">
        <f>MAX(0,K125*Assumptions!$B$10)</f>
        <v>1825.9179620190059</v>
      </c>
      <c r="L130" s="98">
        <f>MAX(0,L125*Assumptions!$B$10)</f>
        <v>1825.9179620190059</v>
      </c>
      <c r="M130" s="98">
        <f>MAX(0,M125*Assumptions!$B$10)</f>
        <v>1825.9179620190059</v>
      </c>
      <c r="N130" s="98">
        <f>MAX(0,N125*Assumptions!$B$10)</f>
        <v>1825.9179620190059</v>
      </c>
      <c r="O130" s="98">
        <f>MAX(0,O125*Assumptions!$B$10)</f>
        <v>1825.9179620190059</v>
      </c>
      <c r="P130" s="98">
        <f>MAX(0,P125*Assumptions!$B$10)</f>
        <v>1825.9179620190059</v>
      </c>
      <c r="Q130" s="98">
        <f>MAX(0,Q125*Assumptions!$B$10)</f>
        <v>1825.9179620190059</v>
      </c>
      <c r="R130" s="98">
        <f t="shared" si="52"/>
        <v>21911.015544228067</v>
      </c>
    </row>
    <row r="131" spans="4:33" x14ac:dyDescent="0.2">
      <c r="D131" s="59" t="s">
        <v>86</v>
      </c>
      <c r="E131" s="76"/>
      <c r="F131" s="98">
        <f>F125-F130</f>
        <v>5477.7538860570176</v>
      </c>
      <c r="G131" s="98">
        <f t="shared" ref="G131:Q131" si="58">G125-G130</f>
        <v>5477.7538860570176</v>
      </c>
      <c r="H131" s="98">
        <f t="shared" si="58"/>
        <v>5477.7538860570176</v>
      </c>
      <c r="I131" s="98">
        <f t="shared" si="58"/>
        <v>5477.7538860570176</v>
      </c>
      <c r="J131" s="98">
        <f t="shared" si="58"/>
        <v>5477.7538860570176</v>
      </c>
      <c r="K131" s="98">
        <f t="shared" si="58"/>
        <v>5477.7538860570176</v>
      </c>
      <c r="L131" s="98">
        <f t="shared" si="58"/>
        <v>5477.7538860570176</v>
      </c>
      <c r="M131" s="98">
        <f t="shared" si="58"/>
        <v>5477.7538860570176</v>
      </c>
      <c r="N131" s="98">
        <f t="shared" si="58"/>
        <v>5477.7538860570176</v>
      </c>
      <c r="O131" s="98">
        <f t="shared" si="58"/>
        <v>5477.7538860570176</v>
      </c>
      <c r="P131" s="98">
        <f t="shared" si="58"/>
        <v>5477.7538860570176</v>
      </c>
      <c r="Q131" s="98">
        <f t="shared" si="58"/>
        <v>5477.7538860570176</v>
      </c>
      <c r="R131" s="98">
        <f t="shared" si="52"/>
        <v>65733.046632684229</v>
      </c>
    </row>
    <row r="132" spans="4:33" x14ac:dyDescent="0.2">
      <c r="D132" s="79"/>
      <c r="E132" s="78"/>
      <c r="F132" s="78"/>
      <c r="G132" s="78"/>
      <c r="H132" s="78"/>
      <c r="I132" s="78"/>
      <c r="J132" s="80"/>
      <c r="K132" s="78"/>
      <c r="L132" s="78"/>
      <c r="M132" s="78"/>
      <c r="N132" s="78"/>
      <c r="O132" s="78"/>
      <c r="P132" s="78"/>
      <c r="Q132" s="78"/>
      <c r="R132" s="78"/>
    </row>
    <row r="138" spans="4:33" ht="19" x14ac:dyDescent="0.25">
      <c r="G138" s="82"/>
    </row>
    <row r="142" spans="4:33" x14ac:dyDescent="0.2"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</row>
    <row r="143" spans="4:33" x14ac:dyDescent="0.2"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</row>
    <row r="144" spans="4:33" x14ac:dyDescent="0.2">
      <c r="L144" s="38"/>
      <c r="M144" s="38"/>
      <c r="N144" s="38"/>
      <c r="O144" s="38"/>
      <c r="P144" s="38"/>
      <c r="Q144" s="38"/>
      <c r="R144" s="38"/>
      <c r="S144" s="38"/>
      <c r="AB144" s="38"/>
      <c r="AC144" s="38"/>
      <c r="AD144" s="38"/>
      <c r="AE144" s="38"/>
      <c r="AF144" s="38"/>
      <c r="AG144" s="38"/>
    </row>
    <row r="145" spans="5:24" x14ac:dyDescent="0.2">
      <c r="L145" s="38"/>
      <c r="M145" s="38"/>
      <c r="N145" s="38"/>
      <c r="O145" s="38"/>
      <c r="P145" s="38"/>
      <c r="Q145" s="38"/>
      <c r="R145" s="38"/>
      <c r="S145" s="38"/>
    </row>
    <row r="146" spans="5:24" ht="19" x14ac:dyDescent="0.25">
      <c r="L146" s="38"/>
      <c r="M146" s="38"/>
      <c r="N146" s="84"/>
      <c r="O146" s="38"/>
      <c r="P146" s="38"/>
      <c r="Q146" s="38"/>
      <c r="R146" s="38"/>
      <c r="S146" s="38"/>
    </row>
    <row r="149" spans="5:24" x14ac:dyDescent="0.2">
      <c r="M149" s="38"/>
      <c r="N149" s="38"/>
      <c r="O149" s="83"/>
      <c r="P149" s="83"/>
      <c r="Q149" s="83"/>
      <c r="R149" s="83"/>
      <c r="S149" s="83"/>
    </row>
    <row r="150" spans="5:24" ht="19" x14ac:dyDescent="0.25">
      <c r="E150" s="1"/>
      <c r="F150" s="1"/>
      <c r="G150" s="1"/>
      <c r="H150" s="1"/>
      <c r="I150" s="1"/>
      <c r="J150" s="1"/>
      <c r="K150" s="1"/>
      <c r="L150" s="1"/>
      <c r="M150" s="83"/>
      <c r="N150" s="84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5:24" x14ac:dyDescent="0.2"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4" spans="5:24" ht="19" x14ac:dyDescent="0.25">
      <c r="N154" s="82"/>
    </row>
    <row r="158" spans="5:24" ht="19" x14ac:dyDescent="0.25">
      <c r="N158" s="82"/>
    </row>
    <row r="162" spans="14:14" ht="19" x14ac:dyDescent="0.25">
      <c r="N162" s="82"/>
    </row>
  </sheetData>
  <mergeCells count="25">
    <mergeCell ref="D111:R111"/>
    <mergeCell ref="D113:D115"/>
    <mergeCell ref="D116:D118"/>
    <mergeCell ref="D119:D121"/>
    <mergeCell ref="D126:D128"/>
    <mergeCell ref="D85:R85"/>
    <mergeCell ref="D87:D89"/>
    <mergeCell ref="D90:D92"/>
    <mergeCell ref="D93:D95"/>
    <mergeCell ref="D100:D102"/>
    <mergeCell ref="D59:R59"/>
    <mergeCell ref="D61:D63"/>
    <mergeCell ref="D64:D66"/>
    <mergeCell ref="D67:D69"/>
    <mergeCell ref="D74:D76"/>
    <mergeCell ref="D33:R33"/>
    <mergeCell ref="D35:D37"/>
    <mergeCell ref="D38:D40"/>
    <mergeCell ref="D41:D43"/>
    <mergeCell ref="D48:D50"/>
    <mergeCell ref="D7:R7"/>
    <mergeCell ref="D15:D17"/>
    <mergeCell ref="D22:D24"/>
    <mergeCell ref="D9:D11"/>
    <mergeCell ref="D12:D14"/>
  </mergeCells>
  <phoneticPr fontId="1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6435-4358-2047-A59D-C9AB4AE9E58B}">
  <sheetPr codeName="Лист4"/>
  <dimension ref="A1:Y65"/>
  <sheetViews>
    <sheetView tabSelected="1" topLeftCell="K1" zoomScale="83" zoomScaleNormal="111" workbookViewId="0">
      <selection activeCell="Q10" sqref="Q10"/>
    </sheetView>
  </sheetViews>
  <sheetFormatPr baseColWidth="10" defaultRowHeight="16" x14ac:dyDescent="0.2"/>
  <cols>
    <col min="2" max="2" width="21.83203125" customWidth="1"/>
    <col min="9" max="9" width="23.33203125" customWidth="1"/>
    <col min="10" max="10" width="24.33203125" customWidth="1"/>
    <col min="11" max="11" width="30.5" bestFit="1" customWidth="1"/>
    <col min="16" max="16" width="22.83203125" customWidth="1"/>
    <col min="17" max="17" width="14.83203125" customWidth="1"/>
    <col min="24" max="24" width="21.1640625" customWidth="1"/>
    <col min="26" max="26" width="11.1640625" customWidth="1"/>
  </cols>
  <sheetData>
    <row r="1" spans="1:22" x14ac:dyDescent="0.2">
      <c r="A1" s="1"/>
      <c r="B1" s="1"/>
      <c r="C1" s="1"/>
      <c r="D1" s="1"/>
      <c r="E1" s="1"/>
      <c r="F1" s="1"/>
    </row>
    <row r="4" spans="1:22" ht="26" x14ac:dyDescent="0.3">
      <c r="B4" s="192" t="s">
        <v>73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78"/>
      <c r="N4" s="178"/>
      <c r="Q4" s="59" t="s">
        <v>129</v>
      </c>
      <c r="R4" s="112">
        <f>R8/365</f>
        <v>0.16438356164383561</v>
      </c>
    </row>
    <row r="5" spans="1:22" x14ac:dyDescent="0.2">
      <c r="B5" s="113" t="s">
        <v>132</v>
      </c>
      <c r="C5" s="114">
        <v>46023</v>
      </c>
      <c r="D5" s="115">
        <v>46054</v>
      </c>
      <c r="E5" s="115">
        <v>46082</v>
      </c>
      <c r="F5" s="115">
        <v>46113</v>
      </c>
      <c r="G5" s="115">
        <v>46143</v>
      </c>
      <c r="H5" s="115">
        <v>46174</v>
      </c>
      <c r="I5" s="115">
        <v>46204</v>
      </c>
      <c r="J5" s="115">
        <v>46235</v>
      </c>
      <c r="K5" s="115">
        <v>46266</v>
      </c>
      <c r="L5" s="115">
        <v>46296</v>
      </c>
      <c r="M5" s="115">
        <v>46327</v>
      </c>
      <c r="N5" s="115">
        <v>46357</v>
      </c>
      <c r="Q5" s="59" t="s">
        <v>54</v>
      </c>
      <c r="R5" s="109">
        <f>0.205+CHOOSE(Scenarios!B8,Scenarios!B5,Scenarios!C5,Scenarios!D5)</f>
        <v>0.20499999999999999</v>
      </c>
      <c r="S5" s="6">
        <f>(1+R5)^(1/12)</f>
        <v>1.0156613370474366</v>
      </c>
    </row>
    <row r="6" spans="1:22" x14ac:dyDescent="0.2">
      <c r="A6" s="1"/>
      <c r="B6" s="59" t="s">
        <v>86</v>
      </c>
      <c r="C6" s="5">
        <f>'P&amp;L'!F27</f>
        <v>-2375.7228221531573</v>
      </c>
      <c r="D6" s="5">
        <f>'P&amp;L'!G27</f>
        <v>-971.68046338846659</v>
      </c>
      <c r="E6" s="5">
        <f>'P&amp;L'!H27</f>
        <v>324.27142153216903</v>
      </c>
      <c r="F6" s="5">
        <f>'P&amp;L'!I27</f>
        <v>1377.3031906056879</v>
      </c>
      <c r="G6" s="5">
        <f>'P&amp;L'!J27</f>
        <v>1903.8190751424456</v>
      </c>
      <c r="H6" s="5">
        <f>'P&amp;L'!K27</f>
        <v>2430.334959679205</v>
      </c>
      <c r="I6" s="5">
        <f>'P&amp;L'!L27</f>
        <v>2430.334959679205</v>
      </c>
      <c r="J6" s="5">
        <f>'P&amp;L'!M27</f>
        <v>2956.8508442159655</v>
      </c>
      <c r="K6" s="5">
        <f>'P&amp;L'!N27</f>
        <v>2956.8508442159655</v>
      </c>
      <c r="L6" s="5">
        <f>'P&amp;L'!O27</f>
        <v>2956.8508442159655</v>
      </c>
      <c r="M6" s="5">
        <f>'P&amp;L'!P27</f>
        <v>3483.366728752726</v>
      </c>
      <c r="N6" s="5">
        <f>'P&amp;L'!Q27</f>
        <v>3483.366728752726</v>
      </c>
      <c r="Q6" s="59" t="s">
        <v>175</v>
      </c>
      <c r="R6" s="6">
        <f>Assumptions!B42*CHOOSE(Scenarios!B8,Scenarios!B4,Scenarios!C4,Scenarios!D4)</f>
        <v>85049</v>
      </c>
    </row>
    <row r="7" spans="1:22" x14ac:dyDescent="0.2">
      <c r="B7" s="59" t="s">
        <v>57</v>
      </c>
      <c r="C7" s="5" cm="1">
        <f t="array" ref="C7:N7">'P&amp;L'!F19:Q19</f>
        <v>553.80753968253964</v>
      </c>
      <c r="D7" s="6">
        <v>553.80753968253964</v>
      </c>
      <c r="E7" s="6">
        <v>553.80753968253964</v>
      </c>
      <c r="F7" s="6">
        <v>553.80753968253964</v>
      </c>
      <c r="G7" s="5">
        <v>553.80753968253964</v>
      </c>
      <c r="H7" s="6">
        <v>553.80753968253964</v>
      </c>
      <c r="I7" s="6">
        <v>553.80753968253964</v>
      </c>
      <c r="J7" s="6">
        <v>553.80753968253964</v>
      </c>
      <c r="K7" s="6">
        <v>553.80753968253964</v>
      </c>
      <c r="L7" s="6">
        <v>553.80753968253964</v>
      </c>
      <c r="M7" s="6">
        <v>553.80753968253964</v>
      </c>
      <c r="N7" s="6">
        <v>553.80753968253964</v>
      </c>
      <c r="Q7" s="59" t="s">
        <v>174</v>
      </c>
      <c r="R7" s="6">
        <f>SUM(C13:N13) + SUM(C26:N26) +SUM(C39:N39) +SUM(C52:N52) +SUM(C64:N64)</f>
        <v>89645.615279068137</v>
      </c>
    </row>
    <row r="8" spans="1:22" x14ac:dyDescent="0.2">
      <c r="A8" s="1"/>
      <c r="B8" s="59" t="s">
        <v>117</v>
      </c>
      <c r="C8" s="6">
        <f>SUM('P&amp;L'!F12:F14)</f>
        <v>5091.666666666667</v>
      </c>
      <c r="D8" s="6">
        <f>SUM('P&amp;L'!G12:G14)</f>
        <v>7637.5</v>
      </c>
      <c r="E8" s="6">
        <f>SUM('P&amp;L'!H12:H14)</f>
        <v>10183.333333333334</v>
      </c>
      <c r="F8" s="6">
        <f>SUM('P&amp;L'!I12:I14)</f>
        <v>12729.166666666668</v>
      </c>
      <c r="G8" s="6">
        <f>SUM('P&amp;L'!J12:J14)</f>
        <v>14002.083333333334</v>
      </c>
      <c r="H8" s="6">
        <f>SUM('P&amp;L'!K12:K14)</f>
        <v>15275</v>
      </c>
      <c r="I8" s="6">
        <f>SUM('P&amp;L'!L12:L14)</f>
        <v>15275</v>
      </c>
      <c r="J8" s="6">
        <f>SUM('P&amp;L'!M12:M14)</f>
        <v>16547.916666666668</v>
      </c>
      <c r="K8" s="6">
        <f>SUM('P&amp;L'!N12:N14)</f>
        <v>16547.916666666668</v>
      </c>
      <c r="L8" s="6">
        <f>SUM('P&amp;L'!O12:O14)</f>
        <v>16547.916666666668</v>
      </c>
      <c r="M8" s="6">
        <f>SUM('P&amp;L'!P12:P14)</f>
        <v>17820.833333333336</v>
      </c>
      <c r="N8" s="6">
        <f>SUM('P&amp;L'!Q12:Q14)</f>
        <v>17820.833333333336</v>
      </c>
      <c r="Q8" s="59" t="s">
        <v>133</v>
      </c>
      <c r="R8" s="6">
        <v>60</v>
      </c>
    </row>
    <row r="9" spans="1:22" x14ac:dyDescent="0.2">
      <c r="B9" s="59" t="s">
        <v>127</v>
      </c>
      <c r="C9" s="6"/>
      <c r="D9" s="6">
        <f>(D8-C8)*$R$4</f>
        <v>418.49315068493144</v>
      </c>
      <c r="E9" s="6">
        <f t="shared" ref="E9:H9" si="0">(E8-D8)*$R$4</f>
        <v>418.49315068493161</v>
      </c>
      <c r="F9" s="6">
        <f t="shared" si="0"/>
        <v>418.49315068493161</v>
      </c>
      <c r="G9" s="6">
        <f t="shared" si="0"/>
        <v>209.24657534246563</v>
      </c>
      <c r="H9" s="6">
        <f t="shared" si="0"/>
        <v>209.24657534246563</v>
      </c>
      <c r="I9" s="6">
        <f>(I8-H8)*$R$4</f>
        <v>0</v>
      </c>
      <c r="J9" s="6">
        <f t="shared" ref="J9" si="1">(J8-I8)*$R$4</f>
        <v>209.24657534246595</v>
      </c>
      <c r="K9" s="6">
        <f t="shared" ref="K9" si="2">(K8-J8)*$R$4</f>
        <v>0</v>
      </c>
      <c r="L9" s="6">
        <f t="shared" ref="L9" si="3">(L8-K8)*$R$4</f>
        <v>0</v>
      </c>
      <c r="M9" s="6">
        <f t="shared" ref="M9:N9" si="4">(M8-L8)*$R$4</f>
        <v>209.24657534246595</v>
      </c>
      <c r="N9" s="6">
        <f t="shared" si="4"/>
        <v>0</v>
      </c>
      <c r="Q9" s="59" t="s">
        <v>134</v>
      </c>
      <c r="R9" s="109">
        <f>IRR(Q16:V16)</f>
        <v>0.50123118302646752</v>
      </c>
    </row>
    <row r="10" spans="1:22" x14ac:dyDescent="0.2">
      <c r="B10" s="59" t="s">
        <v>128</v>
      </c>
      <c r="C10" s="5">
        <f>C6+C7-C9-R6</f>
        <v>-86870.915282470611</v>
      </c>
      <c r="D10" s="5">
        <f>D6+D7-D9</f>
        <v>-836.36607439085833</v>
      </c>
      <c r="E10" s="5">
        <f t="shared" ref="E10:K10" si="5">E6+E7-E9</f>
        <v>459.58581052977706</v>
      </c>
      <c r="F10" s="5">
        <f t="shared" si="5"/>
        <v>1512.6175796032958</v>
      </c>
      <c r="G10" s="5">
        <f t="shared" si="5"/>
        <v>2248.3800394825194</v>
      </c>
      <c r="H10" s="5">
        <f t="shared" si="5"/>
        <v>2774.8959240192789</v>
      </c>
      <c r="I10" s="5">
        <f t="shared" si="5"/>
        <v>2984.1424993617447</v>
      </c>
      <c r="J10" s="5">
        <f t="shared" si="5"/>
        <v>3301.4118085560394</v>
      </c>
      <c r="K10" s="5">
        <f t="shared" si="5"/>
        <v>3510.6583838985052</v>
      </c>
      <c r="L10" s="5">
        <f>L6+L7-L9</f>
        <v>3510.6583838985052</v>
      </c>
      <c r="M10" s="5">
        <f t="shared" ref="M10" si="6">M6+M7-M9</f>
        <v>3827.9276930927999</v>
      </c>
      <c r="N10" s="5">
        <f t="shared" ref="N10" si="7">N6+N7-N9</f>
        <v>4037.1742684352657</v>
      </c>
      <c r="Q10" s="59" t="s">
        <v>143</v>
      </c>
      <c r="R10" s="6">
        <v>30</v>
      </c>
    </row>
    <row r="11" spans="1:22" x14ac:dyDescent="0.2">
      <c r="B11" s="59" t="s">
        <v>176</v>
      </c>
      <c r="C11" s="5">
        <f>C10</f>
        <v>-86870.915282470611</v>
      </c>
      <c r="D11" s="5">
        <f>D10+C11</f>
        <v>-87707.281356861466</v>
      </c>
      <c r="E11" s="5">
        <f>E10+D11</f>
        <v>-87247.695546331684</v>
      </c>
      <c r="F11" s="5">
        <f>F10+E11</f>
        <v>-85735.077966728393</v>
      </c>
      <c r="G11" s="5">
        <f>G10+F11</f>
        <v>-83486.69792724587</v>
      </c>
      <c r="H11" s="5">
        <f t="shared" ref="H11:N11" si="8">H10+G11</f>
        <v>-80711.802003226592</v>
      </c>
      <c r="I11" s="5">
        <f t="shared" si="8"/>
        <v>-77727.659503864852</v>
      </c>
      <c r="J11" s="5">
        <f t="shared" si="8"/>
        <v>-74426.247695308819</v>
      </c>
      <c r="K11" s="5">
        <f t="shared" si="8"/>
        <v>-70915.589311410309</v>
      </c>
      <c r="L11" s="5">
        <f t="shared" si="8"/>
        <v>-67404.930927511799</v>
      </c>
      <c r="M11" s="5">
        <f t="shared" si="8"/>
        <v>-63577.003234418997</v>
      </c>
      <c r="N11" s="5">
        <f t="shared" si="8"/>
        <v>-59539.828965983732</v>
      </c>
      <c r="Q11" s="59"/>
      <c r="R11" s="6"/>
    </row>
    <row r="12" spans="1:22" x14ac:dyDescent="0.2">
      <c r="B12" s="59" t="s">
        <v>131</v>
      </c>
      <c r="C12" s="111">
        <f t="shared" ref="C12:N12" si="9">$S$5^(COLUMN()-2)</f>
        <v>1.0156613370474366</v>
      </c>
      <c r="D12" s="111">
        <f t="shared" si="9"/>
        <v>1.0315679515729865</v>
      </c>
      <c r="E12" s="111">
        <f t="shared" si="9"/>
        <v>1.0477236849499048</v>
      </c>
      <c r="F12" s="111">
        <f t="shared" si="9"/>
        <v>1.0641324387124875</v>
      </c>
      <c r="G12" s="111">
        <f t="shared" si="9"/>
        <v>1.0807981754982745</v>
      </c>
      <c r="H12" s="111">
        <f t="shared" si="9"/>
        <v>1.0977249200050074</v>
      </c>
      <c r="I12" s="111">
        <f t="shared" si="9"/>
        <v>1.1149167599625762</v>
      </c>
      <c r="J12" s="111">
        <f t="shared" si="9"/>
        <v>1.132377847120186</v>
      </c>
      <c r="K12" s="111">
        <f t="shared" si="9"/>
        <v>1.1501123982489858</v>
      </c>
      <c r="L12" s="111">
        <f t="shared" si="9"/>
        <v>1.1681246961603988</v>
      </c>
      <c r="M12" s="111">
        <f t="shared" si="9"/>
        <v>1.1864190907404011</v>
      </c>
      <c r="N12" s="111">
        <f t="shared" si="9"/>
        <v>1.2049999999999998</v>
      </c>
      <c r="Q12" s="59" t="s">
        <v>144</v>
      </c>
      <c r="R12" s="6">
        <v>25</v>
      </c>
    </row>
    <row r="13" spans="1:22" x14ac:dyDescent="0.2">
      <c r="B13" s="59" t="s">
        <v>130</v>
      </c>
      <c r="C13" s="111">
        <f>C10/C12</f>
        <v>-85531.379519680675</v>
      </c>
      <c r="D13" s="111">
        <f t="shared" ref="D13:I13" si="10">D10/D12</f>
        <v>-810.77167346613032</v>
      </c>
      <c r="E13" s="111">
        <f t="shared" si="10"/>
        <v>438.65173340216262</v>
      </c>
      <c r="F13" s="111">
        <f t="shared" si="10"/>
        <v>1421.456131375375</v>
      </c>
      <c r="G13" s="111">
        <f t="shared" si="10"/>
        <v>2080.2959243023897</v>
      </c>
      <c r="H13" s="111">
        <f t="shared" si="10"/>
        <v>2527.8609180218127</v>
      </c>
      <c r="I13" s="111">
        <f t="shared" si="10"/>
        <v>2676.5608039311487</v>
      </c>
      <c r="J13" s="111">
        <f>J10/J12</f>
        <v>2915.4683809402013</v>
      </c>
      <c r="K13" s="111">
        <f t="shared" ref="K13" si="11">K10/K12</f>
        <v>3052.4480818078173</v>
      </c>
      <c r="L13" s="111">
        <f t="shared" ref="L13" si="12">L10/L12</f>
        <v>3005.3798155607574</v>
      </c>
      <c r="M13" s="111">
        <f>M10/M12</f>
        <v>3226.4549036411149</v>
      </c>
      <c r="N13" s="111">
        <f t="shared" ref="N13" si="13">N10/N12</f>
        <v>3350.3520899877726</v>
      </c>
    </row>
    <row r="14" spans="1:22" x14ac:dyDescent="0.2">
      <c r="B14" s="59" t="s">
        <v>177</v>
      </c>
      <c r="C14" s="111">
        <f>C13</f>
        <v>-85531.379519680675</v>
      </c>
      <c r="D14" s="111">
        <f>D13+C14</f>
        <v>-86342.151193146812</v>
      </c>
      <c r="E14" s="111">
        <f t="shared" ref="E14:N14" si="14">E13+D14</f>
        <v>-85903.499459744649</v>
      </c>
      <c r="F14" s="111">
        <f t="shared" si="14"/>
        <v>-84482.043328369269</v>
      </c>
      <c r="G14" s="111">
        <f t="shared" si="14"/>
        <v>-82401.747404066875</v>
      </c>
      <c r="H14" s="111">
        <f t="shared" si="14"/>
        <v>-79873.886486045056</v>
      </c>
      <c r="I14" s="111">
        <f t="shared" si="14"/>
        <v>-77197.325682113908</v>
      </c>
      <c r="J14" s="111">
        <f t="shared" si="14"/>
        <v>-74281.857301173703</v>
      </c>
      <c r="K14" s="111">
        <f t="shared" si="14"/>
        <v>-71229.409219365887</v>
      </c>
      <c r="L14" s="111">
        <f t="shared" si="14"/>
        <v>-68224.029403805136</v>
      </c>
      <c r="M14" s="111">
        <f t="shared" si="14"/>
        <v>-64997.574500164024</v>
      </c>
      <c r="N14" s="111">
        <f t="shared" si="14"/>
        <v>-61647.222410176255</v>
      </c>
    </row>
    <row r="15" spans="1:22" x14ac:dyDescent="0.2">
      <c r="B15" s="110"/>
      <c r="C15" s="1"/>
      <c r="D15" s="1"/>
      <c r="E15" s="1"/>
      <c r="F15" s="1"/>
      <c r="G15" s="2"/>
      <c r="P15" s="67" t="s">
        <v>115</v>
      </c>
      <c r="Q15" s="67" t="s">
        <v>136</v>
      </c>
      <c r="R15" s="67">
        <v>2027</v>
      </c>
      <c r="S15" s="67">
        <v>2028</v>
      </c>
      <c r="T15" s="67">
        <v>2029</v>
      </c>
      <c r="U15" s="67">
        <v>2030</v>
      </c>
      <c r="V15" s="67">
        <v>2031</v>
      </c>
    </row>
    <row r="16" spans="1:22" ht="53" customHeight="1" x14ac:dyDescent="0.2">
      <c r="B16" s="110"/>
      <c r="C16" s="1"/>
      <c r="D16" s="1"/>
      <c r="E16" s="1"/>
      <c r="F16" s="1"/>
      <c r="G16" s="2"/>
      <c r="P16" s="68" t="s">
        <v>135</v>
      </c>
      <c r="Q16" s="120">
        <f>-R6</f>
        <v>-85049</v>
      </c>
      <c r="R16" s="9">
        <f>SUM(C10:N10) + R6</f>
        <v>25509.171034016268</v>
      </c>
      <c r="S16" s="9">
        <f>SUM(C23:N23)</f>
        <v>58489.163459739721</v>
      </c>
      <c r="T16" s="9">
        <f>SUM(C36:N36)</f>
        <v>59994.7524413918</v>
      </c>
      <c r="U16" s="9">
        <f>SUM(C49:N49)</f>
        <v>75574.629906483344</v>
      </c>
      <c r="V16" s="9">
        <f>SUM(C61:N61)</f>
        <v>72378.737108874688</v>
      </c>
    </row>
    <row r="17" spans="2:25" ht="26" x14ac:dyDescent="0.3">
      <c r="B17" s="192" t="s">
        <v>111</v>
      </c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78"/>
      <c r="N17" s="178"/>
    </row>
    <row r="18" spans="2:25" x14ac:dyDescent="0.2">
      <c r="B18" s="113" t="s">
        <v>132</v>
      </c>
      <c r="C18" s="114">
        <v>46023</v>
      </c>
      <c r="D18" s="115">
        <v>46054</v>
      </c>
      <c r="E18" s="115">
        <v>46082</v>
      </c>
      <c r="F18" s="115">
        <v>46113</v>
      </c>
      <c r="G18" s="115">
        <v>46143</v>
      </c>
      <c r="H18" s="115">
        <v>46174</v>
      </c>
      <c r="I18" s="115">
        <v>46204</v>
      </c>
      <c r="J18" s="115">
        <v>46235</v>
      </c>
      <c r="K18" s="115">
        <v>46266</v>
      </c>
      <c r="L18" s="115">
        <v>46296</v>
      </c>
      <c r="M18" s="115">
        <v>46327</v>
      </c>
      <c r="N18" s="115">
        <v>46357</v>
      </c>
    </row>
    <row r="19" spans="2:25" x14ac:dyDescent="0.2">
      <c r="B19" s="59" t="s">
        <v>86</v>
      </c>
      <c r="C19" s="5">
        <f>'P&amp;L'!F53</f>
        <v>3792.8852075289815</v>
      </c>
      <c r="D19" s="5">
        <f>'P&amp;L'!G53</f>
        <v>3902.60534329436</v>
      </c>
      <c r="E19" s="5">
        <f>'P&amp;L'!H53</f>
        <v>4012.3254790597371</v>
      </c>
      <c r="F19" s="5">
        <f>'P&amp;L'!I53</f>
        <v>4122.0456148251169</v>
      </c>
      <c r="G19" s="5">
        <f>'P&amp;L'!J53</f>
        <v>4231.7657505904972</v>
      </c>
      <c r="H19" s="5">
        <f>'P&amp;L'!K53</f>
        <v>4341.4858863558748</v>
      </c>
      <c r="I19" s="5">
        <f>'P&amp;L'!L53</f>
        <v>4451.2060221212541</v>
      </c>
      <c r="J19" s="5">
        <f>'P&amp;L'!M53</f>
        <v>4560.9261578866317</v>
      </c>
      <c r="K19" s="5">
        <f>'P&amp;L'!N53</f>
        <v>4644.5565291124385</v>
      </c>
      <c r="L19" s="5">
        <f>'P&amp;L'!O53</f>
        <v>4728.1869003382453</v>
      </c>
      <c r="M19" s="5">
        <f>'P&amp;L'!P53</f>
        <v>4811.8172715640521</v>
      </c>
      <c r="N19" s="5">
        <f>'P&amp;L'!Q53</f>
        <v>4895.4476427898571</v>
      </c>
    </row>
    <row r="20" spans="2:25" x14ac:dyDescent="0.2">
      <c r="B20" s="59" t="s">
        <v>57</v>
      </c>
      <c r="C20" s="5">
        <f>C7</f>
        <v>553.80753968253964</v>
      </c>
      <c r="D20" s="5">
        <f t="shared" ref="D20:N20" si="15">D7</f>
        <v>553.80753968253964</v>
      </c>
      <c r="E20" s="5">
        <f t="shared" si="15"/>
        <v>553.80753968253964</v>
      </c>
      <c r="F20" s="5">
        <f t="shared" si="15"/>
        <v>553.80753968253964</v>
      </c>
      <c r="G20" s="5">
        <f t="shared" si="15"/>
        <v>553.80753968253964</v>
      </c>
      <c r="H20" s="5">
        <f t="shared" si="15"/>
        <v>553.80753968253964</v>
      </c>
      <c r="I20" s="5">
        <f t="shared" si="15"/>
        <v>553.80753968253964</v>
      </c>
      <c r="J20" s="5">
        <f t="shared" si="15"/>
        <v>553.80753968253964</v>
      </c>
      <c r="K20" s="5">
        <f t="shared" si="15"/>
        <v>553.80753968253964</v>
      </c>
      <c r="L20" s="5">
        <f t="shared" si="15"/>
        <v>553.80753968253964</v>
      </c>
      <c r="M20" s="5">
        <f t="shared" si="15"/>
        <v>553.80753968253964</v>
      </c>
      <c r="N20" s="5">
        <f t="shared" si="15"/>
        <v>553.80753968253964</v>
      </c>
    </row>
    <row r="21" spans="2:25" x14ac:dyDescent="0.2">
      <c r="B21" s="59" t="s">
        <v>117</v>
      </c>
      <c r="C21" s="98">
        <f>SUM('P&amp;L'!F38:F40)</f>
        <v>19110</v>
      </c>
      <c r="D21" s="98">
        <f>SUM('P&amp;L'!G38:G40)</f>
        <v>19375.416666666668</v>
      </c>
      <c r="E21" s="98">
        <f>SUM('P&amp;L'!H38:H40)</f>
        <v>19640.833333333336</v>
      </c>
      <c r="F21" s="98">
        <f>SUM('P&amp;L'!I38:I40)</f>
        <v>19906.25</v>
      </c>
      <c r="G21" s="98">
        <f>SUM('P&amp;L'!J38:J40)</f>
        <v>20171.666666666668</v>
      </c>
      <c r="H21" s="98">
        <f>SUM('P&amp;L'!K38:K40)</f>
        <v>20437.083333333336</v>
      </c>
      <c r="I21" s="98">
        <f>SUM('P&amp;L'!L38:L40)</f>
        <v>20702.5</v>
      </c>
      <c r="J21" s="98">
        <f>SUM('P&amp;L'!M38:M40)</f>
        <v>20967.916666666668</v>
      </c>
      <c r="K21" s="98">
        <f>SUM('P&amp;L'!N38:N40)</f>
        <v>21172.395833333336</v>
      </c>
      <c r="L21" s="98">
        <f>SUM('P&amp;L'!O38:O40)</f>
        <v>21376.875</v>
      </c>
      <c r="M21" s="98">
        <f>SUM('P&amp;L'!P38:P40)</f>
        <v>21581.354166666668</v>
      </c>
      <c r="N21" s="98">
        <f>SUM('P&amp;L'!Q38:Q40)</f>
        <v>21785.833333333336</v>
      </c>
      <c r="Q21" s="6" t="s">
        <v>149</v>
      </c>
      <c r="R21" s="6" t="s">
        <v>148</v>
      </c>
      <c r="S21" s="6" t="s">
        <v>150</v>
      </c>
      <c r="X21" t="s">
        <v>160</v>
      </c>
      <c r="Y21" t="s">
        <v>161</v>
      </c>
    </row>
    <row r="22" spans="2:25" x14ac:dyDescent="0.2">
      <c r="B22" s="59" t="s">
        <v>127</v>
      </c>
      <c r="C22" s="98">
        <f>(C21-N8)*$R$4</f>
        <v>211.91780821917766</v>
      </c>
      <c r="D22" s="6">
        <f>(D21-C21)*$R$4</f>
        <v>43.630136986301565</v>
      </c>
      <c r="E22" s="6">
        <f t="shared" ref="E22:N22" si="16">(E21-D21)*$R$4</f>
        <v>43.630136986301565</v>
      </c>
      <c r="F22" s="6">
        <f t="shared" si="16"/>
        <v>43.630136986300968</v>
      </c>
      <c r="G22" s="6">
        <f t="shared" si="16"/>
        <v>43.630136986301565</v>
      </c>
      <c r="H22" s="6">
        <f t="shared" si="16"/>
        <v>43.630136986301565</v>
      </c>
      <c r="I22" s="6">
        <f t="shared" si="16"/>
        <v>43.630136986300968</v>
      </c>
      <c r="J22" s="6">
        <f t="shared" si="16"/>
        <v>43.630136986301565</v>
      </c>
      <c r="K22" s="6">
        <f t="shared" si="16"/>
        <v>33.613013698630333</v>
      </c>
      <c r="L22" s="6">
        <f t="shared" si="16"/>
        <v>33.613013698629736</v>
      </c>
      <c r="M22" s="6">
        <f t="shared" si="16"/>
        <v>33.613013698630333</v>
      </c>
      <c r="N22" s="6">
        <f t="shared" si="16"/>
        <v>33.613013698630333</v>
      </c>
      <c r="Q22" s="6"/>
      <c r="R22" s="6"/>
      <c r="S22" s="6"/>
    </row>
    <row r="23" spans="2:25" x14ac:dyDescent="0.2">
      <c r="B23" s="59" t="s">
        <v>128</v>
      </c>
      <c r="C23" s="5">
        <f>C19+C20-C22</f>
        <v>4134.7749389923438</v>
      </c>
      <c r="D23" s="5">
        <f t="shared" ref="D23:N23" si="17">D19+D20-D22</f>
        <v>4412.7827459905984</v>
      </c>
      <c r="E23" s="5">
        <f t="shared" si="17"/>
        <v>4522.5028817559751</v>
      </c>
      <c r="F23" s="5">
        <f t="shared" si="17"/>
        <v>4632.2230175213554</v>
      </c>
      <c r="G23" s="5">
        <f t="shared" si="17"/>
        <v>4741.9431532867357</v>
      </c>
      <c r="H23" s="5">
        <f t="shared" si="17"/>
        <v>4851.6632890521132</v>
      </c>
      <c r="I23" s="5">
        <f t="shared" si="17"/>
        <v>4961.3834248174926</v>
      </c>
      <c r="J23" s="5">
        <f t="shared" si="17"/>
        <v>5071.1035605828702</v>
      </c>
      <c r="K23" s="5">
        <f t="shared" si="17"/>
        <v>5164.751055096348</v>
      </c>
      <c r="L23" s="5">
        <f t="shared" si="17"/>
        <v>5248.3814263221557</v>
      </c>
      <c r="M23" s="5">
        <f t="shared" si="17"/>
        <v>5332.0117975479616</v>
      </c>
      <c r="N23" s="5">
        <f t="shared" si="17"/>
        <v>5415.6421687737666</v>
      </c>
      <c r="P23" s="6" t="s">
        <v>151</v>
      </c>
      <c r="Q23" s="6">
        <v>57.95</v>
      </c>
      <c r="R23" s="6">
        <v>89.64</v>
      </c>
      <c r="S23" s="6">
        <v>100.74</v>
      </c>
      <c r="W23" s="110"/>
      <c r="X23">
        <v>-31.69</v>
      </c>
      <c r="Y23">
        <v>11.1</v>
      </c>
    </row>
    <row r="24" spans="2:25" x14ac:dyDescent="0.2">
      <c r="B24" s="59" t="s">
        <v>176</v>
      </c>
      <c r="C24" s="5">
        <f>N11+C23</f>
        <v>-55405.054026991391</v>
      </c>
      <c r="D24" s="5">
        <f>C24+D23</f>
        <v>-50992.271281000794</v>
      </c>
      <c r="E24" s="5">
        <f t="shared" ref="E24:N24" si="18">D24+E23</f>
        <v>-46469.768399244822</v>
      </c>
      <c r="F24" s="5">
        <f t="shared" si="18"/>
        <v>-41837.545381723467</v>
      </c>
      <c r="G24" s="5">
        <f t="shared" si="18"/>
        <v>-37095.602228436728</v>
      </c>
      <c r="H24" s="5">
        <f t="shared" si="18"/>
        <v>-32243.938939384614</v>
      </c>
      <c r="I24" s="5">
        <f t="shared" si="18"/>
        <v>-27282.555514567121</v>
      </c>
      <c r="J24" s="5">
        <f t="shared" si="18"/>
        <v>-22211.451953984251</v>
      </c>
      <c r="K24" s="5">
        <f t="shared" si="18"/>
        <v>-17046.700898887902</v>
      </c>
      <c r="L24" s="5">
        <f t="shared" si="18"/>
        <v>-11798.319472565747</v>
      </c>
      <c r="M24" s="5">
        <f t="shared" si="18"/>
        <v>-6466.3076750177852</v>
      </c>
      <c r="N24" s="5">
        <f t="shared" si="18"/>
        <v>-1050.6655062440186</v>
      </c>
      <c r="P24" s="6"/>
      <c r="Q24" s="6"/>
      <c r="R24" s="6"/>
      <c r="S24" s="6"/>
      <c r="W24" s="110"/>
    </row>
    <row r="25" spans="2:25" x14ac:dyDescent="0.2">
      <c r="B25" s="59" t="s">
        <v>131</v>
      </c>
      <c r="C25" s="111">
        <f t="shared" ref="C25:N25" si="19">$S$5^(COLUMN()+12-2)</f>
        <v>1.223871911142161</v>
      </c>
      <c r="D25" s="111">
        <f t="shared" si="19"/>
        <v>1.2430393816454486</v>
      </c>
      <c r="E25" s="111">
        <f t="shared" si="19"/>
        <v>1.2625070403646352</v>
      </c>
      <c r="F25" s="111">
        <f t="shared" si="19"/>
        <v>1.2822795886485472</v>
      </c>
      <c r="G25" s="111">
        <f t="shared" si="19"/>
        <v>1.3023618014754204</v>
      </c>
      <c r="H25" s="111">
        <f t="shared" si="19"/>
        <v>1.3227585286060337</v>
      </c>
      <c r="I25" s="111">
        <f t="shared" si="19"/>
        <v>1.343474695754904</v>
      </c>
      <c r="J25" s="111">
        <f t="shared" si="19"/>
        <v>1.3645153057798238</v>
      </c>
      <c r="K25" s="111">
        <f t="shared" si="19"/>
        <v>1.3858854398900278</v>
      </c>
      <c r="L25" s="111">
        <f t="shared" si="19"/>
        <v>1.4075902588732803</v>
      </c>
      <c r="M25" s="111">
        <f t="shared" si="19"/>
        <v>1.4296350043421833</v>
      </c>
      <c r="N25" s="111">
        <f t="shared" si="19"/>
        <v>1.4520249999999995</v>
      </c>
      <c r="P25" s="6" t="s">
        <v>152</v>
      </c>
      <c r="Q25" s="6">
        <v>81.2</v>
      </c>
      <c r="R25" s="6">
        <v>89.64</v>
      </c>
      <c r="S25" s="6">
        <v>98</v>
      </c>
      <c r="W25" s="110"/>
      <c r="X25">
        <v>-27.21</v>
      </c>
      <c r="Y25">
        <v>27.21</v>
      </c>
    </row>
    <row r="26" spans="2:25" x14ac:dyDescent="0.2">
      <c r="B26" s="59" t="s">
        <v>130</v>
      </c>
      <c r="C26" s="111">
        <f t="shared" ref="C26:N26" si="20">C23/C25</f>
        <v>3378.4376464148313</v>
      </c>
      <c r="D26" s="111">
        <f t="shared" si="20"/>
        <v>3549.9943212975804</v>
      </c>
      <c r="E26" s="111">
        <f t="shared" si="20"/>
        <v>3582.1605243878821</v>
      </c>
      <c r="F26" s="111">
        <f t="shared" si="20"/>
        <v>3612.4906444182475</v>
      </c>
      <c r="G26" s="111">
        <f t="shared" si="20"/>
        <v>3641.0336574020216</v>
      </c>
      <c r="H26" s="111">
        <f t="shared" si="20"/>
        <v>3667.8374655160642</v>
      </c>
      <c r="I26" s="111">
        <f t="shared" si="20"/>
        <v>3692.9489185724269</v>
      </c>
      <c r="J26" s="111">
        <f t="shared" si="20"/>
        <v>3716.4138350831631</v>
      </c>
      <c r="K26" s="111">
        <f t="shared" si="20"/>
        <v>3726.6796420822338</v>
      </c>
      <c r="L26" s="111">
        <f t="shared" si="20"/>
        <v>3728.6286923605703</v>
      </c>
      <c r="M26" s="111">
        <f t="shared" si="20"/>
        <v>3729.6315362685004</v>
      </c>
      <c r="N26" s="111">
        <f t="shared" si="20"/>
        <v>3729.7168910822943</v>
      </c>
      <c r="P26" s="6" t="s">
        <v>153</v>
      </c>
      <c r="Q26" s="6">
        <v>62.43</v>
      </c>
      <c r="R26" s="6">
        <v>89.64</v>
      </c>
      <c r="S26" s="6">
        <v>116.85</v>
      </c>
      <c r="W26" s="110"/>
      <c r="X26">
        <v>-14.84</v>
      </c>
      <c r="Y26">
        <v>14.76</v>
      </c>
    </row>
    <row r="27" spans="2:25" x14ac:dyDescent="0.2">
      <c r="B27" s="59" t="s">
        <v>177</v>
      </c>
      <c r="C27" s="111">
        <f>N14+C26</f>
        <v>-58268.784763761425</v>
      </c>
      <c r="D27" s="111">
        <f>D26+C27</f>
        <v>-54718.790442463847</v>
      </c>
      <c r="E27" s="111">
        <f t="shared" ref="E27:N27" si="21">E26+D27</f>
        <v>-51136.629918075967</v>
      </c>
      <c r="F27" s="111">
        <f t="shared" si="21"/>
        <v>-47524.139273657718</v>
      </c>
      <c r="G27" s="111">
        <f t="shared" si="21"/>
        <v>-43883.1056162557</v>
      </c>
      <c r="H27" s="111">
        <f t="shared" si="21"/>
        <v>-40215.268150739634</v>
      </c>
      <c r="I27" s="111">
        <f t="shared" si="21"/>
        <v>-36522.31923216721</v>
      </c>
      <c r="J27" s="111">
        <f t="shared" si="21"/>
        <v>-32805.905397084047</v>
      </c>
      <c r="K27" s="111">
        <f t="shared" si="21"/>
        <v>-29079.225755001811</v>
      </c>
      <c r="L27" s="111">
        <f t="shared" si="21"/>
        <v>-25350.597062641242</v>
      </c>
      <c r="M27" s="111">
        <f t="shared" si="21"/>
        <v>-21620.96552637274</v>
      </c>
      <c r="N27" s="111">
        <f t="shared" si="21"/>
        <v>-17891.248635290445</v>
      </c>
      <c r="P27" s="6"/>
      <c r="Q27" s="6"/>
      <c r="R27" s="6"/>
      <c r="S27" s="6"/>
      <c r="W27" s="110"/>
    </row>
    <row r="28" spans="2:25" x14ac:dyDescent="0.2"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P28" s="6" t="s">
        <v>154</v>
      </c>
      <c r="Q28" s="146">
        <v>82.4</v>
      </c>
      <c r="R28" s="6">
        <v>89.64</v>
      </c>
      <c r="S28" s="6">
        <v>97.4</v>
      </c>
      <c r="W28" s="110"/>
      <c r="X28">
        <v>-8.44</v>
      </c>
      <c r="Y28">
        <v>8.36</v>
      </c>
    </row>
    <row r="29" spans="2:25" x14ac:dyDescent="0.2">
      <c r="B29" s="116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P29" s="6" t="s">
        <v>159</v>
      </c>
      <c r="Q29" s="6">
        <v>74.8</v>
      </c>
      <c r="R29" s="6">
        <v>89.64</v>
      </c>
      <c r="S29" s="6">
        <v>104.4</v>
      </c>
      <c r="W29" s="110"/>
      <c r="X29">
        <v>-7.24</v>
      </c>
      <c r="Y29">
        <v>7.76</v>
      </c>
    </row>
    <row r="30" spans="2:25" ht="26" x14ac:dyDescent="0.3">
      <c r="B30" s="192" t="s">
        <v>112</v>
      </c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78"/>
      <c r="N30" s="178"/>
    </row>
    <row r="31" spans="2:25" x14ac:dyDescent="0.2">
      <c r="B31" s="113" t="s">
        <v>132</v>
      </c>
      <c r="C31" s="114">
        <v>46023</v>
      </c>
      <c r="D31" s="115">
        <v>46054</v>
      </c>
      <c r="E31" s="115">
        <v>46082</v>
      </c>
      <c r="F31" s="115">
        <v>46113</v>
      </c>
      <c r="G31" s="115">
        <v>46143</v>
      </c>
      <c r="H31" s="115">
        <v>46174</v>
      </c>
      <c r="I31" s="115">
        <v>46204</v>
      </c>
      <c r="J31" s="115">
        <v>46235</v>
      </c>
      <c r="K31" s="115">
        <v>46266</v>
      </c>
      <c r="L31" s="115">
        <v>46296</v>
      </c>
      <c r="M31" s="115">
        <v>46327</v>
      </c>
      <c r="N31" s="115">
        <v>46357</v>
      </c>
    </row>
    <row r="32" spans="2:25" x14ac:dyDescent="0.2">
      <c r="B32" s="59" t="s">
        <v>86</v>
      </c>
      <c r="C32" s="5">
        <f>'P&amp;L'!F79</f>
        <v>4313.1799716423193</v>
      </c>
      <c r="D32" s="5">
        <f>'P&amp;L'!G79</f>
        <v>4369.6455507752071</v>
      </c>
      <c r="E32" s="5">
        <f>'P&amp;L'!H79</f>
        <v>4426.1111299080958</v>
      </c>
      <c r="F32" s="5">
        <f>'P&amp;L'!I79</f>
        <v>4482.5767090409827</v>
      </c>
      <c r="G32" s="5">
        <f>'P&amp;L'!J79</f>
        <v>4482.5767090409827</v>
      </c>
      <c r="H32" s="5">
        <f>'P&amp;L'!K79</f>
        <v>4482.5767090409827</v>
      </c>
      <c r="I32" s="5">
        <f>'P&amp;L'!L79</f>
        <v>4482.5767090409827</v>
      </c>
      <c r="J32" s="5">
        <f>'P&amp;L'!M79</f>
        <v>4482.5767090409827</v>
      </c>
      <c r="K32" s="5">
        <f>'P&amp;L'!N79</f>
        <v>4482.5767090409827</v>
      </c>
      <c r="L32" s="5">
        <f>'P&amp;L'!O79</f>
        <v>4482.5767090409827</v>
      </c>
      <c r="M32" s="5">
        <f>'P&amp;L'!P79</f>
        <v>4482.5767090409827</v>
      </c>
      <c r="N32" s="5">
        <f>'P&amp;L'!Q79</f>
        <v>4482.5767090409827</v>
      </c>
    </row>
    <row r="33" spans="2:14" x14ac:dyDescent="0.2">
      <c r="B33" s="59" t="s">
        <v>57</v>
      </c>
      <c r="C33" s="118">
        <f>C20</f>
        <v>553.80753968253964</v>
      </c>
      <c r="D33" s="118">
        <f t="shared" ref="D33:N33" si="22">D20</f>
        <v>553.80753968253964</v>
      </c>
      <c r="E33" s="118">
        <f t="shared" si="22"/>
        <v>553.80753968253964</v>
      </c>
      <c r="F33" s="118">
        <f t="shared" si="22"/>
        <v>553.80753968253964</v>
      </c>
      <c r="G33" s="118">
        <f t="shared" si="22"/>
        <v>553.80753968253964</v>
      </c>
      <c r="H33" s="118">
        <f t="shared" si="22"/>
        <v>553.80753968253964</v>
      </c>
      <c r="I33" s="118">
        <f t="shared" si="22"/>
        <v>553.80753968253964</v>
      </c>
      <c r="J33" s="118">
        <f t="shared" si="22"/>
        <v>553.80753968253964</v>
      </c>
      <c r="K33" s="118">
        <f t="shared" si="22"/>
        <v>553.80753968253964</v>
      </c>
      <c r="L33" s="118">
        <f t="shared" si="22"/>
        <v>553.80753968253964</v>
      </c>
      <c r="M33" s="118">
        <f t="shared" si="22"/>
        <v>553.80753968253964</v>
      </c>
      <c r="N33" s="118">
        <f t="shared" si="22"/>
        <v>553.80753968253964</v>
      </c>
    </row>
    <row r="34" spans="2:14" x14ac:dyDescent="0.2">
      <c r="B34" s="59" t="s">
        <v>117</v>
      </c>
      <c r="C34" s="5">
        <f>SUM('P&amp;L'!F64:F66)</f>
        <v>21990.3125</v>
      </c>
      <c r="D34" s="5">
        <f>SUM('P&amp;L'!G64:G66)</f>
        <v>22131.145833333336</v>
      </c>
      <c r="E34" s="5">
        <f>SUM('P&amp;L'!H64:H66)</f>
        <v>22271.979166666668</v>
      </c>
      <c r="F34" s="5">
        <f>SUM('P&amp;L'!I64:I66)</f>
        <v>22412.8125</v>
      </c>
      <c r="G34" s="5">
        <f>SUM('P&amp;L'!J64:J66)</f>
        <v>22412.8125</v>
      </c>
      <c r="H34" s="5">
        <f>SUM('P&amp;L'!K64:K66)</f>
        <v>22412.8125</v>
      </c>
      <c r="I34" s="5">
        <f>SUM('P&amp;L'!L64:L66)</f>
        <v>22412.8125</v>
      </c>
      <c r="J34" s="5">
        <f>SUM('P&amp;L'!M64:M66)</f>
        <v>22412.8125</v>
      </c>
      <c r="K34" s="5">
        <f>SUM('P&amp;L'!N64:N66)</f>
        <v>22412.8125</v>
      </c>
      <c r="L34" s="5">
        <f>SUM('P&amp;L'!O64:O66)</f>
        <v>22412.8125</v>
      </c>
      <c r="M34" s="5">
        <f>SUM('P&amp;L'!P64:P66)</f>
        <v>22412.8125</v>
      </c>
      <c r="N34" s="5">
        <f>SUM('P&amp;L'!Q64:Q66)</f>
        <v>22412.8125</v>
      </c>
    </row>
    <row r="35" spans="2:14" x14ac:dyDescent="0.2">
      <c r="B35" s="59" t="s">
        <v>127</v>
      </c>
      <c r="C35" s="5">
        <f>(C34-N21)*$R$4</f>
        <v>33.613013698629736</v>
      </c>
      <c r="D35" s="6">
        <f>(D34-C34)*$R$4</f>
        <v>23.150684931507246</v>
      </c>
      <c r="E35" s="6">
        <f t="shared" ref="E35" si="23">(E34-D34)*$R$4</f>
        <v>23.15068493150665</v>
      </c>
      <c r="F35" s="6">
        <f t="shared" ref="F35" si="24">(F34-E34)*$R$4</f>
        <v>23.15068493150665</v>
      </c>
      <c r="G35" s="6">
        <f t="shared" ref="G35" si="25">(G34-F34)*$R$4</f>
        <v>0</v>
      </c>
      <c r="H35" s="6">
        <f t="shared" ref="H35" si="26">(H34-G34)*$R$4</f>
        <v>0</v>
      </c>
      <c r="I35" s="6">
        <f>(I34-H34)*$R$4</f>
        <v>0</v>
      </c>
      <c r="J35" s="6">
        <f t="shared" ref="J35" si="27">(J34-I34)*$R$4</f>
        <v>0</v>
      </c>
      <c r="K35" s="6">
        <f t="shared" ref="K35" si="28">(K34-J34)*$R$4</f>
        <v>0</v>
      </c>
      <c r="L35" s="6">
        <f t="shared" ref="L35" si="29">(L34-K34)*$R$4</f>
        <v>0</v>
      </c>
      <c r="M35" s="6">
        <f t="shared" ref="M35" si="30">(M34-L34)*$R$4</f>
        <v>0</v>
      </c>
      <c r="N35" s="6">
        <f t="shared" ref="N35" si="31">(N34-M34)*$R$4</f>
        <v>0</v>
      </c>
    </row>
    <row r="36" spans="2:14" x14ac:dyDescent="0.2">
      <c r="B36" s="59" t="s">
        <v>128</v>
      </c>
      <c r="C36" s="5">
        <f t="shared" ref="C36:N36" si="32">C32+C33-C35</f>
        <v>4833.3744976262296</v>
      </c>
      <c r="D36" s="5">
        <f t="shared" si="32"/>
        <v>4900.3024055262395</v>
      </c>
      <c r="E36" s="5">
        <f t="shared" si="32"/>
        <v>4956.7679846591291</v>
      </c>
      <c r="F36" s="5">
        <f t="shared" si="32"/>
        <v>5013.233563792016</v>
      </c>
      <c r="G36" s="5">
        <f t="shared" si="32"/>
        <v>5036.3842487235224</v>
      </c>
      <c r="H36" s="5">
        <f t="shared" si="32"/>
        <v>5036.3842487235224</v>
      </c>
      <c r="I36" s="5">
        <f t="shared" si="32"/>
        <v>5036.3842487235224</v>
      </c>
      <c r="J36" s="5">
        <f t="shared" si="32"/>
        <v>5036.3842487235224</v>
      </c>
      <c r="K36" s="5">
        <f t="shared" si="32"/>
        <v>5036.3842487235224</v>
      </c>
      <c r="L36" s="5">
        <f t="shared" si="32"/>
        <v>5036.3842487235224</v>
      </c>
      <c r="M36" s="5">
        <f t="shared" si="32"/>
        <v>5036.3842487235224</v>
      </c>
      <c r="N36" s="5">
        <f t="shared" si="32"/>
        <v>5036.3842487235224</v>
      </c>
    </row>
    <row r="37" spans="2:14" x14ac:dyDescent="0.2">
      <c r="B37" s="59" t="s">
        <v>176</v>
      </c>
      <c r="C37" s="5">
        <f>C36+N24</f>
        <v>3782.708991382211</v>
      </c>
      <c r="D37" s="5">
        <f>D36+C37</f>
        <v>8683.0113969084505</v>
      </c>
      <c r="E37" s="5">
        <f t="shared" ref="E37:N37" si="33">E36+D37</f>
        <v>13639.77938156758</v>
      </c>
      <c r="F37" s="5">
        <f t="shared" si="33"/>
        <v>18653.012945359595</v>
      </c>
      <c r="G37" s="5">
        <f t="shared" si="33"/>
        <v>23689.397194083118</v>
      </c>
      <c r="H37" s="5">
        <f t="shared" si="33"/>
        <v>28725.781442806641</v>
      </c>
      <c r="I37" s="5">
        <f t="shared" si="33"/>
        <v>33762.165691530165</v>
      </c>
      <c r="J37" s="5">
        <f t="shared" si="33"/>
        <v>38798.549940253688</v>
      </c>
      <c r="K37" s="5">
        <f t="shared" si="33"/>
        <v>43834.934188977211</v>
      </c>
      <c r="L37" s="5">
        <f t="shared" si="33"/>
        <v>48871.318437700735</v>
      </c>
      <c r="M37" s="5">
        <f t="shared" si="33"/>
        <v>53907.702686424258</v>
      </c>
      <c r="N37" s="5">
        <f t="shared" si="33"/>
        <v>58944.086935147781</v>
      </c>
    </row>
    <row r="38" spans="2:14" x14ac:dyDescent="0.2">
      <c r="B38" s="59" t="s">
        <v>131</v>
      </c>
      <c r="C38" s="111">
        <f t="shared" ref="C38:N38" si="34">$S$5^(COLUMN()+24-2)</f>
        <v>1.4747656529263036</v>
      </c>
      <c r="D38" s="111">
        <f t="shared" si="34"/>
        <v>1.4978624548827653</v>
      </c>
      <c r="E38" s="111">
        <f t="shared" si="34"/>
        <v>1.5213209836393848</v>
      </c>
      <c r="F38" s="111">
        <f t="shared" si="34"/>
        <v>1.5451469043214991</v>
      </c>
      <c r="G38" s="111">
        <f t="shared" si="34"/>
        <v>1.5693459707778814</v>
      </c>
      <c r="H38" s="111">
        <f t="shared" si="34"/>
        <v>1.5939240269702704</v>
      </c>
      <c r="I38" s="111">
        <f t="shared" si="34"/>
        <v>1.6188870083846592</v>
      </c>
      <c r="J38" s="111">
        <f t="shared" si="34"/>
        <v>1.6442409434646874</v>
      </c>
      <c r="K38" s="111">
        <f t="shared" si="34"/>
        <v>1.6699919550674829</v>
      </c>
      <c r="L38" s="111">
        <f t="shared" si="34"/>
        <v>1.6961462619423024</v>
      </c>
      <c r="M38" s="111">
        <f t="shared" si="34"/>
        <v>1.7227101802323304</v>
      </c>
      <c r="N38" s="111">
        <f t="shared" si="34"/>
        <v>1.7496901249999992</v>
      </c>
    </row>
    <row r="39" spans="2:14" x14ac:dyDescent="0.2">
      <c r="B39" s="59" t="s">
        <v>130</v>
      </c>
      <c r="C39" s="111">
        <f>C36/C38</f>
        <v>3277.3847750221244</v>
      </c>
      <c r="D39" s="111">
        <f t="shared" ref="D39" si="35">D36/D38</f>
        <v>3271.5302994291133</v>
      </c>
      <c r="E39" s="111">
        <f t="shared" ref="E39" si="36">E36/E38</f>
        <v>3258.1999709234838</v>
      </c>
      <c r="F39" s="111">
        <f t="shared" ref="F39" si="37">F36/F38</f>
        <v>3244.5028688022476</v>
      </c>
      <c r="G39" s="111">
        <f t="shared" ref="G39" si="38">G36/G38</f>
        <v>3209.2249526260457</v>
      </c>
      <c r="H39" s="111">
        <f t="shared" ref="H39" si="39">H36/H38</f>
        <v>3159.7392118473035</v>
      </c>
      <c r="I39" s="111">
        <f t="shared" ref="I39" si="40">I36/I38</f>
        <v>3111.0165333582327</v>
      </c>
      <c r="J39" s="111">
        <f>J36/J38</f>
        <v>3063.0451508591123</v>
      </c>
      <c r="K39" s="111">
        <f t="shared" ref="K39" si="41">K36/K38</f>
        <v>3015.8134794847001</v>
      </c>
      <c r="L39" s="111">
        <f t="shared" ref="L39" si="42">L36/L38</f>
        <v>2969.3101130065425</v>
      </c>
      <c r="M39" s="111">
        <f>M36/M38</f>
        <v>2923.5238210784237</v>
      </c>
      <c r="N39" s="111">
        <f t="shared" ref="N39" si="43">N36/N38</f>
        <v>2878.4435465242877</v>
      </c>
    </row>
    <row r="40" spans="2:14" x14ac:dyDescent="0.2">
      <c r="B40" s="59" t="s">
        <v>177</v>
      </c>
      <c r="C40" s="147">
        <f>N27+C39</f>
        <v>-14613.86386026832</v>
      </c>
      <c r="D40" s="111">
        <f>D39+C40</f>
        <v>-11342.333560839208</v>
      </c>
      <c r="E40" s="111">
        <f t="shared" ref="E40:N40" si="44">E39+D40</f>
        <v>-8084.1335899157239</v>
      </c>
      <c r="F40" s="111">
        <f t="shared" si="44"/>
        <v>-4839.6307211134763</v>
      </c>
      <c r="G40" s="111">
        <f t="shared" si="44"/>
        <v>-1630.4057684874306</v>
      </c>
      <c r="H40" s="111">
        <f t="shared" si="44"/>
        <v>1529.3334433598729</v>
      </c>
      <c r="I40" s="111">
        <f t="shared" si="44"/>
        <v>4640.3499767181056</v>
      </c>
      <c r="J40" s="111">
        <f t="shared" si="44"/>
        <v>7703.3951275772179</v>
      </c>
      <c r="K40" s="111">
        <f t="shared" si="44"/>
        <v>10719.208607061919</v>
      </c>
      <c r="L40" s="111">
        <f t="shared" si="44"/>
        <v>13688.518720068461</v>
      </c>
      <c r="M40" s="111">
        <f t="shared" si="44"/>
        <v>16612.042541146886</v>
      </c>
      <c r="N40" s="111">
        <f t="shared" si="44"/>
        <v>19490.486087671175</v>
      </c>
    </row>
    <row r="41" spans="2:14" x14ac:dyDescent="0.2">
      <c r="B41" s="27"/>
      <c r="C41" s="26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2:14" x14ac:dyDescent="0.2">
      <c r="B42" s="59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</row>
    <row r="43" spans="2:14" ht="26" x14ac:dyDescent="0.3">
      <c r="B43" s="192" t="s">
        <v>113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78"/>
      <c r="N43" s="178"/>
    </row>
    <row r="44" spans="2:14" x14ac:dyDescent="0.2">
      <c r="B44" s="113" t="s">
        <v>132</v>
      </c>
      <c r="C44" s="114">
        <v>46023</v>
      </c>
      <c r="D44" s="115">
        <v>46054</v>
      </c>
      <c r="E44" s="115">
        <v>46082</v>
      </c>
      <c r="F44" s="115">
        <v>46113</v>
      </c>
      <c r="G44" s="115">
        <v>46143</v>
      </c>
      <c r="H44" s="115">
        <v>46174</v>
      </c>
      <c r="I44" s="115">
        <v>46204</v>
      </c>
      <c r="J44" s="115">
        <v>46235</v>
      </c>
      <c r="K44" s="115">
        <v>46266</v>
      </c>
      <c r="L44" s="115">
        <v>46296</v>
      </c>
      <c r="M44" s="115">
        <v>46327</v>
      </c>
      <c r="N44" s="115">
        <v>46357</v>
      </c>
    </row>
    <row r="45" spans="2:14" x14ac:dyDescent="0.2">
      <c r="B45" s="59" t="s">
        <v>86</v>
      </c>
      <c r="C45" s="5">
        <f>'P&amp;L'!F105</f>
        <v>5780.8448383691548</v>
      </c>
      <c r="D45" s="5">
        <f>'P&amp;L'!G105</f>
        <v>5780.8448383691548</v>
      </c>
      <c r="E45" s="5">
        <f>'P&amp;L'!H105</f>
        <v>5780.8448383691548</v>
      </c>
      <c r="F45" s="5">
        <f>'P&amp;L'!I105</f>
        <v>5780.8448383691548</v>
      </c>
      <c r="G45" s="5">
        <f>'P&amp;L'!J105</f>
        <v>5780.8448383691548</v>
      </c>
      <c r="H45" s="5">
        <f>'P&amp;L'!K105</f>
        <v>5780.8448383691548</v>
      </c>
      <c r="I45" s="5">
        <f>'P&amp;L'!L105</f>
        <v>5780.8448383691548</v>
      </c>
      <c r="J45" s="5">
        <f>'P&amp;L'!M105</f>
        <v>5780.8448383691548</v>
      </c>
      <c r="K45" s="5">
        <f>'P&amp;L'!N105</f>
        <v>5780.8448383691548</v>
      </c>
      <c r="L45" s="5">
        <f>'P&amp;L'!O105</f>
        <v>5780.8448383691548</v>
      </c>
      <c r="M45" s="5">
        <f>'P&amp;L'!P105</f>
        <v>5780.8448383691548</v>
      </c>
      <c r="N45" s="5">
        <f>'P&amp;L'!Q105</f>
        <v>5780.8448383691548</v>
      </c>
    </row>
    <row r="46" spans="2:14" x14ac:dyDescent="0.2">
      <c r="B46" s="59" t="s">
        <v>57</v>
      </c>
      <c r="C46" s="118">
        <f t="shared" ref="C46:N46" si="45">C33</f>
        <v>553.80753968253964</v>
      </c>
      <c r="D46" s="118">
        <f t="shared" si="45"/>
        <v>553.80753968253964</v>
      </c>
      <c r="E46" s="118">
        <f t="shared" si="45"/>
        <v>553.80753968253964</v>
      </c>
      <c r="F46" s="118">
        <f t="shared" si="45"/>
        <v>553.80753968253964</v>
      </c>
      <c r="G46" s="118">
        <f t="shared" si="45"/>
        <v>553.80753968253964</v>
      </c>
      <c r="H46" s="118">
        <f t="shared" si="45"/>
        <v>553.80753968253964</v>
      </c>
      <c r="I46" s="118">
        <f t="shared" si="45"/>
        <v>553.80753968253964</v>
      </c>
      <c r="J46" s="118">
        <f t="shared" si="45"/>
        <v>553.80753968253964</v>
      </c>
      <c r="K46" s="118">
        <f t="shared" si="45"/>
        <v>553.80753968253964</v>
      </c>
      <c r="L46" s="118">
        <f t="shared" si="45"/>
        <v>553.80753968253964</v>
      </c>
      <c r="M46" s="118">
        <f t="shared" si="45"/>
        <v>553.80753968253964</v>
      </c>
      <c r="N46" s="118">
        <f t="shared" si="45"/>
        <v>553.80753968253964</v>
      </c>
    </row>
    <row r="47" spans="2:14" x14ac:dyDescent="0.2">
      <c r="B47" s="59" t="s">
        <v>117</v>
      </c>
      <c r="C47" s="98">
        <f>SUM('P&amp;L'!F90:F92)</f>
        <v>25096.770833333336</v>
      </c>
      <c r="D47" s="98">
        <f>SUM('P&amp;L'!G90:G92)</f>
        <v>25096.770833333336</v>
      </c>
      <c r="E47" s="98">
        <f>SUM('P&amp;L'!H90:H92)</f>
        <v>25096.770833333336</v>
      </c>
      <c r="F47" s="98">
        <f>SUM('P&amp;L'!I90:I92)</f>
        <v>25096.770833333336</v>
      </c>
      <c r="G47" s="98">
        <f>SUM('P&amp;L'!J90:J92)</f>
        <v>25096.770833333336</v>
      </c>
      <c r="H47" s="98">
        <f>SUM('P&amp;L'!K90:K92)</f>
        <v>25096.770833333336</v>
      </c>
      <c r="I47" s="98">
        <f>SUM('P&amp;L'!L90:L92)</f>
        <v>25096.770833333336</v>
      </c>
      <c r="J47" s="98">
        <f>SUM('P&amp;L'!M90:M92)</f>
        <v>25096.770833333336</v>
      </c>
      <c r="K47" s="98">
        <f>SUM('P&amp;L'!N90:N92)</f>
        <v>25096.770833333336</v>
      </c>
      <c r="L47" s="98">
        <f>SUM('P&amp;L'!O90:O92)</f>
        <v>25096.770833333336</v>
      </c>
      <c r="M47" s="98">
        <f>SUM('P&amp;L'!P90:P92)</f>
        <v>25096.770833333336</v>
      </c>
      <c r="N47" s="98">
        <f>SUM('P&amp;L'!Q90:Q92)</f>
        <v>25096.770833333336</v>
      </c>
    </row>
    <row r="48" spans="2:14" x14ac:dyDescent="0.2">
      <c r="B48" s="59" t="s">
        <v>127</v>
      </c>
      <c r="C48" s="98">
        <f>(C47-N34)*$R$4</f>
        <v>441.19863013698665</v>
      </c>
      <c r="D48" s="6">
        <f>(D47-C47)*$R$4</f>
        <v>0</v>
      </c>
      <c r="E48" s="6">
        <f t="shared" ref="E48" si="46">(E47-D47)*$R$4</f>
        <v>0</v>
      </c>
      <c r="F48" s="6">
        <f t="shared" ref="F48" si="47">(F47-E47)*$R$4</f>
        <v>0</v>
      </c>
      <c r="G48" s="6">
        <f t="shared" ref="G48" si="48">(G47-F47)*$R$4</f>
        <v>0</v>
      </c>
      <c r="H48" s="6">
        <f t="shared" ref="H48" si="49">(H47-G47)*$R$4</f>
        <v>0</v>
      </c>
      <c r="I48" s="6">
        <f>(I47-H47)*$R$4</f>
        <v>0</v>
      </c>
      <c r="J48" s="6">
        <f t="shared" ref="J48" si="50">(J47-I47)*$R$4</f>
        <v>0</v>
      </c>
      <c r="K48" s="6">
        <f t="shared" ref="K48" si="51">(K47-J47)*$R$4</f>
        <v>0</v>
      </c>
      <c r="L48" s="6">
        <f t="shared" ref="L48" si="52">(L47-K47)*$R$4</f>
        <v>0</v>
      </c>
      <c r="M48" s="6">
        <f t="shared" ref="M48" si="53">(M47-L47)*$R$4</f>
        <v>0</v>
      </c>
      <c r="N48" s="6">
        <f t="shared" ref="N48" si="54">(N47-M47)*$R$4</f>
        <v>0</v>
      </c>
    </row>
    <row r="49" spans="2:14" x14ac:dyDescent="0.2">
      <c r="B49" s="59" t="s">
        <v>128</v>
      </c>
      <c r="C49" s="5">
        <f>C45+C46-C48</f>
        <v>5893.4537479147075</v>
      </c>
      <c r="D49" s="5">
        <f>D45+D46-D48</f>
        <v>6334.6523780516945</v>
      </c>
      <c r="E49" s="5">
        <f t="shared" ref="E49" si="55">E45+E46-E48</f>
        <v>6334.6523780516945</v>
      </c>
      <c r="F49" s="5">
        <f t="shared" ref="F49" si="56">F45+F46-F48</f>
        <v>6334.6523780516945</v>
      </c>
      <c r="G49" s="5">
        <f t="shared" ref="G49" si="57">G45+G46-G48</f>
        <v>6334.6523780516945</v>
      </c>
      <c r="H49" s="5">
        <f t="shared" ref="H49" si="58">H45+H46-H48</f>
        <v>6334.6523780516945</v>
      </c>
      <c r="I49" s="5">
        <f t="shared" ref="I49" si="59">I45+I46-I48</f>
        <v>6334.6523780516945</v>
      </c>
      <c r="J49" s="5">
        <f t="shared" ref="J49" si="60">J45+J46-J48</f>
        <v>6334.6523780516945</v>
      </c>
      <c r="K49" s="5">
        <f t="shared" ref="K49" si="61">K45+K46-K48</f>
        <v>6334.6523780516945</v>
      </c>
      <c r="L49" s="5">
        <f>L45+L46-L48</f>
        <v>6334.6523780516945</v>
      </c>
      <c r="M49" s="5">
        <f t="shared" ref="M49" si="62">M45+M46-M48</f>
        <v>6334.6523780516945</v>
      </c>
      <c r="N49" s="5">
        <f t="shared" ref="N49" si="63">N45+N46-N48</f>
        <v>6334.6523780516945</v>
      </c>
    </row>
    <row r="50" spans="2:14" x14ac:dyDescent="0.2">
      <c r="B50" s="59" t="s">
        <v>176</v>
      </c>
      <c r="C50" s="5">
        <f>N37+C49</f>
        <v>64837.540683062485</v>
      </c>
      <c r="D50" s="5">
        <f>D49+C50</f>
        <v>71172.193061114172</v>
      </c>
      <c r="E50" s="5">
        <f t="shared" ref="E50:N50" si="64">E49+D50</f>
        <v>77506.84543916586</v>
      </c>
      <c r="F50" s="5">
        <f t="shared" si="64"/>
        <v>83841.497817217547</v>
      </c>
      <c r="G50" s="5">
        <f t="shared" si="64"/>
        <v>90176.150195269234</v>
      </c>
      <c r="H50" s="5">
        <f t="shared" si="64"/>
        <v>96510.802573320922</v>
      </c>
      <c r="I50" s="5">
        <f t="shared" si="64"/>
        <v>102845.45495137261</v>
      </c>
      <c r="J50" s="5">
        <f t="shared" si="64"/>
        <v>109180.1073294243</v>
      </c>
      <c r="K50" s="5">
        <f t="shared" si="64"/>
        <v>115514.75970747598</v>
      </c>
      <c r="L50" s="5">
        <f t="shared" si="64"/>
        <v>121849.41208552767</v>
      </c>
      <c r="M50" s="5">
        <f t="shared" si="64"/>
        <v>128184.06446357936</v>
      </c>
      <c r="N50" s="5">
        <f t="shared" si="64"/>
        <v>134518.71684163105</v>
      </c>
    </row>
    <row r="51" spans="2:14" x14ac:dyDescent="0.2">
      <c r="B51" s="59" t="s">
        <v>131</v>
      </c>
      <c r="C51" s="111">
        <f t="shared" ref="C51:N51" si="65">$S$5^(COLUMN()+36-2)</f>
        <v>1.7770926117761956</v>
      </c>
      <c r="D51" s="111">
        <f t="shared" si="65"/>
        <v>1.8049242581337319</v>
      </c>
      <c r="E51" s="111">
        <f t="shared" si="65"/>
        <v>1.8331917852854587</v>
      </c>
      <c r="F51" s="111">
        <f t="shared" si="65"/>
        <v>1.8619020197074061</v>
      </c>
      <c r="G51" s="111">
        <f t="shared" si="65"/>
        <v>1.8910618947873468</v>
      </c>
      <c r="H51" s="111">
        <f t="shared" si="65"/>
        <v>1.9206784524991756</v>
      </c>
      <c r="I51" s="111">
        <f t="shared" si="65"/>
        <v>1.9507588451035136</v>
      </c>
      <c r="J51" s="111">
        <f t="shared" si="65"/>
        <v>1.9813103368749481</v>
      </c>
      <c r="K51" s="111">
        <f t="shared" si="65"/>
        <v>2.0123403058563167</v>
      </c>
      <c r="L51" s="111">
        <f t="shared" si="65"/>
        <v>2.0438562456404741</v>
      </c>
      <c r="M51" s="111">
        <f t="shared" si="65"/>
        <v>2.0758657671799581</v>
      </c>
      <c r="N51" s="111">
        <f t="shared" si="65"/>
        <v>2.1083766006249984</v>
      </c>
    </row>
    <row r="52" spans="2:14" x14ac:dyDescent="0.2">
      <c r="B52" s="59" t="s">
        <v>130</v>
      </c>
      <c r="C52" s="111">
        <f>C49/C51</f>
        <v>3316.3458723877247</v>
      </c>
      <c r="D52" s="111">
        <f t="shared" ref="D52" si="66">D49/D51</f>
        <v>3509.6499753411495</v>
      </c>
      <c r="E52" s="111">
        <f t="shared" ref="E52" si="67">E49/E51</f>
        <v>3455.5317282666542</v>
      </c>
      <c r="F52" s="111">
        <f t="shared" ref="F52" si="68">F49/F51</f>
        <v>3402.2479759956282</v>
      </c>
      <c r="G52" s="111">
        <f t="shared" ref="G52" si="69">G49/G51</f>
        <v>3349.7858507502938</v>
      </c>
      <c r="H52" s="111">
        <f t="shared" ref="H52" si="70">H49/H51</f>
        <v>3298.1326831719707</v>
      </c>
      <c r="I52" s="111">
        <f t="shared" ref="I52" si="71">I49/I51</f>
        <v>3247.275999261486</v>
      </c>
      <c r="J52" s="111">
        <f>J49/J51</f>
        <v>3197.203517366755</v>
      </c>
      <c r="K52" s="111">
        <f t="shared" ref="K52" si="72">K49/K51</f>
        <v>3147.9031452168288</v>
      </c>
      <c r="L52" s="111">
        <f t="shared" ref="L52" si="73">L49/L51</f>
        <v>3099.3629770016596</v>
      </c>
      <c r="M52" s="111">
        <f>M49/M51</f>
        <v>3051.5712904969059</v>
      </c>
      <c r="N52" s="111">
        <f t="shared" ref="N52" si="74">N49/N51</f>
        <v>3004.5165442330731</v>
      </c>
    </row>
    <row r="53" spans="2:14" x14ac:dyDescent="0.2">
      <c r="B53" s="59" t="s">
        <v>177</v>
      </c>
      <c r="C53" s="6">
        <f>N40+C52</f>
        <v>22806.831960058902</v>
      </c>
      <c r="D53" s="6">
        <f>D52+C53</f>
        <v>26316.48193540005</v>
      </c>
      <c r="E53" s="6">
        <f t="shared" ref="E53:N53" si="75">E52+D53</f>
        <v>29772.013663666705</v>
      </c>
      <c r="F53" s="6">
        <f t="shared" si="75"/>
        <v>33174.261639662334</v>
      </c>
      <c r="G53" s="6">
        <f t="shared" si="75"/>
        <v>36524.047490412631</v>
      </c>
      <c r="H53" s="6">
        <f t="shared" si="75"/>
        <v>39822.180173584602</v>
      </c>
      <c r="I53" s="6">
        <f t="shared" si="75"/>
        <v>43069.45617284609</v>
      </c>
      <c r="J53" s="6">
        <f t="shared" si="75"/>
        <v>46266.659690212844</v>
      </c>
      <c r="K53" s="6">
        <f t="shared" si="75"/>
        <v>49414.562835429671</v>
      </c>
      <c r="L53" s="6">
        <f t="shared" si="75"/>
        <v>52513.925812431335</v>
      </c>
      <c r="M53" s="6">
        <f t="shared" si="75"/>
        <v>55565.497102928239</v>
      </c>
      <c r="N53" s="6">
        <f t="shared" si="75"/>
        <v>58570.013647161315</v>
      </c>
    </row>
    <row r="55" spans="2:14" ht="26" x14ac:dyDescent="0.3">
      <c r="B55" s="192" t="s">
        <v>114</v>
      </c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78"/>
      <c r="N55" s="178"/>
    </row>
    <row r="56" spans="2:14" x14ac:dyDescent="0.2">
      <c r="B56" s="113" t="s">
        <v>132</v>
      </c>
      <c r="C56" s="114">
        <v>46023</v>
      </c>
      <c r="D56" s="115">
        <v>46054</v>
      </c>
      <c r="E56" s="115">
        <v>46082</v>
      </c>
      <c r="F56" s="115">
        <v>46113</v>
      </c>
      <c r="G56" s="115">
        <v>46143</v>
      </c>
      <c r="H56" s="115">
        <v>46174</v>
      </c>
      <c r="I56" s="115">
        <v>46204</v>
      </c>
      <c r="J56" s="115">
        <v>46235</v>
      </c>
      <c r="K56" s="115">
        <v>46266</v>
      </c>
      <c r="L56" s="115">
        <v>46296</v>
      </c>
      <c r="M56" s="115">
        <v>46327</v>
      </c>
      <c r="N56" s="115">
        <v>46357</v>
      </c>
    </row>
    <row r="57" spans="2:14" x14ac:dyDescent="0.2">
      <c r="B57" s="59" t="s">
        <v>86</v>
      </c>
      <c r="C57" s="5">
        <f>'P&amp;L'!F131</f>
        <v>5477.7538860570176</v>
      </c>
      <c r="D57" s="5">
        <f>'P&amp;L'!G131</f>
        <v>5477.7538860570176</v>
      </c>
      <c r="E57" s="5">
        <f>'P&amp;L'!H131</f>
        <v>5477.7538860570176</v>
      </c>
      <c r="F57" s="5">
        <f>'P&amp;L'!I131</f>
        <v>5477.7538860570176</v>
      </c>
      <c r="G57" s="5">
        <f>'P&amp;L'!J131</f>
        <v>5477.7538860570176</v>
      </c>
      <c r="H57" s="5">
        <f>'P&amp;L'!K131</f>
        <v>5477.7538860570176</v>
      </c>
      <c r="I57" s="5">
        <f>'P&amp;L'!L131</f>
        <v>5477.7538860570176</v>
      </c>
      <c r="J57" s="5">
        <f>'P&amp;L'!M131</f>
        <v>5477.7538860570176</v>
      </c>
      <c r="K57" s="5">
        <f>'P&amp;L'!N131</f>
        <v>5477.7538860570176</v>
      </c>
      <c r="L57" s="5">
        <f>'P&amp;L'!O131</f>
        <v>5477.7538860570176</v>
      </c>
      <c r="M57" s="5">
        <f>'P&amp;L'!P131</f>
        <v>5477.7538860570176</v>
      </c>
      <c r="N57" s="5">
        <f>'P&amp;L'!Q131</f>
        <v>5477.7538860570176</v>
      </c>
    </row>
    <row r="58" spans="2:14" x14ac:dyDescent="0.2">
      <c r="B58" s="59" t="s">
        <v>57</v>
      </c>
      <c r="C58" s="118">
        <f>C46</f>
        <v>553.80753968253964</v>
      </c>
      <c r="D58" s="118">
        <f t="shared" ref="D58:N58" si="76">D46</f>
        <v>553.80753968253964</v>
      </c>
      <c r="E58" s="118">
        <f t="shared" si="76"/>
        <v>553.80753968253964</v>
      </c>
      <c r="F58" s="118">
        <f t="shared" si="76"/>
        <v>553.80753968253964</v>
      </c>
      <c r="G58" s="118">
        <f t="shared" si="76"/>
        <v>553.80753968253964</v>
      </c>
      <c r="H58" s="118">
        <f t="shared" si="76"/>
        <v>553.80753968253964</v>
      </c>
      <c r="I58" s="118">
        <f t="shared" si="76"/>
        <v>553.80753968253964</v>
      </c>
      <c r="J58" s="118">
        <f t="shared" si="76"/>
        <v>553.80753968253964</v>
      </c>
      <c r="K58" s="118">
        <f t="shared" si="76"/>
        <v>553.80753968253964</v>
      </c>
      <c r="L58" s="118">
        <f t="shared" si="76"/>
        <v>553.80753968253964</v>
      </c>
      <c r="M58" s="118">
        <f t="shared" si="76"/>
        <v>553.80753968253964</v>
      </c>
      <c r="N58" s="118">
        <f t="shared" si="76"/>
        <v>553.80753968253964</v>
      </c>
    </row>
    <row r="59" spans="2:14" x14ac:dyDescent="0.2">
      <c r="B59" s="59" t="s">
        <v>117</v>
      </c>
      <c r="C59" s="98">
        <f>SUM('P&amp;L'!F116:F118)</f>
        <v>25096.770833333336</v>
      </c>
      <c r="D59" s="98">
        <f>SUM('P&amp;L'!G116:G118)</f>
        <v>25096.770833333336</v>
      </c>
      <c r="E59" s="98">
        <f>SUM('P&amp;L'!H116:H118)</f>
        <v>25096.770833333336</v>
      </c>
      <c r="F59" s="98">
        <f>SUM('P&amp;L'!I116:I118)</f>
        <v>25096.770833333336</v>
      </c>
      <c r="G59" s="98">
        <f>SUM('P&amp;L'!J116:J118)</f>
        <v>25096.770833333336</v>
      </c>
      <c r="H59" s="98">
        <f>SUM('P&amp;L'!K116:K118)</f>
        <v>25096.770833333336</v>
      </c>
      <c r="I59" s="98">
        <f>SUM('P&amp;L'!L116:L118)</f>
        <v>25096.770833333336</v>
      </c>
      <c r="J59" s="98">
        <f>SUM('P&amp;L'!M116:M118)</f>
        <v>25096.770833333336</v>
      </c>
      <c r="K59" s="98">
        <f>SUM('P&amp;L'!N116:N118)</f>
        <v>25096.770833333336</v>
      </c>
      <c r="L59" s="98">
        <f>SUM('P&amp;L'!O116:O118)</f>
        <v>25096.770833333336</v>
      </c>
      <c r="M59" s="98">
        <f>SUM('P&amp;L'!P116:P118)</f>
        <v>25096.770833333336</v>
      </c>
      <c r="N59" s="98">
        <f>SUM('P&amp;L'!Q116:Q118)</f>
        <v>25096.770833333336</v>
      </c>
    </row>
    <row r="60" spans="2:14" x14ac:dyDescent="0.2">
      <c r="B60" s="59" t="s">
        <v>127</v>
      </c>
      <c r="C60" s="6">
        <v>0</v>
      </c>
      <c r="D60" s="6">
        <f>(D59-C59)*$R$4</f>
        <v>0</v>
      </c>
      <c r="E60" s="6">
        <f t="shared" ref="E60" si="77">(E59-D59)*$R$4</f>
        <v>0</v>
      </c>
      <c r="F60" s="6">
        <f t="shared" ref="F60" si="78">(F59-E59)*$R$4</f>
        <v>0</v>
      </c>
      <c r="G60" s="6">
        <f t="shared" ref="G60" si="79">(G59-F59)*$R$4</f>
        <v>0</v>
      </c>
      <c r="H60" s="6">
        <f t="shared" ref="H60" si="80">(H59-G59)*$R$4</f>
        <v>0</v>
      </c>
      <c r="I60" s="6">
        <f>(I59-H59)*$R$4</f>
        <v>0</v>
      </c>
      <c r="J60" s="6">
        <f t="shared" ref="J60" si="81">(J59-I59)*$R$4</f>
        <v>0</v>
      </c>
      <c r="K60" s="6">
        <f t="shared" ref="K60" si="82">(K59-J59)*$R$4</f>
        <v>0</v>
      </c>
      <c r="L60" s="6">
        <f t="shared" ref="L60" si="83">(L59-K59)*$R$4</f>
        <v>0</v>
      </c>
      <c r="M60" s="6">
        <f t="shared" ref="M60" si="84">(M59-L59)*$R$4</f>
        <v>0</v>
      </c>
      <c r="N60" s="6">
        <f t="shared" ref="N60" si="85">(N59-M59)*$R$4</f>
        <v>0</v>
      </c>
    </row>
    <row r="61" spans="2:14" x14ac:dyDescent="0.2">
      <c r="B61" s="59" t="s">
        <v>128</v>
      </c>
      <c r="C61" s="5">
        <f>C57+C58-C60</f>
        <v>6031.5614257395573</v>
      </c>
      <c r="D61" s="5">
        <f>D57+D58-D60</f>
        <v>6031.5614257395573</v>
      </c>
      <c r="E61" s="5">
        <f t="shared" ref="E61" si="86">E57+E58-E60</f>
        <v>6031.5614257395573</v>
      </c>
      <c r="F61" s="5">
        <f t="shared" ref="F61" si="87">F57+F58-F60</f>
        <v>6031.5614257395573</v>
      </c>
      <c r="G61" s="5">
        <f t="shared" ref="G61" si="88">G57+G58-G60</f>
        <v>6031.5614257395573</v>
      </c>
      <c r="H61" s="5">
        <f t="shared" ref="H61" si="89">H57+H58-H60</f>
        <v>6031.5614257395573</v>
      </c>
      <c r="I61" s="5">
        <f t="shared" ref="I61" si="90">I57+I58-I60</f>
        <v>6031.5614257395573</v>
      </c>
      <c r="J61" s="5">
        <f t="shared" ref="J61" si="91">J57+J58-J60</f>
        <v>6031.5614257395573</v>
      </c>
      <c r="K61" s="5">
        <f t="shared" ref="K61" si="92">K57+K58-K60</f>
        <v>6031.5614257395573</v>
      </c>
      <c r="L61" s="5">
        <f>L57+L58-L60</f>
        <v>6031.5614257395573</v>
      </c>
      <c r="M61" s="5">
        <f t="shared" ref="M61" si="93">M57+M58-M60</f>
        <v>6031.5614257395573</v>
      </c>
      <c r="N61" s="5">
        <f t="shared" ref="N61" si="94">N57+N58-N60</f>
        <v>6031.5614257395573</v>
      </c>
    </row>
    <row r="62" spans="2:14" x14ac:dyDescent="0.2">
      <c r="B62" s="59" t="s">
        <v>176</v>
      </c>
      <c r="C62" s="5">
        <f>N50+C61</f>
        <v>140550.2782673706</v>
      </c>
      <c r="D62" s="5">
        <f>D61+C62</f>
        <v>146581.83969311015</v>
      </c>
      <c r="E62" s="5">
        <f t="shared" ref="E62:N62" si="95">E61+D62</f>
        <v>152613.4011188497</v>
      </c>
      <c r="F62" s="5">
        <f t="shared" si="95"/>
        <v>158644.96254458925</v>
      </c>
      <c r="G62" s="5">
        <f t="shared" si="95"/>
        <v>164676.5239703288</v>
      </c>
      <c r="H62" s="5">
        <f t="shared" si="95"/>
        <v>170708.08539606835</v>
      </c>
      <c r="I62" s="5">
        <f t="shared" si="95"/>
        <v>176739.6468218079</v>
      </c>
      <c r="J62" s="5">
        <f t="shared" si="95"/>
        <v>182771.20824754745</v>
      </c>
      <c r="K62" s="5">
        <f t="shared" si="95"/>
        <v>188802.769673287</v>
      </c>
      <c r="L62" s="5">
        <f t="shared" si="95"/>
        <v>194834.33109902655</v>
      </c>
      <c r="M62" s="5">
        <f t="shared" si="95"/>
        <v>200865.8925247661</v>
      </c>
      <c r="N62" s="5">
        <f t="shared" si="95"/>
        <v>206897.45395050565</v>
      </c>
    </row>
    <row r="63" spans="2:14" x14ac:dyDescent="0.2">
      <c r="B63" s="59" t="s">
        <v>131</v>
      </c>
      <c r="C63" s="111">
        <f t="shared" ref="C63:N63" si="96">$S$5^(COLUMN()+48-2)</f>
        <v>2.1413965971903153</v>
      </c>
      <c r="D63" s="111">
        <f t="shared" si="96"/>
        <v>2.1749337310511465</v>
      </c>
      <c r="E63" s="111">
        <f t="shared" si="96"/>
        <v>2.2089961012689772</v>
      </c>
      <c r="F63" s="111">
        <f t="shared" si="96"/>
        <v>2.2435919337474242</v>
      </c>
      <c r="G63" s="111">
        <f t="shared" si="96"/>
        <v>2.2787295832187526</v>
      </c>
      <c r="H63" s="111">
        <f t="shared" si="96"/>
        <v>2.314417535261506</v>
      </c>
      <c r="I63" s="111">
        <f t="shared" si="96"/>
        <v>2.3506644083497341</v>
      </c>
      <c r="J63" s="111">
        <f t="shared" si="96"/>
        <v>2.3874789559343119</v>
      </c>
      <c r="K63" s="111">
        <f t="shared" si="96"/>
        <v>2.4248700685568609</v>
      </c>
      <c r="L63" s="111">
        <f t="shared" si="96"/>
        <v>2.4628467759967707</v>
      </c>
      <c r="M63" s="111">
        <f t="shared" si="96"/>
        <v>2.5014182494518482</v>
      </c>
      <c r="N63" s="111">
        <f t="shared" si="96"/>
        <v>2.540593803753123</v>
      </c>
    </row>
    <row r="64" spans="2:14" x14ac:dyDescent="0.2">
      <c r="B64" s="59" t="s">
        <v>130</v>
      </c>
      <c r="C64" s="111">
        <f>C61/C63</f>
        <v>2816.6484590726686</v>
      </c>
      <c r="D64" s="111">
        <f t="shared" ref="D64" si="97">D61/D63</f>
        <v>2773.2161856832763</v>
      </c>
      <c r="E64" s="111">
        <f t="shared" ref="E64" si="98">E61/E63</f>
        <v>2730.4536310746198</v>
      </c>
      <c r="F64" s="111">
        <f t="shared" ref="F64" si="99">F61/F63</f>
        <v>2688.3504682891098</v>
      </c>
      <c r="G64" s="111">
        <f t="shared" ref="G64" si="100">G61/G63</f>
        <v>2646.8965296092097</v>
      </c>
      <c r="H64" s="111">
        <f t="shared" ref="H64" si="101">H61/H63</f>
        <v>2606.0818041019775</v>
      </c>
      <c r="I64" s="111">
        <f t="shared" ref="I64" si="102">I61/I63</f>
        <v>2565.8964352014709</v>
      </c>
      <c r="J64" s="111">
        <f>J61/J63</f>
        <v>2526.3307183284373</v>
      </c>
      <c r="K64" s="111">
        <f t="shared" ref="K64" si="103">K61/K63</f>
        <v>2487.3750985466968</v>
      </c>
      <c r="L64" s="111">
        <f t="shared" ref="L64" si="104">L61/L63</f>
        <v>2449.0201682556749</v>
      </c>
      <c r="M64" s="111">
        <f>M61/M63</f>
        <v>2411.2566649185087</v>
      </c>
      <c r="N64" s="111">
        <f t="shared" ref="N64" si="105">N61/N63</f>
        <v>2374.0754688251855</v>
      </c>
    </row>
    <row r="65" spans="2:14" x14ac:dyDescent="0.2">
      <c r="B65" s="59" t="s">
        <v>177</v>
      </c>
      <c r="C65" s="111">
        <f>N53+C64</f>
        <v>61386.662106233984</v>
      </c>
      <c r="D65" s="111">
        <f>D64+C65</f>
        <v>64159.878291917259</v>
      </c>
      <c r="E65" s="111">
        <f t="shared" ref="E65:N65" si="106">E64+D65</f>
        <v>66890.331922991885</v>
      </c>
      <c r="F65" s="111">
        <f t="shared" si="106"/>
        <v>69578.682391280992</v>
      </c>
      <c r="G65" s="111">
        <f t="shared" si="106"/>
        <v>72225.578920890199</v>
      </c>
      <c r="H65" s="111">
        <f t="shared" si="106"/>
        <v>74831.66072499218</v>
      </c>
      <c r="I65" s="111">
        <f t="shared" si="106"/>
        <v>77397.557160193654</v>
      </c>
      <c r="J65" s="111">
        <f t="shared" si="106"/>
        <v>79923.887878522088</v>
      </c>
      <c r="K65" s="111">
        <f t="shared" si="106"/>
        <v>82411.262977068778</v>
      </c>
      <c r="L65" s="111">
        <f t="shared" si="106"/>
        <v>84860.283145324458</v>
      </c>
      <c r="M65" s="111">
        <f t="shared" si="106"/>
        <v>87271.539810242961</v>
      </c>
      <c r="N65" s="111">
        <f t="shared" si="106"/>
        <v>89645.615279068152</v>
      </c>
    </row>
  </sheetData>
  <mergeCells count="5">
    <mergeCell ref="B43:N43"/>
    <mergeCell ref="B55:N55"/>
    <mergeCell ref="B30:N30"/>
    <mergeCell ref="B4:N4"/>
    <mergeCell ref="B17:N17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Стоимость производства</vt:lpstr>
      <vt:lpstr>Scenarios</vt:lpstr>
      <vt:lpstr>Assumptions</vt:lpstr>
      <vt:lpstr>P&amp;L</vt:lpstr>
      <vt:lpstr>Investment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2026-03-01T14:12:14Z</dcterms:created>
  <dcterms:modified xsi:type="dcterms:W3CDTF">2026-03-09T21:58:19Z</dcterms:modified>
</cp:coreProperties>
</file>