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ZsoltLacko\Downloads\Pandas request\Request 2\"/>
    </mc:Choice>
  </mc:AlternateContent>
  <xr:revisionPtr revIDLastSave="0" documentId="13_ncr:1_{78F1BA8D-E926-4BF9-9226-4B4E88F869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8" i="1" l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W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J3" i="1"/>
  <c r="AB3" i="1"/>
  <c r="S3" i="1"/>
  <c r="M3" i="1"/>
  <c r="AI3" i="1" s="1"/>
  <c r="W2" i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D3" i="1" l="1"/>
  <c r="AE3" i="1"/>
  <c r="X3" i="1"/>
  <c r="AF3" i="1"/>
  <c r="AC3" i="1"/>
  <c r="Y3" i="1"/>
  <c r="AG3" i="1"/>
  <c r="Z3" i="1"/>
  <c r="W3" i="1"/>
  <c r="AH3" i="1"/>
  <c r="AA3" i="1"/>
</calcChain>
</file>

<file path=xl/sharedStrings.xml><?xml version="1.0" encoding="utf-8"?>
<sst xmlns="http://schemas.openxmlformats.org/spreadsheetml/2006/main" count="184" uniqueCount="63">
  <si>
    <t>Department</t>
  </si>
  <si>
    <t>Segment</t>
  </si>
  <si>
    <t>Brand</t>
  </si>
  <si>
    <t>Market</t>
  </si>
  <si>
    <t>GLName</t>
  </si>
  <si>
    <t>Notes</t>
  </si>
  <si>
    <t>1</t>
  </si>
  <si>
    <t>2</t>
  </si>
  <si>
    <t>3</t>
  </si>
  <si>
    <t>5</t>
  </si>
  <si>
    <t>6</t>
  </si>
  <si>
    <t>7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</si>
  <si>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</si>
  <si>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</si>
  <si>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</si>
  <si>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</si>
  <si>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</si>
  <si>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</si>
  <si>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</si>
  <si>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</si>
  <si>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</si>
  <si>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</si>
  <si>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</si>
  <si>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</si>
  <si>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</si>
  <si>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</si>
  <si>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</si>
  <si>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</si>
  <si>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</si>
  <si>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</si>
  <si>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</si>
  <si>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</si>
  <si>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</si>
  <si>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</si>
  <si>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</si>
  <si>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</si>
  <si>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B2C</t>
  </si>
  <si>
    <t>Audit Fee</t>
  </si>
  <si>
    <t>Bank Fees</t>
  </si>
  <si>
    <t>Business support solutions</t>
  </si>
  <si>
    <t>Interest Expense</t>
  </si>
  <si>
    <t>Project ACES</t>
  </si>
  <si>
    <t>Realised Currency Gains/losses</t>
  </si>
  <si>
    <t>SGA - Gaming Tax</t>
  </si>
  <si>
    <t>Staff costs</t>
  </si>
  <si>
    <t>Subscriptions</t>
  </si>
  <si>
    <t>Travel - International</t>
  </si>
  <si>
    <t>Travel - National</t>
  </si>
  <si>
    <t>Unrealised Currency Gains/losses</t>
  </si>
  <si>
    <t>VAT - German PL</t>
  </si>
  <si>
    <t>VAT - Malta PL</t>
  </si>
  <si>
    <t>Bank Revaluations</t>
  </si>
  <si>
    <t>B2B</t>
  </si>
  <si>
    <t>Bad debts</t>
  </si>
  <si>
    <t>Interest Income</t>
  </si>
  <si>
    <t>Support and services fee due to GSL</t>
  </si>
  <si>
    <t>Unrealised FX Gains/Losses</t>
  </si>
  <si>
    <t>Marketing</t>
  </si>
  <si>
    <t>A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</si>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</sst>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38"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fill>
        <patternFill patternType="solid">
          <fgColor indexed="64"/>
          <bgColor rgb="FFFFFFCC"/>
        </patternFill>
      </fill>
      <border diagonalUp="0" diagonalDown="0" outline="0">
        <left/>
        <right/>
        <top style="dotted">
          <color indexed="64"/>
        </top>
        <bottom style="dotted">
          <color indexed="64"/>
        </bottom>
      </border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2" formatCode="mmm\-yy"/>
      <protection locked="1" hidden="0"/>
    </dxf>
    <dxf>
      <numFmt numFmtId="22" formatCode="mmm\-yy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itnor.sharepoint.com/sites/Finance/Shared%20Documents/Business%20Controlling/Departments/F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"/>
      <sheetName val="SGA Gaming Tax"/>
      <sheetName val="Further Breakdown of GLs"/>
      <sheetName val="Mapping"/>
      <sheetName val="check"/>
    </sheetNames>
    <sheetDataSet>
      <sheetData sheetId="0"/>
      <sheetData sheetId="1">
        <row r="18">
          <cell r="P18">
            <v>-704811.62605852378</v>
          </cell>
          <cell r="Q18">
            <v>-677057.45367088087</v>
          </cell>
          <cell r="R18">
            <v>-762651.07277443598</v>
          </cell>
          <cell r="S18">
            <v>-799572.39806006651</v>
          </cell>
          <cell r="T18">
            <v>-827622.99081713159</v>
          </cell>
          <cell r="U18">
            <v>-849230.90429849504</v>
          </cell>
          <cell r="V18">
            <v>-868365.04243171832</v>
          </cell>
          <cell r="W18">
            <v>-896395.53361593618</v>
          </cell>
          <cell r="X18">
            <v>-916896.2951135753</v>
          </cell>
          <cell r="Y18">
            <v>-925871.97175003006</v>
          </cell>
          <cell r="Z18">
            <v>-931577.72444952372</v>
          </cell>
          <cell r="AA18">
            <v>-1019642.5968535389</v>
          </cell>
        </row>
        <row r="24">
          <cell r="R24">
            <v>-29997.687967419413</v>
          </cell>
          <cell r="U24">
            <v>-34205.880209353374</v>
          </cell>
          <cell r="X24">
            <v>-37564.533114092374</v>
          </cell>
          <cell r="AA24">
            <v>-40588.817292809566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050A1-6FA8-449D-A5F5-1511C7FD5232}" name="Table7" displayName="Table7" ref="A1:AJ38" totalsRowShown="0" headerRowDxfId="37" dataDxfId="36">
  <tableColumns count="36">
    <tableColumn id="1" xr3:uid="{CA2701EE-2EBA-4F92-B385-7C327B2555BD}" name="Department" dataDxfId="27"/>
    <tableColumn id="2" xr3:uid="{D2A22B13-ADBC-4D87-A68A-FF381BA09C0D}" name="Segment" dataDxfId="25"/>
    <tableColumn id="3" xr3:uid="{4BF06A0C-DE4A-429F-A9F1-D8E3B8A268B8}" name="Brand" dataDxfId="26"/>
    <tableColumn id="4" xr3:uid="{3EA77274-0416-43D3-863B-2F55FBE04A32}" name="Market" dataDxfId="35"/>
    <tableColumn id="5" xr3:uid="{471B3030-3956-4E9A-B7B1-9C570AD12A18}" name="GLName" dataDxfId="34"/>
    <tableColumn id="6" xr3:uid="{23CF191C-0E46-4F0E-8F4F-E20FE492A0D2}" name="Notes" dataDxfId="33"/>
    <tableColumn id="7" xr3:uid="{E07A080A-B1EC-405F-943B-F4BE9F32EB1F}" name="1" dataDxfId="32"/>
    <tableColumn id="8" xr3:uid="{C3F7204E-E3C8-44F0-8062-D3D9D43240BA}" name="2" dataDxfId="31"/>
    <tableColumn id="9" xr3:uid="{50CB05F1-FD59-44CA-B769-0648702A0C50}" name="3" dataDxfId="30"/>
    <tableColumn id="10" xr3:uid="{177702C6-6BB8-4BF4-893F-925CBF4CD874}" name="5" dataDxfId="29"/>
    <tableColumn id="11" xr3:uid="{80964FD8-28F3-4C05-820C-D67D7E999628}" name="6" dataDxfId="28"/>
    <tableColumn id="12" xr3:uid="{738721AA-CFC7-4E02-B485-3AE0EE085BB6}" name="7" dataDxfId="24"/>
    <tableColumn id="13" xr3:uid="{84839FB8-2183-40DB-B885-424DB64DAE3A}" name="Jan-21" dataDxfId="23"/>
    <tableColumn id="14" xr3:uid="{81387329-1BE1-4403-9006-9598D9C4EAD1}" name="Feb-21" dataDxfId="22"/>
    <tableColumn id="15" xr3:uid="{E8BE8710-1256-452F-8502-A2373D9FF415}" name="Mar-21" dataDxfId="21"/>
    <tableColumn id="16" xr3:uid="{A25A1AA0-DFF3-4962-A1B2-7294857BA34C}" name="Apr-21" dataDxfId="20"/>
    <tableColumn id="17" xr3:uid="{87563C1B-F250-4318-B96E-A675C7B7045B}" name="May-21" dataDxfId="19"/>
    <tableColumn id="18" xr3:uid="{82B48373-AFF3-4CC9-AC68-81F5B0D06A6A}" name="Jun-21" dataDxfId="18"/>
    <tableColumn id="19" xr3:uid="{C8E9BBAC-7F9C-46C1-8993-4880FC9E27EB}" name="Jul-21" dataDxfId="17"/>
    <tableColumn id="20" xr3:uid="{88598698-DAF8-44D4-AC28-A458BB3866E6}" name="Aug-21" dataDxfId="16"/>
    <tableColumn id="21" xr3:uid="{577B2BB5-3253-447A-B015-9ED21FAC9875}" name="Sep-21" dataDxfId="15"/>
    <tableColumn id="22" xr3:uid="{EFAB26A8-4C00-4F0C-BB7F-0535C929A9C4}" name="Oct-21" dataDxfId="14"/>
    <tableColumn id="23" xr3:uid="{BD31D8EB-52E5-45F0-9CBE-439001ADB601}" name="Nov-21" dataDxfId="13"/>
    <tableColumn id="24" xr3:uid="{DA8DAE61-AB66-4B36-AF3C-90FB2DB5068F}" name="Dec-21" dataDxfId="12"/>
    <tableColumn id="25" xr3:uid="{AC544FEE-DDE2-435D-962F-9D3AD7686874}" name="Jan-22" dataDxfId="11"/>
    <tableColumn id="26" xr3:uid="{B849A613-8C09-43D4-8590-010E4BCA1D14}" name="Feb-22" dataDxfId="10"/>
    <tableColumn id="27" xr3:uid="{47EC3CE9-C6A1-4B0B-8486-5AEC591E0559}" name="Mar-22" dataDxfId="9"/>
    <tableColumn id="28" xr3:uid="{FF69649F-71E9-4437-8214-91336043742C}" name="Apr-22" dataDxfId="8"/>
    <tableColumn id="29" xr3:uid="{0F0982CF-8A51-4491-993D-0717A9DC30A3}" name="May-22" dataDxfId="7"/>
    <tableColumn id="30" xr3:uid="{903C4A05-8D24-4F00-A460-1C22F61C88E8}" name="Jun-22" dataDxfId="6"/>
    <tableColumn id="31" xr3:uid="{64E067E1-7AD8-468B-AA2C-1F1EED1976CD}" name="Jul-22" dataDxfId="5"/>
    <tableColumn id="32" xr3:uid="{0D0B5E2D-B62D-4360-9B30-25A08F485403}" name="Aug-22" dataDxfId="4"/>
    <tableColumn id="33" xr3:uid="{68CF76C8-13E2-40B0-A22C-386E53E33C15}" name="Sep-22" dataDxfId="3"/>
    <tableColumn id="34" xr3:uid="{6B16FE29-D201-45AB-BF40-F7A7234CAFA2}" name="Oct-22" dataDxfId="2"/>
    <tableColumn id="35" xr3:uid="{B8BBCBDB-D979-42A9-99E9-F0279D2A942B}" name="Nov-22" dataDxfId="1"/>
    <tableColumn id="36" xr3:uid="{CAA068EF-E660-4593-BCC8-8BBD69AD5647}" name="Dec-2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2" max="2" width="8.44140625" style="3" bestFit="1" customWidth="1"/>
    <col min="13" max="32" width="9.6640625" bestFit="1" customWidth="1"/>
    <col min="33" max="36" width="10.6640625" bestFit="1" customWidth="1"/>
  </cols>
  <sheetData>
    <row r="1" spans="1:36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t="s">
        <v>57</v>
      </c>
      <c r="B2" s="3" t="s">
        <v>36</v>
      </c>
      <c r="C2" t="s">
        <v>58</v>
      </c>
      <c r="E2" t="s">
        <v>37</v>
      </c>
      <c r="K2" s="4"/>
      <c r="M2" s="2">
        <v>-1752.1699999999998</v>
      </c>
      <c r="N2" s="2">
        <v>-1752.1699999999998</v>
      </c>
      <c r="O2" s="2">
        <v>-1752.1699999999998</v>
      </c>
      <c r="P2" s="2">
        <v>-1752.1699999999998</v>
      </c>
      <c r="Q2" s="2">
        <v>-1752.1699999999998</v>
      </c>
      <c r="R2" s="2">
        <v>-1752.1699999999998</v>
      </c>
      <c r="S2" s="2">
        <v>-1752.1699999999998</v>
      </c>
      <c r="T2" s="2">
        <v>-1752.1699999999998</v>
      </c>
      <c r="U2" s="2">
        <v>-1752.1699999999998</v>
      </c>
      <c r="V2" s="2">
        <v>-1752.1699999999998</v>
      </c>
      <c r="W2" s="2">
        <f>(V2)*1</f>
        <v>-1752.1699999999998</v>
      </c>
      <c r="X2" s="2">
        <f>(W2)*1</f>
        <v>-1752.1699999999998</v>
      </c>
      <c r="Y2" s="2">
        <f>(X2)*1</f>
        <v>-1752.1699999999998</v>
      </c>
      <c r="Z2" s="2">
        <f>(Y2)*1</f>
        <v>-1752.1699999999998</v>
      </c>
      <c r="AA2" s="2">
        <f>(Z2)*1</f>
        <v>-1752.1699999999998</v>
      </c>
      <c r="AB2" s="2">
        <f>(AA2)*1</f>
        <v>-1752.1699999999998</v>
      </c>
      <c r="AC2" s="2">
        <f>(AB2)*1</f>
        <v>-1752.1699999999998</v>
      </c>
      <c r="AD2" s="2">
        <f>(AC2)*1</f>
        <v>-1752.1699999999998</v>
      </c>
      <c r="AE2" s="2">
        <f>(AD2)*1</f>
        <v>-1752.1699999999998</v>
      </c>
      <c r="AF2" s="2">
        <f>(AE2)*1</f>
        <v>-1752.1699999999998</v>
      </c>
      <c r="AG2" s="2">
        <f>(AF2)*1</f>
        <v>-1752.1699999999998</v>
      </c>
      <c r="AH2" s="2">
        <f>(AG2)*1</f>
        <v>-1752.1699999999998</v>
      </c>
      <c r="AI2" s="2">
        <f>(AH2)*1</f>
        <v>-1752.1699999999998</v>
      </c>
      <c r="AJ2" s="2">
        <f>(AI2)*1</f>
        <v>-1752.1699999999998</v>
      </c>
    </row>
    <row r="3" spans="1:36" x14ac:dyDescent="0.3">
      <c r="A3" t="s">
        <v>57</v>
      </c>
      <c r="B3" s="3" t="s">
        <v>36</v>
      </c>
      <c r="C3" t="s">
        <v>58</v>
      </c>
      <c r="E3" t="s">
        <v>38</v>
      </c>
      <c r="K3" s="4"/>
      <c r="M3" s="2">
        <f>(-2584.44-80)*0.04</f>
        <v>-106.5776</v>
      </c>
      <c r="N3" s="2">
        <v>-83.1708</v>
      </c>
      <c r="O3" s="2">
        <v>-85.553200000000004</v>
      </c>
      <c r="P3" s="2">
        <v>-127.77640000000001</v>
      </c>
      <c r="Q3" s="2">
        <v>-278.48520000000002</v>
      </c>
      <c r="R3" s="2">
        <v>-111.17359999999999</v>
      </c>
      <c r="S3" s="2">
        <f>(-4557.12-150)*0.04</f>
        <v>-188.28479999999999</v>
      </c>
      <c r="T3" s="2">
        <v>-100.05360000000003</v>
      </c>
      <c r="U3" s="2">
        <v>-108.06479999999998</v>
      </c>
      <c r="V3" s="2">
        <v>-181.56559999999999</v>
      </c>
      <c r="W3" s="2">
        <f>(AVERAGE($M3:$V3))*0.04</f>
        <v>-5.482822399999999</v>
      </c>
      <c r="X3" s="2">
        <f>(AVERAGE($M3:$V3))*0.04</f>
        <v>-5.482822399999999</v>
      </c>
      <c r="Y3" s="2">
        <f>(AVERAGE($M3:$V3))*0.04</f>
        <v>-5.482822399999999</v>
      </c>
      <c r="Z3" s="2">
        <f>(AVERAGE($M3:$V3))*0.04</f>
        <v>-5.482822399999999</v>
      </c>
      <c r="AA3" s="2">
        <f>(AVERAGE($M3:$V3))*0.04</f>
        <v>-5.482822399999999</v>
      </c>
      <c r="AB3" s="2">
        <f>(AVERAGE($M3:$V3))*0.04</f>
        <v>-5.482822399999999</v>
      </c>
      <c r="AC3" s="2">
        <f>(AVERAGE($M3:$V3))*0.04</f>
        <v>-5.482822399999999</v>
      </c>
      <c r="AD3" s="2">
        <f>(AVERAGE($M3:$V3))*0.04</f>
        <v>-5.482822399999999</v>
      </c>
      <c r="AE3" s="2">
        <f>(AVERAGE($M3:$V3))*0.04</f>
        <v>-5.482822399999999</v>
      </c>
      <c r="AF3" s="2">
        <f>(AVERAGE($M3:$V3))*0.04</f>
        <v>-5.482822399999999</v>
      </c>
      <c r="AG3" s="2">
        <f>(AVERAGE($M3:$V3))*0.04</f>
        <v>-5.482822399999999</v>
      </c>
      <c r="AH3" s="2">
        <f>(AVERAGE($M3:$V3))*0.04</f>
        <v>-5.482822399999999</v>
      </c>
      <c r="AI3" s="2">
        <f>(AVERAGE($M3:$V3))*0.04</f>
        <v>-5.482822399999999</v>
      </c>
      <c r="AJ3" s="2">
        <f>(AVERAGE($M3:$V3))*0.04</f>
        <v>-5.482822399999999</v>
      </c>
    </row>
    <row r="4" spans="1:36" x14ac:dyDescent="0.3">
      <c r="A4" t="s">
        <v>57</v>
      </c>
      <c r="B4" s="3" t="s">
        <v>36</v>
      </c>
      <c r="C4" t="s">
        <v>58</v>
      </c>
      <c r="E4" t="s">
        <v>39</v>
      </c>
      <c r="K4" s="4"/>
      <c r="M4" s="2">
        <v>-164.15</v>
      </c>
      <c r="N4" s="2">
        <v>-164.15</v>
      </c>
      <c r="O4" s="2">
        <v>-164.15</v>
      </c>
      <c r="P4" s="2">
        <v>-164.15</v>
      </c>
      <c r="Q4" s="2">
        <v>-164.15</v>
      </c>
      <c r="R4" s="2">
        <v>-164.15</v>
      </c>
      <c r="S4" s="2">
        <v>-164.15</v>
      </c>
      <c r="T4" s="2">
        <v>-164.15</v>
      </c>
      <c r="U4" s="2">
        <v>-164.15</v>
      </c>
      <c r="V4" s="2">
        <v>-164.15</v>
      </c>
      <c r="W4" s="2">
        <f>($U4)*0.49</f>
        <v>-80.433499999999995</v>
      </c>
      <c r="X4" s="2">
        <f>($U4)*0.49</f>
        <v>-80.433499999999995</v>
      </c>
      <c r="Y4" s="2">
        <f>($U4)*0.49</f>
        <v>-80.433499999999995</v>
      </c>
      <c r="Z4" s="2">
        <f>($U4)*0.49</f>
        <v>-80.433499999999995</v>
      </c>
      <c r="AA4" s="2">
        <f>($U4)*0.49</f>
        <v>-80.433499999999995</v>
      </c>
      <c r="AB4" s="2">
        <f>($U4)*0.49</f>
        <v>-80.433499999999995</v>
      </c>
      <c r="AC4" s="2">
        <f>($U4)*0.49</f>
        <v>-80.433499999999995</v>
      </c>
      <c r="AD4" s="2">
        <f>($U4)*0.49</f>
        <v>-80.433499999999995</v>
      </c>
      <c r="AE4" s="2">
        <f>($U4)*0.49</f>
        <v>-80.433499999999995</v>
      </c>
      <c r="AF4" s="2">
        <f>($U4)*0.49</f>
        <v>-80.433499999999995</v>
      </c>
      <c r="AG4" s="2">
        <f>($U4)*0.49</f>
        <v>-80.433499999999995</v>
      </c>
      <c r="AH4" s="2">
        <f>($U4)*0.49</f>
        <v>-80.433499999999995</v>
      </c>
      <c r="AI4" s="2">
        <f>($U4)*0.49</f>
        <v>-80.433499999999995</v>
      </c>
      <c r="AJ4" s="2">
        <f>($U4)*0.49</f>
        <v>-80.433499999999995</v>
      </c>
    </row>
    <row r="5" spans="1:36" x14ac:dyDescent="0.3">
      <c r="A5" t="s">
        <v>57</v>
      </c>
      <c r="B5" s="3" t="s">
        <v>36</v>
      </c>
      <c r="C5" t="s">
        <v>58</v>
      </c>
      <c r="E5" t="s">
        <v>40</v>
      </c>
      <c r="K5" s="4"/>
      <c r="M5" s="2">
        <v>-320.75640000000004</v>
      </c>
      <c r="N5" s="2">
        <v>-281.69159999999999</v>
      </c>
      <c r="O5" s="2">
        <v>-301.74299999999999</v>
      </c>
      <c r="P5" s="2">
        <v>-295.49399999999997</v>
      </c>
      <c r="Q5" s="2">
        <v>-98.533799999999999</v>
      </c>
      <c r="R5" s="2">
        <v>-98.889600000000002</v>
      </c>
      <c r="S5" s="2">
        <v>-79.490999999999985</v>
      </c>
      <c r="T5" s="2">
        <v>-79.755600000000001</v>
      </c>
      <c r="U5" s="2">
        <v>-80.0214</v>
      </c>
      <c r="V5" s="2">
        <v>-80.28840000000001</v>
      </c>
      <c r="W5" s="2">
        <f>(V5)*0.06</f>
        <v>-4.817304</v>
      </c>
      <c r="X5" s="2">
        <f>(W5)*0.06</f>
        <v>-0.28903824</v>
      </c>
      <c r="Y5" s="2">
        <f>(X5)*0.06</f>
        <v>-1.73422944E-2</v>
      </c>
      <c r="Z5" s="2">
        <f>(Y5)*0.06</f>
        <v>-1.040537664E-3</v>
      </c>
      <c r="AA5" s="2">
        <f>(Z5)*0.06</f>
        <v>-6.2432259839999995E-5</v>
      </c>
      <c r="AB5" s="2">
        <f>(AA5)*0.06</f>
        <v>-3.7459355903999996E-6</v>
      </c>
      <c r="AC5" s="2">
        <f>(AB5)*0.06</f>
        <v>-2.2475613542399996E-7</v>
      </c>
      <c r="AD5" s="2">
        <f>(AC5)*0.06</f>
        <v>-1.3485368125439997E-8</v>
      </c>
      <c r="AE5" s="2">
        <f>(AD5)*0.06</f>
        <v>-8.0912208752639982E-10</v>
      </c>
      <c r="AF5" s="2">
        <f>(AE5)*0.06</f>
        <v>-4.8547325251583988E-11</v>
      </c>
      <c r="AG5" s="2">
        <f>(AF5)*0.06</f>
        <v>-2.9128395150950393E-12</v>
      </c>
      <c r="AH5" s="2">
        <f>(AG5)*0.06</f>
        <v>-1.7477037090570236E-13</v>
      </c>
      <c r="AI5" s="2">
        <f>(AH5)*0.06</f>
        <v>-1.0486222254342141E-14</v>
      </c>
      <c r="AJ5" s="2">
        <f>(AI5)*0.06</f>
        <v>-6.2917333526052843E-16</v>
      </c>
    </row>
    <row r="6" spans="1:36" x14ac:dyDescent="0.3">
      <c r="A6" t="s">
        <v>57</v>
      </c>
      <c r="B6" s="3" t="s">
        <v>36</v>
      </c>
      <c r="C6" t="s">
        <v>58</v>
      </c>
      <c r="E6" t="s">
        <v>41</v>
      </c>
      <c r="K6" s="4"/>
      <c r="M6" s="2">
        <v>0</v>
      </c>
      <c r="N6" s="2">
        <v>-7066.3124000000007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">
      <c r="A7" t="s">
        <v>57</v>
      </c>
      <c r="B7" s="3" t="s">
        <v>36</v>
      </c>
      <c r="C7" t="s">
        <v>61</v>
      </c>
      <c r="E7" t="s">
        <v>42</v>
      </c>
      <c r="K7" s="4"/>
      <c r="M7" s="2">
        <v>-7750.4134999999997</v>
      </c>
      <c r="N7" s="2">
        <v>-3725.2450000000003</v>
      </c>
      <c r="O7" s="2">
        <v>-8787.6203000000005</v>
      </c>
      <c r="P7" s="2">
        <v>-14334.692200000001</v>
      </c>
      <c r="Q7" s="2">
        <v>-7515.0409</v>
      </c>
      <c r="R7" s="2">
        <v>-5295.9072000000006</v>
      </c>
      <c r="S7" s="2">
        <v>-11356.321099999999</v>
      </c>
      <c r="T7" s="2">
        <v>-153.78930000000003</v>
      </c>
      <c r="U7" s="2">
        <v>-1773.2024000000001</v>
      </c>
      <c r="V7" s="2">
        <v>-46.151800000000001</v>
      </c>
      <c r="W7" s="2">
        <f>(AVERAGE($M7:$V7))*0.79</f>
        <v>-4798.3323123000009</v>
      </c>
      <c r="X7" s="2">
        <f>(AVERAGE($M7:$V7))*0.79</f>
        <v>-4798.3323123000009</v>
      </c>
      <c r="Y7" s="2">
        <f>(AVERAGE($M7:$V7))*0.79</f>
        <v>-4798.3323123000009</v>
      </c>
      <c r="Z7" s="2">
        <f>(AVERAGE($M7:$V7))*0.79</f>
        <v>-4798.3323123000009</v>
      </c>
      <c r="AA7" s="2">
        <f>(AVERAGE($M7:$V7))*0.79</f>
        <v>-4798.3323123000009</v>
      </c>
      <c r="AB7" s="2">
        <f>(AVERAGE($M7:$V7))*0.79</f>
        <v>-4798.3323123000009</v>
      </c>
      <c r="AC7" s="2">
        <f>(AVERAGE($M7:$V7))*0.79</f>
        <v>-4798.3323123000009</v>
      </c>
      <c r="AD7" s="2">
        <f>(AVERAGE($M7:$V7))*0.79</f>
        <v>-4798.3323123000009</v>
      </c>
      <c r="AE7" s="2">
        <f>(AVERAGE($M7:$V7))*0.79</f>
        <v>-4798.3323123000009</v>
      </c>
      <c r="AF7" s="2">
        <f>(AVERAGE($M7:$V7))*0.79</f>
        <v>-4798.3323123000009</v>
      </c>
      <c r="AG7" s="2">
        <f>(AVERAGE($M7:$V7))*0.79</f>
        <v>-4798.3323123000009</v>
      </c>
      <c r="AH7" s="2">
        <f>(AVERAGE($M7:$V7))*0.79</f>
        <v>-4798.3323123000009</v>
      </c>
      <c r="AI7" s="2">
        <f>(AVERAGE($M7:$V7))*0.79</f>
        <v>-4798.3323123000009</v>
      </c>
      <c r="AJ7" s="2">
        <f>(AVERAGE($M7:$V7))*0.79</f>
        <v>-4798.3323123000009</v>
      </c>
    </row>
    <row r="8" spans="1:36" x14ac:dyDescent="0.3">
      <c r="A8" t="s">
        <v>57</v>
      </c>
      <c r="B8" s="3" t="s">
        <v>36</v>
      </c>
      <c r="C8" t="s">
        <v>59</v>
      </c>
      <c r="E8" t="s">
        <v>42</v>
      </c>
      <c r="K8" s="4"/>
      <c r="M8" s="2">
        <v>625.69080000000008</v>
      </c>
      <c r="N8" s="2">
        <v>-33.952799999999989</v>
      </c>
      <c r="O8" s="2">
        <v>-889.32479999999998</v>
      </c>
      <c r="P8" s="2">
        <v>163.87559999999974</v>
      </c>
      <c r="Q8" s="2">
        <v>-23.587199999999999</v>
      </c>
      <c r="R8" s="2">
        <v>-8862.3528000000006</v>
      </c>
      <c r="S8" s="2">
        <v>-582.48960000000022</v>
      </c>
      <c r="T8" s="2">
        <v>11.2644</v>
      </c>
      <c r="U8" s="2">
        <v>-61.782000000000018</v>
      </c>
      <c r="V8" s="2">
        <v>-587.10120000000006</v>
      </c>
      <c r="W8" s="2">
        <f>(AVERAGE($M8:$V8))*0.84</f>
        <v>-860.1398064</v>
      </c>
      <c r="X8" s="2">
        <f>(AVERAGE($M8:$V8))*0.84</f>
        <v>-860.1398064</v>
      </c>
      <c r="Y8" s="2">
        <f>(AVERAGE($M8:$V8))*0.84</f>
        <v>-860.1398064</v>
      </c>
      <c r="Z8" s="2">
        <f>(AVERAGE($M8:$V8))*0.84</f>
        <v>-860.1398064</v>
      </c>
      <c r="AA8" s="2">
        <f>(AVERAGE($M8:$V8))*0.84</f>
        <v>-860.1398064</v>
      </c>
      <c r="AB8" s="2">
        <f>(AVERAGE($M8:$V8))*0.84</f>
        <v>-860.1398064</v>
      </c>
      <c r="AC8" s="2">
        <f>(AVERAGE($M8:$V8))*0.84</f>
        <v>-860.1398064</v>
      </c>
      <c r="AD8" s="2">
        <f>(AVERAGE($M8:$V8))*0.84</f>
        <v>-860.1398064</v>
      </c>
      <c r="AE8" s="2">
        <f>(AVERAGE($M8:$V8))*0.84</f>
        <v>-860.1398064</v>
      </c>
      <c r="AF8" s="2">
        <f>(AVERAGE($M8:$V8))*0.84</f>
        <v>-860.1398064</v>
      </c>
      <c r="AG8" s="2">
        <f>(AVERAGE($M8:$V8))*0.84</f>
        <v>-860.1398064</v>
      </c>
      <c r="AH8" s="2">
        <f>(AVERAGE($M8:$V8))*0.84</f>
        <v>-860.1398064</v>
      </c>
      <c r="AI8" s="2">
        <f>(AVERAGE($M8:$V8))*0.84</f>
        <v>-860.1398064</v>
      </c>
      <c r="AJ8" s="2">
        <f>(AVERAGE($M8:$V8))*0.84</f>
        <v>-860.1398064</v>
      </c>
    </row>
    <row r="9" spans="1:36" x14ac:dyDescent="0.3">
      <c r="A9" t="s">
        <v>57</v>
      </c>
      <c r="B9" s="3" t="s">
        <v>36</v>
      </c>
      <c r="C9" t="s">
        <v>58</v>
      </c>
      <c r="E9" t="s">
        <v>42</v>
      </c>
      <c r="K9" s="4"/>
      <c r="M9" s="2">
        <v>8.5690000000000062</v>
      </c>
      <c r="N9" s="2">
        <v>-173.47760000000002</v>
      </c>
      <c r="O9" s="2">
        <v>-821.9019999999997</v>
      </c>
      <c r="P9" s="2">
        <v>-3088.1497999999992</v>
      </c>
      <c r="Q9" s="2">
        <v>-927.47360000000015</v>
      </c>
      <c r="R9" s="2">
        <v>5.9356000000000231</v>
      </c>
      <c r="S9" s="2">
        <v>114.7789999999999</v>
      </c>
      <c r="T9" s="2">
        <v>-53.762400000000007</v>
      </c>
      <c r="U9" s="2">
        <v>-786.92680000000007</v>
      </c>
      <c r="V9" s="2">
        <v>-741.25459999999998</v>
      </c>
      <c r="W9" s="2">
        <f>(AVERAGE($M9:$V9))*0.38</f>
        <v>-245.6192016</v>
      </c>
      <c r="X9" s="2">
        <f>(AVERAGE($M9:$V9))*0.38</f>
        <v>-245.6192016</v>
      </c>
      <c r="Y9" s="2">
        <f>(AVERAGE($M9:$V9))*0.38</f>
        <v>-245.6192016</v>
      </c>
      <c r="Z9" s="2">
        <f>(AVERAGE($M9:$V9))*0.38</f>
        <v>-245.6192016</v>
      </c>
      <c r="AA9" s="2">
        <f>(AVERAGE($M9:$V9))*0.38</f>
        <v>-245.6192016</v>
      </c>
      <c r="AB9" s="2">
        <f>(AVERAGE($M9:$V9))*0.38</f>
        <v>-245.6192016</v>
      </c>
      <c r="AC9" s="2">
        <f>(AVERAGE($M9:$V9))*0.38</f>
        <v>-245.6192016</v>
      </c>
      <c r="AD9" s="2">
        <f>(AVERAGE($M9:$V9))*0.38</f>
        <v>-245.6192016</v>
      </c>
      <c r="AE9" s="2">
        <f>(AVERAGE($M9:$V9))*0.38</f>
        <v>-245.6192016</v>
      </c>
      <c r="AF9" s="2">
        <f>(AVERAGE($M9:$V9))*0.38</f>
        <v>-245.6192016</v>
      </c>
      <c r="AG9" s="2">
        <f>(AVERAGE($M9:$V9))*0.38</f>
        <v>-245.6192016</v>
      </c>
      <c r="AH9" s="2">
        <f>(AVERAGE($M9:$V9))*0.38</f>
        <v>-245.6192016</v>
      </c>
      <c r="AI9" s="2">
        <f>(AVERAGE($M9:$V9))*0.38</f>
        <v>-245.6192016</v>
      </c>
      <c r="AJ9" s="2">
        <f>(AVERAGE($M9:$V9))*0.38</f>
        <v>-245.6192016</v>
      </c>
    </row>
    <row r="10" spans="1:36" x14ac:dyDescent="0.3">
      <c r="A10" t="s">
        <v>57</v>
      </c>
      <c r="B10" s="3" t="s">
        <v>36</v>
      </c>
      <c r="C10" t="s">
        <v>60</v>
      </c>
      <c r="E10" t="s">
        <v>42</v>
      </c>
      <c r="K10" s="4"/>
      <c r="M10" s="2">
        <v>-18115.935500000011</v>
      </c>
      <c r="N10" s="2">
        <v>-17123.132000000001</v>
      </c>
      <c r="O10" s="2">
        <v>-42828.623500000002</v>
      </c>
      <c r="P10" s="2">
        <v>5587.8550000000077</v>
      </c>
      <c r="Q10" s="2">
        <v>-54673.593000000001</v>
      </c>
      <c r="R10" s="2">
        <v>-24846.782999999996</v>
      </c>
      <c r="S10" s="2">
        <v>-31468.476000000006</v>
      </c>
      <c r="T10" s="2">
        <v>-23587.622499999998</v>
      </c>
      <c r="U10" s="2">
        <v>-43257.181500000006</v>
      </c>
      <c r="V10" s="2">
        <v>2648.8475000000026</v>
      </c>
      <c r="W10" s="2">
        <f>(AVERAGE($M10:$V10))*0.65</f>
        <v>-16098.201892500001</v>
      </c>
      <c r="X10" s="2">
        <f>(AVERAGE($M10:$V10))*0.65</f>
        <v>-16098.201892500001</v>
      </c>
      <c r="Y10" s="2">
        <f>(AVERAGE($M10:$V10))*0.65</f>
        <v>-16098.201892500001</v>
      </c>
      <c r="Z10" s="2">
        <f>(AVERAGE($M10:$V10))*0.65</f>
        <v>-16098.201892500001</v>
      </c>
      <c r="AA10" s="2">
        <f>(AVERAGE($M10:$V10))*0.65</f>
        <v>-16098.201892500001</v>
      </c>
      <c r="AB10" s="2">
        <f>(AVERAGE($M10:$V10))*0.65</f>
        <v>-16098.201892500001</v>
      </c>
      <c r="AC10" s="2">
        <f>(AVERAGE($M10:$V10))*0.65</f>
        <v>-16098.201892500001</v>
      </c>
      <c r="AD10" s="2">
        <f>(AVERAGE($M10:$V10))*0.65</f>
        <v>-16098.201892500001</v>
      </c>
      <c r="AE10" s="2">
        <f>(AVERAGE($M10:$V10))*0.65</f>
        <v>-16098.201892500001</v>
      </c>
      <c r="AF10" s="2">
        <f>(AVERAGE($M10:$V10))*0.65</f>
        <v>-16098.201892500001</v>
      </c>
      <c r="AG10" s="2">
        <f>(AVERAGE($M10:$V10))*0.65</f>
        <v>-16098.201892500001</v>
      </c>
      <c r="AH10" s="2">
        <f>(AVERAGE($M10:$V10))*0.65</f>
        <v>-16098.201892500001</v>
      </c>
      <c r="AI10" s="2">
        <f>(AVERAGE($M10:$V10))*0.65</f>
        <v>-16098.201892500001</v>
      </c>
      <c r="AJ10" s="2">
        <f>(AVERAGE($M10:$V10))*0.65</f>
        <v>-16098.201892500001</v>
      </c>
    </row>
    <row r="11" spans="1:36" x14ac:dyDescent="0.3">
      <c r="A11" t="s">
        <v>57</v>
      </c>
      <c r="B11" s="3" t="s">
        <v>36</v>
      </c>
      <c r="C11" t="s">
        <v>60</v>
      </c>
      <c r="E11" t="s">
        <v>43</v>
      </c>
      <c r="K11" s="4"/>
      <c r="M11" s="2">
        <v>-48776.86</v>
      </c>
      <c r="N11" s="2">
        <v>-43468.698899999996</v>
      </c>
      <c r="O11" s="2">
        <v>-51897.494000000006</v>
      </c>
      <c r="P11" s="2">
        <v>-54628.341899999999</v>
      </c>
      <c r="Q11" s="2">
        <v>-54830.988300000005</v>
      </c>
      <c r="R11" s="2">
        <v>-56942.592299999997</v>
      </c>
      <c r="S11" s="2">
        <v>-59480.278000000006</v>
      </c>
      <c r="T11" s="2">
        <v>-56490.344899999996</v>
      </c>
      <c r="U11" s="2">
        <v>-57974.164599999989</v>
      </c>
      <c r="V11" s="2">
        <v>-56792.525900000001</v>
      </c>
      <c r="W11" s="2">
        <f>($Y11)*0.11</f>
        <v>-8528.2206753081373</v>
      </c>
      <c r="X11" s="2">
        <f>(W11)*0.11</f>
        <v>-938.10427428389505</v>
      </c>
      <c r="Y11" s="2">
        <f>('[1]SGA Gaming Tax'!P18)*0.11</f>
        <v>-77529.278866437613</v>
      </c>
      <c r="Z11" s="2">
        <f>('[1]SGA Gaming Tax'!Q18)*0.11</f>
        <v>-74476.319903796903</v>
      </c>
      <c r="AA11" s="2">
        <f>('[1]SGA Gaming Tax'!R18)*0.11</f>
        <v>-83891.618005187964</v>
      </c>
      <c r="AB11" s="2">
        <f>('[1]SGA Gaming Tax'!S18)*0.11</f>
        <v>-87952.963786607317</v>
      </c>
      <c r="AC11" s="2">
        <f>('[1]SGA Gaming Tax'!T18)*0.11</f>
        <v>-91038.528989884479</v>
      </c>
      <c r="AD11" s="2">
        <f>('[1]SGA Gaming Tax'!U18)*0.11</f>
        <v>-93415.399472834455</v>
      </c>
      <c r="AE11" s="2">
        <f>('[1]SGA Gaming Tax'!V18)*0.11</f>
        <v>-95520.154667489012</v>
      </c>
      <c r="AF11" s="2">
        <f>('[1]SGA Gaming Tax'!W18)*0.11</f>
        <v>-98603.508697752986</v>
      </c>
      <c r="AG11" s="2">
        <f>('[1]SGA Gaming Tax'!X18)*0.11</f>
        <v>-100858.59246249328</v>
      </c>
      <c r="AH11" s="2">
        <f>('[1]SGA Gaming Tax'!Y18)*0.11</f>
        <v>-101845.9168925033</v>
      </c>
      <c r="AI11" s="2">
        <f>('[1]SGA Gaming Tax'!Z18)*0.11</f>
        <v>-102473.54968944761</v>
      </c>
      <c r="AJ11" s="2">
        <f>('[1]SGA Gaming Tax'!AA18)*0.11</f>
        <v>-112160.68565388928</v>
      </c>
    </row>
    <row r="12" spans="1:36" x14ac:dyDescent="0.3">
      <c r="A12" t="s">
        <v>57</v>
      </c>
      <c r="B12" s="3" t="s">
        <v>36</v>
      </c>
      <c r="C12" t="s">
        <v>58</v>
      </c>
      <c r="E12" t="s">
        <v>44</v>
      </c>
      <c r="K12" s="4"/>
      <c r="M12" s="2">
        <v>-333</v>
      </c>
      <c r="N12" s="2">
        <v>0</v>
      </c>
      <c r="O12" s="2">
        <v>0</v>
      </c>
      <c r="P12" s="2">
        <v>0</v>
      </c>
      <c r="Q12" s="2">
        <v>0</v>
      </c>
      <c r="R12" s="2">
        <v>-180</v>
      </c>
      <c r="S12" s="2">
        <v>-12.6</v>
      </c>
      <c r="T12" s="2">
        <v>0</v>
      </c>
      <c r="U12" s="2">
        <v>-137.88</v>
      </c>
      <c r="V12" s="2">
        <v>-263.25719999999995</v>
      </c>
      <c r="W12" s="2">
        <f>(AVERAGE($M12:$V12))*0.36</f>
        <v>-33.362539200000001</v>
      </c>
      <c r="X12" s="2">
        <f>(AVERAGE($M12:$V12))*0.36</f>
        <v>-33.362539200000001</v>
      </c>
      <c r="Y12" s="2">
        <f>(AVERAGE($M12:$V12))*0.36</f>
        <v>-33.362539200000001</v>
      </c>
      <c r="Z12" s="2">
        <f>(AVERAGE($M12:$V12))*0.36</f>
        <v>-33.362539200000001</v>
      </c>
      <c r="AA12" s="2">
        <f>(AVERAGE($M12:$V12))*0.36</f>
        <v>-33.362539200000001</v>
      </c>
      <c r="AB12" s="2">
        <f>(AVERAGE($M12:$V12))*0.36</f>
        <v>-33.362539200000001</v>
      </c>
      <c r="AC12" s="2">
        <f>(AVERAGE($M12:$V12))*0.36</f>
        <v>-33.362539200000001</v>
      </c>
      <c r="AD12" s="2">
        <f>(AVERAGE($M12:$V12))*0.36</f>
        <v>-33.362539200000001</v>
      </c>
      <c r="AE12" s="2">
        <f>(AVERAGE($M12:$V12))*0.36</f>
        <v>-33.362539200000001</v>
      </c>
      <c r="AF12" s="2">
        <f>(AVERAGE($M12:$V12))*0.36</f>
        <v>-33.362539200000001</v>
      </c>
      <c r="AG12" s="2">
        <f>(AVERAGE($M12:$V12))*0.36</f>
        <v>-33.362539200000001</v>
      </c>
      <c r="AH12" s="2">
        <f>(AVERAGE($M12:$V12))*0.36</f>
        <v>-33.362539200000001</v>
      </c>
      <c r="AI12" s="2">
        <f>(AVERAGE($M12:$V12))*0.36</f>
        <v>-33.362539200000001</v>
      </c>
      <c r="AJ12" s="2">
        <f>(AVERAGE($M12:$V12))*0.36</f>
        <v>-33.362539200000001</v>
      </c>
    </row>
    <row r="13" spans="1:36" x14ac:dyDescent="0.3">
      <c r="A13" t="s">
        <v>57</v>
      </c>
      <c r="B13" s="3" t="s">
        <v>36</v>
      </c>
      <c r="C13" t="s">
        <v>58</v>
      </c>
      <c r="E13" t="s">
        <v>45</v>
      </c>
      <c r="K13" s="4"/>
      <c r="M13" s="2">
        <v>0</v>
      </c>
      <c r="N13" s="2">
        <v>0</v>
      </c>
      <c r="O13" s="2">
        <v>-406.57759999999996</v>
      </c>
      <c r="P13" s="2">
        <v>0</v>
      </c>
      <c r="Q13" s="2">
        <v>0</v>
      </c>
      <c r="R13" s="2">
        <v>-72.3536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</row>
    <row r="14" spans="1:36" x14ac:dyDescent="0.3">
      <c r="A14" t="s">
        <v>57</v>
      </c>
      <c r="B14" s="3" t="s">
        <v>36</v>
      </c>
      <c r="C14" t="s">
        <v>58</v>
      </c>
      <c r="E14" t="s">
        <v>46</v>
      </c>
      <c r="K14" s="4"/>
      <c r="M14" s="2">
        <v>-40.41299999999999</v>
      </c>
      <c r="N14" s="2">
        <v>-18.954000000000001</v>
      </c>
      <c r="O14" s="2">
        <v>-42.18</v>
      </c>
      <c r="P14" s="2">
        <v>-40.047000000000004</v>
      </c>
      <c r="Q14" s="2">
        <v>-52.515000000000001</v>
      </c>
      <c r="R14" s="2">
        <v>-459.24299999999999</v>
      </c>
      <c r="S14" s="2">
        <v>-96.728999999999999</v>
      </c>
      <c r="T14" s="2">
        <v>-85.887</v>
      </c>
      <c r="U14" s="2">
        <v>-270.81</v>
      </c>
      <c r="V14" s="2">
        <v>-173.922</v>
      </c>
      <c r="W14" s="2">
        <f>(AVERAGE($M14:$V14))*0.3</f>
        <v>-38.420999999999999</v>
      </c>
      <c r="X14" s="2">
        <f>(AVERAGE($M14:$V14))*0.3</f>
        <v>-38.420999999999999</v>
      </c>
      <c r="Y14" s="2">
        <f>(AVERAGE($M14:$V14))*0.3</f>
        <v>-38.420999999999999</v>
      </c>
      <c r="Z14" s="2">
        <f>(AVERAGE($M14:$V14))*0.3</f>
        <v>-38.420999999999999</v>
      </c>
      <c r="AA14" s="2">
        <f>(AVERAGE($M14:$V14))*0.3</f>
        <v>-38.420999999999999</v>
      </c>
      <c r="AB14" s="2">
        <f>(AVERAGE($M14:$V14))*0.3</f>
        <v>-38.420999999999999</v>
      </c>
      <c r="AC14" s="2">
        <f>(AVERAGE($M14:$V14))*0.3</f>
        <v>-38.420999999999999</v>
      </c>
      <c r="AD14" s="2">
        <f>(AVERAGE($M14:$V14))*0.3</f>
        <v>-38.420999999999999</v>
      </c>
      <c r="AE14" s="2">
        <f>(AVERAGE($M14:$V14))*0.3</f>
        <v>-38.420999999999999</v>
      </c>
      <c r="AF14" s="2">
        <f>(AVERAGE($M14:$V14))*0.3</f>
        <v>-38.420999999999999</v>
      </c>
      <c r="AG14" s="2">
        <f>(AVERAGE($M14:$V14))*0.3</f>
        <v>-38.420999999999999</v>
      </c>
      <c r="AH14" s="2">
        <f>(AVERAGE($M14:$V14))*0.3</f>
        <v>-38.420999999999999</v>
      </c>
      <c r="AI14" s="2">
        <f>(AVERAGE($M14:$V14))*0.3</f>
        <v>-38.420999999999999</v>
      </c>
      <c r="AJ14" s="2">
        <f>(AVERAGE($M14:$V14))*0.3</f>
        <v>-38.420999999999999</v>
      </c>
    </row>
    <row r="15" spans="1:36" x14ac:dyDescent="0.3">
      <c r="A15" t="s">
        <v>57</v>
      </c>
      <c r="B15" s="3" t="s">
        <v>36</v>
      </c>
      <c r="C15" t="s">
        <v>58</v>
      </c>
      <c r="E15" t="s">
        <v>47</v>
      </c>
      <c r="K15" s="4"/>
      <c r="M15" s="2">
        <v>-6.0372000000000003</v>
      </c>
      <c r="N15" s="2">
        <v>-133.8792</v>
      </c>
      <c r="O15" s="2">
        <v>-107.46060000000001</v>
      </c>
      <c r="P15" s="2">
        <v>-71.643000000000001</v>
      </c>
      <c r="Q15" s="2">
        <v>34.164000000000009</v>
      </c>
      <c r="R15" s="2">
        <v>-604.34399999999994</v>
      </c>
      <c r="S15" s="2">
        <v>-361.99800000000005</v>
      </c>
      <c r="T15" s="2">
        <v>-152.178</v>
      </c>
      <c r="U15" s="2">
        <v>-322.92</v>
      </c>
      <c r="V15" s="2">
        <v>-971.17020000000014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</row>
    <row r="16" spans="1:36" x14ac:dyDescent="0.3">
      <c r="A16" t="s">
        <v>57</v>
      </c>
      <c r="B16" s="3" t="s">
        <v>36</v>
      </c>
      <c r="C16" t="s">
        <v>58</v>
      </c>
      <c r="E16" t="s">
        <v>48</v>
      </c>
      <c r="K16" s="4"/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</row>
    <row r="17" spans="1:36" x14ac:dyDescent="0.3">
      <c r="A17" t="s">
        <v>57</v>
      </c>
      <c r="B17" s="3" t="s">
        <v>36</v>
      </c>
      <c r="C17" t="s">
        <v>59</v>
      </c>
      <c r="E17" t="s">
        <v>49</v>
      </c>
      <c r="K17" s="4"/>
      <c r="M17" s="2">
        <v>-8737.4915999999994</v>
      </c>
      <c r="N17" s="2">
        <v>-16024.071599999999</v>
      </c>
      <c r="O17" s="2">
        <v>-28122.191999999999</v>
      </c>
      <c r="P17" s="2">
        <v>-36483.307200000003</v>
      </c>
      <c r="Q17" s="2">
        <v>-32875.660799999998</v>
      </c>
      <c r="R17" s="2">
        <v>-31633.552799999998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  <row r="18" spans="1:36" x14ac:dyDescent="0.3">
      <c r="A18" t="s">
        <v>57</v>
      </c>
      <c r="B18" s="3" t="s">
        <v>36</v>
      </c>
      <c r="C18" t="s">
        <v>60</v>
      </c>
      <c r="E18" t="s">
        <v>49</v>
      </c>
      <c r="K18" s="4"/>
      <c r="M18" s="2">
        <v>-28764.024300000001</v>
      </c>
      <c r="N18" s="2">
        <v>-27607.793399999999</v>
      </c>
      <c r="O18" s="2">
        <v>-41499.186300000001</v>
      </c>
      <c r="P18" s="2">
        <v>-33790.115700000002</v>
      </c>
      <c r="Q18" s="2">
        <v>-43207.134299999998</v>
      </c>
      <c r="R18" s="2">
        <v>-38862.479699999996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</row>
    <row r="19" spans="1:36" x14ac:dyDescent="0.3">
      <c r="A19" t="s">
        <v>57</v>
      </c>
      <c r="B19" s="3" t="s">
        <v>36</v>
      </c>
      <c r="C19" t="s">
        <v>58</v>
      </c>
      <c r="E19" t="s">
        <v>50</v>
      </c>
      <c r="K19" s="4"/>
      <c r="M19" s="2">
        <v>0</v>
      </c>
      <c r="N19" s="2">
        <v>0</v>
      </c>
      <c r="O19" s="2">
        <v>-20702.530300000002</v>
      </c>
      <c r="P19" s="2">
        <v>0</v>
      </c>
      <c r="Q19" s="2">
        <v>0</v>
      </c>
      <c r="R19" s="2">
        <v>-17090.803500000002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f>('[1]SGA Gaming Tax'!P24)*0.89</f>
        <v>0</v>
      </c>
      <c r="Z19" s="2">
        <f>('[1]SGA Gaming Tax'!Q24)*0.89</f>
        <v>0</v>
      </c>
      <c r="AA19" s="2">
        <f>('[1]SGA Gaming Tax'!R24)*0.89</f>
        <v>-26697.942291003277</v>
      </c>
      <c r="AB19" s="2">
        <f>('[1]SGA Gaming Tax'!S24)*0.89</f>
        <v>0</v>
      </c>
      <c r="AC19" s="2">
        <f>('[1]SGA Gaming Tax'!T24)*0.89</f>
        <v>0</v>
      </c>
      <c r="AD19" s="2">
        <f>('[1]SGA Gaming Tax'!U24)*0.89</f>
        <v>-30443.233386324504</v>
      </c>
      <c r="AE19" s="2">
        <f>('[1]SGA Gaming Tax'!V24)*0.89</f>
        <v>0</v>
      </c>
      <c r="AF19" s="2">
        <f>('[1]SGA Gaming Tax'!W24)*0.89</f>
        <v>0</v>
      </c>
      <c r="AG19" s="2">
        <f>('[1]SGA Gaming Tax'!X24)*0.89</f>
        <v>-33432.434471542212</v>
      </c>
      <c r="AH19" s="2">
        <f>('[1]SGA Gaming Tax'!Y24)*0.89</f>
        <v>0</v>
      </c>
      <c r="AI19" s="2">
        <f>('[1]SGA Gaming Tax'!Z24)*0.89</f>
        <v>0</v>
      </c>
      <c r="AJ19" s="2">
        <f>('[1]SGA Gaming Tax'!AA24)*0.89</f>
        <v>-36124.047390600514</v>
      </c>
    </row>
    <row r="20" spans="1:36" x14ac:dyDescent="0.3">
      <c r="A20" t="s">
        <v>57</v>
      </c>
      <c r="B20" s="3" t="s">
        <v>36</v>
      </c>
      <c r="C20" t="s">
        <v>58</v>
      </c>
      <c r="E20" t="s">
        <v>51</v>
      </c>
      <c r="K20" s="4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23534.42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</row>
    <row r="21" spans="1:36" x14ac:dyDescent="0.3">
      <c r="A21" t="s">
        <v>57</v>
      </c>
      <c r="B21" s="3" t="s">
        <v>52</v>
      </c>
      <c r="C21" t="s">
        <v>58</v>
      </c>
      <c r="E21" t="s">
        <v>37</v>
      </c>
      <c r="K21" s="4"/>
      <c r="M21" s="2">
        <v>-30</v>
      </c>
      <c r="N21" s="2">
        <v>-30</v>
      </c>
      <c r="O21" s="2">
        <v>-38.346600000000002</v>
      </c>
      <c r="P21" s="2">
        <v>-30</v>
      </c>
      <c r="Q21" s="2">
        <v>-30</v>
      </c>
      <c r="R21" s="2">
        <v>-30</v>
      </c>
      <c r="S21" s="2">
        <v>-30</v>
      </c>
      <c r="T21" s="2">
        <v>-30</v>
      </c>
      <c r="U21" s="2">
        <v>-30</v>
      </c>
      <c r="V21" s="2">
        <f>(AVERAGE($M21:$U21))*0.03</f>
        <v>-0.92782199999999981</v>
      </c>
      <c r="W21" s="2">
        <f>(AVERAGE($M21:$U21))*0.03</f>
        <v>-0.92782199999999981</v>
      </c>
      <c r="X21" s="2">
        <f>(AVERAGE($M21:$U21))*0.03</f>
        <v>-0.92782199999999981</v>
      </c>
      <c r="Y21" s="2">
        <f>(AVERAGE($M21:$U21)*1.1)*0.03</f>
        <v>-1.0206042</v>
      </c>
      <c r="Z21" s="2">
        <f>(AVERAGE($M21:$U21)*1.1)*0.03</f>
        <v>-1.0206042</v>
      </c>
      <c r="AA21" s="2">
        <f>(AVERAGE($M21:$U21)*1.1)*0.03</f>
        <v>-1.0206042</v>
      </c>
      <c r="AB21" s="2">
        <f>(AVERAGE($M21:$U21)*1.1)*0.03</f>
        <v>-1.0206042</v>
      </c>
      <c r="AC21" s="2">
        <f>(AVERAGE($M21:$U21)*1.1)*0.03</f>
        <v>-1.0206042</v>
      </c>
      <c r="AD21" s="2">
        <f>(AVERAGE($M21:$U21)*1.1)*0.03</f>
        <v>-1.0206042</v>
      </c>
      <c r="AE21" s="2">
        <f>(AVERAGE($M21:$U21)*1.1)*0.03</f>
        <v>-1.0206042</v>
      </c>
      <c r="AF21" s="2">
        <f>(AVERAGE($M21:$U21)*1.1)*0.03</f>
        <v>-1.0206042</v>
      </c>
      <c r="AG21" s="2">
        <f>(AVERAGE($M21:$U21)*1.1)*0.03</f>
        <v>-1.0206042</v>
      </c>
      <c r="AH21" s="2">
        <f>(AVERAGE($M21:$U21)*1.1)*0.03</f>
        <v>-1.0206042</v>
      </c>
      <c r="AI21" s="2">
        <f>(AVERAGE($M21:$U21)*1.1)*0.03</f>
        <v>-1.0206042</v>
      </c>
      <c r="AJ21" s="2">
        <f>(AVERAGE($M21:$U21)*1.1)*0.03</f>
        <v>-1.0206042</v>
      </c>
    </row>
    <row r="22" spans="1:36" x14ac:dyDescent="0.3">
      <c r="A22" t="s">
        <v>57</v>
      </c>
      <c r="B22" s="3" t="s">
        <v>52</v>
      </c>
      <c r="C22" t="s">
        <v>62</v>
      </c>
      <c r="E22" t="s">
        <v>37</v>
      </c>
      <c r="K22" s="4"/>
      <c r="M22" s="2">
        <v>-146.2509</v>
      </c>
      <c r="N22" s="2">
        <v>-146.2509</v>
      </c>
      <c r="O22" s="2">
        <v>-146.2509</v>
      </c>
      <c r="P22" s="2">
        <v>-146.2509</v>
      </c>
      <c r="Q22" s="2">
        <v>-146.2509</v>
      </c>
      <c r="R22" s="2">
        <v>-146.2509</v>
      </c>
      <c r="S22" s="2">
        <v>-146.2509</v>
      </c>
      <c r="T22" s="2">
        <v>-146.2509</v>
      </c>
      <c r="U22" s="2">
        <v>-146.2509</v>
      </c>
      <c r="V22" s="2">
        <f>(AVERAGE($M22:$U22))*0.27</f>
        <v>-39.487743000000002</v>
      </c>
      <c r="W22" s="2">
        <f>(AVERAGE($M22:$U22))*0.27</f>
        <v>-39.487743000000002</v>
      </c>
      <c r="X22" s="2">
        <f>(AVERAGE($M22:$U22))*0.27</f>
        <v>-39.487743000000002</v>
      </c>
      <c r="Y22" s="2">
        <f>(AVERAGE($M22:$U22)*1.1)*0.27</f>
        <v>-43.436517300000006</v>
      </c>
      <c r="Z22" s="2">
        <f>(AVERAGE($M22:$U22)*1.1)*0.27</f>
        <v>-43.436517300000006</v>
      </c>
      <c r="AA22" s="2">
        <f>(AVERAGE($M22:$U22)*1.1)*0.27</f>
        <v>-43.436517300000006</v>
      </c>
      <c r="AB22" s="2">
        <f>(AVERAGE($M22:$U22)*1.1)*0.27</f>
        <v>-43.436517300000006</v>
      </c>
      <c r="AC22" s="2">
        <f>(AVERAGE($M22:$U22)*1.1)*0.27</f>
        <v>-43.436517300000006</v>
      </c>
      <c r="AD22" s="2">
        <f>(AVERAGE($M22:$U22)*1.1)*0.27</f>
        <v>-43.436517300000006</v>
      </c>
      <c r="AE22" s="2">
        <f>(AVERAGE($M22:$U22)*1.1)*0.27</f>
        <v>-43.436517300000006</v>
      </c>
      <c r="AF22" s="2">
        <f>(AVERAGE($M22:$U22)*1.1)*0.27</f>
        <v>-43.436517300000006</v>
      </c>
      <c r="AG22" s="2">
        <f>(AVERAGE($M22:$U22)*1.1)*0.27</f>
        <v>-43.436517300000006</v>
      </c>
      <c r="AH22" s="2">
        <f>(AVERAGE($M22:$U22)*1.1)*0.27</f>
        <v>-43.436517300000006</v>
      </c>
      <c r="AI22" s="2">
        <f>(AVERAGE($M22:$U22)*1.1)*0.27</f>
        <v>-43.436517300000006</v>
      </c>
      <c r="AJ22" s="2">
        <f>(AVERAGE($M22:$U22)*1.1)*0.27</f>
        <v>-43.436517300000006</v>
      </c>
    </row>
    <row r="23" spans="1:36" x14ac:dyDescent="0.3">
      <c r="A23" t="s">
        <v>57</v>
      </c>
      <c r="B23" s="3" t="s">
        <v>52</v>
      </c>
      <c r="C23" t="s">
        <v>61</v>
      </c>
      <c r="E23" t="s">
        <v>37</v>
      </c>
      <c r="K23" s="4"/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>(AVERAGE($M23:$U23))*0.98</f>
        <v>0</v>
      </c>
      <c r="W23" s="2">
        <f>(AVERAGE($M23:$U23))*0.98</f>
        <v>0</v>
      </c>
      <c r="X23" s="2">
        <f>(AVERAGE($M23:$U23))*0.98</f>
        <v>0</v>
      </c>
      <c r="Y23" s="2">
        <f>(AVERAGE($M23:$U23)*1.1)*0.98</f>
        <v>0</v>
      </c>
      <c r="Z23" s="2">
        <f>(AVERAGE($M23:$U23)*1.1)*0.98</f>
        <v>0</v>
      </c>
      <c r="AA23" s="2">
        <f>(AVERAGE($M23:$U23)*1.1)*0.98</f>
        <v>0</v>
      </c>
      <c r="AB23" s="2">
        <f>(AVERAGE($M23:$U23)*1.1)*0.98</f>
        <v>0</v>
      </c>
      <c r="AC23" s="2">
        <f>(AVERAGE($M23:$U23)*1.1)*0.98</f>
        <v>0</v>
      </c>
      <c r="AD23" s="2">
        <f>(AVERAGE($M23:$U23)*1.1)*0.98</f>
        <v>0</v>
      </c>
      <c r="AE23" s="2">
        <f>(AVERAGE($M23:$U23)*1.1)*0.98</f>
        <v>0</v>
      </c>
      <c r="AF23" s="2">
        <f>(AVERAGE($M23:$U23)*1.1)*0.98</f>
        <v>0</v>
      </c>
      <c r="AG23" s="2">
        <f>(AVERAGE($M23:$U23)*1.1)*0.98</f>
        <v>0</v>
      </c>
      <c r="AH23" s="2">
        <f>(AVERAGE($M23:$U23)*1.1)*0.98</f>
        <v>0</v>
      </c>
      <c r="AI23" s="2">
        <f>(AVERAGE($M23:$U23)*1.1)*0.98</f>
        <v>0</v>
      </c>
      <c r="AJ23" s="2">
        <f>(AVERAGE($M23:$U23)*1.1)*0.98</f>
        <v>0</v>
      </c>
    </row>
    <row r="24" spans="1:36" x14ac:dyDescent="0.3">
      <c r="A24" t="s">
        <v>57</v>
      </c>
      <c r="B24" s="3" t="s">
        <v>52</v>
      </c>
      <c r="C24" t="s">
        <v>62</v>
      </c>
      <c r="E24" t="s">
        <v>53</v>
      </c>
      <c r="K24" s="4"/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-66.599999999999994</v>
      </c>
      <c r="U24" s="2">
        <v>0</v>
      </c>
      <c r="V24" s="2">
        <f>(AVERAGE($M24:$U24))*0.37</f>
        <v>-2.738</v>
      </c>
      <c r="W24" s="2">
        <f>(AVERAGE($M24:$U24))*0.37</f>
        <v>-2.738</v>
      </c>
      <c r="X24" s="2">
        <f>(AVERAGE($M24:$U24))*0.37</f>
        <v>-2.738</v>
      </c>
      <c r="Y24" s="2">
        <f>(AVERAGE($M24:$U24)*1.1)*0.37</f>
        <v>-3.0118</v>
      </c>
      <c r="Z24" s="2">
        <f>(AVERAGE($M24:$U24)*1.1)*0.37</f>
        <v>-3.0118</v>
      </c>
      <c r="AA24" s="2">
        <f>(AVERAGE($M24:$U24)*1.1)*0.37</f>
        <v>-3.0118</v>
      </c>
      <c r="AB24" s="2">
        <f>(AVERAGE($M24:$U24)*1.1)*0.37</f>
        <v>-3.0118</v>
      </c>
      <c r="AC24" s="2">
        <f>(AVERAGE($M24:$U24)*1.1)*0.37</f>
        <v>-3.0118</v>
      </c>
      <c r="AD24" s="2">
        <f>(AVERAGE($M24:$U24)*1.1)*0.37</f>
        <v>-3.0118</v>
      </c>
      <c r="AE24" s="2">
        <f>(AVERAGE($M24:$U24)*1.1)*0.37</f>
        <v>-3.0118</v>
      </c>
      <c r="AF24" s="2">
        <f>(AVERAGE($M24:$U24)*1.1)*0.37</f>
        <v>-3.0118</v>
      </c>
      <c r="AG24" s="2">
        <f>(AVERAGE($M24:$U24)*1.1)*0.37</f>
        <v>-3.0118</v>
      </c>
      <c r="AH24" s="2">
        <f>(AVERAGE($M24:$U24)*1.1)*0.37</f>
        <v>-3.0118</v>
      </c>
      <c r="AI24" s="2">
        <f>(AVERAGE($M24:$U24)*1.1)*0.37</f>
        <v>-3.0118</v>
      </c>
      <c r="AJ24" s="2">
        <f>(AVERAGE($M24:$U24)*1.1)*0.37</f>
        <v>-3.0118</v>
      </c>
    </row>
    <row r="25" spans="1:36" x14ac:dyDescent="0.3">
      <c r="A25" t="s">
        <v>57</v>
      </c>
      <c r="B25" s="3" t="s">
        <v>52</v>
      </c>
      <c r="C25" t="s">
        <v>58</v>
      </c>
      <c r="E25" t="s">
        <v>38</v>
      </c>
      <c r="K25" s="4"/>
      <c r="M25" s="2">
        <v>-19.093799999999998</v>
      </c>
      <c r="N25" s="2">
        <v>-18.603200000000001</v>
      </c>
      <c r="O25" s="2">
        <v>-19.1524</v>
      </c>
      <c r="P25" s="2">
        <v>-13.947000000000001</v>
      </c>
      <c r="Q25" s="2">
        <v>-27.154200000000003</v>
      </c>
      <c r="R25" s="2">
        <v>-25.961800000000018</v>
      </c>
      <c r="S25" s="2">
        <v>-14.971399999999999</v>
      </c>
      <c r="T25" s="2">
        <v>-17.068999999999999</v>
      </c>
      <c r="U25" s="2">
        <v>-26.751799999999999</v>
      </c>
      <c r="V25" s="2">
        <f>(AVERAGE($M25:$U25))*0.02</f>
        <v>-0.40601022222222222</v>
      </c>
      <c r="W25" s="2">
        <f>(AVERAGE($M25:$U25))*0.02</f>
        <v>-0.40601022222222222</v>
      </c>
      <c r="X25" s="2">
        <f>(AVERAGE($M25:$U25))*0.02</f>
        <v>-0.40601022222222222</v>
      </c>
      <c r="Y25" s="2">
        <f>(AVERAGE($M25:$U25)*1.1)*0.02</f>
        <v>-0.4466112444444445</v>
      </c>
      <c r="Z25" s="2">
        <f>(AVERAGE($M25:$U25)*1.1)*0.02</f>
        <v>-0.4466112444444445</v>
      </c>
      <c r="AA25" s="2">
        <f>(AVERAGE($M25:$U25)*1.1)*0.02</f>
        <v>-0.4466112444444445</v>
      </c>
      <c r="AB25" s="2">
        <f>(AVERAGE($M25:$U25)*1.1)*0.02</f>
        <v>-0.4466112444444445</v>
      </c>
      <c r="AC25" s="2">
        <f>(AVERAGE($M25:$U25)*1.1)*0.02</f>
        <v>-0.4466112444444445</v>
      </c>
      <c r="AD25" s="2">
        <f>(AVERAGE($M25:$U25)*1.1)*0.02</f>
        <v>-0.4466112444444445</v>
      </c>
      <c r="AE25" s="2">
        <f>(AVERAGE($M25:$U25)*1.1)*0.02</f>
        <v>-0.4466112444444445</v>
      </c>
      <c r="AF25" s="2">
        <f>(AVERAGE($M25:$U25)*1.1)*0.02</f>
        <v>-0.4466112444444445</v>
      </c>
      <c r="AG25" s="2">
        <f>(AVERAGE($M25:$U25)*1.1)*0.02</f>
        <v>-0.4466112444444445</v>
      </c>
      <c r="AH25" s="2">
        <f>(AVERAGE($M25:$U25)*1.1)*0.02</f>
        <v>-0.4466112444444445</v>
      </c>
      <c r="AI25" s="2">
        <f>(AVERAGE($M25:$U25)*1.1)*0.02</f>
        <v>-0.4466112444444445</v>
      </c>
      <c r="AJ25" s="2">
        <f>(AVERAGE($M25:$U25)*1.1)*0.02</f>
        <v>-0.4466112444444445</v>
      </c>
    </row>
    <row r="26" spans="1:36" x14ac:dyDescent="0.3">
      <c r="A26" t="s">
        <v>57</v>
      </c>
      <c r="B26" s="3" t="s">
        <v>52</v>
      </c>
      <c r="C26" t="s">
        <v>62</v>
      </c>
      <c r="E26" t="s">
        <v>38</v>
      </c>
      <c r="K26" s="4"/>
      <c r="M26" s="2">
        <v>-128.81530000000001</v>
      </c>
      <c r="N26" s="2">
        <v>-155.8237</v>
      </c>
      <c r="O26" s="2">
        <v>-1670.2749999999999</v>
      </c>
      <c r="P26" s="2">
        <v>-69.324399999999983</v>
      </c>
      <c r="Q26" s="2">
        <v>-191.39469999999997</v>
      </c>
      <c r="R26" s="2">
        <v>-148.63850000000002</v>
      </c>
      <c r="S26" s="2">
        <v>-131.94639999999998</v>
      </c>
      <c r="T26" s="2">
        <v>-102.75830000000001</v>
      </c>
      <c r="U26" s="2">
        <v>-55.42969999999999</v>
      </c>
      <c r="V26" s="2">
        <f>(AVERAGE($M26:$U26))*0.71</f>
        <v>-209.40313999999998</v>
      </c>
      <c r="W26" s="2">
        <f>(AVERAGE($M26:$U26))*0.71</f>
        <v>-209.40313999999998</v>
      </c>
      <c r="X26" s="2">
        <f>(AVERAGE($M26:$U26))*0.71</f>
        <v>-209.40313999999998</v>
      </c>
      <c r="Y26" s="2">
        <f>(AVERAGE($M26:$U26)*1.1)*0.71</f>
        <v>-230.34345399999998</v>
      </c>
      <c r="Z26" s="2">
        <f>(AVERAGE($M26:$U26)*1.1)*0.71</f>
        <v>-230.34345399999998</v>
      </c>
      <c r="AA26" s="2">
        <f>(AVERAGE($M26:$U26)*1.1)*0.71</f>
        <v>-230.34345399999998</v>
      </c>
      <c r="AB26" s="2">
        <f>(AVERAGE($M26:$U26)*1.1)*0.71</f>
        <v>-230.34345399999998</v>
      </c>
      <c r="AC26" s="2">
        <f>(AVERAGE($M26:$U26)*1.1)*0.71</f>
        <v>-230.34345399999998</v>
      </c>
      <c r="AD26" s="2">
        <f>(AVERAGE($M26:$U26)*1.1)*0.71</f>
        <v>-230.34345399999998</v>
      </c>
      <c r="AE26" s="2">
        <f>(AVERAGE($M26:$U26)*1.1)*0.71</f>
        <v>-230.34345399999998</v>
      </c>
      <c r="AF26" s="2">
        <f>(AVERAGE($M26:$U26)*1.1)*0.71</f>
        <v>-230.34345399999998</v>
      </c>
      <c r="AG26" s="2">
        <f>(AVERAGE($M26:$U26)*1.1)*0.71</f>
        <v>-230.34345399999998</v>
      </c>
      <c r="AH26" s="2">
        <f>(AVERAGE($M26:$U26)*1.1)*0.71</f>
        <v>-230.34345399999998</v>
      </c>
      <c r="AI26" s="2">
        <f>(AVERAGE($M26:$U26)*1.1)*0.71</f>
        <v>-230.34345399999998</v>
      </c>
      <c r="AJ26" s="2">
        <f>(AVERAGE($M26:$U26)*1.1)*0.71</f>
        <v>-230.34345399999998</v>
      </c>
    </row>
    <row r="27" spans="1:36" x14ac:dyDescent="0.3">
      <c r="A27" t="s">
        <v>57</v>
      </c>
      <c r="B27" s="3" t="s">
        <v>52</v>
      </c>
      <c r="C27" t="s">
        <v>62</v>
      </c>
      <c r="E27" t="s">
        <v>38</v>
      </c>
      <c r="K27" s="4"/>
      <c r="M27" s="2">
        <v>-1.1512</v>
      </c>
      <c r="N27" s="2">
        <v>-1.1504000000000001</v>
      </c>
      <c r="O27" s="2">
        <v>-1.1896</v>
      </c>
      <c r="P27" s="2">
        <v>-1.1576000000000002</v>
      </c>
      <c r="Q27" s="2">
        <v>-1.1432</v>
      </c>
      <c r="R27" s="2">
        <v>-1.1728000000000001</v>
      </c>
      <c r="S27" s="2">
        <v>-1.1864000000000001</v>
      </c>
      <c r="T27" s="2">
        <v>-1.1912</v>
      </c>
      <c r="U27" s="2">
        <v>-1.1936</v>
      </c>
      <c r="V27" s="2">
        <f>(AVERAGE($M27:$U27))*0.08</f>
        <v>-9.3653333333333338E-2</v>
      </c>
      <c r="W27" s="2">
        <f>(AVERAGE($M27:$U27))*0.08</f>
        <v>-9.3653333333333338E-2</v>
      </c>
      <c r="X27" s="2">
        <f>(AVERAGE($M27:$U27))*0.08</f>
        <v>-9.3653333333333338E-2</v>
      </c>
      <c r="Y27" s="2">
        <f>(AVERAGE($M27:$U27)*1.1)*0.08</f>
        <v>-0.10301866666666669</v>
      </c>
      <c r="Z27" s="2">
        <f>(AVERAGE($M27:$U27)*1.1)*0.08</f>
        <v>-0.10301866666666669</v>
      </c>
      <c r="AA27" s="2">
        <f>(AVERAGE($M27:$U27)*1.1)*0.08</f>
        <v>-0.10301866666666669</v>
      </c>
      <c r="AB27" s="2">
        <f>(AVERAGE($M27:$U27)*1.1)*0.08</f>
        <v>-0.10301866666666669</v>
      </c>
      <c r="AC27" s="2">
        <f>(AVERAGE($M27:$U27)*1.1)*0.08</f>
        <v>-0.10301866666666669</v>
      </c>
      <c r="AD27" s="2">
        <f>(AVERAGE($M27:$U27)*1.1)*0.08</f>
        <v>-0.10301866666666669</v>
      </c>
      <c r="AE27" s="2">
        <f>(AVERAGE($M27:$U27)*1.1)*0.08</f>
        <v>-0.10301866666666669</v>
      </c>
      <c r="AF27" s="2">
        <f>(AVERAGE($M27:$U27)*1.1)*0.08</f>
        <v>-0.10301866666666669</v>
      </c>
      <c r="AG27" s="2">
        <f>(AVERAGE($M27:$U27)*1.1)*0.08</f>
        <v>-0.10301866666666669</v>
      </c>
      <c r="AH27" s="2">
        <f>(AVERAGE($M27:$U27)*1.1)*0.08</f>
        <v>-0.10301866666666669</v>
      </c>
      <c r="AI27" s="2">
        <f>(AVERAGE($M27:$U27)*1.1)*0.08</f>
        <v>-0.10301866666666669</v>
      </c>
      <c r="AJ27" s="2">
        <f>(AVERAGE($M27:$U27)*1.1)*0.08</f>
        <v>-0.10301866666666669</v>
      </c>
    </row>
    <row r="28" spans="1:36" x14ac:dyDescent="0.3">
      <c r="A28" t="s">
        <v>57</v>
      </c>
      <c r="B28" s="3" t="s">
        <v>52</v>
      </c>
      <c r="C28" t="s">
        <v>61</v>
      </c>
      <c r="E28" t="s">
        <v>38</v>
      </c>
      <c r="K28" s="4"/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f>(AVERAGE($M28:$U28))*0</f>
        <v>0</v>
      </c>
      <c r="W28" s="2">
        <f>(AVERAGE($M28:$U28))*0</f>
        <v>0</v>
      </c>
      <c r="X28" s="2">
        <f>(AVERAGE($M28:$U28))*0</f>
        <v>0</v>
      </c>
      <c r="Y28" s="2">
        <f>(AVERAGE($M28:$U28)*1.1)*0</f>
        <v>0</v>
      </c>
      <c r="Z28" s="2">
        <f>(AVERAGE($M28:$U28)*1.1)*0</f>
        <v>0</v>
      </c>
      <c r="AA28" s="2">
        <f>(AVERAGE($M28:$U28)*1.1)*0</f>
        <v>0</v>
      </c>
      <c r="AB28" s="2">
        <f>(AVERAGE($M28:$U28)*1.1)*0</f>
        <v>0</v>
      </c>
      <c r="AC28" s="2">
        <f>(AVERAGE($M28:$U28)*1.1)*0</f>
        <v>0</v>
      </c>
      <c r="AD28" s="2">
        <f>(AVERAGE($M28:$U28)*1.1)*0</f>
        <v>0</v>
      </c>
      <c r="AE28" s="2">
        <f>(AVERAGE($M28:$U28)*1.1)*0</f>
        <v>0</v>
      </c>
      <c r="AF28" s="2">
        <f>(AVERAGE($M28:$U28)*1.1)*0</f>
        <v>0</v>
      </c>
      <c r="AG28" s="2">
        <f>(AVERAGE($M28:$U28)*1.1)*0</f>
        <v>0</v>
      </c>
      <c r="AH28" s="2">
        <f>(AVERAGE($M28:$U28)*1.1)*0</f>
        <v>0</v>
      </c>
      <c r="AI28" s="2">
        <f>(AVERAGE($M28:$U28)*1.1)*0</f>
        <v>0</v>
      </c>
      <c r="AJ28" s="2">
        <f>(AVERAGE($M28:$U28)*1.1)*0</f>
        <v>0</v>
      </c>
    </row>
    <row r="29" spans="1:36" x14ac:dyDescent="0.3">
      <c r="A29" t="s">
        <v>57</v>
      </c>
      <c r="B29" s="3" t="s">
        <v>52</v>
      </c>
      <c r="C29" t="s">
        <v>61</v>
      </c>
      <c r="E29" t="s">
        <v>51</v>
      </c>
      <c r="K29" s="4"/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-267.45920000000001</v>
      </c>
      <c r="V29" s="2">
        <f>(AVERAGE($M29:$U29))*0.76</f>
        <v>-22.585443555555557</v>
      </c>
      <c r="W29" s="2">
        <f>(AVERAGE($M29:$U29))*0.76</f>
        <v>-22.585443555555557</v>
      </c>
      <c r="X29" s="2">
        <f>(AVERAGE($M29:$U29))*0.76</f>
        <v>-22.585443555555557</v>
      </c>
      <c r="Y29" s="2">
        <f>(AVERAGE($M29:$U29)*1.1)*0.76</f>
        <v>-24.843987911111114</v>
      </c>
      <c r="Z29" s="2">
        <f>(AVERAGE($M29:$U29)*1.1)*0.76</f>
        <v>-24.843987911111114</v>
      </c>
      <c r="AA29" s="2">
        <f>(AVERAGE($M29:$U29)*1.1)*0.76</f>
        <v>-24.843987911111114</v>
      </c>
      <c r="AB29" s="2">
        <f>(AVERAGE($M29:$U29)*1.1)*0.76</f>
        <v>-24.843987911111114</v>
      </c>
      <c r="AC29" s="2">
        <f>(AVERAGE($M29:$U29)*1.1)*0.76</f>
        <v>-24.843987911111114</v>
      </c>
      <c r="AD29" s="2">
        <f>(AVERAGE($M29:$U29)*1.1)*0.76</f>
        <v>-24.843987911111114</v>
      </c>
      <c r="AE29" s="2">
        <f>(AVERAGE($M29:$U29)*1.1)*0.76</f>
        <v>-24.843987911111114</v>
      </c>
      <c r="AF29" s="2">
        <f>(AVERAGE($M29:$U29)*1.1)*0.76</f>
        <v>-24.843987911111114</v>
      </c>
      <c r="AG29" s="2">
        <f>(AVERAGE($M29:$U29)*1.1)*0.76</f>
        <v>-24.843987911111114</v>
      </c>
      <c r="AH29" s="2">
        <f>(AVERAGE($M29:$U29)*1.1)*0.76</f>
        <v>-24.843987911111114</v>
      </c>
      <c r="AI29" s="2">
        <f>(AVERAGE($M29:$U29)*1.1)*0.76</f>
        <v>-24.843987911111114</v>
      </c>
      <c r="AJ29" s="2">
        <f>(AVERAGE($M29:$U29)*1.1)*0.76</f>
        <v>-24.843987911111114</v>
      </c>
    </row>
    <row r="30" spans="1:36" x14ac:dyDescent="0.3">
      <c r="A30" t="s">
        <v>57</v>
      </c>
      <c r="B30" s="3" t="s">
        <v>52</v>
      </c>
      <c r="C30" t="s">
        <v>62</v>
      </c>
      <c r="E30" t="s">
        <v>39</v>
      </c>
      <c r="K30" s="4"/>
      <c r="M30" s="2">
        <v>-10.4</v>
      </c>
      <c r="N30" s="2">
        <v>-10.4</v>
      </c>
      <c r="O30" s="2">
        <v>-10.4</v>
      </c>
      <c r="P30" s="2">
        <v>-10.4</v>
      </c>
      <c r="Q30" s="2">
        <v>-5.2</v>
      </c>
      <c r="R30" s="2">
        <v>-10.4</v>
      </c>
      <c r="S30" s="2">
        <v>-10.4</v>
      </c>
      <c r="T30" s="2">
        <v>-10.4</v>
      </c>
      <c r="U30" s="2">
        <v>-10.4</v>
      </c>
      <c r="V30" s="2">
        <f>(AVERAGE($M30:$U30))*0.13</f>
        <v>-1.2768888888888892</v>
      </c>
      <c r="W30" s="2">
        <f>(AVERAGE($M30:$U30))*0.13</f>
        <v>-1.2768888888888892</v>
      </c>
      <c r="X30" s="2">
        <f>(AVERAGE($M30:$U30))*0.13</f>
        <v>-1.2768888888888892</v>
      </c>
      <c r="Y30" s="2">
        <f>(AVERAGE($M30:$U30)*1.1)*0.13</f>
        <v>-1.4045777777777781</v>
      </c>
      <c r="Z30" s="2">
        <f>(AVERAGE($M30:$U30)*1.1)*0.13</f>
        <v>-1.4045777777777781</v>
      </c>
      <c r="AA30" s="2">
        <f>(AVERAGE($M30:$U30)*1.1)*0.13</f>
        <v>-1.4045777777777781</v>
      </c>
      <c r="AB30" s="2">
        <f>(AVERAGE($M30:$U30)*1.1)*0.13</f>
        <v>-1.4045777777777781</v>
      </c>
      <c r="AC30" s="2">
        <f>(AVERAGE($M30:$U30)*1.1)*0.13</f>
        <v>-1.4045777777777781</v>
      </c>
      <c r="AD30" s="2">
        <f>(AVERAGE($M30:$U30)*1.1)*0.13</f>
        <v>-1.4045777777777781</v>
      </c>
      <c r="AE30" s="2">
        <f>(AVERAGE($M30:$U30)*1.1)*0.13</f>
        <v>-1.4045777777777781</v>
      </c>
      <c r="AF30" s="2">
        <f>(AVERAGE($M30:$U30)*1.1)*0.13</f>
        <v>-1.4045777777777781</v>
      </c>
      <c r="AG30" s="2">
        <f>(AVERAGE($M30:$U30)*1.1)*0.13</f>
        <v>-1.4045777777777781</v>
      </c>
      <c r="AH30" s="2">
        <f>(AVERAGE($M30:$U30)*1.1)*0.13</f>
        <v>-1.4045777777777781</v>
      </c>
      <c r="AI30" s="2">
        <f>(AVERAGE($M30:$U30)*1.1)*0.13</f>
        <v>-1.4045777777777781</v>
      </c>
      <c r="AJ30" s="2">
        <f>(AVERAGE($M30:$U30)*1.1)*0.13</f>
        <v>-1.4045777777777781</v>
      </c>
    </row>
    <row r="31" spans="1:36" x14ac:dyDescent="0.3">
      <c r="A31" t="s">
        <v>57</v>
      </c>
      <c r="B31" s="3" t="s">
        <v>52</v>
      </c>
      <c r="C31" t="s">
        <v>58</v>
      </c>
      <c r="E31" t="s">
        <v>54</v>
      </c>
      <c r="K31" s="4"/>
      <c r="M31" s="2">
        <v>667.15480000000002</v>
      </c>
      <c r="N31" s="2">
        <v>634.93640000000005</v>
      </c>
      <c r="O31" s="2">
        <v>682.40719999999999</v>
      </c>
      <c r="P31" s="2">
        <v>289.67320000000001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f>(AVERAGE($M31:$U31))*0.68</f>
        <v>171.8262986666667</v>
      </c>
      <c r="W31" s="2">
        <f>(AVERAGE($M31:$U31))*0.68</f>
        <v>171.8262986666667</v>
      </c>
      <c r="X31" s="2">
        <f>(AVERAGE($M31:$U31))*0.68</f>
        <v>171.8262986666667</v>
      </c>
      <c r="Y31" s="2">
        <f>(AVERAGE($M31:$U31)*1.1)*0.68</f>
        <v>189.00892853333337</v>
      </c>
      <c r="Z31" s="2">
        <f>(AVERAGE($M31:$U31)*1.1)*0.68</f>
        <v>189.00892853333337</v>
      </c>
      <c r="AA31" s="2">
        <f>(AVERAGE($M31:$U31)*1.1)*0.68</f>
        <v>189.00892853333337</v>
      </c>
      <c r="AB31" s="2">
        <f>(AVERAGE($M31:$U31)*1.1)*0.68</f>
        <v>189.00892853333337</v>
      </c>
      <c r="AC31" s="2">
        <f>(AVERAGE($M31:$U31)*1.1)*0.68</f>
        <v>189.00892853333337</v>
      </c>
      <c r="AD31" s="2">
        <f>(AVERAGE($M31:$U31)*1.1)*0.68</f>
        <v>189.00892853333337</v>
      </c>
      <c r="AE31" s="2">
        <f>(AVERAGE($M31:$U31)*1.1)*0.68</f>
        <v>189.00892853333337</v>
      </c>
      <c r="AF31" s="2">
        <f>(AVERAGE($M31:$U31)*1.1)*0.68</f>
        <v>189.00892853333337</v>
      </c>
      <c r="AG31" s="2">
        <f>(AVERAGE($M31:$U31)*1.1)*0.68</f>
        <v>189.00892853333337</v>
      </c>
      <c r="AH31" s="2">
        <f>(AVERAGE($M31:$U31)*1.1)*0.68</f>
        <v>189.00892853333337</v>
      </c>
      <c r="AI31" s="2">
        <f>(AVERAGE($M31:$U31)*1.1)*0.68</f>
        <v>189.00892853333337</v>
      </c>
      <c r="AJ31" s="2">
        <f>(AVERAGE($M31:$U31)*1.1)*0.68</f>
        <v>189.00892853333337</v>
      </c>
    </row>
    <row r="32" spans="1:36" x14ac:dyDescent="0.3">
      <c r="A32" t="s">
        <v>57</v>
      </c>
      <c r="B32" s="3" t="s">
        <v>52</v>
      </c>
      <c r="C32" t="s">
        <v>58</v>
      </c>
      <c r="E32" t="s">
        <v>42</v>
      </c>
      <c r="K32" s="4"/>
      <c r="M32" s="2">
        <v>-0.29120000000000001</v>
      </c>
      <c r="N32" s="2">
        <v>2.2792000000000003</v>
      </c>
      <c r="O32" s="2">
        <v>-350.73919999999998</v>
      </c>
      <c r="P32" s="2">
        <v>-2.2680000000000002</v>
      </c>
      <c r="Q32" s="2">
        <v>2449.8488000000002</v>
      </c>
      <c r="R32" s="2">
        <v>0</v>
      </c>
      <c r="S32" s="2">
        <v>0</v>
      </c>
      <c r="T32" s="2">
        <v>0</v>
      </c>
      <c r="U32" s="2">
        <v>0</v>
      </c>
      <c r="V32" s="2">
        <f>(AVERAGE($M32:$U32))*0.56</f>
        <v>130.59384177777778</v>
      </c>
      <c r="W32" s="2">
        <f>(AVERAGE($M32:$U32))*0.56</f>
        <v>130.59384177777778</v>
      </c>
      <c r="X32" s="2">
        <f>(AVERAGE($M32:$U32))*0.56</f>
        <v>130.59384177777778</v>
      </c>
      <c r="Y32" s="2">
        <f>(AVERAGE($M32:$U32)*1.1)*0.56</f>
        <v>143.6532259555556</v>
      </c>
      <c r="Z32" s="2">
        <f>(AVERAGE($M32:$U32)*1.1)*0.56</f>
        <v>143.6532259555556</v>
      </c>
      <c r="AA32" s="2">
        <f>(AVERAGE($M32:$U32)*1.1)*0.56</f>
        <v>143.6532259555556</v>
      </c>
      <c r="AB32" s="2">
        <f>(AVERAGE($M32:$U32)*1.1)*0.56</f>
        <v>143.6532259555556</v>
      </c>
      <c r="AC32" s="2">
        <f>(AVERAGE($M32:$U32)*1.1)*0.56</f>
        <v>143.6532259555556</v>
      </c>
      <c r="AD32" s="2">
        <f>(AVERAGE($M32:$U32)*1.1)*0.56</f>
        <v>143.6532259555556</v>
      </c>
      <c r="AE32" s="2">
        <f>(AVERAGE($M32:$U32)*1.1)*0.56</f>
        <v>143.6532259555556</v>
      </c>
      <c r="AF32" s="2">
        <f>(AVERAGE($M32:$U32)*1.1)*0.56</f>
        <v>143.6532259555556</v>
      </c>
      <c r="AG32" s="2">
        <f>(AVERAGE($M32:$U32)*1.1)*0.56</f>
        <v>143.6532259555556</v>
      </c>
      <c r="AH32" s="2">
        <f>(AVERAGE($M32:$U32)*1.1)*0.56</f>
        <v>143.6532259555556</v>
      </c>
      <c r="AI32" s="2">
        <f>(AVERAGE($M32:$U32)*1.1)*0.56</f>
        <v>143.6532259555556</v>
      </c>
      <c r="AJ32" s="2">
        <f>(AVERAGE($M32:$U32)*1.1)*0.56</f>
        <v>143.6532259555556</v>
      </c>
    </row>
    <row r="33" spans="1:36" x14ac:dyDescent="0.3">
      <c r="A33" t="s">
        <v>57</v>
      </c>
      <c r="B33" s="3" t="s">
        <v>52</v>
      </c>
      <c r="C33" t="s">
        <v>62</v>
      </c>
      <c r="E33" t="s">
        <v>42</v>
      </c>
      <c r="K33" s="4"/>
      <c r="M33" s="2">
        <v>-22.501200000000004</v>
      </c>
      <c r="N33" s="2">
        <v>4062.2044000000019</v>
      </c>
      <c r="O33" s="2">
        <v>1324.2524000000001</v>
      </c>
      <c r="P33" s="2">
        <v>0.69360000000000011</v>
      </c>
      <c r="Q33" s="2">
        <v>-6.8000000000000005E-3</v>
      </c>
      <c r="R33" s="2">
        <v>-27.540000000000003</v>
      </c>
      <c r="S33" s="2">
        <v>-151.65360000000001</v>
      </c>
      <c r="T33" s="2">
        <v>-21.345200000000002</v>
      </c>
      <c r="U33" s="2">
        <v>-20.746800000000004</v>
      </c>
      <c r="V33" s="2">
        <f>(AVERAGE($M33:$U33))*0.68</f>
        <v>388.60918044444463</v>
      </c>
      <c r="W33" s="2">
        <f>(AVERAGE($M33:$U33))*0.68</f>
        <v>388.60918044444463</v>
      </c>
      <c r="X33" s="2">
        <f>(AVERAGE($M33:$U33))*0.68</f>
        <v>388.60918044444463</v>
      </c>
      <c r="Y33" s="2">
        <f>(AVERAGE($M33:$U33)*1.1)*0.68</f>
        <v>427.47009848888916</v>
      </c>
      <c r="Z33" s="2">
        <f>(AVERAGE($M33:$U33)*1.1)*0.68</f>
        <v>427.47009848888916</v>
      </c>
      <c r="AA33" s="2">
        <f>(AVERAGE($M33:$U33)*1.1)*0.68</f>
        <v>427.47009848888916</v>
      </c>
      <c r="AB33" s="2">
        <f>(AVERAGE($M33:$U33)*1.1)*0.68</f>
        <v>427.47009848888916</v>
      </c>
      <c r="AC33" s="2">
        <f>(AVERAGE($M33:$U33)*1.1)*0.68</f>
        <v>427.47009848888916</v>
      </c>
      <c r="AD33" s="2">
        <f>(AVERAGE($M33:$U33)*1.1)*0.68</f>
        <v>427.47009848888916</v>
      </c>
      <c r="AE33" s="2">
        <f>(AVERAGE($M33:$U33)*1.1)*0.68</f>
        <v>427.47009848888916</v>
      </c>
      <c r="AF33" s="2">
        <f>(AVERAGE($M33:$U33)*1.1)*0.68</f>
        <v>427.47009848888916</v>
      </c>
      <c r="AG33" s="2">
        <f>(AVERAGE($M33:$U33)*1.1)*0.68</f>
        <v>427.47009848888916</v>
      </c>
      <c r="AH33" s="2">
        <f>(AVERAGE($M33:$U33)*1.1)*0.68</f>
        <v>427.47009848888916</v>
      </c>
      <c r="AI33" s="2">
        <f>(AVERAGE($M33:$U33)*1.1)*0.68</f>
        <v>427.47009848888916</v>
      </c>
      <c r="AJ33" s="2">
        <f>(AVERAGE($M33:$U33)*1.1)*0.68</f>
        <v>427.47009848888916</v>
      </c>
    </row>
    <row r="34" spans="1:36" x14ac:dyDescent="0.3">
      <c r="A34" t="s">
        <v>57</v>
      </c>
      <c r="B34" s="3" t="s">
        <v>52</v>
      </c>
      <c r="C34" t="s">
        <v>62</v>
      </c>
      <c r="E34" t="s">
        <v>42</v>
      </c>
      <c r="K34" s="4"/>
      <c r="M34" s="2">
        <v>-17.456</v>
      </c>
      <c r="N34" s="2">
        <v>-42.537999999999997</v>
      </c>
      <c r="O34" s="2">
        <v>-64.571999999999989</v>
      </c>
      <c r="P34" s="2">
        <v>67.094000000000037</v>
      </c>
      <c r="Q34" s="2">
        <v>444.84200000000004</v>
      </c>
      <c r="R34" s="2">
        <v>-492.29000000000008</v>
      </c>
      <c r="S34" s="2">
        <v>-126.95399999999998</v>
      </c>
      <c r="T34" s="2">
        <v>27.529999999999998</v>
      </c>
      <c r="U34" s="2">
        <v>-416.76800000000003</v>
      </c>
      <c r="V34" s="2">
        <f>(AVERAGE($M34:$U34))*0.2</f>
        <v>-13.802488888888888</v>
      </c>
      <c r="W34" s="2">
        <f>(AVERAGE($M34:$U34))*0.2</f>
        <v>-13.802488888888888</v>
      </c>
      <c r="X34" s="2">
        <f>(AVERAGE($M34:$U34))*0.2</f>
        <v>-13.802488888888888</v>
      </c>
      <c r="Y34" s="2">
        <f>(AVERAGE($M34:$U34)*1.1)*0.2</f>
        <v>-15.182737777777778</v>
      </c>
      <c r="Z34" s="2">
        <f>(AVERAGE($M34:$U34)*1.1)*0.2</f>
        <v>-15.182737777777778</v>
      </c>
      <c r="AA34" s="2">
        <f>(AVERAGE($M34:$U34)*1.1)*0.2</f>
        <v>-15.182737777777778</v>
      </c>
      <c r="AB34" s="2">
        <f>(AVERAGE($M34:$U34)*1.1)*0.2</f>
        <v>-15.182737777777778</v>
      </c>
      <c r="AC34" s="2">
        <f>(AVERAGE($M34:$U34)*1.1)*0.2</f>
        <v>-15.182737777777778</v>
      </c>
      <c r="AD34" s="2">
        <f>(AVERAGE($M34:$U34)*1.1)*0.2</f>
        <v>-15.182737777777778</v>
      </c>
      <c r="AE34" s="2">
        <f>(AVERAGE($M34:$U34)*1.1)*0.2</f>
        <v>-15.182737777777778</v>
      </c>
      <c r="AF34" s="2">
        <f>(AVERAGE($M34:$U34)*1.1)*0.2</f>
        <v>-15.182737777777778</v>
      </c>
      <c r="AG34" s="2">
        <f>(AVERAGE($M34:$U34)*1.1)*0.2</f>
        <v>-15.182737777777778</v>
      </c>
      <c r="AH34" s="2">
        <f>(AVERAGE($M34:$U34)*1.1)*0.2</f>
        <v>-15.182737777777778</v>
      </c>
      <c r="AI34" s="2">
        <f>(AVERAGE($M34:$U34)*1.1)*0.2</f>
        <v>-15.182737777777778</v>
      </c>
      <c r="AJ34" s="2">
        <f>(AVERAGE($M34:$U34)*1.1)*0.2</f>
        <v>-15.182737777777778</v>
      </c>
    </row>
    <row r="35" spans="1:36" x14ac:dyDescent="0.3">
      <c r="A35" t="s">
        <v>57</v>
      </c>
      <c r="B35" s="3" t="s">
        <v>52</v>
      </c>
      <c r="C35" t="s">
        <v>61</v>
      </c>
      <c r="E35" t="s">
        <v>42</v>
      </c>
      <c r="K35" s="4"/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49.363799999999998</v>
      </c>
      <c r="T35" s="2">
        <v>0</v>
      </c>
      <c r="U35" s="2">
        <v>-75.716100000000012</v>
      </c>
      <c r="V35" s="2">
        <f>(AVERAGE($M35:$U35))*0.87</f>
        <v>-2.5473890000000012</v>
      </c>
      <c r="W35" s="2">
        <f>(AVERAGE($M35:$U35))*0.87</f>
        <v>-2.5473890000000012</v>
      </c>
      <c r="X35" s="2">
        <f>(AVERAGE($M35:$U35))*0.87</f>
        <v>-2.5473890000000012</v>
      </c>
      <c r="Y35" s="2">
        <f>(AVERAGE($M35:$U35)*1.1)*0.87</f>
        <v>-2.8021279000000012</v>
      </c>
      <c r="Z35" s="2">
        <f>(AVERAGE($M35:$U35)*1.1)*0.87</f>
        <v>-2.8021279000000012</v>
      </c>
      <c r="AA35" s="2">
        <f>(AVERAGE($M35:$U35)*1.1)*0.87</f>
        <v>-2.8021279000000012</v>
      </c>
      <c r="AB35" s="2">
        <f>(AVERAGE($M35:$U35)*1.1)*0.87</f>
        <v>-2.8021279000000012</v>
      </c>
      <c r="AC35" s="2">
        <f>(AVERAGE($M35:$U35)*1.1)*0.87</f>
        <v>-2.8021279000000012</v>
      </c>
      <c r="AD35" s="2">
        <f>(AVERAGE($M35:$U35)*1.1)*0.87</f>
        <v>-2.8021279000000012</v>
      </c>
      <c r="AE35" s="2">
        <f>(AVERAGE($M35:$U35)*1.1)*0.87</f>
        <v>-2.8021279000000012</v>
      </c>
      <c r="AF35" s="2">
        <f>(AVERAGE($M35:$U35)*1.1)*0.87</f>
        <v>-2.8021279000000012</v>
      </c>
      <c r="AG35" s="2">
        <f>(AVERAGE($M35:$U35)*1.1)*0.87</f>
        <v>-2.8021279000000012</v>
      </c>
      <c r="AH35" s="2">
        <f>(AVERAGE($M35:$U35)*1.1)*0.87</f>
        <v>-2.8021279000000012</v>
      </c>
      <c r="AI35" s="2">
        <f>(AVERAGE($M35:$U35)*1.1)*0.87</f>
        <v>-2.8021279000000012</v>
      </c>
      <c r="AJ35" s="2">
        <f>(AVERAGE($M35:$U35)*1.1)*0.87</f>
        <v>-2.8021279000000012</v>
      </c>
    </row>
    <row r="36" spans="1:36" x14ac:dyDescent="0.3">
      <c r="A36" t="s">
        <v>57</v>
      </c>
      <c r="B36" s="3" t="s">
        <v>52</v>
      </c>
      <c r="C36" t="s">
        <v>62</v>
      </c>
      <c r="E36" t="s">
        <v>55</v>
      </c>
      <c r="K36" s="4"/>
      <c r="M36" s="2">
        <v>-182.81699999999998</v>
      </c>
      <c r="N36" s="2">
        <v>-249.1728</v>
      </c>
      <c r="O36" s="2">
        <v>-257.75549999999998</v>
      </c>
      <c r="P36" s="2">
        <v>-283.62559999999996</v>
      </c>
      <c r="Q36" s="2">
        <v>-414.06799999999998</v>
      </c>
      <c r="R36" s="2">
        <v>-387.53909999999996</v>
      </c>
      <c r="S36" s="2">
        <v>-381.10359999999997</v>
      </c>
      <c r="T36" s="2">
        <v>-385.91649999999998</v>
      </c>
      <c r="U36" s="2">
        <v>-435.9853</v>
      </c>
      <c r="V36" s="2">
        <f>(AVERAGE($M36:$U36))*0.61</f>
        <v>-201.84109711111108</v>
      </c>
      <c r="W36" s="2">
        <f>(AVERAGE($M36:$U36))*0.61</f>
        <v>-201.84109711111108</v>
      </c>
      <c r="X36" s="2">
        <f>(AVERAGE($M36:$U36))*0.61</f>
        <v>-201.84109711111108</v>
      </c>
      <c r="Y36" s="2">
        <f>(AVERAGE($M36:$U36)*1.1)*0.61</f>
        <v>-222.02520682222223</v>
      </c>
      <c r="Z36" s="2">
        <f>(AVERAGE($M36:$U36)*1.1)*0.61</f>
        <v>-222.02520682222223</v>
      </c>
      <c r="AA36" s="2">
        <f>(AVERAGE($M36:$U36)*1.1)*0.61</f>
        <v>-222.02520682222223</v>
      </c>
      <c r="AB36" s="2">
        <f>(AVERAGE($M36:$U36)*1.1)*0.61</f>
        <v>-222.02520682222223</v>
      </c>
      <c r="AC36" s="2">
        <f>(AVERAGE($M36:$U36)*1.1)*0.61</f>
        <v>-222.02520682222223</v>
      </c>
      <c r="AD36" s="2">
        <f>(AVERAGE($M36:$U36)*1.1)*0.61</f>
        <v>-222.02520682222223</v>
      </c>
      <c r="AE36" s="2">
        <f>(AVERAGE($M36:$U36)*1.1)*0.61</f>
        <v>-222.02520682222223</v>
      </c>
      <c r="AF36" s="2">
        <f>(AVERAGE($M36:$U36)*1.1)*0.61</f>
        <v>-222.02520682222223</v>
      </c>
      <c r="AG36" s="2">
        <f>(AVERAGE($M36:$U36)*1.1)*0.61</f>
        <v>-222.02520682222223</v>
      </c>
      <c r="AH36" s="2">
        <f>(AVERAGE($M36:$U36)*1.1)*0.61</f>
        <v>-222.02520682222223</v>
      </c>
      <c r="AI36" s="2">
        <f>(AVERAGE($M36:$U36)*1.1)*0.61</f>
        <v>-222.02520682222223</v>
      </c>
      <c r="AJ36" s="2">
        <f>(AVERAGE($M36:$U36)*1.1)*0.61</f>
        <v>-222.02520682222223</v>
      </c>
    </row>
    <row r="37" spans="1:36" x14ac:dyDescent="0.3">
      <c r="A37" t="s">
        <v>57</v>
      </c>
      <c r="B37" s="3" t="s">
        <v>52</v>
      </c>
      <c r="C37" t="s">
        <v>61</v>
      </c>
      <c r="E37" t="s">
        <v>48</v>
      </c>
      <c r="K37" s="4"/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-4748.4775</v>
      </c>
      <c r="V37" s="2">
        <f>(AVERAGE($M37:$U37))*0.25</f>
        <v>-131.90215277777779</v>
      </c>
      <c r="W37" s="2">
        <f>(AVERAGE($M37:$U37))*0.25</f>
        <v>-131.90215277777779</v>
      </c>
      <c r="X37" s="2">
        <f>(AVERAGE($M37:$U37))*0.25</f>
        <v>-131.90215277777779</v>
      </c>
      <c r="Y37" s="2">
        <f>(AVERAGE($M37:$U37)*1.1)*0.25</f>
        <v>-145.09236805555557</v>
      </c>
      <c r="Z37" s="2">
        <f>(AVERAGE($M37:$U37)*1.1)*0.25</f>
        <v>-145.09236805555557</v>
      </c>
      <c r="AA37" s="2">
        <f>(AVERAGE($M37:$U37)*1.1)*0.25</f>
        <v>-145.09236805555557</v>
      </c>
      <c r="AB37" s="2">
        <f>(AVERAGE($M37:$U37)*1.1)*0.25</f>
        <v>-145.09236805555557</v>
      </c>
      <c r="AC37" s="2">
        <f>(AVERAGE($M37:$U37)*1.1)*0.25</f>
        <v>-145.09236805555557</v>
      </c>
      <c r="AD37" s="2">
        <f>(AVERAGE($M37:$U37)*1.1)*0.25</f>
        <v>-145.09236805555557</v>
      </c>
      <c r="AE37" s="2">
        <f>(AVERAGE($M37:$U37)*1.1)*0.25</f>
        <v>-145.09236805555557</v>
      </c>
      <c r="AF37" s="2">
        <f>(AVERAGE($M37:$U37)*1.1)*0.25</f>
        <v>-145.09236805555557</v>
      </c>
      <c r="AG37" s="2">
        <f>(AVERAGE($M37:$U37)*1.1)*0.25</f>
        <v>-145.09236805555557</v>
      </c>
      <c r="AH37" s="2">
        <f>(AVERAGE($M37:$U37)*1.1)*0.25</f>
        <v>-145.09236805555557</v>
      </c>
      <c r="AI37" s="2">
        <f>(AVERAGE($M37:$U37)*1.1)*0.25</f>
        <v>-145.09236805555557</v>
      </c>
      <c r="AJ37" s="2">
        <f>(AVERAGE($M37:$U37)*1.1)*0.25</f>
        <v>-145.09236805555557</v>
      </c>
    </row>
    <row r="38" spans="1:36" x14ac:dyDescent="0.3">
      <c r="A38" t="s">
        <v>57</v>
      </c>
      <c r="B38" s="3" t="s">
        <v>52</v>
      </c>
      <c r="C38" t="s">
        <v>58</v>
      </c>
      <c r="E38" t="s">
        <v>56</v>
      </c>
      <c r="K38" s="4"/>
      <c r="M38" s="2">
        <v>0</v>
      </c>
      <c r="N38" s="2">
        <v>0</v>
      </c>
      <c r="O38" s="2">
        <v>-185.76299999999998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f>(AVERAGE($M38:$U38))*0.57</f>
        <v>-11.764989999999997</v>
      </c>
      <c r="W38" s="2">
        <f>(AVERAGE($M38:$U38))*0.57</f>
        <v>-11.764989999999997</v>
      </c>
      <c r="X38" s="2">
        <f>(AVERAGE($M38:$U38))*0.57</f>
        <v>-11.764989999999997</v>
      </c>
      <c r="Y38" s="2">
        <f>(AVERAGE($M38:$U38)*1.1)*0.57</f>
        <v>-12.941488999999999</v>
      </c>
      <c r="Z38" s="2">
        <f>(AVERAGE($M38:$U38)*1.1)*0.57</f>
        <v>-12.941488999999999</v>
      </c>
      <c r="AA38" s="2">
        <f>(AVERAGE($M38:$U38)*1.1)*0.57</f>
        <v>-12.941488999999999</v>
      </c>
      <c r="AB38" s="2">
        <f>(AVERAGE($M38:$U38)*1.1)*0.57</f>
        <v>-12.941488999999999</v>
      </c>
      <c r="AC38" s="2">
        <f>(AVERAGE($M38:$U38)*1.1)*0.57</f>
        <v>-12.941488999999999</v>
      </c>
      <c r="AD38" s="2">
        <f>(AVERAGE($M38:$U38)*1.1)*0.57</f>
        <v>-12.941488999999999</v>
      </c>
      <c r="AE38" s="2">
        <f>(AVERAGE($M38:$U38)*1.1)*0.57</f>
        <v>-12.941488999999999</v>
      </c>
      <c r="AF38" s="2">
        <f>(AVERAGE($M38:$U38)*1.1)*0.57</f>
        <v>-12.941488999999999</v>
      </c>
      <c r="AG38" s="2">
        <f>(AVERAGE($M38:$U38)*1.1)*0.57</f>
        <v>-12.941488999999999</v>
      </c>
      <c r="AH38" s="2">
        <f>(AVERAGE($M38:$U38)*1.1)*0.57</f>
        <v>-12.941488999999999</v>
      </c>
      <c r="AI38" s="2">
        <f>(AVERAGE($M38:$U38)*1.1)*0.57</f>
        <v>-12.941488999999999</v>
      </c>
      <c r="AJ38" s="2">
        <f>(AVERAGE($M38:$U38)*1.1)*0.57</f>
        <v>-12.941488999999999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Lacko</dc:creator>
  <cp:lastModifiedBy>Zsolt Lacko</cp:lastModifiedBy>
  <dcterms:created xsi:type="dcterms:W3CDTF">2015-06-05T18:17:20Z</dcterms:created>
  <dcterms:modified xsi:type="dcterms:W3CDTF">2021-12-31T10:15:23Z</dcterms:modified>
</cp:coreProperties>
</file>