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aily Accounts Report\OFFICE AC 2023\03. MAR\"/>
    </mc:Choice>
  </mc:AlternateContent>
  <xr:revisionPtr revIDLastSave="0" documentId="13_ncr:1_{1A53A31B-27D6-4DEF-A850-B0252138ECDF}" xr6:coauthVersionLast="47" xr6:coauthVersionMax="47" xr10:uidLastSave="{00000000-0000-0000-0000-000000000000}"/>
  <bookViews>
    <workbookView xWindow="-120" yWindow="-120" windowWidth="20730" windowHeight="11160" firstSheet="1" activeTab="9" xr2:uid="{C49BDA14-3163-403E-B55B-94A03E075E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9" i="10" l="1"/>
  <c r="H39" i="10"/>
  <c r="H33" i="10"/>
  <c r="H58" i="10"/>
  <c r="H75" i="10"/>
  <c r="H49" i="10"/>
  <c r="H30" i="10"/>
  <c r="H16" i="10"/>
  <c r="H32" i="10"/>
  <c r="H143" i="10"/>
  <c r="D193" i="10"/>
  <c r="H18" i="10" l="1"/>
  <c r="D187" i="10"/>
  <c r="D190" i="10"/>
  <c r="D188" i="10"/>
  <c r="D186" i="10"/>
  <c r="D185" i="10"/>
  <c r="D183" i="10"/>
  <c r="D192" i="10" s="1"/>
  <c r="D169" i="10"/>
  <c r="D170" i="10" s="1"/>
  <c r="H168" i="10"/>
  <c r="H9" i="10"/>
  <c r="H169" i="10" s="1"/>
  <c r="H170" i="10" l="1"/>
  <c r="D200" i="10"/>
  <c r="D201" i="10" s="1"/>
  <c r="H149" i="9"/>
  <c r="H28" i="9"/>
  <c r="H43" i="9"/>
  <c r="H25" i="9"/>
  <c r="H44" i="9"/>
  <c r="H47" i="9"/>
  <c r="H21" i="9"/>
  <c r="H23" i="9"/>
  <c r="H45" i="9"/>
  <c r="H51" i="9"/>
  <c r="H33" i="9"/>
  <c r="H12" i="9"/>
  <c r="H20" i="9"/>
  <c r="D193" i="9"/>
  <c r="D190" i="9"/>
  <c r="H39" i="9"/>
  <c r="D187" i="9"/>
  <c r="D188" i="9"/>
  <c r="D186" i="9"/>
  <c r="D185" i="9"/>
  <c r="D183" i="9"/>
  <c r="D192" i="9" s="1"/>
  <c r="D200" i="9" s="1"/>
  <c r="D169" i="9"/>
  <c r="D170" i="9" s="1"/>
  <c r="H168" i="9"/>
  <c r="H9" i="9"/>
  <c r="H169" i="9" s="1"/>
  <c r="H170" i="9" l="1"/>
  <c r="D201" i="9"/>
  <c r="H149" i="8" l="1"/>
  <c r="H36" i="8"/>
  <c r="H33" i="8"/>
  <c r="H43" i="8"/>
  <c r="H19" i="8"/>
  <c r="H23" i="8"/>
  <c r="H156" i="8"/>
  <c r="D190" i="8"/>
  <c r="D188" i="8"/>
  <c r="D187" i="8"/>
  <c r="D186" i="8"/>
  <c r="D185" i="8"/>
  <c r="D183" i="8"/>
  <c r="D192" i="8" s="1"/>
  <c r="D200" i="8" s="1"/>
  <c r="D169" i="8"/>
  <c r="D170" i="8" s="1"/>
  <c r="H168" i="8"/>
  <c r="H9" i="8"/>
  <c r="H169" i="8" s="1"/>
  <c r="H170" i="8" l="1"/>
  <c r="D201" i="8"/>
  <c r="H41" i="7" l="1"/>
  <c r="H149" i="7"/>
  <c r="H36" i="7" l="1"/>
  <c r="H148" i="7"/>
  <c r="H155" i="7"/>
  <c r="D190" i="7" l="1"/>
  <c r="D188" i="7"/>
  <c r="D187" i="7"/>
  <c r="D186" i="7"/>
  <c r="D185" i="7"/>
  <c r="D183" i="7"/>
  <c r="D192" i="7" s="1"/>
  <c r="D169" i="7"/>
  <c r="D170" i="7" s="1"/>
  <c r="H168" i="7"/>
  <c r="H9" i="7"/>
  <c r="H169" i="7" s="1"/>
  <c r="H170" i="7" l="1"/>
  <c r="D200" i="7"/>
  <c r="D201" i="7" s="1"/>
  <c r="H20" i="6" l="1"/>
  <c r="H144" i="6"/>
  <c r="H37" i="6"/>
  <c r="H14" i="6"/>
  <c r="H12" i="6"/>
  <c r="H16" i="6"/>
  <c r="D185" i="6"/>
  <c r="H43" i="6"/>
  <c r="H138" i="6"/>
  <c r="H62" i="6" l="1"/>
  <c r="D182" i="6"/>
  <c r="D188" i="6"/>
  <c r="D183" i="6"/>
  <c r="D181" i="6"/>
  <c r="D180" i="6"/>
  <c r="D178" i="6"/>
  <c r="D187" i="6" s="1"/>
  <c r="D164" i="6"/>
  <c r="D165" i="6" s="1"/>
  <c r="H163" i="6"/>
  <c r="H9" i="6"/>
  <c r="H164" i="6" s="1"/>
  <c r="H165" i="6" l="1"/>
  <c r="D195" i="6"/>
  <c r="D196" i="6" s="1"/>
  <c r="D188" i="5" l="1"/>
  <c r="D185" i="5"/>
  <c r="D185" i="4"/>
  <c r="H144" i="5" l="1"/>
  <c r="H37" i="5"/>
  <c r="H42" i="5"/>
  <c r="H31" i="5"/>
  <c r="H48" i="5"/>
  <c r="H32" i="5"/>
  <c r="H30" i="5"/>
  <c r="H146" i="5"/>
  <c r="D182" i="5"/>
  <c r="D182" i="4"/>
  <c r="D183" i="5"/>
  <c r="D181" i="5"/>
  <c r="D180" i="5"/>
  <c r="D178" i="5"/>
  <c r="D187" i="5" s="1"/>
  <c r="D164" i="5"/>
  <c r="D165" i="5" s="1"/>
  <c r="H163" i="5"/>
  <c r="H9" i="5"/>
  <c r="H164" i="5" s="1"/>
  <c r="H165" i="5" l="1"/>
  <c r="D195" i="5"/>
  <c r="D196" i="5" s="1"/>
  <c r="D188" i="4" l="1"/>
  <c r="H144" i="4"/>
  <c r="H44" i="4"/>
  <c r="H49" i="4"/>
  <c r="H23" i="4"/>
  <c r="D183" i="4"/>
  <c r="D181" i="4"/>
  <c r="D180" i="4"/>
  <c r="D178" i="4"/>
  <c r="D187" i="4" s="1"/>
  <c r="D164" i="4"/>
  <c r="D165" i="4" s="1"/>
  <c r="H163" i="4"/>
  <c r="H9" i="4"/>
  <c r="H164" i="4" s="1"/>
  <c r="H165" i="4" l="1"/>
  <c r="D195" i="4"/>
  <c r="D196" i="4" s="1"/>
  <c r="H144" i="3" l="1"/>
  <c r="H19" i="3"/>
  <c r="H37" i="3"/>
  <c r="H44" i="3"/>
  <c r="H14" i="3"/>
  <c r="H42" i="3"/>
  <c r="H36" i="3"/>
  <c r="H12" i="3"/>
  <c r="H15" i="3"/>
  <c r="H25" i="3"/>
  <c r="H150" i="3"/>
  <c r="D188" i="3" l="1"/>
  <c r="D185" i="3"/>
  <c r="D182" i="3"/>
  <c r="D181" i="3"/>
  <c r="D180" i="3"/>
  <c r="D178" i="3"/>
  <c r="D187" i="3" s="1"/>
  <c r="D164" i="3"/>
  <c r="D165" i="3" s="1"/>
  <c r="H163" i="3"/>
  <c r="H9" i="3"/>
  <c r="H164" i="3" s="1"/>
  <c r="H165" i="3" l="1"/>
  <c r="D195" i="3"/>
  <c r="D196" i="3" s="1"/>
  <c r="D179" i="2" l="1"/>
  <c r="H46" i="2"/>
  <c r="H31" i="2"/>
  <c r="H135" i="2"/>
  <c r="H28" i="2"/>
  <c r="H40" i="2"/>
  <c r="H56" i="2"/>
  <c r="H58" i="2"/>
  <c r="H20" i="2"/>
  <c r="H15" i="2"/>
  <c r="H57" i="2"/>
  <c r="H61" i="2"/>
  <c r="H33" i="2"/>
  <c r="H23" i="2"/>
  <c r="H47" i="2"/>
  <c r="H13" i="2"/>
  <c r="H59" i="2"/>
  <c r="H65" i="2" l="1"/>
  <c r="H30" i="2"/>
  <c r="H16" i="2"/>
  <c r="H74" i="2"/>
  <c r="D176" i="2"/>
  <c r="H38" i="2" l="1"/>
  <c r="D173" i="2"/>
  <c r="D172" i="2"/>
  <c r="D171" i="2"/>
  <c r="D169" i="2"/>
  <c r="D178" i="2" s="1"/>
  <c r="D155" i="2"/>
  <c r="D156" i="2" s="1"/>
  <c r="H154" i="2"/>
  <c r="H9" i="2"/>
  <c r="H155" i="2" s="1"/>
  <c r="D179" i="1"/>
  <c r="H135" i="1"/>
  <c r="H13" i="1"/>
  <c r="H28" i="1"/>
  <c r="H156" i="2" l="1"/>
  <c r="D186" i="2"/>
  <c r="D187" i="2" s="1"/>
  <c r="H129" i="1"/>
  <c r="D176" i="1" l="1"/>
  <c r="D173" i="1"/>
  <c r="D172" i="1"/>
  <c r="D171" i="1"/>
  <c r="D169" i="1"/>
  <c r="D178" i="1" s="1"/>
  <c r="D155" i="1"/>
  <c r="D156" i="1" s="1"/>
  <c r="H154" i="1"/>
  <c r="H9" i="1"/>
  <c r="H155" i="1" s="1"/>
  <c r="H156" i="1" l="1"/>
  <c r="D186" i="1"/>
  <c r="D187" i="1" s="1"/>
</calcChain>
</file>

<file path=xl/sharedStrings.xml><?xml version="1.0" encoding="utf-8"?>
<sst xmlns="http://schemas.openxmlformats.org/spreadsheetml/2006/main" count="2298" uniqueCount="862">
  <si>
    <t xml:space="preserve"> M M International </t>
  </si>
  <si>
    <t>Receipts &amp;  Payments</t>
  </si>
  <si>
    <t>Rupshi BEOL Office</t>
  </si>
  <si>
    <t>RECEIPTS</t>
  </si>
  <si>
    <t>PAYMENTS</t>
  </si>
  <si>
    <t>Vehicle No</t>
  </si>
  <si>
    <t>PARTICULARS</t>
  </si>
  <si>
    <t>Cash</t>
  </si>
  <si>
    <t>Code</t>
  </si>
  <si>
    <t>Opening Balance</t>
  </si>
  <si>
    <t>Total Receipts</t>
  </si>
  <si>
    <t xml:space="preserve"> Vehicles Expense </t>
  </si>
  <si>
    <t>Receipts From Head Office</t>
  </si>
  <si>
    <t>Na-13.2239</t>
  </si>
  <si>
    <t>Na-11.8326</t>
  </si>
  <si>
    <t>Na-11.9331</t>
  </si>
  <si>
    <t>Na-13.4827</t>
  </si>
  <si>
    <t>Na-13-5522</t>
  </si>
  <si>
    <t>Na-13-6271</t>
  </si>
  <si>
    <t>Na-13-6692</t>
  </si>
  <si>
    <t>Na-13-6693</t>
  </si>
  <si>
    <t>Na-13-6694</t>
  </si>
  <si>
    <t>Na-13-6695</t>
  </si>
  <si>
    <t>Na-13-7916</t>
  </si>
  <si>
    <t>Na-13-7917</t>
  </si>
  <si>
    <t>Na-13-7079</t>
  </si>
  <si>
    <t>Na-17-7762</t>
  </si>
  <si>
    <t>Na-17-1577</t>
  </si>
  <si>
    <t>Na-17-8270</t>
  </si>
  <si>
    <t>Na-17-7374</t>
  </si>
  <si>
    <t>Na-17-8047</t>
  </si>
  <si>
    <t>Na-17-9876</t>
  </si>
  <si>
    <t>Na-15-5862</t>
  </si>
  <si>
    <t>Na-20-0567</t>
  </si>
  <si>
    <t>Na-15-5898</t>
  </si>
  <si>
    <t>Na-17-6320</t>
  </si>
  <si>
    <t>Na-20-0066</t>
  </si>
  <si>
    <t>Na-20-0088</t>
  </si>
  <si>
    <t>Na-21-1242</t>
  </si>
  <si>
    <t>Na-21-1442</t>
  </si>
  <si>
    <t>Na-11.9447</t>
  </si>
  <si>
    <t>Da-12-1135</t>
  </si>
  <si>
    <t>Da-12-0582</t>
  </si>
  <si>
    <t>Da-14-6159</t>
  </si>
  <si>
    <t>Da-14-6173</t>
  </si>
  <si>
    <t>Da-11-7206</t>
  </si>
  <si>
    <t>Da-11-5776</t>
  </si>
  <si>
    <t>Ta-13.4805</t>
  </si>
  <si>
    <t>Ta-13.4806</t>
  </si>
  <si>
    <t>Ta-24-2887</t>
  </si>
  <si>
    <t>Ta-24-1510</t>
  </si>
  <si>
    <t>Ta-18-5826</t>
  </si>
  <si>
    <t>Ta-20-1790</t>
  </si>
  <si>
    <t>Ta-20-1791</t>
  </si>
  <si>
    <t>Ta-11.2566</t>
  </si>
  <si>
    <t>Ta-11.5578</t>
  </si>
  <si>
    <t>Ta-11.5808</t>
  </si>
  <si>
    <t>Ta-15-3022</t>
  </si>
  <si>
    <t>Ta-13.3093</t>
  </si>
  <si>
    <t>Ta-13.3094</t>
  </si>
  <si>
    <t>Ta-13.3095</t>
  </si>
  <si>
    <t>Ta-13.3096</t>
  </si>
  <si>
    <t>Ta-13-4235</t>
  </si>
  <si>
    <t>Ta-13-4236</t>
  </si>
  <si>
    <t>Ta-13.4538</t>
  </si>
  <si>
    <t>Ta-13.4540</t>
  </si>
  <si>
    <t>Ta-13.4640</t>
  </si>
  <si>
    <t>Ta-13.4872</t>
  </si>
  <si>
    <t>Ta-13.5700</t>
  </si>
  <si>
    <t>Ta-13-5960</t>
  </si>
  <si>
    <t>Ta-13-5961</t>
  </si>
  <si>
    <t>Ta-13-7715</t>
  </si>
  <si>
    <t>Ta-13-7716</t>
  </si>
  <si>
    <t>Ta-13-8647</t>
  </si>
  <si>
    <t>Ta-13-8648</t>
  </si>
  <si>
    <t>Ta-13-3395</t>
  </si>
  <si>
    <t>Ta-22-3056</t>
  </si>
  <si>
    <t>Ta-22-3067</t>
  </si>
  <si>
    <t>Ta-20-8627</t>
  </si>
  <si>
    <t>Rental Of Hired Vechicles</t>
  </si>
  <si>
    <t>Repair &amp; Maintenance</t>
  </si>
  <si>
    <t>Challan Rcv Expense</t>
  </si>
  <si>
    <t>GOMES LOGISTICS</t>
  </si>
  <si>
    <t>HAMAS PACKAGING- Tarabo</t>
  </si>
  <si>
    <t>BNN CARTON FACTORY- Jamgora, Asulia</t>
  </si>
  <si>
    <t>KDS- Rajendropur</t>
  </si>
  <si>
    <t>RECKITT BENCKISER- Chittagong</t>
  </si>
  <si>
    <t>Coca-Cola Factory- Comilla</t>
  </si>
  <si>
    <t xml:space="preserve">       </t>
  </si>
  <si>
    <t>City Office-</t>
  </si>
  <si>
    <t>RSPL Office-</t>
  </si>
  <si>
    <t>Chittagong Office</t>
  </si>
  <si>
    <t>Megna Office-</t>
  </si>
  <si>
    <t xml:space="preserve">Head Office- </t>
  </si>
  <si>
    <t xml:space="preserve">Entertainment - </t>
  </si>
  <si>
    <t xml:space="preserve">Daily Allowance - </t>
  </si>
  <si>
    <t>Mobile Bill -</t>
  </si>
  <si>
    <t>Internet Bill-</t>
  </si>
  <si>
    <t>Joy Roy -</t>
  </si>
  <si>
    <t>Spare Driver-</t>
  </si>
  <si>
    <t xml:space="preserve">Speed Money- </t>
  </si>
  <si>
    <t xml:space="preserve">Loading Driver- </t>
  </si>
  <si>
    <t xml:space="preserve">Salary- </t>
  </si>
  <si>
    <t xml:space="preserve"> </t>
  </si>
  <si>
    <t xml:space="preserve">Labor- </t>
  </si>
  <si>
    <t xml:space="preserve">Kartick Labor Bill </t>
  </si>
  <si>
    <t xml:space="preserve">Police Monthly- </t>
  </si>
  <si>
    <t>Miscellaneous-</t>
  </si>
  <si>
    <t xml:space="preserve">Stationary- </t>
  </si>
  <si>
    <t xml:space="preserve">Case settle- </t>
  </si>
  <si>
    <t>Damarage -</t>
  </si>
  <si>
    <t xml:space="preserve">Medical- </t>
  </si>
  <si>
    <t>Payments on Day</t>
  </si>
  <si>
    <t>Receipts on Day</t>
  </si>
  <si>
    <t>Closing Balance</t>
  </si>
  <si>
    <t>Grand Total (Receipts)</t>
  </si>
  <si>
    <t>Grand Total (Payments)</t>
  </si>
  <si>
    <t>Prepared By                     Accountant</t>
  </si>
  <si>
    <t xml:space="preserve">       Auditors </t>
  </si>
  <si>
    <t xml:space="preserve">             Checked By</t>
  </si>
  <si>
    <t>Proprietor</t>
  </si>
  <si>
    <t xml:space="preserve">  </t>
  </si>
  <si>
    <t>Sl No.</t>
  </si>
  <si>
    <t>Particulars</t>
  </si>
  <si>
    <t>Amount tk</t>
  </si>
  <si>
    <t>Jalil-</t>
  </si>
  <si>
    <t>Ismail</t>
  </si>
  <si>
    <t>Tarpin</t>
  </si>
  <si>
    <t>BEOL- Khaledin(ref. Mizan)</t>
  </si>
  <si>
    <t>azim advance</t>
  </si>
  <si>
    <t>Gazi Sir-</t>
  </si>
  <si>
    <t>Sadhon - salary adv</t>
  </si>
  <si>
    <t>miraz</t>
  </si>
  <si>
    <t>13-4639</t>
  </si>
  <si>
    <t>Meter Reading last Month 6258(Per unit 6 tk)</t>
  </si>
  <si>
    <t>Total Advance</t>
  </si>
  <si>
    <t xml:space="preserve">  As on 01 Mar, 2023</t>
  </si>
  <si>
    <t xml:space="preserve">Conveyance- </t>
  </si>
  <si>
    <t xml:space="preserve">Gazi Sir - </t>
  </si>
  <si>
    <t xml:space="preserve">mongla to senbag+kabirhat </t>
  </si>
  <si>
    <t>rupshi to megna to jessore 17500/mongla to N. Ganj due 1500</t>
  </si>
  <si>
    <t>fullbari+dinajpur due 1300//sherpur+dhunot due 700</t>
  </si>
  <si>
    <t>tangail 2p 7100/city raypura due 500</t>
  </si>
  <si>
    <t>e</t>
  </si>
  <si>
    <t>Office- rntertainment</t>
  </si>
  <si>
    <t>lalbag+gendaria 1700/police 100/bridge 130/l 70</t>
  </si>
  <si>
    <t>14-3515</t>
  </si>
  <si>
    <t>Dinajpur to rupshi</t>
  </si>
  <si>
    <t>Tarpin daily allowance</t>
  </si>
  <si>
    <t>Tarpin - office rent</t>
  </si>
  <si>
    <t>Tarpin- mobile bill</t>
  </si>
  <si>
    <t>tikatola 1350</t>
  </si>
  <si>
    <t>shantinagar 1450</t>
  </si>
  <si>
    <t>Miscellaneous-Sadhon- TCB oil demurage 400/entertainment 300/conveyance 100</t>
  </si>
  <si>
    <t>kawranbazar 1600 all</t>
  </si>
  <si>
    <t>tikatola 1350// oil demurage 150</t>
  </si>
  <si>
    <t>13-4539</t>
  </si>
  <si>
    <t xml:space="preserve">ctg from atlas </t>
  </si>
  <si>
    <t>16-3011</t>
  </si>
  <si>
    <t>chokoria+lama</t>
  </si>
  <si>
    <t>22-7169</t>
  </si>
  <si>
    <t>kusita 4 point due</t>
  </si>
  <si>
    <t>ghulsan+mirpur 2100/ mirpur 10+ mirpur 1900/h.o 100</t>
  </si>
  <si>
    <t>badda 1250</t>
  </si>
  <si>
    <t>RSPL to gaforgaon due 500</t>
  </si>
  <si>
    <t>uttara 1900/Rampura to h.o 300/h.o 100</t>
  </si>
  <si>
    <t>kadomtoli 1450/convance 100/p 50</t>
  </si>
  <si>
    <t>13-5700</t>
  </si>
  <si>
    <t>rupshi to ctg rackit</t>
  </si>
  <si>
    <t>mirpur 1800//bhulta 1100</t>
  </si>
  <si>
    <t>Nill-3</t>
  </si>
  <si>
    <t>24-4282</t>
  </si>
  <si>
    <t>ullapara+belkuchi+sahajadpur</t>
  </si>
  <si>
    <t>Narayanganj due 300//p 100/nill 200</t>
  </si>
  <si>
    <t>15-9692</t>
  </si>
  <si>
    <t>natore police</t>
  </si>
  <si>
    <t>ambari+dinajpur+panchgaor 20100/tol 100</t>
  </si>
  <si>
    <t>16-9392</t>
  </si>
  <si>
    <t>chinikhora+pabna</t>
  </si>
  <si>
    <t>22-5051</t>
  </si>
  <si>
    <t>CNB+reazuddinbazar 12500/feni due 1000</t>
  </si>
  <si>
    <t>khilgaon ansar 1350</t>
  </si>
  <si>
    <t>tongi to jamgora due 700/carton bill 800</t>
  </si>
  <si>
    <t>malibag 1300// Vasantech 1900/bridge 100</t>
  </si>
  <si>
    <t>sirajdhikhan 4450</t>
  </si>
  <si>
    <t>13-4872</t>
  </si>
  <si>
    <t>s. parts</t>
  </si>
  <si>
    <t>13-6291</t>
  </si>
  <si>
    <t>coxsbazar</t>
  </si>
  <si>
    <t>20-6451</t>
  </si>
  <si>
    <t>rangunia</t>
  </si>
  <si>
    <t>Challan due 13-6291/20-6451</t>
  </si>
  <si>
    <t xml:space="preserve">  As on 02 Mar, 2023</t>
  </si>
  <si>
    <t>Gazi Sir - Meeting with DGM super board kawranbazar &amp; GPL at mirpur 1950</t>
  </si>
  <si>
    <t>mongla to mohonganj due 400/nabinagar due 100/tyre 600</t>
  </si>
  <si>
    <t>Challan due 100/chada 100/police 100/conveyance 100</t>
  </si>
  <si>
    <t>ziranibazar+bormi 6500/p 100/bridge 100</t>
  </si>
  <si>
    <t>AC Service Walton + mounting angle</t>
  </si>
  <si>
    <t>11-5785</t>
  </si>
  <si>
    <t>GEC labor</t>
  </si>
  <si>
    <t xml:space="preserve">Challan bill due paid- masud </t>
  </si>
  <si>
    <t>gazipur to mongla</t>
  </si>
  <si>
    <t>pabna depot to rupshi 7000 adv by bikash</t>
  </si>
  <si>
    <t>13-6878</t>
  </si>
  <si>
    <t>ukhiya</t>
  </si>
  <si>
    <t>22-9168</t>
  </si>
  <si>
    <t>ataikula pabna depot</t>
  </si>
  <si>
    <t>muktagasa+mymanshing 9000/l 100/manikganj+singair due 1200= 10300-300 extra nill deduct</t>
  </si>
  <si>
    <t>handi market to rupshi 1300 local// halisahore ctg due 1000</t>
  </si>
  <si>
    <t>narsindi+madobdhi 2450/ chada 80</t>
  </si>
  <si>
    <t>ambari to ctg due 1000//police 500/tyre 500/nill 300/p 100</t>
  </si>
  <si>
    <t>Tikatoli 1350</t>
  </si>
  <si>
    <t>newmarket 1800// tikatoli 1350</t>
  </si>
  <si>
    <t>kawranbazar 1350/ tyre 400/p 100/chada+parking 100// tikatoli 1350/ rspl due 200</t>
  </si>
  <si>
    <t>challan due 150/aci challan due 350// muradpur ctg 16900</t>
  </si>
  <si>
    <t>challan due 1000 ctg/ ctg to madobdhi 1500/tyre 200/ khulna police 16700/l 100/p 100</t>
  </si>
  <si>
    <t>khilgaon 1450</t>
  </si>
  <si>
    <t>12-3430</t>
  </si>
  <si>
    <t>sariakandi+bogura</t>
  </si>
  <si>
    <t>turag 2150</t>
  </si>
  <si>
    <t>Salary- megna 2 helper salary 8000+8000</t>
  </si>
  <si>
    <t>N. ganj 1600//nakhalpara 1400</t>
  </si>
  <si>
    <t>RWH 400// bogura+manda 20100</t>
  </si>
  <si>
    <t>mohakhali 1350/H.O 250/sakata to tongi 2700/ south bansree 1150/bansree labor return 250/H.O 300+100/p 100//madovdhi 1650</t>
  </si>
  <si>
    <t>uttara advance 1000// azampur due 1200</t>
  </si>
  <si>
    <t>ctg police challan due 1000/ pick-up rent 600//ctg to raipura down trip diesel cost 3200// electrical cable 1100 demurage // kisoreganj+katiadi 7900/RWH 500/bridge 100</t>
  </si>
  <si>
    <t>mongla to feni +hatia due 4000+mongla to bogura due 1000+Rangpur to mymanshing due 6000-2000 adv= 4000//comilla 6600</t>
  </si>
  <si>
    <t>khilgaon ansar 1350/// muradpur 1250</t>
  </si>
  <si>
    <t>15-3301</t>
  </si>
  <si>
    <t>rangamati police</t>
  </si>
  <si>
    <t>mirpur 1800//h.o 200// Khilgaon 1350</t>
  </si>
  <si>
    <t>handimarket to rupshi rackit 1300//rupshi to sakat to 300/ bormi due 200/tyre 700// chandina 6000</t>
  </si>
  <si>
    <t>sofipur ansar 4500</t>
  </si>
  <si>
    <t>ctg due paid 1000// shafipur ansar 5000</t>
  </si>
  <si>
    <t>Nitaiganj+Narayanganj 2400//shafipur ansar 4000</t>
  </si>
  <si>
    <t>nitaiganj+n. ganj 1800 all/tongi 2 p 2250</t>
  </si>
  <si>
    <t>hathazari</t>
  </si>
  <si>
    <t>18-7666</t>
  </si>
  <si>
    <t>satkania+bandarbon</t>
  </si>
  <si>
    <t>Office- entertainment 1150 ref. Gazi sir</t>
  </si>
  <si>
    <t>Joy Roy - Conveyance ctg road &amp; rupshi</t>
  </si>
  <si>
    <t>Nardda 1800// mohammodpur 1800//shibpur+narsindi 3000</t>
  </si>
  <si>
    <t>companiganj 7100/sirajganj due 200//devidawr 6500</t>
  </si>
  <si>
    <t>enu</t>
  </si>
  <si>
    <t>masud</t>
  </si>
  <si>
    <t xml:space="preserve">  As on 03 Mar, 2023</t>
  </si>
  <si>
    <t xml:space="preserve">Joy Roy - </t>
  </si>
  <si>
    <t>13-3093</t>
  </si>
  <si>
    <t>ctg to comilla</t>
  </si>
  <si>
    <t>mohammodpur 1800</t>
  </si>
  <si>
    <t>mongla to gaforgaon +dhubaura+jorgarchar due 1000/nill 300</t>
  </si>
  <si>
    <t>mirpur 1800</t>
  </si>
  <si>
    <t>megna to muktagasa 1200/nill 200</t>
  </si>
  <si>
    <t>of</t>
  </si>
  <si>
    <t>3067 salary adv</t>
  </si>
  <si>
    <t>rupshi to sakata to ctg</t>
  </si>
  <si>
    <t>18-4827</t>
  </si>
  <si>
    <t>chuadanga police 1000</t>
  </si>
  <si>
    <t>rupshi</t>
  </si>
  <si>
    <t>18-3520</t>
  </si>
  <si>
    <t>hajiganj chandpur due</t>
  </si>
  <si>
    <t>20-8727</t>
  </si>
  <si>
    <t>sakata to sitakundu due</t>
  </si>
  <si>
    <t>Office- Staff querter rent 35000-10000= 25000+electric bill 1140// factory room cleanner 1000</t>
  </si>
  <si>
    <t>Meter Reading last Month 6401(Per unit 6 tk)</t>
  </si>
  <si>
    <t>22-2385</t>
  </si>
  <si>
    <t>sylhet ansar</t>
  </si>
  <si>
    <t>24-6036</t>
  </si>
  <si>
    <t>natore+singra+barogoria</t>
  </si>
  <si>
    <t>16-9743</t>
  </si>
  <si>
    <t>jessore police</t>
  </si>
  <si>
    <t>130-3095</t>
  </si>
  <si>
    <t>comilla to jhenaidha 16500/chandpur to comila 700/challan due 100</t>
  </si>
  <si>
    <t>11-3307</t>
  </si>
  <si>
    <t>bheramara+kustia</t>
  </si>
  <si>
    <t>ambari to munshiganj due 8600-5500= 3100</t>
  </si>
  <si>
    <t>22-5915</t>
  </si>
  <si>
    <t>pabna party</t>
  </si>
  <si>
    <t>22-3424</t>
  </si>
  <si>
    <t>feni</t>
  </si>
  <si>
    <t>mohammodpur 1800/oil demurage 100/h.o 100</t>
  </si>
  <si>
    <t>vatara 1600// narsindi 1000</t>
  </si>
  <si>
    <t>20-2095</t>
  </si>
  <si>
    <t>Stationary- seal</t>
  </si>
  <si>
    <t>lalmatia+zigatola 1900</t>
  </si>
  <si>
    <t>khilgaon 1300</t>
  </si>
  <si>
    <t>raipura 1500+due 1100</t>
  </si>
  <si>
    <t>azampur 1900</t>
  </si>
  <si>
    <t>comilla due 300//megna to rajendropur  6200</t>
  </si>
  <si>
    <t>mirpur +shewrapara 2200/nill 100/b 80/p 100// uttara 1900</t>
  </si>
  <si>
    <t>11-2910</t>
  </si>
  <si>
    <t>kumarkhali+kustia</t>
  </si>
  <si>
    <t>20-1859</t>
  </si>
  <si>
    <t>jhawtola</t>
  </si>
  <si>
    <t>rupganj+dakkhinkhan  2100/bridge 100</t>
  </si>
  <si>
    <t>Aci 1350/p 100//sabujbag 1250</t>
  </si>
  <si>
    <t xml:space="preserve">ACI tejgaon </t>
  </si>
  <si>
    <t>pahartoli</t>
  </si>
  <si>
    <t>kawranbazar 1500/RWH 200</t>
  </si>
  <si>
    <t>chaktai+pekua</t>
  </si>
  <si>
    <t>16-6326</t>
  </si>
  <si>
    <t>muradpur</t>
  </si>
  <si>
    <t>mongla Carton</t>
  </si>
  <si>
    <t>18-7583</t>
  </si>
  <si>
    <t>dhanmondi 1800</t>
  </si>
  <si>
    <t>sylhet 16400/l 100/ctg rackit due 1000</t>
  </si>
  <si>
    <t>homna 4800/nill 200</t>
  </si>
  <si>
    <t>13-4009</t>
  </si>
  <si>
    <t>khulna</t>
  </si>
  <si>
    <t>13-3226</t>
  </si>
  <si>
    <t>sylhet</t>
  </si>
  <si>
    <t>18-3919</t>
  </si>
  <si>
    <t>agrabad</t>
  </si>
  <si>
    <t>13-0541</t>
  </si>
  <si>
    <t>feni+nohakhali</t>
  </si>
  <si>
    <t>22-3097</t>
  </si>
  <si>
    <t>senbag+laxmipur</t>
  </si>
  <si>
    <t>11-2673</t>
  </si>
  <si>
    <t>chittagong 11000/ctg due 1000</t>
  </si>
  <si>
    <t>11-2241</t>
  </si>
  <si>
    <t>bhairav due 250/ RSPL due 200/tyre 250/nill 200//savar+dairy farm 3600</t>
  </si>
  <si>
    <t>tikatoli 1350//nill 200/ police+parking 200//matlab 4300</t>
  </si>
  <si>
    <t>bashkhali</t>
  </si>
  <si>
    <t>Bhairav 6000</t>
  </si>
  <si>
    <t>shafipur+kaliakoir 5300/mymanshing due 200/nill 200/s. parts 200</t>
  </si>
  <si>
    <t>nill 400 2 days// nawabganj 4100</t>
  </si>
  <si>
    <t>mirpur 1800/ rspl savar to jamalpur due 400// mirpur 1800</t>
  </si>
  <si>
    <t>munshiganj 3600/due 200</t>
  </si>
  <si>
    <t>kuti+akhauara 7100/gazipur due 200/nill 200</t>
  </si>
  <si>
    <t>14-6159</t>
  </si>
  <si>
    <t>S. parts</t>
  </si>
  <si>
    <t>mirpur 1800// megna 2300</t>
  </si>
  <si>
    <t>18-8865</t>
  </si>
  <si>
    <t>kaptai</t>
  </si>
  <si>
    <t xml:space="preserve">  As on 04 Mar, 2023</t>
  </si>
  <si>
    <t xml:space="preserve">Office- </t>
  </si>
  <si>
    <t>Gazi Sir - Megna office Visit with Joy conveyance 2970+ food 550</t>
  </si>
  <si>
    <t>22-8824</t>
  </si>
  <si>
    <t>kalighat sylhet</t>
  </si>
  <si>
    <t>Polash 2150/ Narsindi 2150= 4300-1000 adv= 3300</t>
  </si>
  <si>
    <t>Labor food 200/police 100</t>
  </si>
  <si>
    <t>Rangpur to chokoria 22000/dinajpur due 500/tyre 500</t>
  </si>
  <si>
    <t>Azampur 1900</t>
  </si>
  <si>
    <t>3067//9331 salary adv</t>
  </si>
  <si>
    <t>13-4236</t>
  </si>
  <si>
    <t>15-5862</t>
  </si>
  <si>
    <t>S. Parts</t>
  </si>
  <si>
    <t>18-5826</t>
  </si>
  <si>
    <t>Spare Driver-nill 400</t>
  </si>
  <si>
    <t>raipura 2600/nill 100/tyre 250</t>
  </si>
  <si>
    <t>Miscellaneous- Mosquite coil</t>
  </si>
  <si>
    <t>22-2629</t>
  </si>
  <si>
    <t>Kalighat Shylhet</t>
  </si>
  <si>
    <t>Mobile Bill - Office staff</t>
  </si>
  <si>
    <t>11-1971</t>
  </si>
  <si>
    <t>Jhenaidha+Gangni</t>
  </si>
  <si>
    <t>13-5719</t>
  </si>
  <si>
    <t>ishwardi+nagarbarighat</t>
  </si>
  <si>
    <t>Salary- entertainment</t>
  </si>
  <si>
    <t>Jatrapur to badda 1500 due</t>
  </si>
  <si>
    <t>chaktai+cnb</t>
  </si>
  <si>
    <t>Labor- bleaching earth 1000</t>
  </si>
  <si>
    <t>baily road+ghulsan+uttara 2100/labor food 100/police 200</t>
  </si>
  <si>
    <t>Zinzira 1600</t>
  </si>
  <si>
    <t>Shilchori 17000/ctg due 1000</t>
  </si>
  <si>
    <t>Gaibandha 17000//l 100/nill 300</t>
  </si>
  <si>
    <t>mohammodpur+pallobi 1900/h.o 100/nill 100</t>
  </si>
  <si>
    <t>M. bazar 1450// Araihazar 1550/S. parts 200</t>
  </si>
  <si>
    <t>13-4537</t>
  </si>
  <si>
    <t>mirersarai+sitakundu</t>
  </si>
  <si>
    <t>sawndwip+2 point</t>
  </si>
  <si>
    <t>Mongla to sitakundu 3 point</t>
  </si>
  <si>
    <t>Mirpur 1800/s. parts 150</t>
  </si>
  <si>
    <t>Ghulsan 1600</t>
  </si>
  <si>
    <t>Mirpur  6  2400/comilla due 200+200/police 200</t>
  </si>
  <si>
    <t>Mongla 15000</t>
  </si>
  <si>
    <t>11-5787</t>
  </si>
  <si>
    <t>Atrai</t>
  </si>
  <si>
    <t>22-3236</t>
  </si>
  <si>
    <t>joypurhat+pacbibi+potnitola</t>
  </si>
  <si>
    <t>kisoreganj+katiadi challan due 100/Nill 400// Aci 2000</t>
  </si>
  <si>
    <t>raipura+monohardi 3400/l 150/p 50</t>
  </si>
  <si>
    <t>Badda+ghulsan 1700/s. parts 340</t>
  </si>
  <si>
    <t>kuti+kasba due</t>
  </si>
  <si>
    <t>14-1507</t>
  </si>
  <si>
    <t>navaran+khulna+dumuria</t>
  </si>
  <si>
    <t>tangail+bhuapur+modhupur 8100/homna 100</t>
  </si>
  <si>
    <t>16-8792</t>
  </si>
  <si>
    <t>nandigram+nawgaon</t>
  </si>
  <si>
    <t>Bhairav advance</t>
  </si>
  <si>
    <t>Savar 3900</t>
  </si>
  <si>
    <t>ramganj</t>
  </si>
  <si>
    <t>20-9840</t>
  </si>
  <si>
    <t>Dhunot+sonatola</t>
  </si>
  <si>
    <t>aziznagar+chokoria</t>
  </si>
  <si>
    <t>mymanshing 7000//Dohar challan due 200/RWH 300</t>
  </si>
  <si>
    <t>15-5903</t>
  </si>
  <si>
    <t>Ukhiya+coxsbazar</t>
  </si>
  <si>
    <t>11-2481</t>
  </si>
  <si>
    <t>kapsia+zirani 6400/munshiganj due 400</t>
  </si>
  <si>
    <t>jamalpur+islampur 13300/safipur due paid 100</t>
  </si>
  <si>
    <t>sirajdhikhan 4100/bhairav due 200/Hamas to beol due 1000</t>
  </si>
  <si>
    <t>20-7897</t>
  </si>
  <si>
    <t>ramganj+laxmipur</t>
  </si>
  <si>
    <t xml:space="preserve">  As on 05 Mar, 2023</t>
  </si>
  <si>
    <t xml:space="preserve">Miscellaneous- </t>
  </si>
  <si>
    <t>Salary-</t>
  </si>
  <si>
    <t>Diesel 8017</t>
  </si>
  <si>
    <t>11-2482</t>
  </si>
  <si>
    <t>18-0509</t>
  </si>
  <si>
    <t xml:space="preserve">chawkbazar+lalmai </t>
  </si>
  <si>
    <t>mongla to kabirhat nohakhali</t>
  </si>
  <si>
    <t>24-1510</t>
  </si>
  <si>
    <t>carton</t>
  </si>
  <si>
    <t>saturia 2500//nill 100/tyre 300</t>
  </si>
  <si>
    <t>Police Monthly- Azim month of March 2023</t>
  </si>
  <si>
    <t>Rangpur to ukhiya 27000/ bogura due 500</t>
  </si>
  <si>
    <t>16-9827</t>
  </si>
  <si>
    <t>kalapur ansar</t>
  </si>
  <si>
    <t>Mobile Bill - office robi/ azim</t>
  </si>
  <si>
    <t>13-8525</t>
  </si>
  <si>
    <t>panchgaor+goalpara</t>
  </si>
  <si>
    <t>sakata to ctg challan due 1000</t>
  </si>
  <si>
    <t>14-8586</t>
  </si>
  <si>
    <t>20-7498</t>
  </si>
  <si>
    <t>Chatkhil</t>
  </si>
  <si>
    <t>11-0769</t>
  </si>
  <si>
    <t>ishwardi+pabna</t>
  </si>
  <si>
    <t>narsindi 2350/nill 100// mirpur +adabor 2100/H.o 200/ police 200</t>
  </si>
  <si>
    <t>ACI advance 1000</t>
  </si>
  <si>
    <t>shafipur+tongi 2850/l 50+100</t>
  </si>
  <si>
    <t>ibrahimpur 1800// ghulsan 1600/rwh 200</t>
  </si>
  <si>
    <t>mongla 14500</t>
  </si>
  <si>
    <t>nardda 1800</t>
  </si>
  <si>
    <t>uttara 1900/toll 100</t>
  </si>
  <si>
    <t>turag 2350</t>
  </si>
  <si>
    <t>Bhulta 1100</t>
  </si>
  <si>
    <t>11-8048</t>
  </si>
  <si>
    <t>rupshi to skata to habiganj</t>
  </si>
  <si>
    <t>habiganj 10800/s. parts 350/police 500</t>
  </si>
  <si>
    <t>ambari to dhaka to carton trip due paid 3300//ACI+asulia 3600</t>
  </si>
  <si>
    <t>RWH 5 trip 2000/nill 200</t>
  </si>
  <si>
    <t>rackkit rupshi</t>
  </si>
  <si>
    <t>rohinga camp ukhiya</t>
  </si>
  <si>
    <t>GEC+chaktai+anowara</t>
  </si>
  <si>
    <t>Speed Money- Donation to sawpan</t>
  </si>
  <si>
    <t>Narsindi 2150/nill 100</t>
  </si>
  <si>
    <t>coxsbazar due</t>
  </si>
  <si>
    <t>badda 1350</t>
  </si>
  <si>
    <t>bhulta 1100</t>
  </si>
  <si>
    <t>mirpur</t>
  </si>
  <si>
    <t>ataikula 16500// oil demurage 350//ctg due paid 1000</t>
  </si>
  <si>
    <t>reazuddinbazar+chawkbazar</t>
  </si>
  <si>
    <t>khilgaon 1250// ctg road+nitaiganj 1650</t>
  </si>
  <si>
    <t>uttara 1900/h.o 300/tyre 200/labor 100//dhanmondi 1800</t>
  </si>
  <si>
    <t>24-4886</t>
  </si>
  <si>
    <t>comilla tila ansar</t>
  </si>
  <si>
    <t>22-2536</t>
  </si>
  <si>
    <t>saltha</t>
  </si>
  <si>
    <t xml:space="preserve">B. Baria+Habiganj ansar </t>
  </si>
  <si>
    <t>kochua 5300/l 100/asulia 2 p 200 due/p 100//manikganj 4300// kochua due 200</t>
  </si>
  <si>
    <t>22-5964</t>
  </si>
  <si>
    <t>lama ansar</t>
  </si>
  <si>
    <t>20-2456</t>
  </si>
  <si>
    <t>bancharampur 4100/mymanshin due 200/oil demurage 200</t>
  </si>
  <si>
    <t>B. baria ansar 6900/l 100</t>
  </si>
  <si>
    <t>24-6841</t>
  </si>
  <si>
    <t>gauripur</t>
  </si>
  <si>
    <t>phulbari 2 point 9000/RWH 400/mirpur due 100</t>
  </si>
  <si>
    <t>11-5763</t>
  </si>
  <si>
    <t xml:space="preserve">dhamsor </t>
  </si>
  <si>
    <t>batiari</t>
  </si>
  <si>
    <t>bashkhali due</t>
  </si>
  <si>
    <t>narayanganj 2000/ tangail due 300</t>
  </si>
  <si>
    <t>Malibag 1250/p 100/oil demurage 150/ narayanganj adv 1300</t>
  </si>
  <si>
    <t>comilla+14 gram</t>
  </si>
  <si>
    <t>Coxsbazar+Teknaf</t>
  </si>
  <si>
    <t xml:space="preserve">  As on 06 Mar, 2023</t>
  </si>
  <si>
    <t>Police Monthly-</t>
  </si>
  <si>
    <t>13-4538</t>
  </si>
  <si>
    <t>Zisan Pakaging to mongla</t>
  </si>
  <si>
    <t>labor return 200/p 100</t>
  </si>
  <si>
    <t>bhairav 5400-1000 aci d=adv</t>
  </si>
  <si>
    <t>22-9189</t>
  </si>
  <si>
    <t>sherpur</t>
  </si>
  <si>
    <t>20-5775</t>
  </si>
  <si>
    <t>chowmonhi nohakhali</t>
  </si>
  <si>
    <t>electric line demurage 3500- please adjust from salary</t>
  </si>
  <si>
    <t>gazipur to mongla carton 2-3-22 14500// mongla to feni 9900/ nill 28-2-23 300/p 100/s. parts 750</t>
  </si>
  <si>
    <t>12-2626</t>
  </si>
  <si>
    <t>ambari to rupshi</t>
  </si>
  <si>
    <t>mirpur 1800/ tongi due 200/nill 200</t>
  </si>
  <si>
    <t>13-4235</t>
  </si>
  <si>
    <t>comilla to khulna 16700/kabirhat due 300</t>
  </si>
  <si>
    <t>uttara+adabor 2350/ nardda police 400</t>
  </si>
  <si>
    <t>Entertainment - BEOl staff 300</t>
  </si>
  <si>
    <t>mirpur  1800//narsindi 2150</t>
  </si>
  <si>
    <t>khulna+diginala+kaliganj 5300 due paid / jatrapur to megna due 1600</t>
  </si>
  <si>
    <t>ctg to hatabo rackit</t>
  </si>
  <si>
    <t>16-3012</t>
  </si>
  <si>
    <t>ctg to rupshi</t>
  </si>
  <si>
    <t>rangpur to coxsbazar due 1000/truck servicing 500</t>
  </si>
  <si>
    <t>13-7715</t>
  </si>
  <si>
    <t>Kartick Labor Bill due</t>
  </si>
  <si>
    <t>24-5366</t>
  </si>
  <si>
    <t>motihar</t>
  </si>
  <si>
    <t>13-2925</t>
  </si>
  <si>
    <t>Barisal</t>
  </si>
  <si>
    <t>Jatrabari 1150</t>
  </si>
  <si>
    <t>rupshi to sakata 1500// hatirpool 1800/l 100/narayanganj due 100</t>
  </si>
  <si>
    <t>chittagong ansar 11000//feni 1000</t>
  </si>
  <si>
    <t>Jhawtola</t>
  </si>
  <si>
    <t>rangpur to coxsbazar 24000/p 100</t>
  </si>
  <si>
    <t>nitaiganj 1500 all/ super board due 430</t>
  </si>
  <si>
    <t>banshkhali</t>
  </si>
  <si>
    <t>toll 350/ extra diesel 100</t>
  </si>
  <si>
    <t>ramganj+hatiya</t>
  </si>
  <si>
    <t>15-2607</t>
  </si>
  <si>
    <t>carton mongla</t>
  </si>
  <si>
    <t>muradpur+zeropoint 1380</t>
  </si>
  <si>
    <t>newmarket+b. bazar 2100// kaptanbazar 1700 all</t>
  </si>
  <si>
    <t>18-4995</t>
  </si>
  <si>
    <t>tarakanda</t>
  </si>
  <si>
    <t>11-1412</t>
  </si>
  <si>
    <t>rangpur</t>
  </si>
  <si>
    <t>azampur 2000</t>
  </si>
  <si>
    <t>11-2456</t>
  </si>
  <si>
    <t>bagmara+godagari+gurudaspur</t>
  </si>
  <si>
    <t>15-9506</t>
  </si>
  <si>
    <t>poradah+alomdanga</t>
  </si>
  <si>
    <t>feni 10200/ ansar due 1000</t>
  </si>
  <si>
    <t>dinajpur 18600// RWH 400</t>
  </si>
  <si>
    <t>22-3056</t>
  </si>
  <si>
    <t>20-1962</t>
  </si>
  <si>
    <t>sirajganj</t>
  </si>
  <si>
    <t>fullbaria due</t>
  </si>
  <si>
    <t>muktagasa 7500/s. parts 300</t>
  </si>
  <si>
    <t>14-6351</t>
  </si>
  <si>
    <t>basundiya+jessore</t>
  </si>
  <si>
    <t>20-5955</t>
  </si>
  <si>
    <t>potiya+chokoria</t>
  </si>
  <si>
    <t>aziznagar due</t>
  </si>
  <si>
    <t>megna 1500//lahujong 2500</t>
  </si>
  <si>
    <t>nawabganj 5000/jamalpur due 100/nill 300</t>
  </si>
  <si>
    <t>debidhar+14 gram+comilla 11000//s. parts 330</t>
  </si>
  <si>
    <t>kawranbazar ad 1000// nayarhat 2900</t>
  </si>
  <si>
    <t>jessore police 17100/megna to rupshi 1600</t>
  </si>
  <si>
    <t>n. ganj 2p due 450/rwh 200/ police 300/ harirampur 4300</t>
  </si>
  <si>
    <t>mirpur 1800/police 100// tongi 2100</t>
  </si>
  <si>
    <t>chandpur+faridganj 7600</t>
  </si>
  <si>
    <t xml:space="preserve">  As on 07 Mar, 2023</t>
  </si>
  <si>
    <t>13-3096</t>
  </si>
  <si>
    <t>ctg to madovdhi 1-3-23</t>
  </si>
  <si>
    <t>ctg to narsingdi 1-3-23</t>
  </si>
  <si>
    <t>Prokash - loan refund</t>
  </si>
  <si>
    <t>Kartick Labor</t>
  </si>
  <si>
    <t>13-5014</t>
  </si>
  <si>
    <t>Mongla challan due</t>
  </si>
  <si>
    <t>N.ganj unload labor 500</t>
  </si>
  <si>
    <t>sitakundu 10500/ fayaslake ansar 1000</t>
  </si>
  <si>
    <t>Speed Money- Donation 6000</t>
  </si>
  <si>
    <t>rupshi to megna 1500/ansar due 200/nill 300</t>
  </si>
  <si>
    <t>nitaiganj n. ganj 1600</t>
  </si>
  <si>
    <t>companiganj devidawr 7000</t>
  </si>
  <si>
    <t>Office- 3rd floor office cleanner 1500//entertainment 230</t>
  </si>
  <si>
    <t>14-3517</t>
  </si>
  <si>
    <t>N. ganj 1800/l 100/nill 200/challan due 100</t>
  </si>
  <si>
    <t>CNB ctg due</t>
  </si>
  <si>
    <t>reazuddinbazar</t>
  </si>
  <si>
    <t>ismail conveyance for 13-5700// 13-6692</t>
  </si>
  <si>
    <t>11-7525</t>
  </si>
  <si>
    <t>agrabad ctg</t>
  </si>
  <si>
    <t>hathazari+ranirhat</t>
  </si>
  <si>
    <t>satkhira</t>
  </si>
  <si>
    <t>11-7015</t>
  </si>
  <si>
    <t>mohammodpur 1800//kawranbazar due 300/l 50police 300/p 50/tyre 250+250</t>
  </si>
  <si>
    <t>11-0357</t>
  </si>
  <si>
    <t>manikchori khagrachori ansar</t>
  </si>
  <si>
    <t>turag 1000 adv+due paid 1050/Rampura to H.O 300/oil demurge 150</t>
  </si>
  <si>
    <t>vatara+mohammodpur 2100</t>
  </si>
  <si>
    <t>pabna taikula due 1400/extra labor 200/challan 200</t>
  </si>
  <si>
    <t>11-6548</t>
  </si>
  <si>
    <t>Laxmipur</t>
  </si>
  <si>
    <t>24-5685</t>
  </si>
  <si>
    <t>ramganj+ramgoti</t>
  </si>
  <si>
    <t>mongla to kochua+kabirhat</t>
  </si>
  <si>
    <t>mongla to senbag +subornachar</t>
  </si>
  <si>
    <t>magura</t>
  </si>
  <si>
    <t>11-0930</t>
  </si>
  <si>
    <t>jessore 17100</t>
  </si>
  <si>
    <t>mongla to mirersarai+sandwip 17100// savar to gazipur extra 600</t>
  </si>
  <si>
    <t>vatara BFC+beraid 1900/RWH 200</t>
  </si>
  <si>
    <t>sakata to uttara 4700/p 100</t>
  </si>
  <si>
    <t>najimuddin road+keraniganj+hasnabad 2150</t>
  </si>
  <si>
    <t>kisoreganj 6600//p 100</t>
  </si>
  <si>
    <t>13-8081</t>
  </si>
  <si>
    <t>daulotdiya+pangsha</t>
  </si>
  <si>
    <t>13-5538</t>
  </si>
  <si>
    <t>nillphamarai+panchgaor</t>
  </si>
  <si>
    <t>15-8126</t>
  </si>
  <si>
    <t>gurudaspur+natore</t>
  </si>
  <si>
    <t>lauhojong due 500/ kawranbazar 1500</t>
  </si>
  <si>
    <t>11-5802</t>
  </si>
  <si>
    <t>gopalganj+kotalipara</t>
  </si>
  <si>
    <t>rupshi to sakata to mawna  6600// b. baria due 100/sirajdhikhan due 200/toll 100/city due 100</t>
  </si>
  <si>
    <t>azadibazar</t>
  </si>
  <si>
    <t>Fakirhat+nirala 17200/l 100//nill 300</t>
  </si>
  <si>
    <t>Manikganj due 200/faridganj due 200/extra 250</t>
  </si>
  <si>
    <t>13-6110</t>
  </si>
  <si>
    <t>burirhat+mithapukur</t>
  </si>
  <si>
    <t>22-8968</t>
  </si>
  <si>
    <t>kustiya</t>
  </si>
  <si>
    <t>sunamganj+sunamganj ansar</t>
  </si>
  <si>
    <t>11-3300</t>
  </si>
  <si>
    <t>Faridpur</t>
  </si>
  <si>
    <t>nitaiganj 1500</t>
  </si>
  <si>
    <t>20-5575</t>
  </si>
  <si>
    <t>feni+guimara khagrachori ansar</t>
  </si>
  <si>
    <t>11-7772</t>
  </si>
  <si>
    <t>Chittagong ansar</t>
  </si>
  <si>
    <t>lohagora</t>
  </si>
  <si>
    <t>Rangunia</t>
  </si>
  <si>
    <t>coxsbazar Ansar</t>
  </si>
  <si>
    <t>bandarbon ansar</t>
  </si>
  <si>
    <t>sreebordi 11100//nill 200</t>
  </si>
  <si>
    <t>12-1135</t>
  </si>
  <si>
    <t>ghulsan 1600</t>
  </si>
  <si>
    <t>gaibandha 18100</t>
  </si>
  <si>
    <t xml:space="preserve">khulna </t>
  </si>
  <si>
    <t>20-8013</t>
  </si>
  <si>
    <t>sulok+ramu ansar</t>
  </si>
  <si>
    <t>muktagasa due 100/ chakbazar+bagmara due 1000// b. baria 5600</t>
  </si>
  <si>
    <t>eidgaon</t>
  </si>
  <si>
    <t xml:space="preserve">  As on 08 Mar, 2023</t>
  </si>
  <si>
    <t>Speed Money-</t>
  </si>
  <si>
    <t>15-3022</t>
  </si>
  <si>
    <t>Zisan pakaging gazipur to mongla 1-3-23</t>
  </si>
  <si>
    <t>mongla to laxmipur+ramgati 12800</t>
  </si>
  <si>
    <t>ambari to anowara 19200- 1500 advance from ambari= 17700</t>
  </si>
  <si>
    <t>Conveyance- afzal</t>
  </si>
  <si>
    <t>20-6131</t>
  </si>
  <si>
    <t>feni+comilla tila khagrachori</t>
  </si>
  <si>
    <t>20-7946</t>
  </si>
  <si>
    <t xml:space="preserve">kotchandpur jhenaidha+gangni </t>
  </si>
  <si>
    <t>12-2565</t>
  </si>
  <si>
    <t>Office- Store room rent 4500</t>
  </si>
  <si>
    <t>comilla to khulna 17700/comilla due 200/nill 200</t>
  </si>
  <si>
    <t>adabor 1700/police 300</t>
  </si>
  <si>
    <t>13-4540</t>
  </si>
  <si>
    <t>beol 1000/nill 400/p 100/ police 1000(jalil)</t>
  </si>
  <si>
    <t xml:space="preserve">baisteki 1900/labor food 200/labor return 100// </t>
  </si>
  <si>
    <t>11-9331</t>
  </si>
  <si>
    <t>azadibazar+fatikchori</t>
  </si>
  <si>
    <t>Spare Driver- salary 3300// nill 800 elias</t>
  </si>
  <si>
    <t>mohammodpur+zigatola 2000/tongi due 100/H.o 100/chada 100/tyre 200+200</t>
  </si>
  <si>
    <t>kamlakanda+durgapur 11000//nill 200</t>
  </si>
  <si>
    <t>11-4241</t>
  </si>
  <si>
    <t>rupshi to sakata to habiganj 10800/truck servicing 500/ mongla to rajsahi due 2200</t>
  </si>
  <si>
    <t>rupshi to sakata to habiganj 10800</t>
  </si>
  <si>
    <t>azimpur 1850/nill 100</t>
  </si>
  <si>
    <t>13-5960</t>
  </si>
  <si>
    <t>khulna 17700</t>
  </si>
  <si>
    <t>15-2160</t>
  </si>
  <si>
    <t>borhanuddin+charfasion+lalmohon</t>
  </si>
  <si>
    <t>11-8995</t>
  </si>
  <si>
    <t>pirojpur+patharghata</t>
  </si>
  <si>
    <t>sitakundu+pahartoli</t>
  </si>
  <si>
    <t>chinikhora+faridpur+chatmohor</t>
  </si>
  <si>
    <t>eidgaon+ramu</t>
  </si>
  <si>
    <t>chaktai+rangamati</t>
  </si>
  <si>
    <t>potiya</t>
  </si>
  <si>
    <t>bandarbon police</t>
  </si>
  <si>
    <t>22-3494</t>
  </si>
  <si>
    <t>kaliganj+sailkupa+moheshpur</t>
  </si>
  <si>
    <t>badda 1250/ H.O from rampura 300/ Basundhara+khilgaon 1900/l 100/narsindi 2150</t>
  </si>
  <si>
    <t>mirpur 1800/nill 100</t>
  </si>
  <si>
    <t>mirpur+m. bazar 1950/toll 100/rwh 200/nill 200</t>
  </si>
  <si>
    <t>shibchar 10500/reazuddinbazar 1000</t>
  </si>
  <si>
    <t>ACI tejgaon 2000</t>
  </si>
  <si>
    <t>Pabna ansar</t>
  </si>
  <si>
    <t>24-5186</t>
  </si>
  <si>
    <t>khagrachori ansar</t>
  </si>
  <si>
    <t>malibag 1400// araihazar 1500</t>
  </si>
  <si>
    <t>mirpur 1800/rampura to h.o 600// nardda 1800/extra diesel 100/oil demurage 200/police 100// M. bazar 1500</t>
  </si>
  <si>
    <t>Kamarpara 2100</t>
  </si>
  <si>
    <t>kawranbazar 2point 1700</t>
  </si>
  <si>
    <t>dakkhinkhan 2000// kafrul 1600</t>
  </si>
  <si>
    <t>13-2516</t>
  </si>
  <si>
    <t>bhanga+saltha</t>
  </si>
  <si>
    <t>konabari+mawna 5500</t>
  </si>
  <si>
    <t>16-9468</t>
  </si>
  <si>
    <t>kobirhat</t>
  </si>
  <si>
    <t>18-1078</t>
  </si>
  <si>
    <t>nagarbarighat</t>
  </si>
  <si>
    <t>comilla 2 point</t>
  </si>
  <si>
    <t>13-4664</t>
  </si>
  <si>
    <t>nawabganj+parbotipur+thakurgaon</t>
  </si>
  <si>
    <t>jamgora 3100// narayanganj due 200</t>
  </si>
  <si>
    <t>rajbari+jikorgasa+jessore  20000/ megna due 1600</t>
  </si>
  <si>
    <t>laxmipur+senbag</t>
  </si>
  <si>
    <t>shahrasti+chandpur</t>
  </si>
  <si>
    <t>savar 2 point 3600/b. baria due 200</t>
  </si>
  <si>
    <t>sutrapur police 1800/challan 200// munshiganj+sirajdhikhan 4000 adv</t>
  </si>
  <si>
    <t>16-4709</t>
  </si>
  <si>
    <t>mymanshing+nalitabari ansar</t>
  </si>
  <si>
    <t>azampur 1900/nill 100/manikganj 3500</t>
  </si>
  <si>
    <t>11-5145</t>
  </si>
  <si>
    <t>laksham+mohonganj</t>
  </si>
  <si>
    <t>nawabganj 1350/extra diesel 150/bridge 130/police 100// Megulia bazar 3500</t>
  </si>
  <si>
    <t>chandpur ansar 5000</t>
  </si>
  <si>
    <t>kuti 8000</t>
  </si>
  <si>
    <t>Miscellaneous- conveyance 200+others 370 office perpose</t>
  </si>
  <si>
    <t xml:space="preserve">  As on 09 Mar, 2023</t>
  </si>
  <si>
    <t>jamalpur to gauripur</t>
  </si>
  <si>
    <t>Gazi Sir - meeting with samuda chemical GM</t>
  </si>
  <si>
    <t>ambari to chokoria+aziznagar 23600// mongla to rangpur TCB due 2000// ctg to comilla due 1300nill 600 27500-2000 adv= 25500</t>
  </si>
  <si>
    <t>power oil+s. parts 900/tyre 300</t>
  </si>
  <si>
    <t>bogura+kahalu+sariakandi</t>
  </si>
  <si>
    <t>Office- ismail &amp; jalil home rent 3500/ security guard home rent 3000</t>
  </si>
  <si>
    <t>Jamalpur down trip  1000/ sutrapur police 1600/challan due 200/nill 200</t>
  </si>
  <si>
    <t>senbag nohakhali adv 2000</t>
  </si>
  <si>
    <t>tongi+gazipur  4500/deibdawr due 200/ jatrabari due 400/RWH 400</t>
  </si>
  <si>
    <t>ambari to shibpur+belabo to rupshi due 4100</t>
  </si>
  <si>
    <t>jhawtola 10000//sitakundu 1000</t>
  </si>
  <si>
    <t>mirpur 1800challan 50/extra 200</t>
  </si>
  <si>
    <t>turag 2050/ N. Ganj+siddirganj 1450</t>
  </si>
  <si>
    <t>14-1441</t>
  </si>
  <si>
    <t>rajsahi ansar</t>
  </si>
  <si>
    <t>BNN carton 800/bridge 100/police 300</t>
  </si>
  <si>
    <t>16-6177</t>
  </si>
  <si>
    <t>Charvadrasen</t>
  </si>
  <si>
    <t>11-1526</t>
  </si>
  <si>
    <t>shibchar+saltha faridpur</t>
  </si>
  <si>
    <t>Labor- empty carton unload</t>
  </si>
  <si>
    <t>16-9201</t>
  </si>
  <si>
    <t>rajsahi+chapainawabganj</t>
  </si>
  <si>
    <t>mizan6291</t>
  </si>
  <si>
    <t>tekerhat</t>
  </si>
  <si>
    <t>asulia 4600/l 100</t>
  </si>
  <si>
    <t>15-4019</t>
  </si>
  <si>
    <t>lohagora+jessore</t>
  </si>
  <si>
    <t>11-0948</t>
  </si>
  <si>
    <t>khagrachori Ansar</t>
  </si>
  <si>
    <t>18-1550</t>
  </si>
  <si>
    <t>18-4893</t>
  </si>
  <si>
    <t>madaripur</t>
  </si>
  <si>
    <t>Dhanmondi 1900</t>
  </si>
  <si>
    <t>savar due 200/toll 200</t>
  </si>
  <si>
    <t>24-8353</t>
  </si>
  <si>
    <t>Baghmaar+Natore</t>
  </si>
  <si>
    <t>Patuakhali+Mohipur+Borguna</t>
  </si>
  <si>
    <t>11-0193</t>
  </si>
  <si>
    <t>Charghat+Boalia</t>
  </si>
  <si>
    <t>18-4222</t>
  </si>
  <si>
    <t>lalmonirhat+Kurigram</t>
  </si>
  <si>
    <t>turag 2150// Asulia 2500</t>
  </si>
  <si>
    <t>18-2629</t>
  </si>
  <si>
    <t>Pahartoli+cnb</t>
  </si>
  <si>
    <t>11-7394</t>
  </si>
  <si>
    <t>Rangunia+agrabad</t>
  </si>
  <si>
    <t>tongi 2400</t>
  </si>
  <si>
    <t>uttara 2100</t>
  </si>
  <si>
    <t>Dhanmondi 1950</t>
  </si>
  <si>
    <t>ctg ansar</t>
  </si>
  <si>
    <t>kawranbazar 1650/ extra diesel 200// Vasantech 1900</t>
  </si>
  <si>
    <t>Manikganj due 400// Mirpur 1800</t>
  </si>
  <si>
    <t>mongla 14500/l 100/toll 100</t>
  </si>
  <si>
    <t>ACI Tejgaon 2000//rupshi to megna to jurain 3300/nill 200</t>
  </si>
  <si>
    <t>Kuti due 200/extra toll 400// B. baria 6500/nill 200/dohar due 100</t>
  </si>
  <si>
    <t>Khilgaon 1250</t>
  </si>
  <si>
    <t>Bansree 1150/police 100// Khilgaon 1300</t>
  </si>
  <si>
    <t>Kawranbazar+zigatola 2100// mirpur 1800/nill 100</t>
  </si>
  <si>
    <t xml:space="preserve">Sherpur </t>
  </si>
  <si>
    <t>rackit from handi market 1200/nill 300/ prime pusti to ukhiya due 1500// Akhaura 8000</t>
  </si>
  <si>
    <t>konabari due 100/bridge 100/RWH 300// kaliganj 3000</t>
  </si>
  <si>
    <t>13-7716</t>
  </si>
  <si>
    <t>N. ganj 1500// M. bazar labor 800// M. vazar 1500</t>
  </si>
  <si>
    <t>chawkbazar+lalmai</t>
  </si>
  <si>
    <t>18-4708</t>
  </si>
  <si>
    <t>Compnaiganj</t>
  </si>
  <si>
    <t>konabari+kaliakoir+fullbaria 5600</t>
  </si>
  <si>
    <t>Bagherhat police</t>
  </si>
  <si>
    <t>Aziznagar+chokoria</t>
  </si>
  <si>
    <t>munshiganj+sirajdhikhan 600 due// megulia bazar 4200</t>
  </si>
  <si>
    <t>bonkuri+singair 3500+due 650//bandura 3400</t>
  </si>
  <si>
    <t>Shibpur 4000</t>
  </si>
  <si>
    <t>Conveyance- tarabo 2 times</t>
  </si>
  <si>
    <t xml:space="preserve">  As on 10 Mar, 2023</t>
  </si>
  <si>
    <t>Gazi Sir - Meeting with Proprietor &amp; Samuda's GM</t>
  </si>
  <si>
    <t>sreenagar 4700</t>
  </si>
  <si>
    <t>mymanshing 6700</t>
  </si>
  <si>
    <t>mongla to sherpur</t>
  </si>
  <si>
    <t>feni 10000// RSPL challan 100</t>
  </si>
  <si>
    <t>20-8928</t>
  </si>
  <si>
    <t>Dinajpur rice</t>
  </si>
  <si>
    <t>Mirpur 1800/ police 500 (20-1791= 250 &amp; 13-7079=250)</t>
  </si>
  <si>
    <t>13-1306</t>
  </si>
  <si>
    <t>Gauripur+comilla 6200</t>
  </si>
  <si>
    <t>mongla to chairman ghat to comilla due 5300//Comilla to jessore 18000</t>
  </si>
  <si>
    <t>11-2403</t>
  </si>
  <si>
    <t>rajbari</t>
  </si>
  <si>
    <t>kutubdia+lama</t>
  </si>
  <si>
    <t>GEC 10000// unload labor 2555</t>
  </si>
  <si>
    <t>boalkhali</t>
  </si>
  <si>
    <t>Shajahan kanchpur challan due paid</t>
  </si>
  <si>
    <t>18-3997</t>
  </si>
  <si>
    <t>Bagda+bawfal</t>
  </si>
  <si>
    <t>18-8583</t>
  </si>
  <si>
    <t>Borhanuddin</t>
  </si>
  <si>
    <t>agrabad 10500/challan due 1000</t>
  </si>
  <si>
    <t>dakkhinkhan 1900//nill 100// polash  2point 2300</t>
  </si>
  <si>
    <t>kawranbazar 1350/chada+police 150/H.O 200</t>
  </si>
  <si>
    <t>11-2970</t>
  </si>
  <si>
    <t>kumarkhali+kustia+chuadanga</t>
  </si>
  <si>
    <t>Conveyance- miraz</t>
  </si>
  <si>
    <t>S. parts 300+2800/nill 300</t>
  </si>
  <si>
    <t>boalia+godagari</t>
  </si>
  <si>
    <t>16-4705</t>
  </si>
  <si>
    <t>shariotpur</t>
  </si>
  <si>
    <t>sherpur+sonatola+shibganj</t>
  </si>
  <si>
    <t>20-1790</t>
  </si>
  <si>
    <t>khulna 15000/ rupshi to sakata 1000/due  200</t>
  </si>
  <si>
    <t>13-3095</t>
  </si>
  <si>
    <t>S. parts 650+600</t>
  </si>
  <si>
    <t>tongi 2200// kawranbazar 1350/police+parking 100/chada 50</t>
  </si>
  <si>
    <t>hatirpool 2100/police 200</t>
  </si>
  <si>
    <t>20-7896</t>
  </si>
  <si>
    <t>laxmipur</t>
  </si>
  <si>
    <t>18-4625</t>
  </si>
  <si>
    <t>20-0176</t>
  </si>
  <si>
    <t>ACI tejgaon 2300</t>
  </si>
  <si>
    <t>uttara+ghulsan 2050/ labor food 150// Munshiganj 2600</t>
  </si>
  <si>
    <t>Natunbazar 1600// Adabor 1700</t>
  </si>
  <si>
    <t>Adabor 1700</t>
  </si>
  <si>
    <t>mohadevpur+patnitola+joypurhat</t>
  </si>
  <si>
    <t>shibpur 2900</t>
  </si>
  <si>
    <t>Madovdhi 1650/RWH 200</t>
  </si>
  <si>
    <t>Basila 1950/h.o 100</t>
  </si>
  <si>
    <t>11-2549</t>
  </si>
  <si>
    <t>Jhenaidha+Saulotpur</t>
  </si>
  <si>
    <t>Coxsbazar Ansar</t>
  </si>
  <si>
    <t>jamalpur+melendha 12600//BEOL to sakat to borpa 2150// RWH 400/police 200</t>
  </si>
  <si>
    <t>lalmatia 1800/dhanmondi 1800/h.o 100/city due 200</t>
  </si>
  <si>
    <t>muradpur 1300</t>
  </si>
  <si>
    <t>15-5765</t>
  </si>
  <si>
    <t>Navaran Ansar</t>
  </si>
  <si>
    <t>zigatola+kamrangirchar 2400 all</t>
  </si>
  <si>
    <t>22-0587</t>
  </si>
  <si>
    <t>comilla</t>
  </si>
  <si>
    <t>savar 5100/bridge 300</t>
  </si>
  <si>
    <t>dohar due 200</t>
  </si>
  <si>
    <t>Accident with private car 12000 (salary adjust)</t>
  </si>
  <si>
    <t>jamgora 4500//sakata nill 300/bridge 100/tyre 500</t>
  </si>
  <si>
    <t>Tangail+ghatail+nagarpur 11000</t>
  </si>
  <si>
    <t>Sherpur 13400// jatrapur to megna 1600</t>
  </si>
  <si>
    <t>Ctg due 1000// dairy farm+dhamsona 5000</t>
  </si>
  <si>
    <t>gaibandha+sayedpur</t>
  </si>
  <si>
    <t>satkania+eidgaon</t>
  </si>
  <si>
    <t>badda 1400// shantinagar 1500</t>
  </si>
  <si>
    <t>Narsingdi 2600/nill 200// Megna+hajiganj 6800/narsindi due 100</t>
  </si>
  <si>
    <t>bormi 6500</t>
  </si>
  <si>
    <t>Office-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</si>
</sst>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color theme="1" tint="4.9989318521683403E-2"/>
      <name val="Arial"/>
      <family val="2"/>
    </font>
    <font>
      <sz val="12"/>
      <name val="Times New Roman"/>
      <family val="1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color rgb="FFFF0000"/>
      <name val="Arial"/>
      <family val="2"/>
    </font>
    <font>
      <b/>
      <sz val="18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217">
    <xf numFmtId="0" fontId="0" fillId="0" borderId="0" xfId="0"/>
    <xf numFmtId="43" fontId="2" fillId="0" borderId="0" xfId="0" applyNumberFormat="1" applyFont="1" applyAlignment="1">
      <alignment horizontal="center"/>
    </xf>
    <xf numFmtId="43" fontId="2" fillId="0" borderId="0" xfId="1" applyFont="1" applyFill="1" applyBorder="1"/>
    <xf numFmtId="43" fontId="2" fillId="0" borderId="0" xfId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43" fontId="4" fillId="0" borderId="0" xfId="1" applyFont="1" applyFill="1" applyBorder="1"/>
    <xf numFmtId="43" fontId="4" fillId="0" borderId="0" xfId="1" applyFont="1" applyFill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49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43" fontId="7" fillId="0" borderId="0" xfId="1" applyFont="1" applyFill="1" applyBorder="1" applyAlignment="1"/>
    <xf numFmtId="37" fontId="5" fillId="0" borderId="10" xfId="0" applyNumberFormat="1" applyFont="1" applyBorder="1"/>
    <xf numFmtId="43" fontId="5" fillId="0" borderId="7" xfId="1" applyFont="1" applyFill="1" applyBorder="1" applyAlignment="1"/>
    <xf numFmtId="37" fontId="5" fillId="0" borderId="13" xfId="0" applyNumberFormat="1" applyFont="1" applyBorder="1" applyAlignment="1">
      <alignment horizontal="right" vertical="center"/>
    </xf>
    <xf numFmtId="37" fontId="5" fillId="0" borderId="0" xfId="0" applyNumberFormat="1" applyFont="1" applyAlignment="1">
      <alignment horizontal="right" vertical="center"/>
    </xf>
    <xf numFmtId="49" fontId="4" fillId="0" borderId="14" xfId="1" applyNumberFormat="1" applyFont="1" applyFill="1" applyBorder="1" applyAlignment="1">
      <alignment horizontal="center"/>
    </xf>
    <xf numFmtId="0" fontId="4" fillId="0" borderId="15" xfId="1" applyNumberFormat="1" applyFont="1" applyFill="1" applyBorder="1"/>
    <xf numFmtId="37" fontId="4" fillId="0" borderId="12" xfId="1" applyNumberFormat="1" applyFont="1" applyFill="1" applyBorder="1" applyAlignment="1"/>
    <xf numFmtId="0" fontId="5" fillId="0" borderId="10" xfId="0" applyFont="1" applyBorder="1" applyAlignment="1">
      <alignment horizontal="center"/>
    </xf>
    <xf numFmtId="3" fontId="4" fillId="0" borderId="1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49" fontId="4" fillId="0" borderId="16" xfId="1" applyNumberFormat="1" applyFont="1" applyFill="1" applyBorder="1" applyAlignment="1">
      <alignment horizontal="center"/>
    </xf>
    <xf numFmtId="0" fontId="8" fillId="0" borderId="17" xfId="0" applyFont="1" applyBorder="1"/>
    <xf numFmtId="164" fontId="4" fillId="0" borderId="18" xfId="1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49" fontId="9" fillId="0" borderId="17" xfId="0" applyNumberFormat="1" applyFont="1" applyBorder="1"/>
    <xf numFmtId="0" fontId="4" fillId="0" borderId="20" xfId="0" applyFont="1" applyBorder="1" applyAlignment="1">
      <alignment horizontal="left"/>
    </xf>
    <xf numFmtId="164" fontId="4" fillId="2" borderId="21" xfId="1" applyNumberFormat="1" applyFont="1" applyFill="1" applyBorder="1" applyAlignment="1">
      <alignment horizontal="center"/>
    </xf>
    <xf numFmtId="49" fontId="4" fillId="2" borderId="22" xfId="1" applyNumberFormat="1" applyFont="1" applyFill="1" applyBorder="1" applyAlignment="1">
      <alignment horizontal="center"/>
    </xf>
    <xf numFmtId="14" fontId="4" fillId="0" borderId="23" xfId="0" applyNumberFormat="1" applyFont="1" applyBorder="1"/>
    <xf numFmtId="164" fontId="4" fillId="2" borderId="24" xfId="1" applyNumberFormat="1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49" fontId="9" fillId="0" borderId="26" xfId="0" applyNumberFormat="1" applyFont="1" applyBorder="1"/>
    <xf numFmtId="17" fontId="10" fillId="0" borderId="27" xfId="0" applyNumberFormat="1" applyFont="1" applyBorder="1" applyAlignment="1">
      <alignment horizontal="left"/>
    </xf>
    <xf numFmtId="164" fontId="4" fillId="0" borderId="28" xfId="1" applyNumberFormat="1" applyFont="1" applyFill="1" applyBorder="1" applyAlignment="1"/>
    <xf numFmtId="0" fontId="4" fillId="0" borderId="27" xfId="0" applyFont="1" applyBorder="1" applyAlignment="1">
      <alignment horizontal="left"/>
    </xf>
    <xf numFmtId="164" fontId="4" fillId="0" borderId="28" xfId="1" applyNumberFormat="1" applyFont="1" applyFill="1" applyBorder="1" applyAlignment="1">
      <alignment horizontal="center"/>
    </xf>
    <xf numFmtId="164" fontId="4" fillId="2" borderId="28" xfId="1" applyNumberFormat="1" applyFont="1" applyFill="1" applyBorder="1" applyAlignment="1">
      <alignment horizontal="center"/>
    </xf>
    <xf numFmtId="49" fontId="4" fillId="0" borderId="22" xfId="1" applyNumberFormat="1" applyFont="1" applyFill="1" applyBorder="1" applyAlignment="1">
      <alignment horizontal="center"/>
    </xf>
    <xf numFmtId="164" fontId="4" fillId="0" borderId="24" xfId="1" applyNumberFormat="1" applyFont="1" applyFill="1" applyBorder="1" applyAlignment="1">
      <alignment horizontal="center"/>
    </xf>
    <xf numFmtId="14" fontId="4" fillId="0" borderId="27" xfId="0" applyNumberFormat="1" applyFont="1" applyBorder="1" applyAlignment="1">
      <alignment horizontal="left"/>
    </xf>
    <xf numFmtId="164" fontId="4" fillId="0" borderId="0" xfId="1" applyNumberFormat="1" applyFont="1" applyFill="1" applyBorder="1" applyAlignment="1"/>
    <xf numFmtId="0" fontId="4" fillId="0" borderId="23" xfId="0" applyFont="1" applyBorder="1"/>
    <xf numFmtId="43" fontId="4" fillId="0" borderId="0" xfId="1" applyFont="1" applyFill="1" applyBorder="1" applyAlignment="1">
      <alignment horizontal="left"/>
    </xf>
    <xf numFmtId="0" fontId="10" fillId="0" borderId="27" xfId="0" applyFont="1" applyBorder="1" applyAlignment="1">
      <alignment horizontal="left"/>
    </xf>
    <xf numFmtId="165" fontId="4" fillId="0" borderId="22" xfId="1" applyNumberFormat="1" applyFont="1" applyFill="1" applyBorder="1" applyAlignment="1">
      <alignment horizontal="center"/>
    </xf>
    <xf numFmtId="164" fontId="4" fillId="2" borderId="28" xfId="1" applyNumberFormat="1" applyFont="1" applyFill="1" applyBorder="1" applyAlignment="1"/>
    <xf numFmtId="0" fontId="10" fillId="0" borderId="27" xfId="0" applyFont="1" applyBorder="1"/>
    <xf numFmtId="14" fontId="4" fillId="0" borderId="27" xfId="0" applyNumberFormat="1" applyFont="1" applyBorder="1"/>
    <xf numFmtId="0" fontId="4" fillId="0" borderId="27" xfId="0" applyFont="1" applyBorder="1"/>
    <xf numFmtId="49" fontId="9" fillId="0" borderId="29" xfId="0" applyNumberFormat="1" applyFont="1" applyBorder="1"/>
    <xf numFmtId="0" fontId="10" fillId="0" borderId="30" xfId="0" applyFont="1" applyBorder="1"/>
    <xf numFmtId="164" fontId="4" fillId="0" borderId="31" xfId="1" applyNumberFormat="1" applyFont="1" applyFill="1" applyBorder="1" applyAlignment="1"/>
    <xf numFmtId="0" fontId="10" fillId="0" borderId="20" xfId="0" applyFont="1" applyBorder="1"/>
    <xf numFmtId="164" fontId="4" fillId="0" borderId="21" xfId="1" applyNumberFormat="1" applyFont="1" applyFill="1" applyBorder="1" applyAlignment="1"/>
    <xf numFmtId="0" fontId="4" fillId="0" borderId="20" xfId="0" applyFont="1" applyBorder="1"/>
    <xf numFmtId="0" fontId="4" fillId="0" borderId="30" xfId="0" applyFont="1" applyBorder="1"/>
    <xf numFmtId="164" fontId="4" fillId="2" borderId="31" xfId="1" applyNumberFormat="1" applyFont="1" applyFill="1" applyBorder="1" applyAlignment="1">
      <alignment horizontal="center"/>
    </xf>
    <xf numFmtId="49" fontId="9" fillId="0" borderId="23" xfId="0" applyNumberFormat="1" applyFont="1" applyBorder="1"/>
    <xf numFmtId="164" fontId="4" fillId="2" borderId="32" xfId="1" applyNumberFormat="1" applyFont="1" applyFill="1" applyBorder="1" applyAlignment="1">
      <alignment horizontal="center"/>
    </xf>
    <xf numFmtId="0" fontId="4" fillId="0" borderId="27" xfId="1" applyNumberFormat="1" applyFont="1" applyFill="1" applyBorder="1" applyAlignment="1">
      <alignment horizontal="left"/>
    </xf>
    <xf numFmtId="0" fontId="11" fillId="0" borderId="0" xfId="0" applyFont="1"/>
    <xf numFmtId="0" fontId="10" fillId="0" borderId="28" xfId="0" applyFont="1" applyBorder="1" applyAlignment="1">
      <alignment horizontal="right"/>
    </xf>
    <xf numFmtId="0" fontId="11" fillId="0" borderId="33" xfId="0" applyFont="1" applyBorder="1"/>
    <xf numFmtId="164" fontId="4" fillId="0" borderId="34" xfId="1" applyNumberFormat="1" applyFont="1" applyFill="1" applyBorder="1" applyAlignment="1"/>
    <xf numFmtId="165" fontId="4" fillId="0" borderId="35" xfId="1" applyNumberFormat="1" applyFont="1" applyFill="1" applyBorder="1" applyAlignment="1">
      <alignment horizontal="center"/>
    </xf>
    <xf numFmtId="14" fontId="4" fillId="0" borderId="36" xfId="0" applyNumberFormat="1" applyFont="1" applyBorder="1"/>
    <xf numFmtId="164" fontId="4" fillId="0" borderId="37" xfId="1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/>
    </xf>
    <xf numFmtId="49" fontId="9" fillId="0" borderId="39" xfId="0" applyNumberFormat="1" applyFont="1" applyBorder="1"/>
    <xf numFmtId="0" fontId="10" fillId="0" borderId="33" xfId="0" applyFont="1" applyBorder="1"/>
    <xf numFmtId="165" fontId="4" fillId="0" borderId="40" xfId="1" applyNumberFormat="1" applyFont="1" applyFill="1" applyBorder="1" applyAlignment="1">
      <alignment horizontal="center"/>
    </xf>
    <xf numFmtId="164" fontId="4" fillId="0" borderId="41" xfId="1" applyNumberFormat="1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49" fontId="4" fillId="0" borderId="17" xfId="0" applyNumberFormat="1" applyFont="1" applyBorder="1"/>
    <xf numFmtId="0" fontId="12" fillId="0" borderId="20" xfId="0" applyFont="1" applyBorder="1"/>
    <xf numFmtId="164" fontId="4" fillId="0" borderId="27" xfId="1" applyNumberFormat="1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49" fontId="4" fillId="0" borderId="26" xfId="0" applyNumberFormat="1" applyFont="1" applyBorder="1"/>
    <xf numFmtId="0" fontId="11" fillId="0" borderId="27" xfId="0" applyFont="1" applyBorder="1"/>
    <xf numFmtId="49" fontId="4" fillId="0" borderId="39" xfId="0" applyNumberFormat="1" applyFont="1" applyBorder="1"/>
    <xf numFmtId="0" fontId="4" fillId="0" borderId="35" xfId="0" applyFont="1" applyBorder="1" applyAlignment="1">
      <alignment horizontal="center"/>
    </xf>
    <xf numFmtId="49" fontId="4" fillId="0" borderId="29" xfId="0" applyNumberFormat="1" applyFont="1" applyBorder="1"/>
    <xf numFmtId="0" fontId="11" fillId="0" borderId="30" xfId="0" applyFont="1" applyBorder="1"/>
    <xf numFmtId="0" fontId="5" fillId="0" borderId="43" xfId="0" applyFont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49" fontId="4" fillId="3" borderId="17" xfId="0" applyNumberFormat="1" applyFont="1" applyFill="1" applyBorder="1"/>
    <xf numFmtId="0" fontId="13" fillId="3" borderId="20" xfId="0" applyFont="1" applyFill="1" applyBorder="1" applyAlignment="1">
      <alignment horizontal="center"/>
    </xf>
    <xf numFmtId="164" fontId="4" fillId="3" borderId="21" xfId="1" applyNumberFormat="1" applyFont="1" applyFill="1" applyBorder="1" applyAlignment="1">
      <alignment horizontal="center"/>
    </xf>
    <xf numFmtId="49" fontId="9" fillId="0" borderId="26" xfId="0" applyNumberFormat="1" applyFont="1" applyBorder="1" applyAlignment="1">
      <alignment vertical="center"/>
    </xf>
    <xf numFmtId="49" fontId="9" fillId="0" borderId="26" xfId="0" applyNumberFormat="1" applyFont="1" applyBorder="1" applyAlignment="1">
      <alignment horizontal="center"/>
    </xf>
    <xf numFmtId="49" fontId="4" fillId="0" borderId="26" xfId="0" applyNumberFormat="1" applyFont="1" applyBorder="1" applyAlignment="1">
      <alignment horizontal="center"/>
    </xf>
    <xf numFmtId="17" fontId="4" fillId="0" borderId="26" xfId="0" applyNumberFormat="1" applyFont="1" applyBorder="1" applyAlignment="1">
      <alignment horizontal="left"/>
    </xf>
    <xf numFmtId="49" fontId="4" fillId="0" borderId="29" xfId="0" applyNumberFormat="1" applyFont="1" applyBorder="1" applyAlignment="1">
      <alignment horizontal="center"/>
    </xf>
    <xf numFmtId="164" fontId="4" fillId="0" borderId="31" xfId="1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49" fontId="14" fillId="0" borderId="17" xfId="1" applyNumberFormat="1" applyFont="1" applyFill="1" applyBorder="1" applyAlignment="1"/>
    <xf numFmtId="0" fontId="15" fillId="0" borderId="20" xfId="0" applyFont="1" applyBorder="1" applyAlignment="1">
      <alignment horizontal="left"/>
    </xf>
    <xf numFmtId="164" fontId="4" fillId="0" borderId="21" xfId="1" applyNumberFormat="1" applyFont="1" applyFill="1" applyBorder="1" applyAlignment="1">
      <alignment horizontal="center"/>
    </xf>
    <xf numFmtId="49" fontId="14" fillId="0" borderId="26" xfId="1" applyNumberFormat="1" applyFont="1" applyFill="1" applyBorder="1" applyAlignment="1"/>
    <xf numFmtId="0" fontId="15" fillId="0" borderId="27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3" fontId="4" fillId="0" borderId="28" xfId="1" applyNumberFormat="1" applyFont="1" applyFill="1" applyBorder="1" applyAlignment="1">
      <alignment horizontal="right" vertical="center"/>
    </xf>
    <xf numFmtId="3" fontId="4" fillId="0" borderId="0" xfId="1" applyNumberFormat="1" applyFont="1" applyFill="1" applyBorder="1" applyAlignment="1">
      <alignment horizontal="right" vertical="center"/>
    </xf>
    <xf numFmtId="3" fontId="4" fillId="2" borderId="28" xfId="1" applyNumberFormat="1" applyFont="1" applyFill="1" applyBorder="1" applyAlignment="1">
      <alignment horizontal="right" vertical="center"/>
    </xf>
    <xf numFmtId="0" fontId="4" fillId="0" borderId="44" xfId="0" applyFont="1" applyBorder="1" applyAlignment="1">
      <alignment horizontal="center"/>
    </xf>
    <xf numFmtId="0" fontId="9" fillId="0" borderId="41" xfId="0" applyFont="1" applyBorder="1" applyAlignment="1">
      <alignment horizontal="left"/>
    </xf>
    <xf numFmtId="14" fontId="4" fillId="0" borderId="45" xfId="0" applyNumberFormat="1" applyFont="1" applyBorder="1"/>
    <xf numFmtId="164" fontId="4" fillId="0" borderId="33" xfId="1" applyNumberFormat="1" applyFont="1" applyFill="1" applyBorder="1" applyAlignment="1">
      <alignment horizontal="center"/>
    </xf>
    <xf numFmtId="43" fontId="14" fillId="0" borderId="46" xfId="1" applyFont="1" applyFill="1" applyBorder="1"/>
    <xf numFmtId="49" fontId="14" fillId="0" borderId="29" xfId="1" applyNumberFormat="1" applyFont="1" applyFill="1" applyBorder="1" applyAlignment="1"/>
    <xf numFmtId="0" fontId="9" fillId="0" borderId="30" xfId="1" applyNumberFormat="1" applyFont="1" applyFill="1" applyBorder="1"/>
    <xf numFmtId="3" fontId="4" fillId="0" borderId="31" xfId="1" applyNumberFormat="1" applyFont="1" applyFill="1" applyBorder="1" applyAlignment="1">
      <alignment horizontal="right" vertical="center"/>
    </xf>
    <xf numFmtId="43" fontId="14" fillId="0" borderId="0" xfId="1" applyFont="1" applyFill="1" applyBorder="1"/>
    <xf numFmtId="43" fontId="14" fillId="0" borderId="47" xfId="1" applyFont="1" applyFill="1" applyBorder="1"/>
    <xf numFmtId="43" fontId="4" fillId="0" borderId="42" xfId="1" applyFont="1" applyFill="1" applyBorder="1"/>
    <xf numFmtId="37" fontId="4" fillId="0" borderId="17" xfId="1" applyNumberFormat="1" applyFont="1" applyFill="1" applyBorder="1" applyAlignment="1"/>
    <xf numFmtId="43" fontId="14" fillId="0" borderId="17" xfId="1" applyFont="1" applyFill="1" applyBorder="1"/>
    <xf numFmtId="0" fontId="5" fillId="0" borderId="20" xfId="1" applyNumberFormat="1" applyFont="1" applyFill="1" applyBorder="1" applyAlignment="1">
      <alignment horizontal="left" vertical="center"/>
    </xf>
    <xf numFmtId="3" fontId="5" fillId="0" borderId="21" xfId="1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right" vertical="center"/>
    </xf>
    <xf numFmtId="43" fontId="5" fillId="0" borderId="43" xfId="1" applyFont="1" applyFill="1" applyBorder="1" applyAlignment="1">
      <alignment horizontal="center" vertical="center"/>
    </xf>
    <xf numFmtId="37" fontId="5" fillId="0" borderId="26" xfId="1" applyNumberFormat="1" applyFont="1" applyFill="1" applyBorder="1" applyAlignment="1"/>
    <xf numFmtId="43" fontId="5" fillId="0" borderId="26" xfId="1" applyFont="1" applyFill="1" applyBorder="1" applyAlignment="1">
      <alignment horizontal="center" vertical="center"/>
    </xf>
    <xf numFmtId="49" fontId="4" fillId="0" borderId="26" xfId="1" applyNumberFormat="1" applyFont="1" applyFill="1" applyBorder="1" applyAlignment="1">
      <alignment vertical="center"/>
    </xf>
    <xf numFmtId="0" fontId="5" fillId="0" borderId="27" xfId="1" applyNumberFormat="1" applyFont="1" applyFill="1" applyBorder="1" applyAlignment="1">
      <alignment horizontal="left" vertical="center"/>
    </xf>
    <xf numFmtId="37" fontId="5" fillId="0" borderId="28" xfId="1" applyNumberFormat="1" applyFont="1" applyFill="1" applyBorder="1" applyAlignment="1"/>
    <xf numFmtId="37" fontId="5" fillId="0" borderId="0" xfId="1" applyNumberFormat="1" applyFont="1" applyFill="1" applyBorder="1" applyAlignment="1"/>
    <xf numFmtId="43" fontId="5" fillId="0" borderId="8" xfId="1" applyFont="1" applyFill="1" applyBorder="1" applyAlignment="1">
      <alignment horizontal="left" vertical="center" indent="1"/>
    </xf>
    <xf numFmtId="43" fontId="5" fillId="0" borderId="35" xfId="1" applyFont="1" applyFill="1" applyBorder="1" applyAlignment="1">
      <alignment horizontal="center" vertical="center"/>
    </xf>
    <xf numFmtId="37" fontId="5" fillId="0" borderId="29" xfId="1" applyNumberFormat="1" applyFont="1" applyFill="1" applyBorder="1" applyAlignment="1"/>
    <xf numFmtId="43" fontId="5" fillId="0" borderId="29" xfId="1" applyFont="1" applyFill="1" applyBorder="1"/>
    <xf numFmtId="49" fontId="5" fillId="0" borderId="29" xfId="1" applyNumberFormat="1" applyFont="1" applyFill="1" applyBorder="1" applyAlignment="1">
      <alignment vertical="center"/>
    </xf>
    <xf numFmtId="0" fontId="5" fillId="2" borderId="30" xfId="1" applyNumberFormat="1" applyFont="1" applyFill="1" applyBorder="1" applyAlignment="1">
      <alignment horizontal="left" vertical="center"/>
    </xf>
    <xf numFmtId="37" fontId="5" fillId="0" borderId="31" xfId="1" applyNumberFormat="1" applyFont="1" applyFill="1" applyBorder="1" applyAlignment="1"/>
    <xf numFmtId="43" fontId="5" fillId="0" borderId="0" xfId="1" applyFont="1" applyFill="1" applyBorder="1" applyAlignment="1">
      <alignment horizontal="left" vertical="center" indent="1"/>
    </xf>
    <xf numFmtId="43" fontId="5" fillId="0" borderId="0" xfId="1" applyFont="1" applyFill="1" applyBorder="1" applyAlignment="1">
      <alignment horizontal="left"/>
    </xf>
    <xf numFmtId="43" fontId="5" fillId="0" borderId="0" xfId="1" applyFont="1" applyFill="1" applyBorder="1"/>
    <xf numFmtId="49" fontId="5" fillId="0" borderId="0" xfId="1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left" vertical="center" indent="1"/>
    </xf>
    <xf numFmtId="3" fontId="5" fillId="0" borderId="0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left" vertical="center"/>
    </xf>
    <xf numFmtId="3" fontId="4" fillId="0" borderId="0" xfId="1" applyNumberFormat="1" applyFont="1" applyFill="1" applyBorder="1" applyAlignment="1">
      <alignment horizontal="right"/>
    </xf>
    <xf numFmtId="49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center"/>
    </xf>
    <xf numFmtId="0" fontId="17" fillId="0" borderId="26" xfId="2" applyFont="1" applyBorder="1" applyAlignment="1">
      <alignment horizontal="center" vertical="top"/>
    </xf>
    <xf numFmtId="49" fontId="17" fillId="0" borderId="26" xfId="2" applyNumberFormat="1" applyFont="1" applyBorder="1" applyAlignment="1">
      <alignment horizontal="left" vertical="top"/>
    </xf>
    <xf numFmtId="0" fontId="18" fillId="0" borderId="26" xfId="2" applyFont="1" applyBorder="1" applyAlignment="1">
      <alignment horizontal="center" vertical="top"/>
    </xf>
    <xf numFmtId="49" fontId="18" fillId="0" borderId="26" xfId="2" applyNumberFormat="1" applyFont="1" applyBorder="1" applyAlignment="1">
      <alignment horizontal="left" vertical="top"/>
    </xf>
    <xf numFmtId="164" fontId="19" fillId="0" borderId="26" xfId="3" applyNumberFormat="1" applyFont="1" applyFill="1" applyBorder="1" applyAlignment="1">
      <alignment horizontal="center" vertical="top"/>
    </xf>
    <xf numFmtId="3" fontId="20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/>
    <xf numFmtId="164" fontId="21" fillId="0" borderId="0" xfId="1" applyNumberFormat="1" applyFont="1" applyFill="1" applyBorder="1" applyAlignment="1">
      <alignment vertical="center"/>
    </xf>
    <xf numFmtId="164" fontId="19" fillId="0" borderId="26" xfId="4" applyNumberFormat="1" applyFont="1" applyFill="1" applyBorder="1" applyAlignment="1">
      <alignment horizontal="center" vertical="top"/>
    </xf>
    <xf numFmtId="3" fontId="2" fillId="0" borderId="0" xfId="1" applyNumberFormat="1" applyFont="1" applyFill="1" applyBorder="1" applyAlignment="1">
      <alignment horizontal="right"/>
    </xf>
    <xf numFmtId="164" fontId="19" fillId="0" borderId="26" xfId="4" applyNumberFormat="1" applyFont="1" applyFill="1" applyBorder="1" applyAlignment="1">
      <alignment horizontal="right" vertical="top"/>
    </xf>
    <xf numFmtId="17" fontId="18" fillId="0" borderId="26" xfId="2" applyNumberFormat="1" applyFont="1" applyBorder="1" applyAlignment="1">
      <alignment horizontal="left" vertical="top"/>
    </xf>
    <xf numFmtId="0" fontId="19" fillId="0" borderId="26" xfId="2" applyFont="1" applyBorder="1" applyAlignment="1">
      <alignment horizontal="right" vertical="top"/>
    </xf>
    <xf numFmtId="0" fontId="19" fillId="0" borderId="26" xfId="2" applyFont="1" applyBorder="1" applyAlignment="1">
      <alignment vertical="top"/>
    </xf>
    <xf numFmtId="1" fontId="20" fillId="0" borderId="0" xfId="1" applyNumberFormat="1" applyFont="1" applyFill="1" applyBorder="1"/>
    <xf numFmtId="0" fontId="20" fillId="0" borderId="0" xfId="1" applyNumberFormat="1" applyFont="1" applyFill="1" applyBorder="1"/>
    <xf numFmtId="43" fontId="16" fillId="0" borderId="0" xfId="1" applyFont="1" applyFill="1" applyBorder="1"/>
    <xf numFmtId="0" fontId="2" fillId="0" borderId="0" xfId="1" applyNumberFormat="1" applyFont="1" applyFill="1" applyBorder="1"/>
    <xf numFmtId="49" fontId="17" fillId="0" borderId="26" xfId="2" applyNumberFormat="1" applyFont="1" applyBorder="1" applyAlignment="1">
      <alignment horizontal="center" vertical="top"/>
    </xf>
    <xf numFmtId="164" fontId="17" fillId="0" borderId="26" xfId="4" applyNumberFormat="1" applyFont="1" applyFill="1" applyBorder="1" applyAlignment="1">
      <alignment horizontal="center" vertical="top"/>
    </xf>
    <xf numFmtId="49" fontId="18" fillId="0" borderId="0" xfId="0" applyNumberFormat="1" applyFont="1"/>
    <xf numFmtId="1" fontId="22" fillId="0" borderId="0" xfId="1" applyNumberFormat="1" applyFont="1" applyFill="1" applyBorder="1" applyAlignment="1">
      <alignment horizontal="right"/>
    </xf>
    <xf numFmtId="13" fontId="4" fillId="0" borderId="0" xfId="1" applyNumberFormat="1" applyFont="1" applyFill="1" applyBorder="1"/>
    <xf numFmtId="164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right"/>
    </xf>
    <xf numFmtId="49" fontId="23" fillId="0" borderId="0" xfId="4" applyNumberFormat="1" applyFont="1" applyFill="1" applyBorder="1" applyAlignment="1"/>
    <xf numFmtId="0" fontId="4" fillId="0" borderId="0" xfId="1" applyNumberFormat="1" applyFont="1" applyFill="1" applyBorder="1"/>
    <xf numFmtId="0" fontId="20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" fontId="23" fillId="0" borderId="0" xfId="4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>
      <alignment horizontal="right"/>
    </xf>
    <xf numFmtId="3" fontId="4" fillId="0" borderId="0" xfId="1" applyNumberFormat="1" applyFont="1" applyFill="1" applyBorder="1"/>
    <xf numFmtId="164" fontId="4" fillId="0" borderId="39" xfId="1" applyNumberFormat="1" applyFont="1" applyFill="1" applyBorder="1" applyAlignment="1">
      <alignment horizontal="center"/>
    </xf>
    <xf numFmtId="164" fontId="4" fillId="0" borderId="23" xfId="1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4" fillId="0" borderId="0" xfId="1" applyNumberFormat="1" applyFont="1" applyFill="1" applyBorder="1" applyAlignment="1">
      <alignment horizontal="center"/>
    </xf>
    <xf numFmtId="3" fontId="6" fillId="0" borderId="3" xfId="1" applyNumberFormat="1" applyFont="1" applyFill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43" fontId="5" fillId="0" borderId="6" xfId="1" applyFont="1" applyFill="1" applyBorder="1" applyAlignment="1">
      <alignment horizontal="right" vertical="center"/>
    </xf>
    <xf numFmtId="43" fontId="5" fillId="0" borderId="11" xfId="1" applyFont="1" applyFill="1" applyBorder="1" applyAlignment="1">
      <alignment horizontal="center"/>
    </xf>
    <xf numFmtId="43" fontId="5" fillId="0" borderId="12" xfId="1" applyFont="1" applyFill="1" applyBorder="1" applyAlignment="1">
      <alignment horizontal="center"/>
    </xf>
    <xf numFmtId="43" fontId="5" fillId="0" borderId="0" xfId="0" applyNumberFormat="1" applyFont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43" fontId="6" fillId="0" borderId="3" xfId="1" applyFont="1" applyFill="1" applyBorder="1" applyAlignment="1">
      <alignment horizontal="center" vertical="center" wrapText="1"/>
    </xf>
    <xf numFmtId="43" fontId="6" fillId="0" borderId="7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/>
    </xf>
    <xf numFmtId="43" fontId="6" fillId="0" borderId="9" xfId="1" applyFont="1" applyFill="1" applyBorder="1" applyAlignment="1">
      <alignment horizontal="center"/>
    </xf>
    <xf numFmtId="49" fontId="6" fillId="0" borderId="3" xfId="1" applyNumberFormat="1" applyFont="1" applyFill="1" applyBorder="1" applyAlignment="1">
      <alignment vertical="center" wrapText="1"/>
    </xf>
    <xf numFmtId="49" fontId="6" fillId="0" borderId="7" xfId="1" applyNumberFormat="1" applyFont="1" applyFill="1" applyBorder="1" applyAlignment="1">
      <alignment vertical="center" wrapText="1"/>
    </xf>
    <xf numFmtId="0" fontId="6" fillId="0" borderId="3" xfId="1" applyNumberFormat="1" applyFont="1" applyFill="1" applyBorder="1" applyAlignment="1">
      <alignment horizontal="center" vertical="center"/>
    </xf>
    <xf numFmtId="0" fontId="6" fillId="0" borderId="9" xfId="1" applyNumberFormat="1" applyFont="1" applyFill="1" applyBorder="1" applyAlignment="1">
      <alignment horizontal="center" vertical="center"/>
    </xf>
    <xf numFmtId="43" fontId="2" fillId="0" borderId="0" xfId="0" applyNumberFormat="1" applyFont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5" fillId="0" borderId="5" xfId="1" applyFont="1" applyFill="1" applyBorder="1" applyAlignment="1">
      <alignment horizontal="center" vertical="center"/>
    </xf>
    <xf numFmtId="43" fontId="5" fillId="0" borderId="6" xfId="1" applyFont="1" applyFill="1" applyBorder="1" applyAlignment="1">
      <alignment horizontal="center" vertical="center"/>
    </xf>
  </cellXfs>
  <cellStyles count="5">
    <cellStyle name="Comma" xfId="1" builtinId="3"/>
    <cellStyle name="Comma 2" xfId="3" xr:uid="{1F96D0A7-24E2-47DA-875B-D20F80A6909A}"/>
    <cellStyle name="Comma 4" xfId="4" xr:uid="{D5F3A171-F261-421B-95FB-13F6FC680DE0}"/>
    <cellStyle name="Normal" xfId="0" builtinId="0"/>
    <cellStyle name="Normal 2" xfId="2" xr:uid="{CD7D303A-57D1-4875-8A40-3E552FD32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AB1D-D3EC-4636-85C1-0F00364C9EA5}">
  <dimension ref="B1:K307"/>
  <sheetViews>
    <sheetView topLeftCell="A50" workbookViewId="0">
      <selection activeCell="G162" sqref="G162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136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447284</v>
      </c>
      <c r="E9" s="17"/>
      <c r="F9" s="194" t="s">
        <v>10</v>
      </c>
      <c r="G9" s="195"/>
      <c r="H9" s="18">
        <f>D156</f>
        <v>897284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450000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/>
      <c r="C12" s="34"/>
      <c r="D12" s="35"/>
      <c r="E12" s="36">
        <v>101</v>
      </c>
      <c r="F12" s="37" t="s">
        <v>14</v>
      </c>
      <c r="G12" s="38" t="s">
        <v>165</v>
      </c>
      <c r="H12" s="39">
        <v>2300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169</v>
      </c>
      <c r="H13" s="41">
        <f>1100+1800</f>
        <v>2900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145</v>
      </c>
      <c r="H14" s="42">
        <v>2000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151</v>
      </c>
      <c r="H15" s="42">
        <v>1350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152</v>
      </c>
      <c r="H16" s="42">
        <v>1450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/>
      <c r="H18" s="42"/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151</v>
      </c>
      <c r="H19" s="42">
        <v>1350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166</v>
      </c>
      <c r="H20" s="39">
        <v>1600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181</v>
      </c>
      <c r="H23" s="42">
        <v>1350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163</v>
      </c>
      <c r="H25" s="51">
        <v>1250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 t="s">
        <v>162</v>
      </c>
      <c r="H28" s="39">
        <f>2000+2100</f>
        <v>4100</v>
      </c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/>
      <c r="H30" s="42"/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155</v>
      </c>
      <c r="H31" s="42">
        <v>1500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183</v>
      </c>
      <c r="H32" s="39">
        <v>3300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154</v>
      </c>
      <c r="H33" s="39">
        <v>1600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164</v>
      </c>
      <c r="H36" s="42">
        <v>500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/>
      <c r="H38" s="57"/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/>
      <c r="H39" s="59"/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173</v>
      </c>
      <c r="H40" s="39">
        <v>600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/>
      <c r="H41" s="39"/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/>
      <c r="H42" s="39"/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/>
      <c r="H43" s="39"/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170</v>
      </c>
      <c r="H44" s="57">
        <v>600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/>
      <c r="H45" s="32"/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/>
      <c r="H46" s="42"/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 t="s">
        <v>182</v>
      </c>
      <c r="H47" s="42">
        <v>1500</v>
      </c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/>
      <c r="H49" s="42"/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 t="s">
        <v>141</v>
      </c>
      <c r="H50" s="42">
        <v>2000</v>
      </c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142</v>
      </c>
      <c r="H51" s="62">
        <v>7600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 t="s">
        <v>140</v>
      </c>
      <c r="H60" s="39">
        <v>19000</v>
      </c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 t="s">
        <v>184</v>
      </c>
      <c r="H65" s="67">
        <v>4450</v>
      </c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 t="s">
        <v>176</v>
      </c>
      <c r="H67" s="39">
        <v>20200</v>
      </c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 t="s">
        <v>139</v>
      </c>
      <c r="H71" s="69">
        <v>12500</v>
      </c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 t="s">
        <v>103</v>
      </c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/>
      <c r="H75" s="39"/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158</v>
      </c>
      <c r="G78" s="84" t="s">
        <v>159</v>
      </c>
      <c r="H78" s="39">
        <v>20500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171</v>
      </c>
      <c r="G79" s="84" t="s">
        <v>172</v>
      </c>
      <c r="H79" s="39">
        <v>13200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174</v>
      </c>
      <c r="G80" s="68" t="s">
        <v>175</v>
      </c>
      <c r="H80" s="69">
        <v>12200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177</v>
      </c>
      <c r="G81" s="68" t="s">
        <v>178</v>
      </c>
      <c r="H81" s="69">
        <v>13800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179</v>
      </c>
      <c r="G82" s="68" t="s">
        <v>180</v>
      </c>
      <c r="H82" s="69">
        <v>13500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187</v>
      </c>
      <c r="G83" s="68" t="s">
        <v>188</v>
      </c>
      <c r="H83" s="69">
        <v>21000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189</v>
      </c>
      <c r="G84" s="68" t="s">
        <v>190</v>
      </c>
      <c r="H84" s="69">
        <v>13500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/>
      <c r="G85" s="68"/>
      <c r="H85" s="69"/>
      <c r="I85" s="46"/>
    </row>
    <row r="86" spans="2:9" s="6" customFormat="1" x14ac:dyDescent="0.2">
      <c r="B86" s="50"/>
      <c r="C86" s="34"/>
      <c r="D86" s="81"/>
      <c r="E86" s="82">
        <v>102</v>
      </c>
      <c r="F86" s="85"/>
      <c r="G86" s="68"/>
      <c r="H86" s="69"/>
      <c r="I86" s="46"/>
    </row>
    <row r="87" spans="2:9" s="6" customFormat="1" x14ac:dyDescent="0.2">
      <c r="B87" s="50"/>
      <c r="C87" s="34"/>
      <c r="D87" s="81"/>
      <c r="E87" s="82">
        <v>102</v>
      </c>
      <c r="F87" s="85"/>
      <c r="G87" s="68"/>
      <c r="H87" s="69"/>
      <c r="I87" s="46"/>
    </row>
    <row r="88" spans="2:9" s="6" customFormat="1" x14ac:dyDescent="0.2">
      <c r="B88" s="50"/>
      <c r="C88" s="34"/>
      <c r="D88" s="81"/>
      <c r="E88" s="82">
        <v>102</v>
      </c>
      <c r="F88" s="85"/>
      <c r="G88" s="68"/>
      <c r="H88" s="69"/>
      <c r="I88" s="46"/>
    </row>
    <row r="89" spans="2:9" s="6" customFormat="1" x14ac:dyDescent="0.2">
      <c r="B89" s="50"/>
      <c r="C89" s="34"/>
      <c r="D89" s="81"/>
      <c r="E89" s="82">
        <v>102</v>
      </c>
      <c r="F89" s="85"/>
      <c r="G89" s="68"/>
      <c r="H89" s="69"/>
      <c r="I89" s="46"/>
    </row>
    <row r="90" spans="2:9" s="6" customFormat="1" x14ac:dyDescent="0.2">
      <c r="B90" s="50"/>
      <c r="C90" s="34"/>
      <c r="D90" s="81"/>
      <c r="E90" s="82">
        <v>102</v>
      </c>
      <c r="F90" s="85"/>
      <c r="G90" s="68"/>
      <c r="H90" s="69"/>
      <c r="I90" s="46"/>
    </row>
    <row r="91" spans="2:9" s="6" customFormat="1" ht="15.75" thickBot="1" x14ac:dyDescent="0.25">
      <c r="B91" s="50"/>
      <c r="C91" s="34"/>
      <c r="D91" s="81"/>
      <c r="E91" s="86">
        <v>102</v>
      </c>
      <c r="F91" s="87"/>
      <c r="G91" s="88"/>
      <c r="H91" s="57"/>
      <c r="I91" s="46"/>
    </row>
    <row r="92" spans="2:9" s="6" customFormat="1" ht="15.75" x14ac:dyDescent="0.25">
      <c r="B92" s="50"/>
      <c r="C92" s="34"/>
      <c r="D92" s="81"/>
      <c r="E92" s="78">
        <v>103</v>
      </c>
      <c r="F92" s="79"/>
      <c r="G92" s="80" t="s">
        <v>80</v>
      </c>
      <c r="H92" s="59"/>
      <c r="I92" s="46"/>
    </row>
    <row r="93" spans="2:9" s="6" customFormat="1" x14ac:dyDescent="0.2">
      <c r="B93" s="50"/>
      <c r="C93" s="34"/>
      <c r="D93" s="81"/>
      <c r="E93" s="82">
        <v>103</v>
      </c>
      <c r="F93" s="85"/>
      <c r="G93" s="68" t="s">
        <v>148</v>
      </c>
      <c r="H93" s="69">
        <v>5000</v>
      </c>
      <c r="I93" s="46"/>
    </row>
    <row r="94" spans="2:9" s="6" customFormat="1" x14ac:dyDescent="0.2">
      <c r="B94" s="50"/>
      <c r="C94" s="34"/>
      <c r="D94" s="81"/>
      <c r="E94" s="82">
        <v>103</v>
      </c>
      <c r="F94" s="85"/>
      <c r="G94" s="68" t="s">
        <v>149</v>
      </c>
      <c r="H94" s="69">
        <v>2500</v>
      </c>
      <c r="I94" s="46"/>
    </row>
    <row r="95" spans="2:9" s="6" customFormat="1" x14ac:dyDescent="0.2">
      <c r="B95" s="50"/>
      <c r="C95" s="34"/>
      <c r="D95" s="81"/>
      <c r="E95" s="82">
        <v>103</v>
      </c>
      <c r="F95" s="85"/>
      <c r="G95" s="68" t="s">
        <v>150</v>
      </c>
      <c r="H95" s="69">
        <v>800</v>
      </c>
      <c r="I95" s="46"/>
    </row>
    <row r="96" spans="2:9" s="6" customFormat="1" x14ac:dyDescent="0.2">
      <c r="B96" s="50"/>
      <c r="C96" s="34"/>
      <c r="D96" s="81"/>
      <c r="E96" s="82">
        <v>103</v>
      </c>
      <c r="F96" s="85" t="s">
        <v>185</v>
      </c>
      <c r="G96" s="68" t="s">
        <v>186</v>
      </c>
      <c r="H96" s="69">
        <v>750</v>
      </c>
      <c r="I96" s="46"/>
    </row>
    <row r="97" spans="2:9" s="6" customFormat="1" x14ac:dyDescent="0.2">
      <c r="B97" s="50"/>
      <c r="C97" s="34"/>
      <c r="D97" s="81"/>
      <c r="E97" s="82">
        <v>103</v>
      </c>
      <c r="F97" s="85"/>
      <c r="G97" s="68"/>
      <c r="H97" s="69"/>
      <c r="I97" s="46"/>
    </row>
    <row r="98" spans="2:9" s="6" customFormat="1" x14ac:dyDescent="0.2">
      <c r="B98" s="50"/>
      <c r="C98" s="34"/>
      <c r="D98" s="81"/>
      <c r="E98" s="82">
        <v>103</v>
      </c>
      <c r="F98" s="85"/>
      <c r="G98" s="68"/>
      <c r="H98" s="69"/>
      <c r="I98" s="46"/>
    </row>
    <row r="99" spans="2:9" s="6" customFormat="1" ht="15.75" thickBot="1" x14ac:dyDescent="0.25">
      <c r="B99" s="50"/>
      <c r="C99" s="34"/>
      <c r="D99" s="81"/>
      <c r="E99" s="82">
        <v>103</v>
      </c>
      <c r="F99" s="87"/>
      <c r="G99" s="88"/>
      <c r="H99" s="57"/>
      <c r="I99" s="46"/>
    </row>
    <row r="100" spans="2:9" s="6" customFormat="1" ht="15.75" x14ac:dyDescent="0.25">
      <c r="B100" s="50"/>
      <c r="C100" s="34"/>
      <c r="D100" s="81"/>
      <c r="E100" s="89">
        <v>104</v>
      </c>
      <c r="F100" s="79"/>
      <c r="G100" s="80" t="s">
        <v>81</v>
      </c>
      <c r="H100" s="59"/>
      <c r="I100" s="46"/>
    </row>
    <row r="101" spans="2:9" s="6" customFormat="1" x14ac:dyDescent="0.2">
      <c r="B101" s="50"/>
      <c r="C101" s="34"/>
      <c r="D101" s="81"/>
      <c r="E101" s="82">
        <v>104</v>
      </c>
      <c r="F101" s="83" t="s">
        <v>146</v>
      </c>
      <c r="G101" s="84" t="s">
        <v>147</v>
      </c>
      <c r="H101" s="39">
        <v>19000</v>
      </c>
      <c r="I101" s="46"/>
    </row>
    <row r="102" spans="2:9" s="6" customFormat="1" x14ac:dyDescent="0.2">
      <c r="B102" s="50"/>
      <c r="C102" s="34"/>
      <c r="D102" s="81"/>
      <c r="E102" s="82">
        <v>104</v>
      </c>
      <c r="F102" s="85" t="s">
        <v>160</v>
      </c>
      <c r="G102" s="84" t="s">
        <v>161</v>
      </c>
      <c r="H102" s="69">
        <v>1000</v>
      </c>
      <c r="I102" s="46"/>
    </row>
    <row r="103" spans="2:9" s="6" customFormat="1" x14ac:dyDescent="0.2">
      <c r="B103" s="50"/>
      <c r="C103" s="34"/>
      <c r="D103" s="81"/>
      <c r="E103" s="82">
        <v>104</v>
      </c>
      <c r="F103" s="85"/>
      <c r="G103" s="68" t="s">
        <v>191</v>
      </c>
      <c r="H103" s="69">
        <v>2000</v>
      </c>
      <c r="I103" s="46"/>
    </row>
    <row r="104" spans="2:9" s="6" customFormat="1" x14ac:dyDescent="0.2">
      <c r="B104" s="50"/>
      <c r="C104" s="34"/>
      <c r="D104" s="81"/>
      <c r="E104" s="82">
        <v>104</v>
      </c>
      <c r="F104" s="85"/>
      <c r="G104" s="68"/>
      <c r="H104" s="69"/>
      <c r="I104" s="46"/>
    </row>
    <row r="105" spans="2:9" s="6" customFormat="1" x14ac:dyDescent="0.2">
      <c r="B105" s="50"/>
      <c r="C105" s="34"/>
      <c r="D105" s="81"/>
      <c r="E105" s="82">
        <v>104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104</v>
      </c>
      <c r="F106" s="85"/>
      <c r="G106" s="68"/>
      <c r="H106" s="69"/>
      <c r="I106" s="46"/>
    </row>
    <row r="107" spans="2:9" s="6" customFormat="1" ht="15.75" thickBot="1" x14ac:dyDescent="0.25">
      <c r="B107" s="50"/>
      <c r="C107" s="34"/>
      <c r="D107" s="81"/>
      <c r="E107" s="82">
        <v>104</v>
      </c>
      <c r="F107" s="87"/>
      <c r="G107" s="88"/>
      <c r="H107" s="57"/>
      <c r="I107" s="46"/>
    </row>
    <row r="108" spans="2:9" s="6" customFormat="1" ht="15.75" x14ac:dyDescent="0.25">
      <c r="B108" s="50"/>
      <c r="C108" s="34"/>
      <c r="D108" s="81"/>
      <c r="E108" s="90"/>
      <c r="F108" s="91"/>
      <c r="G108" s="92" t="s">
        <v>82</v>
      </c>
      <c r="H108" s="93"/>
      <c r="I108" s="25"/>
    </row>
    <row r="109" spans="2:9" s="6" customFormat="1" ht="15.75" x14ac:dyDescent="0.25">
      <c r="B109" s="50"/>
      <c r="C109" s="34"/>
      <c r="D109" s="81"/>
      <c r="E109" s="197" t="s">
        <v>83</v>
      </c>
      <c r="F109" s="198"/>
      <c r="G109" s="199"/>
      <c r="H109" s="41"/>
      <c r="I109" s="25"/>
    </row>
    <row r="110" spans="2:9" s="6" customFormat="1" ht="15.75" x14ac:dyDescent="0.2">
      <c r="B110" s="50"/>
      <c r="C110" s="34"/>
      <c r="D110" s="81"/>
      <c r="E110" s="82"/>
      <c r="F110" s="94"/>
      <c r="G110" s="52"/>
      <c r="H110" s="67"/>
      <c r="I110" s="25"/>
    </row>
    <row r="111" spans="2:9" s="6" customFormat="1" ht="15.75" x14ac:dyDescent="0.2">
      <c r="B111" s="50"/>
      <c r="C111" s="34"/>
      <c r="D111" s="81"/>
      <c r="E111" s="82"/>
      <c r="F111" s="94"/>
      <c r="G111" s="52"/>
      <c r="H111" s="67"/>
      <c r="I111" s="25"/>
    </row>
    <row r="112" spans="2:9" s="6" customFormat="1" ht="15.75" x14ac:dyDescent="0.25">
      <c r="B112" s="50"/>
      <c r="C112" s="34"/>
      <c r="D112" s="81"/>
      <c r="E112" s="197" t="s">
        <v>84</v>
      </c>
      <c r="F112" s="198"/>
      <c r="G112" s="199"/>
      <c r="H112" s="41"/>
      <c r="I112" s="25"/>
    </row>
    <row r="113" spans="2:9" s="6" customFormat="1" ht="15.75" x14ac:dyDescent="0.2">
      <c r="B113" s="50"/>
      <c r="C113" s="34"/>
      <c r="D113" s="81"/>
      <c r="E113" s="82"/>
      <c r="F113" s="94"/>
      <c r="G113" s="52"/>
      <c r="H113" s="67"/>
      <c r="I113" s="25"/>
    </row>
    <row r="114" spans="2:9" s="6" customFormat="1" ht="15.75" x14ac:dyDescent="0.25">
      <c r="B114" s="50"/>
      <c r="C114" s="34"/>
      <c r="D114" s="81"/>
      <c r="E114" s="82"/>
      <c r="F114" s="37"/>
      <c r="G114" s="84"/>
      <c r="H114" s="41"/>
      <c r="I114" s="25"/>
    </row>
    <row r="115" spans="2:9" s="6" customFormat="1" ht="15.75" x14ac:dyDescent="0.25">
      <c r="B115" s="50"/>
      <c r="C115" s="34"/>
      <c r="D115" s="81"/>
      <c r="E115" s="197" t="s">
        <v>85</v>
      </c>
      <c r="F115" s="198"/>
      <c r="G115" s="199"/>
      <c r="H115" s="41"/>
      <c r="I115" s="25"/>
    </row>
    <row r="116" spans="2:9" s="6" customFormat="1" x14ac:dyDescent="0.2">
      <c r="B116" s="50"/>
      <c r="C116" s="34"/>
      <c r="D116" s="81"/>
      <c r="E116" s="82"/>
      <c r="F116" s="83"/>
      <c r="G116" s="84"/>
      <c r="H116" s="41"/>
      <c r="I116" s="25"/>
    </row>
    <row r="117" spans="2:9" s="6" customFormat="1" x14ac:dyDescent="0.2">
      <c r="B117" s="50"/>
      <c r="C117" s="34"/>
      <c r="D117" s="81"/>
      <c r="E117" s="82"/>
      <c r="F117" s="83"/>
      <c r="G117" s="84"/>
      <c r="H117" s="41"/>
      <c r="I117" s="25"/>
    </row>
    <row r="118" spans="2:9" s="6" customFormat="1" ht="15.75" x14ac:dyDescent="0.25">
      <c r="B118" s="50"/>
      <c r="C118" s="34"/>
      <c r="D118" s="81"/>
      <c r="E118" s="197" t="s">
        <v>86</v>
      </c>
      <c r="F118" s="198"/>
      <c r="G118" s="199"/>
      <c r="H118" s="41"/>
      <c r="I118" s="25"/>
    </row>
    <row r="119" spans="2:9" s="6" customFormat="1" ht="15.75" x14ac:dyDescent="0.25">
      <c r="B119" s="50"/>
      <c r="C119" s="34"/>
      <c r="D119" s="81"/>
      <c r="E119" s="89"/>
      <c r="F119" s="95" t="s">
        <v>156</v>
      </c>
      <c r="G119" s="52" t="s">
        <v>157</v>
      </c>
      <c r="H119" s="39">
        <v>10000</v>
      </c>
      <c r="I119" s="25"/>
    </row>
    <row r="120" spans="2:9" s="6" customFormat="1" ht="15.75" x14ac:dyDescent="0.25">
      <c r="B120" s="50"/>
      <c r="C120" s="34"/>
      <c r="D120" s="81"/>
      <c r="E120" s="89">
        <v>101</v>
      </c>
      <c r="F120" s="95" t="s">
        <v>167</v>
      </c>
      <c r="G120" s="52" t="s">
        <v>168</v>
      </c>
      <c r="H120" s="39">
        <v>16800</v>
      </c>
      <c r="I120" s="25"/>
    </row>
    <row r="121" spans="2:9" s="6" customFormat="1" ht="15.75" x14ac:dyDescent="0.25">
      <c r="B121" s="50"/>
      <c r="C121" s="34"/>
      <c r="D121" s="81"/>
      <c r="E121" s="89"/>
      <c r="F121" s="95"/>
      <c r="G121" s="52"/>
      <c r="H121" s="39"/>
      <c r="I121" s="25"/>
    </row>
    <row r="122" spans="2:9" s="6" customFormat="1" ht="15.75" x14ac:dyDescent="0.25">
      <c r="B122" s="50"/>
      <c r="C122" s="34"/>
      <c r="D122" s="81"/>
      <c r="E122" s="89"/>
      <c r="F122" s="95"/>
      <c r="G122" s="52"/>
      <c r="H122" s="39"/>
      <c r="I122" s="25"/>
    </row>
    <row r="123" spans="2:9" s="6" customFormat="1" x14ac:dyDescent="0.2">
      <c r="B123" s="50"/>
      <c r="C123" s="34"/>
      <c r="D123" s="81"/>
      <c r="E123" s="82"/>
      <c r="F123" s="96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87</v>
      </c>
      <c r="F124" s="198"/>
      <c r="G124" s="199"/>
      <c r="H124" s="41"/>
      <c r="I124" s="25"/>
    </row>
    <row r="125" spans="2:9" s="6" customFormat="1" ht="15.75" x14ac:dyDescent="0.25">
      <c r="B125" s="50"/>
      <c r="C125" s="34"/>
      <c r="D125" s="81"/>
      <c r="E125" s="82"/>
      <c r="F125" s="37"/>
      <c r="G125" s="52"/>
      <c r="H125" s="39"/>
      <c r="I125" s="25"/>
    </row>
    <row r="126" spans="2:9" s="6" customFormat="1" ht="15.75" x14ac:dyDescent="0.25">
      <c r="B126" s="50"/>
      <c r="C126" s="34"/>
      <c r="D126" s="81"/>
      <c r="E126" s="82"/>
      <c r="F126" s="37"/>
      <c r="G126" s="52"/>
      <c r="H126" s="39"/>
      <c r="I126" s="25"/>
    </row>
    <row r="127" spans="2:9" s="6" customFormat="1" x14ac:dyDescent="0.2">
      <c r="B127" s="50"/>
      <c r="C127" s="34"/>
      <c r="D127" s="81"/>
      <c r="E127" s="82"/>
      <c r="F127" s="97"/>
      <c r="G127" s="52"/>
      <c r="H127" s="41"/>
      <c r="I127" s="25"/>
    </row>
    <row r="128" spans="2:9" s="6" customFormat="1" ht="15.75" thickBot="1" x14ac:dyDescent="0.25">
      <c r="B128" s="50" t="s">
        <v>88</v>
      </c>
      <c r="C128" s="34"/>
      <c r="D128" s="81"/>
      <c r="E128" s="86"/>
      <c r="F128" s="98"/>
      <c r="G128" s="88"/>
      <c r="H128" s="99"/>
      <c r="I128" s="25"/>
    </row>
    <row r="129" spans="2:9" s="6" customFormat="1" ht="15.75" x14ac:dyDescent="0.25">
      <c r="B129" s="50"/>
      <c r="C129" s="34"/>
      <c r="D129" s="81"/>
      <c r="E129" s="100"/>
      <c r="F129" s="101"/>
      <c r="G129" s="102" t="s">
        <v>89</v>
      </c>
      <c r="H129" s="103">
        <f>20000</f>
        <v>20000</v>
      </c>
      <c r="I129" s="25"/>
    </row>
    <row r="130" spans="2:9" s="6" customFormat="1" ht="15.75" x14ac:dyDescent="0.25">
      <c r="B130" s="50"/>
      <c r="C130" s="34"/>
      <c r="D130" s="81"/>
      <c r="E130" s="82"/>
      <c r="F130" s="104"/>
      <c r="G130" s="105" t="s">
        <v>90</v>
      </c>
      <c r="H130" s="41">
        <v>40000</v>
      </c>
      <c r="I130" s="25"/>
    </row>
    <row r="131" spans="2:9" s="6" customFormat="1" ht="15.75" x14ac:dyDescent="0.25">
      <c r="B131" s="50"/>
      <c r="C131" s="34"/>
      <c r="D131" s="81"/>
      <c r="E131" s="82"/>
      <c r="F131" s="104"/>
      <c r="G131" s="105" t="s">
        <v>91</v>
      </c>
      <c r="H131" s="41"/>
      <c r="I131" s="25"/>
    </row>
    <row r="132" spans="2:9" s="6" customFormat="1" ht="15.75" x14ac:dyDescent="0.25">
      <c r="B132" s="50"/>
      <c r="C132" s="34"/>
      <c r="D132" s="81"/>
      <c r="E132" s="82"/>
      <c r="F132" s="104"/>
      <c r="G132" s="105" t="s">
        <v>92</v>
      </c>
      <c r="H132" s="41"/>
      <c r="I132" s="25"/>
    </row>
    <row r="133" spans="2:9" s="6" customFormat="1" ht="15.75" x14ac:dyDescent="0.25">
      <c r="B133" s="50"/>
      <c r="C133" s="34"/>
      <c r="D133" s="81"/>
      <c r="E133" s="82"/>
      <c r="F133" s="104"/>
      <c r="G133" s="105" t="s">
        <v>93</v>
      </c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104"/>
      <c r="G134" s="106" t="s">
        <v>137</v>
      </c>
      <c r="H134" s="107">
        <v>100</v>
      </c>
      <c r="I134" s="108"/>
    </row>
    <row r="135" spans="2:9" s="6" customFormat="1" ht="15.75" x14ac:dyDescent="0.25">
      <c r="B135" s="50"/>
      <c r="C135" s="34"/>
      <c r="D135" s="81"/>
      <c r="E135" s="82"/>
      <c r="F135" s="104"/>
      <c r="G135" s="106" t="s">
        <v>94</v>
      </c>
      <c r="H135" s="109">
        <f>300+500</f>
        <v>800</v>
      </c>
      <c r="I135" s="108"/>
    </row>
    <row r="136" spans="2:9" s="6" customFormat="1" ht="15.75" x14ac:dyDescent="0.25">
      <c r="B136" s="50"/>
      <c r="C136" s="34"/>
      <c r="D136" s="81"/>
      <c r="E136" s="82"/>
      <c r="F136" s="104"/>
      <c r="G136" s="106" t="s">
        <v>95</v>
      </c>
      <c r="H136" s="109">
        <v>2100</v>
      </c>
      <c r="I136" s="108"/>
    </row>
    <row r="137" spans="2:9" s="6" customFormat="1" ht="15.75" x14ac:dyDescent="0.25">
      <c r="B137" s="50"/>
      <c r="C137" s="34"/>
      <c r="D137" s="81"/>
      <c r="E137" s="82"/>
      <c r="F137" s="104"/>
      <c r="G137" s="106" t="s">
        <v>96</v>
      </c>
      <c r="H137" s="107"/>
      <c r="I137" s="108"/>
    </row>
    <row r="138" spans="2:9" s="6" customFormat="1" ht="15.75" x14ac:dyDescent="0.25">
      <c r="B138" s="50"/>
      <c r="C138" s="34"/>
      <c r="D138" s="81"/>
      <c r="E138" s="82"/>
      <c r="F138" s="104"/>
      <c r="G138" s="106" t="s">
        <v>97</v>
      </c>
      <c r="H138" s="107"/>
      <c r="I138" s="108"/>
    </row>
    <row r="139" spans="2:9" s="6" customFormat="1" ht="15.75" x14ac:dyDescent="0.25">
      <c r="B139" s="50"/>
      <c r="C139" s="34"/>
      <c r="D139" s="81"/>
      <c r="E139" s="82"/>
      <c r="F139" s="104"/>
      <c r="G139" s="106" t="s">
        <v>138</v>
      </c>
      <c r="H139" s="107"/>
      <c r="I139" s="108"/>
    </row>
    <row r="140" spans="2:9" s="6" customFormat="1" ht="15.75" x14ac:dyDescent="0.25">
      <c r="B140" s="50"/>
      <c r="C140" s="34"/>
      <c r="D140" s="81"/>
      <c r="E140" s="82"/>
      <c r="F140" s="104"/>
      <c r="G140" s="106" t="s">
        <v>98</v>
      </c>
      <c r="H140" s="107"/>
      <c r="I140" s="108"/>
    </row>
    <row r="141" spans="2:9" s="6" customFormat="1" ht="15.75" x14ac:dyDescent="0.25">
      <c r="B141" s="50"/>
      <c r="C141" s="34"/>
      <c r="D141" s="81"/>
      <c r="E141" s="82"/>
      <c r="F141" s="104"/>
      <c r="G141" s="106" t="s">
        <v>144</v>
      </c>
      <c r="H141" s="107">
        <v>250</v>
      </c>
      <c r="I141" s="108"/>
    </row>
    <row r="142" spans="2:9" s="6" customFormat="1" ht="15.75" x14ac:dyDescent="0.25">
      <c r="B142" s="50"/>
      <c r="C142" s="34"/>
      <c r="D142" s="81"/>
      <c r="E142" s="82"/>
      <c r="F142" s="104"/>
      <c r="G142" s="106" t="s">
        <v>99</v>
      </c>
      <c r="H142" s="107"/>
      <c r="I142" s="108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100</v>
      </c>
      <c r="H143" s="107"/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101</v>
      </c>
      <c r="H144" s="107">
        <v>300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102</v>
      </c>
      <c r="H145" s="107"/>
      <c r="I145" s="108"/>
    </row>
    <row r="146" spans="2:9" s="6" customFormat="1" ht="15.75" x14ac:dyDescent="0.25">
      <c r="B146" s="50" t="s">
        <v>103</v>
      </c>
      <c r="C146" s="34" t="s">
        <v>103</v>
      </c>
      <c r="D146" s="81"/>
      <c r="E146" s="82"/>
      <c r="F146" s="104"/>
      <c r="G146" s="106" t="s">
        <v>104</v>
      </c>
      <c r="H146" s="107"/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105</v>
      </c>
      <c r="H147" s="107"/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106</v>
      </c>
      <c r="H148" s="107"/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153</v>
      </c>
      <c r="H149" s="107">
        <v>800</v>
      </c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108</v>
      </c>
      <c r="H150" s="107"/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109</v>
      </c>
      <c r="H151" s="107"/>
      <c r="I151" s="108"/>
    </row>
    <row r="152" spans="2:9" s="6" customFormat="1" ht="15.75" x14ac:dyDescent="0.25">
      <c r="B152" s="50"/>
      <c r="C152" s="34"/>
      <c r="D152" s="81"/>
      <c r="E152" s="110"/>
      <c r="F152" s="104"/>
      <c r="G152" s="111" t="s">
        <v>110</v>
      </c>
      <c r="H152" s="107"/>
      <c r="I152" s="108"/>
    </row>
    <row r="153" spans="2:9" s="118" customFormat="1" ht="16.5" thickBot="1" x14ac:dyDescent="0.3">
      <c r="B153" s="50"/>
      <c r="C153" s="112"/>
      <c r="D153" s="113"/>
      <c r="E153" s="114"/>
      <c r="F153" s="115"/>
      <c r="G153" s="116" t="s">
        <v>111</v>
      </c>
      <c r="H153" s="117"/>
      <c r="I153" s="108"/>
    </row>
    <row r="154" spans="2:9" s="11" customFormat="1" ht="15.75" x14ac:dyDescent="0.2">
      <c r="B154" s="119"/>
      <c r="C154" s="120"/>
      <c r="D154" s="121"/>
      <c r="E154" s="122"/>
      <c r="F154" s="101"/>
      <c r="G154" s="123" t="s">
        <v>112</v>
      </c>
      <c r="H154" s="124">
        <f>SUM(H10:H153)</f>
        <v>324900</v>
      </c>
      <c r="I154" s="125"/>
    </row>
    <row r="155" spans="2:9" ht="15.75" x14ac:dyDescent="0.25">
      <c r="B155" s="119"/>
      <c r="C155" s="126" t="s">
        <v>113</v>
      </c>
      <c r="D155" s="127">
        <f>SUM(D10:D154)</f>
        <v>450000</v>
      </c>
      <c r="E155" s="128"/>
      <c r="F155" s="129"/>
      <c r="G155" s="130" t="s">
        <v>114</v>
      </c>
      <c r="H155" s="131">
        <f>H9-H154</f>
        <v>572384</v>
      </c>
      <c r="I155" s="132"/>
    </row>
    <row r="156" spans="2:9" ht="16.5" thickBot="1" x14ac:dyDescent="0.3">
      <c r="B156" s="133"/>
      <c r="C156" s="134" t="s">
        <v>115</v>
      </c>
      <c r="D156" s="135">
        <f>D9+D155</f>
        <v>897284</v>
      </c>
      <c r="E156" s="136"/>
      <c r="F156" s="137"/>
      <c r="G156" s="138" t="s">
        <v>116</v>
      </c>
      <c r="H156" s="139">
        <f>H154+H155</f>
        <v>897284</v>
      </c>
      <c r="I156" s="132"/>
    </row>
    <row r="157" spans="2:9" ht="15.75" x14ac:dyDescent="0.25">
      <c r="B157" s="140"/>
      <c r="C157" s="140"/>
      <c r="D157" s="141"/>
      <c r="E157" s="142"/>
      <c r="F157" s="143"/>
      <c r="G157" s="144"/>
      <c r="H157" s="145"/>
      <c r="I157" s="145"/>
    </row>
    <row r="158" spans="2:9" ht="15.75" x14ac:dyDescent="0.25">
      <c r="B158" s="140"/>
      <c r="C158" s="140"/>
      <c r="D158" s="141"/>
      <c r="E158" s="142"/>
      <c r="F158" s="143"/>
      <c r="G158" s="144"/>
      <c r="H158" s="145"/>
      <c r="I158" s="145"/>
    </row>
    <row r="159" spans="2:9" ht="15.75" x14ac:dyDescent="0.25">
      <c r="B159" s="140"/>
      <c r="C159" s="140"/>
      <c r="D159" s="141"/>
      <c r="E159" s="142"/>
      <c r="F159" s="143"/>
      <c r="G159" s="144"/>
      <c r="H159" s="145"/>
      <c r="I159" s="145"/>
    </row>
    <row r="160" spans="2:9" ht="15.75" x14ac:dyDescent="0.25">
      <c r="B160" s="140"/>
      <c r="C160" s="140"/>
      <c r="D160" s="141"/>
      <c r="E160" s="142"/>
      <c r="F160" s="143"/>
      <c r="G160" s="144"/>
      <c r="H160" s="145"/>
      <c r="I160" s="145"/>
    </row>
    <row r="161" spans="2:11" ht="15.75" x14ac:dyDescent="0.25">
      <c r="B161" s="187" t="s">
        <v>117</v>
      </c>
      <c r="C161" s="187"/>
      <c r="D161" s="188" t="s">
        <v>118</v>
      </c>
      <c r="E161" s="188"/>
      <c r="F161" s="188"/>
      <c r="G161" s="146" t="s">
        <v>119</v>
      </c>
      <c r="H161" s="146" t="s">
        <v>120</v>
      </c>
      <c r="I161" s="146"/>
    </row>
    <row r="162" spans="2:11" ht="15.75" x14ac:dyDescent="0.25">
      <c r="B162" s="140"/>
      <c r="C162" s="140"/>
      <c r="D162" s="141"/>
      <c r="E162" s="142"/>
      <c r="F162" s="143"/>
      <c r="G162" s="147"/>
    </row>
    <row r="163" spans="2:11" x14ac:dyDescent="0.2">
      <c r="E163" s="5" t="s">
        <v>121</v>
      </c>
    </row>
    <row r="164" spans="2:11" x14ac:dyDescent="0.2">
      <c r="H164" s="151"/>
      <c r="I164" s="151"/>
    </row>
    <row r="165" spans="2:11" x14ac:dyDescent="0.2">
      <c r="H165" s="189"/>
      <c r="I165" s="189"/>
      <c r="J165" s="189"/>
    </row>
    <row r="166" spans="2:11" x14ac:dyDescent="0.2">
      <c r="B166" s="152" t="s">
        <v>122</v>
      </c>
      <c r="C166" s="153" t="s">
        <v>123</v>
      </c>
      <c r="D166" s="152" t="s">
        <v>124</v>
      </c>
      <c r="H166" s="151"/>
      <c r="I166" s="151"/>
    </row>
    <row r="167" spans="2:11" ht="23.25" x14ac:dyDescent="0.2">
      <c r="B167" s="154">
        <v>1</v>
      </c>
      <c r="C167" s="155" t="s">
        <v>125</v>
      </c>
      <c r="D167" s="156"/>
      <c r="H167" s="157"/>
      <c r="I167" s="157"/>
      <c r="J167" s="158"/>
      <c r="K167" s="159"/>
    </row>
    <row r="168" spans="2:11" ht="23.25" x14ac:dyDescent="0.2">
      <c r="B168" s="154">
        <v>2</v>
      </c>
      <c r="C168" s="155" t="s">
        <v>126</v>
      </c>
      <c r="D168" s="160"/>
      <c r="H168" s="157"/>
      <c r="I168" s="157"/>
      <c r="J168" s="158"/>
      <c r="K168" s="159"/>
    </row>
    <row r="169" spans="2:11" ht="23.25" x14ac:dyDescent="0.2">
      <c r="B169" s="154">
        <v>3</v>
      </c>
      <c r="C169" s="155" t="s">
        <v>127</v>
      </c>
      <c r="D169" s="160">
        <f>10000-5000</f>
        <v>5000</v>
      </c>
      <c r="H169" s="157"/>
      <c r="I169" s="157"/>
      <c r="J169" s="158"/>
      <c r="K169" s="159"/>
    </row>
    <row r="170" spans="2:11" ht="23.25" x14ac:dyDescent="0.3">
      <c r="B170" s="154">
        <v>4</v>
      </c>
      <c r="C170" s="155"/>
      <c r="D170" s="160"/>
      <c r="H170" s="161"/>
      <c r="I170" s="157"/>
      <c r="J170" s="158"/>
      <c r="K170" s="159"/>
    </row>
    <row r="171" spans="2:11" ht="23.25" x14ac:dyDescent="0.2">
      <c r="B171" s="154">
        <v>5</v>
      </c>
      <c r="C171" s="155" t="s">
        <v>128</v>
      </c>
      <c r="D171" s="162">
        <f>10000+20000+15000-15000</f>
        <v>30000</v>
      </c>
      <c r="H171" s="157"/>
      <c r="I171" s="157"/>
      <c r="J171" s="158"/>
      <c r="K171" s="159"/>
    </row>
    <row r="172" spans="2:11" ht="23.25" x14ac:dyDescent="0.2">
      <c r="B172" s="154">
        <v>6</v>
      </c>
      <c r="C172" s="155" t="s">
        <v>129</v>
      </c>
      <c r="D172" s="162">
        <f>2000+5000+2000-2000+1000+3000-3000+10000-6500</f>
        <v>11500</v>
      </c>
      <c r="H172" s="157"/>
      <c r="I172" s="157"/>
      <c r="J172" s="158"/>
      <c r="K172" s="159"/>
    </row>
    <row r="173" spans="2:11" ht="23.25" x14ac:dyDescent="0.2">
      <c r="B173" s="154">
        <v>7</v>
      </c>
      <c r="C173" s="155" t="s">
        <v>130</v>
      </c>
      <c r="D173" s="160">
        <f>-6700+100+10000-3450-1720-700</f>
        <v>-2470</v>
      </c>
      <c r="H173" s="157"/>
      <c r="I173" s="157"/>
      <c r="J173" s="158"/>
      <c r="K173" s="159"/>
    </row>
    <row r="174" spans="2:11" ht="23.25" x14ac:dyDescent="0.2">
      <c r="B174" s="154">
        <v>8</v>
      </c>
      <c r="C174" s="163" t="s">
        <v>131</v>
      </c>
      <c r="D174" s="164">
        <v>6000</v>
      </c>
      <c r="H174" s="157"/>
      <c r="I174" s="157"/>
      <c r="J174" s="158"/>
      <c r="K174" s="159"/>
    </row>
    <row r="175" spans="2:11" ht="23.25" x14ac:dyDescent="0.2">
      <c r="B175" s="154">
        <v>9</v>
      </c>
      <c r="C175" s="163" t="s">
        <v>132</v>
      </c>
      <c r="D175" s="165"/>
      <c r="H175" s="166"/>
      <c r="I175" s="158"/>
      <c r="J175" s="158"/>
      <c r="K175" s="159"/>
    </row>
    <row r="176" spans="2:11" ht="23.25" x14ac:dyDescent="0.2">
      <c r="B176" s="154">
        <v>10</v>
      </c>
      <c r="C176" s="155" t="s">
        <v>133</v>
      </c>
      <c r="D176" s="160">
        <f>2610+10000-10000-21800+5000+8000-11800+6000+13080+8720+14497+13080+8720+13080-30000+8000-11500-40000</f>
        <v>-14313</v>
      </c>
      <c r="H176" s="167"/>
      <c r="I176" s="158"/>
      <c r="J176" s="158"/>
      <c r="K176" s="159"/>
    </row>
    <row r="177" spans="2:11" ht="23.25" x14ac:dyDescent="0.3">
      <c r="B177" s="154">
        <v>11</v>
      </c>
      <c r="C177" s="155" t="s">
        <v>134</v>
      </c>
      <c r="D177" s="160" t="s">
        <v>103</v>
      </c>
      <c r="E177" s="168"/>
      <c r="G177" s="150" t="s">
        <v>121</v>
      </c>
      <c r="H177" s="169"/>
      <c r="I177" s="158"/>
      <c r="J177" s="158"/>
      <c r="K177" s="159"/>
    </row>
    <row r="178" spans="2:11" ht="23.25" x14ac:dyDescent="0.2">
      <c r="B178" s="154"/>
      <c r="C178" s="170" t="s">
        <v>135</v>
      </c>
      <c r="D178" s="171">
        <f>SUM(D167:D177)</f>
        <v>35717</v>
      </c>
      <c r="F178" s="172"/>
      <c r="H178" s="167"/>
      <c r="I178" s="158"/>
      <c r="J178" s="158"/>
      <c r="K178" s="159"/>
    </row>
    <row r="179" spans="2:11" ht="23.25" x14ac:dyDescent="0.2">
      <c r="D179" s="173">
        <f>-10500-4953+6000</f>
        <v>-9453</v>
      </c>
      <c r="E179" s="174"/>
      <c r="H179" s="167"/>
      <c r="I179" s="175"/>
      <c r="J179" s="158"/>
      <c r="K179" s="159"/>
    </row>
    <row r="180" spans="2:11" ht="23.25" x14ac:dyDescent="0.25">
      <c r="D180" s="176">
        <v>3470</v>
      </c>
      <c r="E180" s="5" t="s">
        <v>143</v>
      </c>
      <c r="F180" s="177"/>
      <c r="H180" s="178"/>
      <c r="I180" s="175"/>
      <c r="J180" s="175"/>
      <c r="K180" s="159"/>
    </row>
    <row r="181" spans="2:11" ht="23.25" x14ac:dyDescent="0.2">
      <c r="D181" s="176"/>
      <c r="H181" s="179"/>
      <c r="I181" s="180"/>
      <c r="J181" s="158"/>
      <c r="K181" s="159"/>
    </row>
    <row r="182" spans="2:11" ht="23.25" x14ac:dyDescent="0.25">
      <c r="B182" s="5"/>
      <c r="D182" s="181"/>
      <c r="E182" s="178"/>
      <c r="G182" s="178"/>
      <c r="H182" s="167"/>
      <c r="I182" s="5"/>
      <c r="J182" s="158"/>
      <c r="K182" s="159"/>
    </row>
    <row r="183" spans="2:11" ht="15.75" x14ac:dyDescent="0.25">
      <c r="B183" s="5"/>
      <c r="D183" s="181"/>
      <c r="E183" s="178"/>
      <c r="G183" s="178"/>
      <c r="H183" s="167"/>
      <c r="I183" s="5"/>
      <c r="J183" s="175"/>
    </row>
    <row r="184" spans="2:11" ht="15.75" x14ac:dyDescent="0.25">
      <c r="D184" s="181"/>
      <c r="E184" s="178"/>
      <c r="H184" s="182"/>
    </row>
    <row r="185" spans="2:11" x14ac:dyDescent="0.2">
      <c r="B185" s="5"/>
      <c r="D185" s="176" t="s">
        <v>103</v>
      </c>
      <c r="F185" s="5"/>
      <c r="G185" s="5"/>
      <c r="H185" s="183"/>
      <c r="I185" s="5"/>
    </row>
    <row r="186" spans="2:11" x14ac:dyDescent="0.2">
      <c r="D186" s="184">
        <f>SUM(D179:D185)+D178</f>
        <v>29734</v>
      </c>
      <c r="H186" s="182"/>
    </row>
    <row r="187" spans="2:11" x14ac:dyDescent="0.2">
      <c r="B187" s="5"/>
      <c r="D187" s="185">
        <f>D186-H155</f>
        <v>-542650</v>
      </c>
      <c r="F187" s="5"/>
      <c r="G187" s="5"/>
      <c r="H187" s="178"/>
      <c r="I187" s="5"/>
    </row>
    <row r="188" spans="2:11" x14ac:dyDescent="0.2">
      <c r="H188" s="182"/>
    </row>
    <row r="189" spans="2:11" x14ac:dyDescent="0.2">
      <c r="H189" s="182"/>
    </row>
    <row r="190" spans="2:11" x14ac:dyDescent="0.2">
      <c r="H190" s="182"/>
    </row>
    <row r="191" spans="2:11" x14ac:dyDescent="0.2">
      <c r="H191" s="182"/>
    </row>
    <row r="192" spans="2:11" x14ac:dyDescent="0.2">
      <c r="B192" s="5"/>
      <c r="D192" s="5"/>
      <c r="F192" s="5"/>
      <c r="G192" s="5"/>
      <c r="H192" s="182"/>
      <c r="I192" s="5"/>
    </row>
    <row r="193" spans="8:8" s="5" customFormat="1" ht="15.75" x14ac:dyDescent="0.25">
      <c r="H193" s="145"/>
    </row>
    <row r="194" spans="8:8" s="5" customFormat="1" x14ac:dyDescent="0.2">
      <c r="H194" s="182"/>
    </row>
    <row r="195" spans="8:8" s="5" customFormat="1" x14ac:dyDescent="0.2">
      <c r="H195" s="182"/>
    </row>
    <row r="196" spans="8:8" s="5" customFormat="1" x14ac:dyDescent="0.2">
      <c r="H196" s="182"/>
    </row>
    <row r="198" spans="8:8" s="5" customFormat="1" x14ac:dyDescent="0.2">
      <c r="H198" s="182"/>
    </row>
    <row r="199" spans="8:8" s="5" customFormat="1" x14ac:dyDescent="0.2">
      <c r="H199" s="182"/>
    </row>
    <row r="200" spans="8:8" s="5" customFormat="1" x14ac:dyDescent="0.2">
      <c r="H200" s="182"/>
    </row>
    <row r="201" spans="8:8" s="5" customFormat="1" x14ac:dyDescent="0.2">
      <c r="H201" s="182"/>
    </row>
    <row r="202" spans="8:8" s="5" customFormat="1" x14ac:dyDescent="0.2">
      <c r="H202" s="182"/>
    </row>
    <row r="203" spans="8:8" s="5" customFormat="1" x14ac:dyDescent="0.2">
      <c r="H203" s="182"/>
    </row>
    <row r="204" spans="8:8" s="5" customFormat="1" x14ac:dyDescent="0.2">
      <c r="H204" s="182"/>
    </row>
    <row r="205" spans="8:8" s="5" customFormat="1" x14ac:dyDescent="0.2">
      <c r="H205" s="182"/>
    </row>
    <row r="206" spans="8:8" s="5" customFormat="1" x14ac:dyDescent="0.2">
      <c r="H206" s="182"/>
    </row>
    <row r="207" spans="8:8" s="5" customFormat="1" x14ac:dyDescent="0.2">
      <c r="H207" s="182"/>
    </row>
    <row r="208" spans="8:8" s="5" customFormat="1" x14ac:dyDescent="0.2">
      <c r="H208" s="182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</sheetData>
  <mergeCells count="24">
    <mergeCell ref="E118:G118"/>
    <mergeCell ref="E124:G124"/>
    <mergeCell ref="B1:H1"/>
    <mergeCell ref="B2:H2"/>
    <mergeCell ref="B3:H3"/>
    <mergeCell ref="B4:H4"/>
    <mergeCell ref="B6:D6"/>
    <mergeCell ref="F6:H6"/>
    <mergeCell ref="B161:C161"/>
    <mergeCell ref="D161:F161"/>
    <mergeCell ref="H165:J165"/>
    <mergeCell ref="H7:H8"/>
    <mergeCell ref="B9:C9"/>
    <mergeCell ref="F9:G9"/>
    <mergeCell ref="F10:G10"/>
    <mergeCell ref="E109:G109"/>
    <mergeCell ref="E112:G112"/>
    <mergeCell ref="B7:B8"/>
    <mergeCell ref="C7:C8"/>
    <mergeCell ref="D7:D8"/>
    <mergeCell ref="E7:E8"/>
    <mergeCell ref="F7:F8"/>
    <mergeCell ref="G7:G8"/>
    <mergeCell ref="E115:G1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CC85-0554-40A5-BBD5-399F96DC6F36}">
  <dimension ref="B1:K321"/>
  <sheetViews>
    <sheetView tabSelected="1" topLeftCell="A146" workbookViewId="0">
      <selection activeCell="G198" sqref="G198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787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1130256</v>
      </c>
      <c r="E9" s="17"/>
      <c r="F9" s="194" t="s">
        <v>10</v>
      </c>
      <c r="G9" s="195"/>
      <c r="H9" s="18">
        <f>D170</f>
        <v>1130256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/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/>
      <c r="C12" s="34"/>
      <c r="D12" s="35"/>
      <c r="E12" s="36">
        <v>101</v>
      </c>
      <c r="F12" s="37" t="s">
        <v>14</v>
      </c>
      <c r="G12" s="38" t="s">
        <v>846</v>
      </c>
      <c r="H12" s="39">
        <v>2400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433</v>
      </c>
      <c r="H13" s="41">
        <v>1800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811</v>
      </c>
      <c r="H14" s="42">
        <v>1700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/>
      <c r="H15" s="42"/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831</v>
      </c>
      <c r="H16" s="42">
        <f>2600+2200</f>
        <v>4800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810</v>
      </c>
      <c r="H18" s="42">
        <f>2300+2000</f>
        <v>4300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842</v>
      </c>
      <c r="H19" s="42">
        <v>3900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843</v>
      </c>
      <c r="H20" s="39">
        <v>1300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795</v>
      </c>
      <c r="H23" s="42">
        <v>2300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 t="s">
        <v>835</v>
      </c>
      <c r="H24" s="42">
        <v>2900</v>
      </c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836</v>
      </c>
      <c r="H25" s="51">
        <v>1850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/>
      <c r="H28" s="39"/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832</v>
      </c>
      <c r="H30" s="42">
        <f>1700+1600</f>
        <v>3300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837</v>
      </c>
      <c r="H31" s="42">
        <v>2050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824</v>
      </c>
      <c r="H32" s="39">
        <f>1500+2200</f>
        <v>3700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858</v>
      </c>
      <c r="H33" s="39">
        <f>1500+1400</f>
        <v>2900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833</v>
      </c>
      <c r="H36" s="42">
        <v>1700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/>
      <c r="H38" s="57"/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859</v>
      </c>
      <c r="H39" s="59">
        <f>6900+2800</f>
        <v>9700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/>
      <c r="H40" s="39"/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790</v>
      </c>
      <c r="H41" s="39">
        <v>6700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/>
      <c r="H42" s="39"/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850</v>
      </c>
      <c r="H43" s="39">
        <v>200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/>
      <c r="H44" s="57"/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821</v>
      </c>
      <c r="H45" s="32">
        <v>16200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/>
      <c r="H46" s="42"/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 t="s">
        <v>853</v>
      </c>
      <c r="H47" s="42">
        <v>11000</v>
      </c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841</v>
      </c>
      <c r="H49" s="42">
        <f>12600+600+2150</f>
        <v>15350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 t="s">
        <v>819</v>
      </c>
      <c r="H50" s="42">
        <v>18100</v>
      </c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825</v>
      </c>
      <c r="H51" s="62">
        <v>2300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 t="s">
        <v>849</v>
      </c>
      <c r="H53" s="39">
        <v>5400</v>
      </c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 t="s">
        <v>830</v>
      </c>
      <c r="H55" s="39">
        <v>2300</v>
      </c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 t="s">
        <v>789</v>
      </c>
      <c r="H57" s="42">
        <v>4700</v>
      </c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 t="s">
        <v>855</v>
      </c>
      <c r="H58" s="39">
        <f>5000+1000</f>
        <v>6000</v>
      </c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 t="s">
        <v>834</v>
      </c>
      <c r="H60" s="39">
        <v>18100</v>
      </c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 t="s">
        <v>860</v>
      </c>
      <c r="H64" s="39">
        <v>6500</v>
      </c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 t="s">
        <v>789</v>
      </c>
      <c r="H65" s="67">
        <v>4700</v>
      </c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 t="s">
        <v>797</v>
      </c>
      <c r="H66" s="39">
        <v>6200</v>
      </c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 t="s">
        <v>791</v>
      </c>
      <c r="H67" s="39">
        <v>12500</v>
      </c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 t="s">
        <v>854</v>
      </c>
      <c r="H71" s="69">
        <v>15000</v>
      </c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 t="s">
        <v>815</v>
      </c>
      <c r="H73" s="39">
        <v>3400</v>
      </c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 t="s">
        <v>792</v>
      </c>
      <c r="H74" s="39">
        <v>10100</v>
      </c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 t="s">
        <v>852</v>
      </c>
      <c r="H75" s="39">
        <f>4500+900</f>
        <v>5400</v>
      </c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 t="s">
        <v>851</v>
      </c>
      <c r="H76" s="69">
        <v>12000</v>
      </c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408</v>
      </c>
      <c r="G78" s="84" t="s">
        <v>279</v>
      </c>
      <c r="H78" s="39">
        <v>10200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796</v>
      </c>
      <c r="G79" s="84" t="s">
        <v>279</v>
      </c>
      <c r="H79" s="39">
        <v>10200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799</v>
      </c>
      <c r="G80" s="68" t="s">
        <v>800</v>
      </c>
      <c r="H80" s="69">
        <v>10800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368</v>
      </c>
      <c r="G81" s="68" t="s">
        <v>801</v>
      </c>
      <c r="H81" s="69">
        <v>19500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278</v>
      </c>
      <c r="G82" s="68" t="s">
        <v>802</v>
      </c>
      <c r="H82" s="69">
        <v>12555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198</v>
      </c>
      <c r="G83" s="68" t="s">
        <v>803</v>
      </c>
      <c r="H83" s="69">
        <v>11500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237</v>
      </c>
      <c r="G84" s="68" t="s">
        <v>188</v>
      </c>
      <c r="H84" s="69">
        <v>18500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805</v>
      </c>
      <c r="G85" s="68" t="s">
        <v>806</v>
      </c>
      <c r="H85" s="69">
        <v>17500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807</v>
      </c>
      <c r="G86" s="68" t="s">
        <v>808</v>
      </c>
      <c r="H86" s="69">
        <v>14000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179</v>
      </c>
      <c r="G87" s="68" t="s">
        <v>809</v>
      </c>
      <c r="H87" s="69">
        <v>11500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812</v>
      </c>
      <c r="G88" s="68" t="s">
        <v>813</v>
      </c>
      <c r="H88" s="69">
        <v>13800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526</v>
      </c>
      <c r="G89" s="68" t="s">
        <v>816</v>
      </c>
      <c r="H89" s="69">
        <v>13000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817</v>
      </c>
      <c r="G90" s="68" t="s">
        <v>818</v>
      </c>
      <c r="H90" s="69">
        <v>10000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826</v>
      </c>
      <c r="G91" s="68" t="s">
        <v>827</v>
      </c>
      <c r="H91" s="69">
        <v>13000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828</v>
      </c>
      <c r="G92" s="68" t="s">
        <v>279</v>
      </c>
      <c r="H92" s="69">
        <v>10200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829</v>
      </c>
      <c r="G93" s="68" t="s">
        <v>279</v>
      </c>
      <c r="H93" s="69">
        <v>10200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838</v>
      </c>
      <c r="G94" s="68" t="s">
        <v>839</v>
      </c>
      <c r="H94" s="69">
        <v>14000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311</v>
      </c>
      <c r="G95" s="68" t="s">
        <v>840</v>
      </c>
      <c r="H95" s="69">
        <v>19000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844</v>
      </c>
      <c r="G96" s="68" t="s">
        <v>845</v>
      </c>
      <c r="H96" s="69">
        <v>12500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847</v>
      </c>
      <c r="G97" s="68" t="s">
        <v>848</v>
      </c>
      <c r="H97" s="69">
        <v>9800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189</v>
      </c>
      <c r="G98" s="68" t="s">
        <v>856</v>
      </c>
      <c r="H98" s="69">
        <v>16000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 t="s">
        <v>187</v>
      </c>
      <c r="G99" s="68" t="s">
        <v>857</v>
      </c>
      <c r="H99" s="69">
        <v>20500</v>
      </c>
      <c r="I99" s="46"/>
    </row>
    <row r="100" spans="2:9" s="6" customFormat="1" x14ac:dyDescent="0.2">
      <c r="B100" s="50"/>
      <c r="C100" s="34"/>
      <c r="D100" s="81"/>
      <c r="E100" s="82">
        <v>102</v>
      </c>
      <c r="F100" s="85"/>
      <c r="G100" s="68"/>
      <c r="H100" s="69"/>
      <c r="I100" s="46"/>
    </row>
    <row r="101" spans="2:9" s="6" customFormat="1" x14ac:dyDescent="0.2">
      <c r="B101" s="50"/>
      <c r="C101" s="34"/>
      <c r="D101" s="81"/>
      <c r="E101" s="82">
        <v>102</v>
      </c>
      <c r="F101" s="85"/>
      <c r="G101" s="68"/>
      <c r="H101" s="69"/>
      <c r="I101" s="46"/>
    </row>
    <row r="102" spans="2:9" s="6" customFormat="1" x14ac:dyDescent="0.2">
      <c r="B102" s="50"/>
      <c r="C102" s="34"/>
      <c r="D102" s="81"/>
      <c r="E102" s="82">
        <v>102</v>
      </c>
      <c r="F102" s="85"/>
      <c r="G102" s="68"/>
      <c r="H102" s="69"/>
      <c r="I102" s="46"/>
    </row>
    <row r="103" spans="2:9" s="6" customFormat="1" x14ac:dyDescent="0.2">
      <c r="B103" s="50"/>
      <c r="C103" s="34"/>
      <c r="D103" s="81"/>
      <c r="E103" s="82">
        <v>102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102</v>
      </c>
      <c r="F104" s="85"/>
      <c r="G104" s="68"/>
      <c r="H104" s="69"/>
      <c r="I104" s="46"/>
    </row>
    <row r="105" spans="2:9" s="6" customFormat="1" ht="15.75" thickBot="1" x14ac:dyDescent="0.25">
      <c r="B105" s="50"/>
      <c r="C105" s="34"/>
      <c r="D105" s="81"/>
      <c r="E105" s="86">
        <v>102</v>
      </c>
      <c r="F105" s="87"/>
      <c r="G105" s="88"/>
      <c r="H105" s="57"/>
      <c r="I105" s="46"/>
    </row>
    <row r="106" spans="2:9" s="6" customFormat="1" ht="15.75" x14ac:dyDescent="0.25">
      <c r="B106" s="50"/>
      <c r="C106" s="34"/>
      <c r="D106" s="81"/>
      <c r="E106" s="78">
        <v>103</v>
      </c>
      <c r="F106" s="79"/>
      <c r="G106" s="80" t="s">
        <v>80</v>
      </c>
      <c r="H106" s="59"/>
      <c r="I106" s="46"/>
    </row>
    <row r="107" spans="2:9" s="6" customFormat="1" x14ac:dyDescent="0.2">
      <c r="B107" s="50"/>
      <c r="C107" s="34"/>
      <c r="D107" s="81"/>
      <c r="E107" s="82">
        <v>103</v>
      </c>
      <c r="F107" s="85" t="s">
        <v>820</v>
      </c>
      <c r="G107" s="68" t="s">
        <v>186</v>
      </c>
      <c r="H107" s="69">
        <v>1150</v>
      </c>
      <c r="I107" s="46"/>
    </row>
    <row r="108" spans="2:9" s="6" customFormat="1" x14ac:dyDescent="0.2">
      <c r="B108" s="50"/>
      <c r="C108" s="34"/>
      <c r="D108" s="81"/>
      <c r="E108" s="82">
        <v>103</v>
      </c>
      <c r="F108" s="85" t="s">
        <v>822</v>
      </c>
      <c r="G108" s="68" t="s">
        <v>823</v>
      </c>
      <c r="H108" s="69">
        <v>1250</v>
      </c>
      <c r="I108" s="46"/>
    </row>
    <row r="109" spans="2:9" s="6" customFormat="1" x14ac:dyDescent="0.2">
      <c r="B109" s="50"/>
      <c r="C109" s="34"/>
      <c r="D109" s="81"/>
      <c r="E109" s="82">
        <v>103</v>
      </c>
      <c r="F109" s="85"/>
      <c r="G109" s="68"/>
      <c r="H109" s="69"/>
      <c r="I109" s="46"/>
    </row>
    <row r="110" spans="2:9" s="6" customFormat="1" x14ac:dyDescent="0.2">
      <c r="B110" s="50"/>
      <c r="C110" s="34"/>
      <c r="D110" s="81"/>
      <c r="E110" s="82">
        <v>103</v>
      </c>
      <c r="F110" s="85"/>
      <c r="G110" s="68"/>
      <c r="H110" s="69"/>
      <c r="I110" s="46"/>
    </row>
    <row r="111" spans="2:9" s="6" customFormat="1" x14ac:dyDescent="0.2">
      <c r="B111" s="50"/>
      <c r="C111" s="34"/>
      <c r="D111" s="81"/>
      <c r="E111" s="82">
        <v>103</v>
      </c>
      <c r="F111" s="85"/>
      <c r="G111" s="68"/>
      <c r="H111" s="69"/>
      <c r="I111" s="46"/>
    </row>
    <row r="112" spans="2:9" s="6" customFormat="1" x14ac:dyDescent="0.2">
      <c r="B112" s="50"/>
      <c r="C112" s="34"/>
      <c r="D112" s="81"/>
      <c r="E112" s="82">
        <v>103</v>
      </c>
      <c r="F112" s="85"/>
      <c r="G112" s="68"/>
      <c r="H112" s="69"/>
      <c r="I112" s="46"/>
    </row>
    <row r="113" spans="2:9" s="6" customFormat="1" ht="15.75" thickBot="1" x14ac:dyDescent="0.25">
      <c r="B113" s="50"/>
      <c r="C113" s="34"/>
      <c r="D113" s="81"/>
      <c r="E113" s="82">
        <v>103</v>
      </c>
      <c r="F113" s="87"/>
      <c r="G113" s="88"/>
      <c r="H113" s="57"/>
      <c r="I113" s="46"/>
    </row>
    <row r="114" spans="2:9" s="6" customFormat="1" ht="15.75" x14ac:dyDescent="0.25">
      <c r="B114" s="50"/>
      <c r="C114" s="34"/>
      <c r="D114" s="81"/>
      <c r="E114" s="89">
        <v>104</v>
      </c>
      <c r="F114" s="79"/>
      <c r="G114" s="80" t="s">
        <v>81</v>
      </c>
      <c r="H114" s="59"/>
      <c r="I114" s="46"/>
    </row>
    <row r="115" spans="2:9" s="6" customFormat="1" x14ac:dyDescent="0.2">
      <c r="B115" s="50"/>
      <c r="C115" s="34"/>
      <c r="D115" s="81"/>
      <c r="E115" s="82">
        <v>104</v>
      </c>
      <c r="F115" s="83" t="s">
        <v>793</v>
      </c>
      <c r="G115" s="84" t="s">
        <v>794</v>
      </c>
      <c r="H115" s="39">
        <v>18000</v>
      </c>
      <c r="I115" s="46"/>
    </row>
    <row r="116" spans="2:9" s="6" customFormat="1" x14ac:dyDescent="0.2">
      <c r="B116" s="50"/>
      <c r="C116" s="34"/>
      <c r="D116" s="81"/>
      <c r="E116" s="82">
        <v>104</v>
      </c>
      <c r="F116" s="85"/>
      <c r="G116" s="84" t="s">
        <v>804</v>
      </c>
      <c r="H116" s="69">
        <v>20000</v>
      </c>
      <c r="I116" s="46"/>
    </row>
    <row r="117" spans="2:9" s="6" customFormat="1" x14ac:dyDescent="0.2">
      <c r="B117" s="50"/>
      <c r="C117" s="34"/>
      <c r="D117" s="81"/>
      <c r="E117" s="82">
        <v>104</v>
      </c>
      <c r="F117" s="85" t="s">
        <v>187</v>
      </c>
      <c r="G117" s="68" t="s">
        <v>540</v>
      </c>
      <c r="H117" s="69">
        <v>1000</v>
      </c>
      <c r="I117" s="46"/>
    </row>
    <row r="118" spans="2:9" s="6" customFormat="1" x14ac:dyDescent="0.2">
      <c r="B118" s="50"/>
      <c r="C118" s="34"/>
      <c r="D118" s="81"/>
      <c r="E118" s="82">
        <v>104</v>
      </c>
      <c r="F118" s="85"/>
      <c r="G118" s="68"/>
      <c r="H118" s="69"/>
      <c r="I118" s="46"/>
    </row>
    <row r="119" spans="2:9" s="6" customFormat="1" x14ac:dyDescent="0.2">
      <c r="B119" s="50"/>
      <c r="C119" s="34"/>
      <c r="D119" s="81"/>
      <c r="E119" s="82">
        <v>104</v>
      </c>
      <c r="F119" s="85"/>
      <c r="G119" s="68"/>
      <c r="H119" s="69"/>
      <c r="I119" s="46"/>
    </row>
    <row r="120" spans="2:9" s="6" customFormat="1" x14ac:dyDescent="0.2">
      <c r="B120" s="50"/>
      <c r="C120" s="34"/>
      <c r="D120" s="81"/>
      <c r="E120" s="82">
        <v>104</v>
      </c>
      <c r="F120" s="85"/>
      <c r="G120" s="68"/>
      <c r="H120" s="69"/>
      <c r="I120" s="46"/>
    </row>
    <row r="121" spans="2:9" s="6" customFormat="1" ht="15.75" thickBot="1" x14ac:dyDescent="0.25">
      <c r="B121" s="50"/>
      <c r="C121" s="34"/>
      <c r="D121" s="81"/>
      <c r="E121" s="82">
        <v>104</v>
      </c>
      <c r="F121" s="87"/>
      <c r="G121" s="88"/>
      <c r="H121" s="57"/>
      <c r="I121" s="46"/>
    </row>
    <row r="122" spans="2:9" s="6" customFormat="1" ht="15.75" x14ac:dyDescent="0.25">
      <c r="B122" s="50"/>
      <c r="C122" s="34"/>
      <c r="D122" s="81"/>
      <c r="E122" s="90"/>
      <c r="F122" s="91"/>
      <c r="G122" s="92" t="s">
        <v>82</v>
      </c>
      <c r="H122" s="93"/>
      <c r="I122" s="25"/>
    </row>
    <row r="123" spans="2:9" s="6" customFormat="1" ht="15.75" x14ac:dyDescent="0.25">
      <c r="B123" s="50"/>
      <c r="C123" s="34"/>
      <c r="D123" s="81"/>
      <c r="E123" s="197" t="s">
        <v>83</v>
      </c>
      <c r="F123" s="198"/>
      <c r="G123" s="199"/>
      <c r="H123" s="41"/>
      <c r="I123" s="25"/>
    </row>
    <row r="124" spans="2:9" s="6" customFormat="1" ht="15.75" x14ac:dyDescent="0.2">
      <c r="B124" s="50"/>
      <c r="C124" s="34"/>
      <c r="D124" s="81"/>
      <c r="E124" s="82"/>
      <c r="F124" s="94"/>
      <c r="G124" s="52"/>
      <c r="H124" s="67"/>
      <c r="I124" s="25"/>
    </row>
    <row r="125" spans="2:9" s="6" customFormat="1" ht="15.75" x14ac:dyDescent="0.2">
      <c r="B125" s="50"/>
      <c r="C125" s="34"/>
      <c r="D125" s="81"/>
      <c r="E125" s="82"/>
      <c r="F125" s="94"/>
      <c r="G125" s="52"/>
      <c r="H125" s="67"/>
      <c r="I125" s="25"/>
    </row>
    <row r="126" spans="2:9" s="6" customFormat="1" ht="15.75" x14ac:dyDescent="0.25">
      <c r="B126" s="50"/>
      <c r="C126" s="34"/>
      <c r="D126" s="81"/>
      <c r="E126" s="197" t="s">
        <v>84</v>
      </c>
      <c r="F126" s="198"/>
      <c r="G126" s="199"/>
      <c r="H126" s="41"/>
      <c r="I126" s="25"/>
    </row>
    <row r="127" spans="2:9" s="6" customFormat="1" ht="15.75" x14ac:dyDescent="0.2">
      <c r="B127" s="50"/>
      <c r="C127" s="34"/>
      <c r="D127" s="81"/>
      <c r="E127" s="82"/>
      <c r="F127" s="94"/>
      <c r="G127" s="52"/>
      <c r="H127" s="67"/>
      <c r="I127" s="25"/>
    </row>
    <row r="128" spans="2:9" s="6" customFormat="1" ht="15.75" x14ac:dyDescent="0.25">
      <c r="B128" s="50"/>
      <c r="C128" s="34"/>
      <c r="D128" s="81"/>
      <c r="E128" s="82"/>
      <c r="F128" s="37"/>
      <c r="G128" s="84"/>
      <c r="H128" s="41"/>
      <c r="I128" s="25"/>
    </row>
    <row r="129" spans="2:9" s="6" customFormat="1" ht="15.75" x14ac:dyDescent="0.25">
      <c r="B129" s="50"/>
      <c r="C129" s="34"/>
      <c r="D129" s="81"/>
      <c r="E129" s="197" t="s">
        <v>85</v>
      </c>
      <c r="F129" s="198"/>
      <c r="G129" s="199"/>
      <c r="H129" s="41"/>
      <c r="I129" s="25"/>
    </row>
    <row r="130" spans="2:9" s="6" customFormat="1" x14ac:dyDescent="0.2">
      <c r="B130" s="50"/>
      <c r="C130" s="34"/>
      <c r="D130" s="81"/>
      <c r="E130" s="82"/>
      <c r="F130" s="83"/>
      <c r="G130" s="84"/>
      <c r="H130" s="41"/>
      <c r="I130" s="25"/>
    </row>
    <row r="131" spans="2:9" s="6" customFormat="1" x14ac:dyDescent="0.2">
      <c r="B131" s="50"/>
      <c r="C131" s="34"/>
      <c r="D131" s="81"/>
      <c r="E131" s="82"/>
      <c r="F131" s="83"/>
      <c r="G131" s="84"/>
      <c r="H131" s="41"/>
      <c r="I131" s="25"/>
    </row>
    <row r="132" spans="2:9" s="6" customFormat="1" ht="15.75" x14ac:dyDescent="0.25">
      <c r="B132" s="50"/>
      <c r="C132" s="34"/>
      <c r="D132" s="81"/>
      <c r="E132" s="197" t="s">
        <v>86</v>
      </c>
      <c r="F132" s="198"/>
      <c r="G132" s="199"/>
      <c r="H132" s="41"/>
      <c r="I132" s="25"/>
    </row>
    <row r="133" spans="2:9" s="6" customFormat="1" ht="15.75" x14ac:dyDescent="0.25">
      <c r="B133" s="50"/>
      <c r="C133" s="34"/>
      <c r="D133" s="81"/>
      <c r="E133" s="89"/>
      <c r="F133" s="95"/>
      <c r="G133" s="52"/>
      <c r="H133" s="39"/>
      <c r="I133" s="25"/>
    </row>
    <row r="134" spans="2:9" s="6" customFormat="1" ht="15.75" x14ac:dyDescent="0.25">
      <c r="B134" s="50"/>
      <c r="C134" s="34"/>
      <c r="D134" s="81"/>
      <c r="E134" s="89"/>
      <c r="F134" s="95"/>
      <c r="G134" s="52"/>
      <c r="H134" s="39"/>
      <c r="I134" s="25"/>
    </row>
    <row r="135" spans="2:9" s="6" customFormat="1" ht="15.75" x14ac:dyDescent="0.25">
      <c r="B135" s="50"/>
      <c r="C135" s="34"/>
      <c r="D135" s="81"/>
      <c r="E135" s="89"/>
      <c r="F135" s="95"/>
      <c r="G135" s="52"/>
      <c r="H135" s="39"/>
      <c r="I135" s="25"/>
    </row>
    <row r="136" spans="2:9" s="6" customFormat="1" ht="15.75" x14ac:dyDescent="0.25">
      <c r="B136" s="50"/>
      <c r="C136" s="34"/>
      <c r="D136" s="81"/>
      <c r="E136" s="89"/>
      <c r="F136" s="95"/>
      <c r="G136" s="52"/>
      <c r="H136" s="39"/>
      <c r="I136" s="25"/>
    </row>
    <row r="137" spans="2:9" s="6" customFormat="1" x14ac:dyDescent="0.2">
      <c r="B137" s="50"/>
      <c r="C137" s="34"/>
      <c r="D137" s="81"/>
      <c r="E137" s="82"/>
      <c r="F137" s="96"/>
      <c r="G137" s="84"/>
      <c r="H137" s="41"/>
      <c r="I137" s="25"/>
    </row>
    <row r="138" spans="2:9" s="6" customFormat="1" ht="15.75" x14ac:dyDescent="0.25">
      <c r="B138" s="50"/>
      <c r="C138" s="34"/>
      <c r="D138" s="81"/>
      <c r="E138" s="197" t="s">
        <v>87</v>
      </c>
      <c r="F138" s="198"/>
      <c r="G138" s="199"/>
      <c r="H138" s="41"/>
      <c r="I138" s="25"/>
    </row>
    <row r="139" spans="2:9" s="6" customFormat="1" ht="15.75" x14ac:dyDescent="0.25">
      <c r="B139" s="50"/>
      <c r="C139" s="34"/>
      <c r="D139" s="81"/>
      <c r="E139" s="82"/>
      <c r="F139" s="37" t="s">
        <v>71</v>
      </c>
      <c r="G139" s="52" t="s">
        <v>798</v>
      </c>
      <c r="H139" s="39">
        <v>23300</v>
      </c>
      <c r="I139" s="25"/>
    </row>
    <row r="140" spans="2:9" s="6" customFormat="1" ht="15.75" x14ac:dyDescent="0.25">
      <c r="B140" s="50"/>
      <c r="C140" s="34"/>
      <c r="D140" s="81"/>
      <c r="E140" s="82"/>
      <c r="F140" s="37"/>
      <c r="G140" s="52"/>
      <c r="H140" s="39"/>
      <c r="I140" s="25"/>
    </row>
    <row r="141" spans="2:9" s="6" customFormat="1" x14ac:dyDescent="0.2">
      <c r="B141" s="50"/>
      <c r="C141" s="34"/>
      <c r="D141" s="81"/>
      <c r="E141" s="82"/>
      <c r="F141" s="97"/>
      <c r="G141" s="52"/>
      <c r="H141" s="41"/>
      <c r="I141" s="25"/>
    </row>
    <row r="142" spans="2:9" s="6" customFormat="1" ht="15.75" thickBot="1" x14ac:dyDescent="0.25">
      <c r="B142" s="50" t="s">
        <v>88</v>
      </c>
      <c r="C142" s="34"/>
      <c r="D142" s="81"/>
      <c r="E142" s="86"/>
      <c r="F142" s="98"/>
      <c r="G142" s="88"/>
      <c r="H142" s="99"/>
      <c r="I142" s="25"/>
    </row>
    <row r="143" spans="2:9" s="6" customFormat="1" ht="15.75" x14ac:dyDescent="0.25">
      <c r="B143" s="50"/>
      <c r="C143" s="34"/>
      <c r="D143" s="81"/>
      <c r="E143" s="100"/>
      <c r="F143" s="101"/>
      <c r="G143" s="102" t="s">
        <v>89</v>
      </c>
      <c r="H143" s="103">
        <f>10000+20000</f>
        <v>30000</v>
      </c>
      <c r="I143" s="25"/>
    </row>
    <row r="144" spans="2:9" s="6" customFormat="1" ht="15.75" x14ac:dyDescent="0.25">
      <c r="B144" s="50"/>
      <c r="C144" s="34"/>
      <c r="D144" s="81"/>
      <c r="E144" s="82"/>
      <c r="F144" s="104"/>
      <c r="G144" s="105" t="s">
        <v>90</v>
      </c>
      <c r="H144" s="41">
        <v>20000</v>
      </c>
      <c r="I144" s="25"/>
    </row>
    <row r="145" spans="2:9" s="6" customFormat="1" ht="15.75" x14ac:dyDescent="0.25">
      <c r="B145" s="50"/>
      <c r="C145" s="34"/>
      <c r="D145" s="81"/>
      <c r="E145" s="82"/>
      <c r="F145" s="104"/>
      <c r="G145" s="105" t="s">
        <v>91</v>
      </c>
      <c r="H145" s="41"/>
      <c r="I145" s="25"/>
    </row>
    <row r="146" spans="2:9" s="6" customFormat="1" ht="15.75" x14ac:dyDescent="0.25">
      <c r="B146" s="50"/>
      <c r="C146" s="34"/>
      <c r="D146" s="81"/>
      <c r="E146" s="82"/>
      <c r="F146" s="104"/>
      <c r="G146" s="105" t="s">
        <v>92</v>
      </c>
      <c r="H146" s="41"/>
      <c r="I146" s="25"/>
    </row>
    <row r="147" spans="2:9" s="6" customFormat="1" ht="15.75" x14ac:dyDescent="0.25">
      <c r="B147" s="50"/>
      <c r="C147" s="34"/>
      <c r="D147" s="81"/>
      <c r="E147" s="82"/>
      <c r="F147" s="104"/>
      <c r="G147" s="105" t="s">
        <v>93</v>
      </c>
      <c r="H147" s="41"/>
      <c r="I147" s="25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814</v>
      </c>
      <c r="H148" s="107">
        <v>200</v>
      </c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94</v>
      </c>
      <c r="H149" s="109">
        <f>300+500</f>
        <v>800</v>
      </c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95</v>
      </c>
      <c r="H150" s="109">
        <v>2100</v>
      </c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96</v>
      </c>
      <c r="H151" s="107"/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97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788</v>
      </c>
      <c r="H153" s="107">
        <v>1550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246</v>
      </c>
      <c r="H154" s="107"/>
      <c r="I154" s="108"/>
    </row>
    <row r="155" spans="2:9" s="6" customFormat="1" ht="15.75" x14ac:dyDescent="0.25">
      <c r="B155" s="50"/>
      <c r="C155" s="34"/>
      <c r="D155" s="81"/>
      <c r="E155" s="82"/>
      <c r="F155" s="104"/>
      <c r="G155" s="106" t="s">
        <v>861</v>
      </c>
      <c r="H155" s="107">
        <v>550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348</v>
      </c>
      <c r="H156" s="107">
        <v>400</v>
      </c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634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101</v>
      </c>
      <c r="H158" s="107">
        <v>300</v>
      </c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406</v>
      </c>
      <c r="H159" s="107"/>
      <c r="I159" s="108"/>
    </row>
    <row r="160" spans="2:9" s="6" customFormat="1" ht="15.75" x14ac:dyDescent="0.25">
      <c r="B160" s="50" t="s">
        <v>103</v>
      </c>
      <c r="C160" s="34" t="s">
        <v>103</v>
      </c>
      <c r="D160" s="81"/>
      <c r="E160" s="82"/>
      <c r="F160" s="104"/>
      <c r="G160" s="106" t="s">
        <v>104</v>
      </c>
      <c r="H160" s="107">
        <v>350</v>
      </c>
      <c r="I160" s="108"/>
    </row>
    <row r="161" spans="2:9" s="6" customFormat="1" ht="15.75" x14ac:dyDescent="0.25">
      <c r="B161" s="50"/>
      <c r="C161" s="34"/>
      <c r="D161" s="81"/>
      <c r="E161" s="82"/>
      <c r="F161" s="104"/>
      <c r="G161" s="106" t="s">
        <v>555</v>
      </c>
      <c r="H161" s="107"/>
      <c r="I161" s="108"/>
    </row>
    <row r="162" spans="2:9" s="6" customFormat="1" ht="15.75" x14ac:dyDescent="0.25">
      <c r="B162" s="50"/>
      <c r="C162" s="34"/>
      <c r="D162" s="81"/>
      <c r="E162" s="82"/>
      <c r="F162" s="104"/>
      <c r="G162" s="106" t="s">
        <v>478</v>
      </c>
      <c r="H162" s="107"/>
      <c r="I162" s="108"/>
    </row>
    <row r="163" spans="2:9" s="6" customFormat="1" ht="15.75" x14ac:dyDescent="0.25">
      <c r="B163" s="50"/>
      <c r="C163" s="34"/>
      <c r="D163" s="81"/>
      <c r="E163" s="82"/>
      <c r="F163" s="104"/>
      <c r="G163" s="106" t="s">
        <v>405</v>
      </c>
      <c r="H163" s="107"/>
      <c r="I163" s="108"/>
    </row>
    <row r="164" spans="2:9" s="6" customFormat="1" ht="15.75" x14ac:dyDescent="0.25">
      <c r="B164" s="50"/>
      <c r="C164" s="34"/>
      <c r="D164" s="81"/>
      <c r="E164" s="82"/>
      <c r="F164" s="104"/>
      <c r="G164" s="106" t="s">
        <v>108</v>
      </c>
      <c r="H164" s="107"/>
      <c r="I164" s="108"/>
    </row>
    <row r="165" spans="2:9" s="6" customFormat="1" ht="15.75" x14ac:dyDescent="0.25">
      <c r="B165" s="50"/>
      <c r="C165" s="34"/>
      <c r="D165" s="81"/>
      <c r="E165" s="82"/>
      <c r="F165" s="104"/>
      <c r="G165" s="106" t="s">
        <v>109</v>
      </c>
      <c r="H165" s="107"/>
      <c r="I165" s="108"/>
    </row>
    <row r="166" spans="2:9" s="6" customFormat="1" ht="15.75" x14ac:dyDescent="0.25">
      <c r="B166" s="50"/>
      <c r="C166" s="34"/>
      <c r="D166" s="81"/>
      <c r="E166" s="110"/>
      <c r="F166" s="104"/>
      <c r="G166" s="111" t="s">
        <v>110</v>
      </c>
      <c r="H166" s="107"/>
      <c r="I166" s="108"/>
    </row>
    <row r="167" spans="2:9" s="118" customFormat="1" ht="16.5" thickBot="1" x14ac:dyDescent="0.3">
      <c r="B167" s="50"/>
      <c r="C167" s="112"/>
      <c r="D167" s="113"/>
      <c r="E167" s="114"/>
      <c r="F167" s="115"/>
      <c r="G167" s="116" t="s">
        <v>111</v>
      </c>
      <c r="H167" s="117"/>
      <c r="I167" s="108"/>
    </row>
    <row r="168" spans="2:9" s="11" customFormat="1" ht="15.75" x14ac:dyDescent="0.2">
      <c r="B168" s="119"/>
      <c r="C168" s="120"/>
      <c r="D168" s="121"/>
      <c r="E168" s="122"/>
      <c r="F168" s="101"/>
      <c r="G168" s="123" t="s">
        <v>112</v>
      </c>
      <c r="H168" s="124">
        <f>SUM(H10:H167)</f>
        <v>651955</v>
      </c>
      <c r="I168" s="125"/>
    </row>
    <row r="169" spans="2:9" ht="15.75" x14ac:dyDescent="0.25">
      <c r="B169" s="119"/>
      <c r="C169" s="126" t="s">
        <v>113</v>
      </c>
      <c r="D169" s="127">
        <f>SUM(D10:D168)</f>
        <v>0</v>
      </c>
      <c r="E169" s="128"/>
      <c r="F169" s="129"/>
      <c r="G169" s="130" t="s">
        <v>114</v>
      </c>
      <c r="H169" s="131">
        <f>H9-H168</f>
        <v>478301</v>
      </c>
      <c r="I169" s="132"/>
    </row>
    <row r="170" spans="2:9" ht="16.5" thickBot="1" x14ac:dyDescent="0.3">
      <c r="B170" s="133"/>
      <c r="C170" s="134" t="s">
        <v>115</v>
      </c>
      <c r="D170" s="135">
        <f>D9+D169</f>
        <v>1130256</v>
      </c>
      <c r="E170" s="136"/>
      <c r="F170" s="137"/>
      <c r="G170" s="138" t="s">
        <v>116</v>
      </c>
      <c r="H170" s="139">
        <f>H168+H169</f>
        <v>1130256</v>
      </c>
      <c r="I170" s="132"/>
    </row>
    <row r="171" spans="2:9" ht="15.75" x14ac:dyDescent="0.25">
      <c r="B171" s="140"/>
      <c r="C171" s="140"/>
      <c r="D171" s="141"/>
      <c r="E171" s="142"/>
      <c r="F171" s="143"/>
      <c r="G171" s="144"/>
      <c r="H171" s="145"/>
      <c r="I171" s="145"/>
    </row>
    <row r="172" spans="2:9" ht="15.75" x14ac:dyDescent="0.25">
      <c r="B172" s="140"/>
      <c r="C172" s="140"/>
      <c r="D172" s="141"/>
      <c r="E172" s="142"/>
      <c r="F172" s="143"/>
      <c r="G172" s="144"/>
      <c r="H172" s="145"/>
      <c r="I172" s="145"/>
    </row>
    <row r="173" spans="2:9" ht="15.75" x14ac:dyDescent="0.25">
      <c r="B173" s="140"/>
      <c r="C173" s="140"/>
      <c r="D173" s="141"/>
      <c r="E173" s="142"/>
      <c r="F173" s="143"/>
      <c r="G173" s="144"/>
      <c r="H173" s="145"/>
      <c r="I173" s="145"/>
    </row>
    <row r="174" spans="2:9" ht="15.75" x14ac:dyDescent="0.25">
      <c r="B174" s="140"/>
      <c r="C174" s="140"/>
      <c r="D174" s="141"/>
      <c r="E174" s="142"/>
      <c r="F174" s="143"/>
      <c r="G174" s="144"/>
      <c r="H174" s="145"/>
      <c r="I174" s="145"/>
    </row>
    <row r="175" spans="2:9" ht="15.75" x14ac:dyDescent="0.25">
      <c r="B175" s="187" t="s">
        <v>117</v>
      </c>
      <c r="C175" s="187"/>
      <c r="D175" s="188" t="s">
        <v>118</v>
      </c>
      <c r="E175" s="188"/>
      <c r="F175" s="188"/>
      <c r="G175" s="146" t="s">
        <v>119</v>
      </c>
      <c r="H175" s="146" t="s">
        <v>120</v>
      </c>
      <c r="I175" s="146"/>
    </row>
    <row r="176" spans="2:9" ht="15.75" x14ac:dyDescent="0.25">
      <c r="B176" s="140"/>
      <c r="C176" s="140"/>
      <c r="D176" s="141"/>
      <c r="E176" s="142"/>
      <c r="F176" s="143"/>
      <c r="G176" s="147"/>
    </row>
    <row r="177" spans="2:11" x14ac:dyDescent="0.2">
      <c r="E177" s="5" t="s">
        <v>121</v>
      </c>
    </row>
    <row r="178" spans="2:11" x14ac:dyDescent="0.2">
      <c r="H178" s="151"/>
      <c r="I178" s="151"/>
    </row>
    <row r="179" spans="2:11" x14ac:dyDescent="0.2">
      <c r="H179" s="189"/>
      <c r="I179" s="189"/>
      <c r="J179" s="189"/>
    </row>
    <row r="180" spans="2:11" x14ac:dyDescent="0.2">
      <c r="B180" s="152" t="s">
        <v>122</v>
      </c>
      <c r="C180" s="153" t="s">
        <v>123</v>
      </c>
      <c r="D180" s="152" t="s">
        <v>124</v>
      </c>
      <c r="H180" s="151"/>
      <c r="I180" s="151"/>
    </row>
    <row r="181" spans="2:11" ht="23.25" x14ac:dyDescent="0.2">
      <c r="B181" s="154">
        <v>1</v>
      </c>
      <c r="C181" s="155" t="s">
        <v>125</v>
      </c>
      <c r="D181" s="156"/>
      <c r="H181" s="157"/>
      <c r="I181" s="157"/>
      <c r="J181" s="158"/>
      <c r="K181" s="159"/>
    </row>
    <row r="182" spans="2:11" ht="23.25" x14ac:dyDescent="0.2">
      <c r="B182" s="154">
        <v>2</v>
      </c>
      <c r="C182" s="155" t="s">
        <v>126</v>
      </c>
      <c r="D182" s="160"/>
      <c r="H182" s="157"/>
      <c r="I182" s="157"/>
      <c r="J182" s="158"/>
      <c r="K182" s="159"/>
    </row>
    <row r="183" spans="2:11" ht="23.25" x14ac:dyDescent="0.2">
      <c r="B183" s="154">
        <v>3</v>
      </c>
      <c r="C183" s="155" t="s">
        <v>127</v>
      </c>
      <c r="D183" s="160">
        <f>10000-5000</f>
        <v>5000</v>
      </c>
      <c r="H183" s="157"/>
      <c r="I183" s="157"/>
      <c r="J183" s="158"/>
      <c r="K183" s="159"/>
    </row>
    <row r="184" spans="2:11" ht="23.25" x14ac:dyDescent="0.3">
      <c r="B184" s="154">
        <v>4</v>
      </c>
      <c r="C184" s="155"/>
      <c r="D184" s="160"/>
      <c r="H184" s="161"/>
      <c r="I184" s="157"/>
      <c r="J184" s="158"/>
      <c r="K184" s="159"/>
    </row>
    <row r="185" spans="2:11" ht="23.25" x14ac:dyDescent="0.2">
      <c r="B185" s="154">
        <v>5</v>
      </c>
      <c r="C185" s="155" t="s">
        <v>128</v>
      </c>
      <c r="D185" s="162">
        <f>10000+20000+15000-15000</f>
        <v>30000</v>
      </c>
      <c r="H185" s="157"/>
      <c r="I185" s="157"/>
      <c r="J185" s="158"/>
      <c r="K185" s="159"/>
    </row>
    <row r="186" spans="2:11" ht="23.25" x14ac:dyDescent="0.2">
      <c r="B186" s="154">
        <v>6</v>
      </c>
      <c r="C186" s="155" t="s">
        <v>129</v>
      </c>
      <c r="D186" s="162">
        <f>2000+5000+2000-2000+1000+3000-3000+10000-6500</f>
        <v>11500</v>
      </c>
      <c r="H186" s="157"/>
      <c r="I186" s="157"/>
      <c r="J186" s="158"/>
      <c r="K186" s="159"/>
    </row>
    <row r="187" spans="2:11" ht="23.25" x14ac:dyDescent="0.2">
      <c r="B187" s="154">
        <v>7</v>
      </c>
      <c r="C187" s="155" t="s">
        <v>130</v>
      </c>
      <c r="D187" s="160">
        <f>-6700+100+10000-3450-1720-700-1950+4000+1000+5000-1270+1000-1550</f>
        <v>3760</v>
      </c>
      <c r="H187" s="157"/>
      <c r="I187" s="157"/>
      <c r="J187" s="158"/>
      <c r="K187" s="159"/>
    </row>
    <row r="188" spans="2:11" ht="23.25" x14ac:dyDescent="0.2">
      <c r="B188" s="154">
        <v>8</v>
      </c>
      <c r="C188" s="163" t="s">
        <v>343</v>
      </c>
      <c r="D188" s="164">
        <f>3300+4300</f>
        <v>7600</v>
      </c>
      <c r="H188" s="157"/>
      <c r="I188" s="157"/>
      <c r="J188" s="158"/>
      <c r="K188" s="159"/>
    </row>
    <row r="189" spans="2:11" ht="23.25" x14ac:dyDescent="0.2">
      <c r="B189" s="154">
        <v>9</v>
      </c>
      <c r="C189" s="163"/>
      <c r="D189" s="165"/>
      <c r="H189" s="166"/>
      <c r="I189" s="158"/>
      <c r="J189" s="158"/>
      <c r="K189" s="159"/>
    </row>
    <row r="190" spans="2:11" ht="23.25" x14ac:dyDescent="0.2">
      <c r="B190" s="154">
        <v>10</v>
      </c>
      <c r="C190" s="155" t="s">
        <v>133</v>
      </c>
      <c r="D190" s="160">
        <f>-13080-14170</f>
        <v>-27250</v>
      </c>
      <c r="H190" s="167"/>
      <c r="I190" s="158"/>
      <c r="J190" s="158"/>
      <c r="K190" s="159"/>
    </row>
    <row r="191" spans="2:11" ht="23.25" x14ac:dyDescent="0.3">
      <c r="B191" s="154">
        <v>11</v>
      </c>
      <c r="C191" s="155" t="s">
        <v>264</v>
      </c>
      <c r="D191" s="160" t="s">
        <v>103</v>
      </c>
      <c r="E191" s="168"/>
      <c r="G191" s="150" t="s">
        <v>121</v>
      </c>
      <c r="H191" s="169"/>
      <c r="I191" s="158"/>
      <c r="J191" s="158"/>
      <c r="K191" s="159"/>
    </row>
    <row r="192" spans="2:11" ht="23.25" x14ac:dyDescent="0.2">
      <c r="B192" s="154"/>
      <c r="C192" s="170" t="s">
        <v>135</v>
      </c>
      <c r="D192" s="171">
        <f>SUM(D181:D191)</f>
        <v>30610</v>
      </c>
      <c r="F192" s="172"/>
      <c r="H192" s="167"/>
      <c r="I192" s="158"/>
      <c r="J192" s="158"/>
      <c r="K192" s="159"/>
    </row>
    <row r="193" spans="2:11" ht="23.25" x14ac:dyDescent="0.2">
      <c r="D193" s="186">
        <f>80000+7000-86000+100000-100000</f>
        <v>1000</v>
      </c>
      <c r="E193" s="174" t="s">
        <v>736</v>
      </c>
      <c r="H193" s="167"/>
      <c r="I193" s="175"/>
      <c r="J193" s="158"/>
      <c r="K193" s="159"/>
    </row>
    <row r="194" spans="2:11" ht="23.25" x14ac:dyDescent="0.25">
      <c r="D194" s="176">
        <v>18000</v>
      </c>
      <c r="E194" s="5">
        <v>3012</v>
      </c>
      <c r="F194" s="177"/>
      <c r="H194" s="178"/>
      <c r="I194" s="175"/>
      <c r="J194" s="175"/>
      <c r="K194" s="159"/>
    </row>
    <row r="195" spans="2:11" ht="23.25" x14ac:dyDescent="0.2">
      <c r="D195" s="176"/>
      <c r="H195" s="179"/>
      <c r="I195" s="180"/>
      <c r="J195" s="158"/>
      <c r="K195" s="159"/>
    </row>
    <row r="196" spans="2:11" ht="23.25" x14ac:dyDescent="0.25">
      <c r="B196" s="5"/>
      <c r="D196" s="181">
        <v>11200</v>
      </c>
      <c r="E196" s="178" t="s">
        <v>253</v>
      </c>
      <c r="G196" s="178"/>
      <c r="H196" s="167"/>
      <c r="I196" s="5"/>
      <c r="J196" s="158"/>
      <c r="K196" s="159"/>
    </row>
    <row r="197" spans="2:11" ht="15.75" x14ac:dyDescent="0.25">
      <c r="B197" s="5"/>
      <c r="D197" s="181"/>
      <c r="E197" s="178"/>
      <c r="G197" s="178"/>
      <c r="H197" s="167"/>
      <c r="I197" s="5"/>
      <c r="J197" s="175"/>
    </row>
    <row r="198" spans="2:11" ht="15.75" x14ac:dyDescent="0.25">
      <c r="D198" s="181"/>
      <c r="E198" s="178"/>
      <c r="H198" s="182"/>
    </row>
    <row r="199" spans="2:11" x14ac:dyDescent="0.2">
      <c r="B199" s="5"/>
      <c r="D199" s="176"/>
      <c r="F199" s="5"/>
      <c r="G199" s="5"/>
      <c r="H199" s="183"/>
      <c r="I199" s="5"/>
    </row>
    <row r="200" spans="2:11" x14ac:dyDescent="0.2">
      <c r="D200" s="184">
        <f>SUM(D193:D199)+D192</f>
        <v>60810</v>
      </c>
      <c r="H200" s="182"/>
    </row>
    <row r="201" spans="2:11" x14ac:dyDescent="0.2">
      <c r="B201" s="5"/>
      <c r="D201" s="185">
        <f>D200-H169</f>
        <v>-417491</v>
      </c>
      <c r="F201" s="5"/>
      <c r="G201" s="5"/>
      <c r="H201" s="178"/>
      <c r="I201" s="5"/>
    </row>
    <row r="202" spans="2:11" x14ac:dyDescent="0.2">
      <c r="H202" s="182"/>
    </row>
    <row r="203" spans="2:11" x14ac:dyDescent="0.2">
      <c r="H203" s="182"/>
    </row>
    <row r="204" spans="2:11" x14ac:dyDescent="0.2">
      <c r="H204" s="182"/>
    </row>
    <row r="205" spans="2:11" x14ac:dyDescent="0.2">
      <c r="H205" s="182"/>
    </row>
    <row r="206" spans="2:11" x14ac:dyDescent="0.2">
      <c r="B206" s="5"/>
      <c r="D206" s="5"/>
      <c r="F206" s="5"/>
      <c r="G206" s="5"/>
      <c r="H206" s="182"/>
      <c r="I206" s="5"/>
    </row>
    <row r="207" spans="2:11" ht="15.75" x14ac:dyDescent="0.25">
      <c r="B207" s="5"/>
      <c r="D207" s="5"/>
      <c r="F207" s="5"/>
      <c r="G207" s="5"/>
      <c r="H207" s="145"/>
      <c r="I207" s="5"/>
    </row>
    <row r="208" spans="2:11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  <row r="317" spans="8:8" s="5" customFormat="1" x14ac:dyDescent="0.2">
      <c r="H317" s="182"/>
    </row>
    <row r="318" spans="8:8" s="5" customFormat="1" x14ac:dyDescent="0.2">
      <c r="H318" s="182"/>
    </row>
    <row r="319" spans="8:8" s="5" customFormat="1" x14ac:dyDescent="0.2">
      <c r="H319" s="182"/>
    </row>
    <row r="320" spans="8:8" s="5" customFormat="1" x14ac:dyDescent="0.2">
      <c r="H320" s="182"/>
    </row>
    <row r="321" spans="8:8" s="5" customFormat="1" x14ac:dyDescent="0.2">
      <c r="H321" s="182"/>
    </row>
  </sheetData>
  <mergeCells count="24">
    <mergeCell ref="E129:G129"/>
    <mergeCell ref="E132:G132"/>
    <mergeCell ref="E138:G138"/>
    <mergeCell ref="B175:C175"/>
    <mergeCell ref="D175:F175"/>
    <mergeCell ref="H179:J179"/>
    <mergeCell ref="H7:H8"/>
    <mergeCell ref="B9:C9"/>
    <mergeCell ref="F9:G9"/>
    <mergeCell ref="F10:G10"/>
    <mergeCell ref="E123:G123"/>
    <mergeCell ref="E126:G126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E749-68EE-4DBA-8E99-8A052D536D66}">
  <dimension ref="B1:K307"/>
  <sheetViews>
    <sheetView topLeftCell="A46" workbookViewId="0">
      <selection activeCell="G90" sqref="G90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192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572384</v>
      </c>
      <c r="E9" s="17"/>
      <c r="F9" s="194" t="s">
        <v>10</v>
      </c>
      <c r="G9" s="195"/>
      <c r="H9" s="18">
        <f>D156</f>
        <v>1572384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1000000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/>
      <c r="C12" s="34"/>
      <c r="D12" s="35"/>
      <c r="E12" s="36">
        <v>101</v>
      </c>
      <c r="F12" s="37" t="s">
        <v>14</v>
      </c>
      <c r="G12" s="38"/>
      <c r="H12" s="39"/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221</v>
      </c>
      <c r="H13" s="41">
        <f>1400+1600</f>
        <v>3000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/>
      <c r="H14" s="42"/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227</v>
      </c>
      <c r="H15" s="42">
        <f>1250+1350</f>
        <v>2600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212</v>
      </c>
      <c r="H16" s="42">
        <f>1350+1800</f>
        <v>3150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211</v>
      </c>
      <c r="H18" s="42">
        <v>1350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209</v>
      </c>
      <c r="H19" s="42">
        <v>2530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230</v>
      </c>
      <c r="H20" s="39">
        <f>1350+2000</f>
        <v>3350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223</v>
      </c>
      <c r="H23" s="42">
        <f>1900+4300+1650</f>
        <v>7850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/>
      <c r="H25" s="51"/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 t="s">
        <v>235</v>
      </c>
      <c r="H28" s="39">
        <f>2250+1800</f>
        <v>4050</v>
      </c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213</v>
      </c>
      <c r="H30" s="42">
        <f>1550+1950</f>
        <v>3500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241</v>
      </c>
      <c r="H31" s="42">
        <f>1800+1800+3000</f>
        <v>6600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219</v>
      </c>
      <c r="H32" s="39">
        <v>2150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224</v>
      </c>
      <c r="H33" s="39">
        <f>1200+1000</f>
        <v>2200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216</v>
      </c>
      <c r="H36" s="42">
        <v>1450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 t="s">
        <v>195</v>
      </c>
      <c r="H38" s="57">
        <f>100+300</f>
        <v>400</v>
      </c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/>
      <c r="H39" s="59"/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234</v>
      </c>
      <c r="H40" s="39">
        <f>4000+2400</f>
        <v>6400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196</v>
      </c>
      <c r="H41" s="39">
        <v>6700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/>
      <c r="H42" s="39"/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/>
      <c r="H43" s="39"/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/>
      <c r="H44" s="57"/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207</v>
      </c>
      <c r="H45" s="32">
        <v>10000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242</v>
      </c>
      <c r="H46" s="42">
        <f>6500+7300</f>
        <v>13800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 t="s">
        <v>222</v>
      </c>
      <c r="H47" s="42">
        <f>20100+400</f>
        <v>20500</v>
      </c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/>
      <c r="H49" s="42"/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 t="s">
        <v>232</v>
      </c>
      <c r="H50" s="42">
        <v>4500</v>
      </c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/>
      <c r="H51" s="62"/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 t="s">
        <v>201</v>
      </c>
      <c r="H55" s="39">
        <v>13000</v>
      </c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 t="s">
        <v>233</v>
      </c>
      <c r="H56" s="39">
        <f>5000+1000</f>
        <v>6000</v>
      </c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 t="s">
        <v>226</v>
      </c>
      <c r="H57" s="42">
        <f>6600+4000</f>
        <v>10600</v>
      </c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 t="s">
        <v>231</v>
      </c>
      <c r="H58" s="39">
        <f>6000+1300+1200</f>
        <v>8500</v>
      </c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 t="s">
        <v>215</v>
      </c>
      <c r="H59" s="39">
        <f>16900+2700</f>
        <v>19600</v>
      </c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 t="s">
        <v>225</v>
      </c>
      <c r="H61" s="39">
        <f>8500+1100+4800</f>
        <v>14400</v>
      </c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 t="s">
        <v>202</v>
      </c>
      <c r="H63" s="39">
        <v>7000</v>
      </c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 t="s">
        <v>214</v>
      </c>
      <c r="H65" s="67">
        <f>16900+500</f>
        <v>17400</v>
      </c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/>
      <c r="H71" s="69"/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 t="s">
        <v>210</v>
      </c>
      <c r="H73" s="39">
        <v>2400</v>
      </c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 t="s">
        <v>208</v>
      </c>
      <c r="H74" s="39">
        <f>1000+1300</f>
        <v>2300</v>
      </c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 t="s">
        <v>194</v>
      </c>
      <c r="H75" s="39">
        <v>1100</v>
      </c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198</v>
      </c>
      <c r="G78" s="84" t="s">
        <v>199</v>
      </c>
      <c r="H78" s="39">
        <v>1100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203</v>
      </c>
      <c r="G79" s="84" t="s">
        <v>204</v>
      </c>
      <c r="H79" s="39">
        <v>24000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205</v>
      </c>
      <c r="G80" s="68" t="s">
        <v>206</v>
      </c>
      <c r="H80" s="69">
        <v>13000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217</v>
      </c>
      <c r="G81" s="68" t="s">
        <v>218</v>
      </c>
      <c r="H81" s="69">
        <v>14000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228</v>
      </c>
      <c r="G82" s="68" t="s">
        <v>229</v>
      </c>
      <c r="H82" s="69">
        <v>19500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198</v>
      </c>
      <c r="G83" s="68" t="s">
        <v>236</v>
      </c>
      <c r="H83" s="69">
        <v>11000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237</v>
      </c>
      <c r="G84" s="68" t="s">
        <v>238</v>
      </c>
      <c r="H84" s="69">
        <v>17500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/>
      <c r="G85" s="68"/>
      <c r="H85" s="69"/>
      <c r="I85" s="46"/>
    </row>
    <row r="86" spans="2:9" s="6" customFormat="1" x14ac:dyDescent="0.2">
      <c r="B86" s="50"/>
      <c r="C86" s="34"/>
      <c r="D86" s="81"/>
      <c r="E86" s="82">
        <v>102</v>
      </c>
      <c r="F86" s="85"/>
      <c r="G86" s="68"/>
      <c r="H86" s="69"/>
      <c r="I86" s="46"/>
    </row>
    <row r="87" spans="2:9" s="6" customFormat="1" x14ac:dyDescent="0.2">
      <c r="B87" s="50"/>
      <c r="C87" s="34"/>
      <c r="D87" s="81"/>
      <c r="E87" s="82">
        <v>102</v>
      </c>
      <c r="F87" s="85"/>
      <c r="G87" s="68"/>
      <c r="H87" s="69"/>
      <c r="I87" s="46"/>
    </row>
    <row r="88" spans="2:9" s="6" customFormat="1" x14ac:dyDescent="0.2">
      <c r="B88" s="50"/>
      <c r="C88" s="34"/>
      <c r="D88" s="81"/>
      <c r="E88" s="82">
        <v>102</v>
      </c>
      <c r="F88" s="85"/>
      <c r="G88" s="68"/>
      <c r="H88" s="69"/>
      <c r="I88" s="46"/>
    </row>
    <row r="89" spans="2:9" s="6" customFormat="1" x14ac:dyDescent="0.2">
      <c r="B89" s="50"/>
      <c r="C89" s="34"/>
      <c r="D89" s="81"/>
      <c r="E89" s="82">
        <v>102</v>
      </c>
      <c r="F89" s="85"/>
      <c r="G89" s="68"/>
      <c r="H89" s="69"/>
      <c r="I89" s="46"/>
    </row>
    <row r="90" spans="2:9" s="6" customFormat="1" x14ac:dyDescent="0.2">
      <c r="B90" s="50"/>
      <c r="C90" s="34"/>
      <c r="D90" s="81"/>
      <c r="E90" s="82">
        <v>102</v>
      </c>
      <c r="F90" s="85"/>
      <c r="G90" s="68"/>
      <c r="H90" s="69"/>
      <c r="I90" s="46"/>
    </row>
    <row r="91" spans="2:9" s="6" customFormat="1" ht="15.75" thickBot="1" x14ac:dyDescent="0.25">
      <c r="B91" s="50"/>
      <c r="C91" s="34"/>
      <c r="D91" s="81"/>
      <c r="E91" s="86">
        <v>102</v>
      </c>
      <c r="F91" s="87"/>
      <c r="G91" s="88"/>
      <c r="H91" s="57"/>
      <c r="I91" s="46"/>
    </row>
    <row r="92" spans="2:9" s="6" customFormat="1" ht="15.75" x14ac:dyDescent="0.25">
      <c r="B92" s="50"/>
      <c r="C92" s="34"/>
      <c r="D92" s="81"/>
      <c r="E92" s="78">
        <v>103</v>
      </c>
      <c r="F92" s="79"/>
      <c r="G92" s="80" t="s">
        <v>80</v>
      </c>
      <c r="H92" s="59"/>
      <c r="I92" s="46"/>
    </row>
    <row r="93" spans="2:9" s="6" customFormat="1" x14ac:dyDescent="0.2">
      <c r="B93" s="50"/>
      <c r="C93" s="34"/>
      <c r="D93" s="81"/>
      <c r="E93" s="82">
        <v>103</v>
      </c>
      <c r="F93" s="85"/>
      <c r="G93" s="68" t="s">
        <v>197</v>
      </c>
      <c r="H93" s="69">
        <v>3500</v>
      </c>
      <c r="I93" s="46"/>
    </row>
    <row r="94" spans="2:9" s="6" customFormat="1" x14ac:dyDescent="0.2">
      <c r="B94" s="50"/>
      <c r="C94" s="34"/>
      <c r="D94" s="81"/>
      <c r="E94" s="82">
        <v>103</v>
      </c>
      <c r="F94" s="85"/>
      <c r="G94" s="68"/>
      <c r="H94" s="69"/>
      <c r="I94" s="46"/>
    </row>
    <row r="95" spans="2:9" s="6" customFormat="1" x14ac:dyDescent="0.2">
      <c r="B95" s="50"/>
      <c r="C95" s="34"/>
      <c r="D95" s="81"/>
      <c r="E95" s="82">
        <v>103</v>
      </c>
      <c r="F95" s="85"/>
      <c r="G95" s="68"/>
      <c r="H95" s="69"/>
      <c r="I95" s="46"/>
    </row>
    <row r="96" spans="2:9" s="6" customFormat="1" x14ac:dyDescent="0.2">
      <c r="B96" s="50"/>
      <c r="C96" s="34"/>
      <c r="D96" s="81"/>
      <c r="E96" s="82">
        <v>103</v>
      </c>
      <c r="F96" s="85"/>
      <c r="G96" s="68"/>
      <c r="H96" s="69"/>
      <c r="I96" s="46"/>
    </row>
    <row r="97" spans="2:9" s="6" customFormat="1" x14ac:dyDescent="0.2">
      <c r="B97" s="50"/>
      <c r="C97" s="34"/>
      <c r="D97" s="81"/>
      <c r="E97" s="82">
        <v>103</v>
      </c>
      <c r="F97" s="85"/>
      <c r="G97" s="68"/>
      <c r="H97" s="69"/>
      <c r="I97" s="46"/>
    </row>
    <row r="98" spans="2:9" s="6" customFormat="1" x14ac:dyDescent="0.2">
      <c r="B98" s="50"/>
      <c r="C98" s="34"/>
      <c r="D98" s="81"/>
      <c r="E98" s="82">
        <v>103</v>
      </c>
      <c r="F98" s="85"/>
      <c r="G98" s="68"/>
      <c r="H98" s="69"/>
      <c r="I98" s="46"/>
    </row>
    <row r="99" spans="2:9" s="6" customFormat="1" ht="15.75" thickBot="1" x14ac:dyDescent="0.25">
      <c r="B99" s="50"/>
      <c r="C99" s="34"/>
      <c r="D99" s="81"/>
      <c r="E99" s="82">
        <v>103</v>
      </c>
      <c r="F99" s="87"/>
      <c r="G99" s="88"/>
      <c r="H99" s="57"/>
      <c r="I99" s="46"/>
    </row>
    <row r="100" spans="2:9" s="6" customFormat="1" ht="15.75" x14ac:dyDescent="0.25">
      <c r="B100" s="50"/>
      <c r="C100" s="34"/>
      <c r="D100" s="81"/>
      <c r="E100" s="89">
        <v>104</v>
      </c>
      <c r="F100" s="79"/>
      <c r="G100" s="80" t="s">
        <v>81</v>
      </c>
      <c r="H100" s="59"/>
      <c r="I100" s="46"/>
    </row>
    <row r="101" spans="2:9" s="6" customFormat="1" x14ac:dyDescent="0.2">
      <c r="B101" s="50"/>
      <c r="C101" s="34"/>
      <c r="D101" s="81"/>
      <c r="E101" s="82">
        <v>104</v>
      </c>
      <c r="F101" s="83"/>
      <c r="G101" s="84" t="s">
        <v>200</v>
      </c>
      <c r="H101" s="39">
        <v>104000</v>
      </c>
      <c r="I101" s="46"/>
    </row>
    <row r="102" spans="2:9" s="6" customFormat="1" x14ac:dyDescent="0.2">
      <c r="B102" s="50"/>
      <c r="C102" s="34"/>
      <c r="D102" s="81"/>
      <c r="E102" s="82">
        <v>104</v>
      </c>
      <c r="F102" s="85"/>
      <c r="G102" s="84"/>
      <c r="H102" s="69"/>
      <c r="I102" s="46"/>
    </row>
    <row r="103" spans="2:9" s="6" customFormat="1" x14ac:dyDescent="0.2">
      <c r="B103" s="50"/>
      <c r="C103" s="34"/>
      <c r="D103" s="81"/>
      <c r="E103" s="82">
        <v>104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104</v>
      </c>
      <c r="F104" s="85"/>
      <c r="G104" s="68"/>
      <c r="H104" s="69"/>
      <c r="I104" s="46"/>
    </row>
    <row r="105" spans="2:9" s="6" customFormat="1" x14ac:dyDescent="0.2">
      <c r="B105" s="50"/>
      <c r="C105" s="34"/>
      <c r="D105" s="81"/>
      <c r="E105" s="82">
        <v>104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104</v>
      </c>
      <c r="F106" s="85"/>
      <c r="G106" s="68"/>
      <c r="H106" s="69"/>
      <c r="I106" s="46"/>
    </row>
    <row r="107" spans="2:9" s="6" customFormat="1" ht="15.75" thickBot="1" x14ac:dyDescent="0.25">
      <c r="B107" s="50"/>
      <c r="C107" s="34"/>
      <c r="D107" s="81"/>
      <c r="E107" s="82">
        <v>104</v>
      </c>
      <c r="F107" s="87"/>
      <c r="G107" s="88"/>
      <c r="H107" s="57"/>
      <c r="I107" s="46"/>
    </row>
    <row r="108" spans="2:9" s="6" customFormat="1" ht="15.75" x14ac:dyDescent="0.25">
      <c r="B108" s="50"/>
      <c r="C108" s="34"/>
      <c r="D108" s="81"/>
      <c r="E108" s="90"/>
      <c r="F108" s="91"/>
      <c r="G108" s="92" t="s">
        <v>82</v>
      </c>
      <c r="H108" s="93"/>
      <c r="I108" s="25"/>
    </row>
    <row r="109" spans="2:9" s="6" customFormat="1" ht="15.75" x14ac:dyDescent="0.25">
      <c r="B109" s="50"/>
      <c r="C109" s="34"/>
      <c r="D109" s="81"/>
      <c r="E109" s="197" t="s">
        <v>83</v>
      </c>
      <c r="F109" s="198"/>
      <c r="G109" s="199"/>
      <c r="H109" s="41"/>
      <c r="I109" s="25"/>
    </row>
    <row r="110" spans="2:9" s="6" customFormat="1" ht="15.75" x14ac:dyDescent="0.2">
      <c r="B110" s="50"/>
      <c r="C110" s="34"/>
      <c r="D110" s="81"/>
      <c r="E110" s="82"/>
      <c r="F110" s="94"/>
      <c r="G110" s="52"/>
      <c r="H110" s="67"/>
      <c r="I110" s="25"/>
    </row>
    <row r="111" spans="2:9" s="6" customFormat="1" ht="15.75" x14ac:dyDescent="0.2">
      <c r="B111" s="50"/>
      <c r="C111" s="34"/>
      <c r="D111" s="81"/>
      <c r="E111" s="82"/>
      <c r="F111" s="94"/>
      <c r="G111" s="52"/>
      <c r="H111" s="67"/>
      <c r="I111" s="25"/>
    </row>
    <row r="112" spans="2:9" s="6" customFormat="1" ht="15.75" x14ac:dyDescent="0.25">
      <c r="B112" s="50"/>
      <c r="C112" s="34"/>
      <c r="D112" s="81"/>
      <c r="E112" s="197" t="s">
        <v>84</v>
      </c>
      <c r="F112" s="198"/>
      <c r="G112" s="199"/>
      <c r="H112" s="41"/>
      <c r="I112" s="25"/>
    </row>
    <row r="113" spans="2:9" s="6" customFormat="1" ht="15.75" x14ac:dyDescent="0.2">
      <c r="B113" s="50"/>
      <c r="C113" s="34"/>
      <c r="D113" s="81"/>
      <c r="E113" s="82"/>
      <c r="F113" s="94"/>
      <c r="G113" s="52"/>
      <c r="H113" s="67"/>
      <c r="I113" s="25"/>
    </row>
    <row r="114" spans="2:9" s="6" customFormat="1" ht="15.75" x14ac:dyDescent="0.25">
      <c r="B114" s="50"/>
      <c r="C114" s="34"/>
      <c r="D114" s="81"/>
      <c r="E114" s="82"/>
      <c r="F114" s="37"/>
      <c r="G114" s="84"/>
      <c r="H114" s="41"/>
      <c r="I114" s="25"/>
    </row>
    <row r="115" spans="2:9" s="6" customFormat="1" ht="15.75" x14ac:dyDescent="0.25">
      <c r="B115" s="50"/>
      <c r="C115" s="34"/>
      <c r="D115" s="81"/>
      <c r="E115" s="197" t="s">
        <v>85</v>
      </c>
      <c r="F115" s="198"/>
      <c r="G115" s="199"/>
      <c r="H115" s="41"/>
      <c r="I115" s="25"/>
    </row>
    <row r="116" spans="2:9" s="6" customFormat="1" x14ac:dyDescent="0.2">
      <c r="B116" s="50"/>
      <c r="C116" s="34"/>
      <c r="D116" s="81"/>
      <c r="E116" s="82"/>
      <c r="F116" s="83"/>
      <c r="G116" s="84"/>
      <c r="H116" s="41"/>
      <c r="I116" s="25"/>
    </row>
    <row r="117" spans="2:9" s="6" customFormat="1" x14ac:dyDescent="0.2">
      <c r="B117" s="50"/>
      <c r="C117" s="34"/>
      <c r="D117" s="81"/>
      <c r="E117" s="82"/>
      <c r="F117" s="83"/>
      <c r="G117" s="84"/>
      <c r="H117" s="41"/>
      <c r="I117" s="25"/>
    </row>
    <row r="118" spans="2:9" s="6" customFormat="1" ht="15.75" x14ac:dyDescent="0.25">
      <c r="B118" s="50"/>
      <c r="C118" s="34"/>
      <c r="D118" s="81"/>
      <c r="E118" s="197" t="s">
        <v>86</v>
      </c>
      <c r="F118" s="198"/>
      <c r="G118" s="199"/>
      <c r="H118" s="41"/>
      <c r="I118" s="25"/>
    </row>
    <row r="119" spans="2:9" s="6" customFormat="1" ht="15.75" x14ac:dyDescent="0.25">
      <c r="B119" s="50"/>
      <c r="C119" s="34"/>
      <c r="D119" s="81"/>
      <c r="E119" s="89"/>
      <c r="F119" s="95"/>
      <c r="G119" s="52"/>
      <c r="H119" s="39"/>
      <c r="I119" s="25"/>
    </row>
    <row r="120" spans="2:9" s="6" customFormat="1" ht="15.75" x14ac:dyDescent="0.25">
      <c r="B120" s="50"/>
      <c r="C120" s="34"/>
      <c r="D120" s="81"/>
      <c r="E120" s="89"/>
      <c r="F120" s="95"/>
      <c r="G120" s="52"/>
      <c r="H120" s="39"/>
      <c r="I120" s="25"/>
    </row>
    <row r="121" spans="2:9" s="6" customFormat="1" ht="15.75" x14ac:dyDescent="0.25">
      <c r="B121" s="50"/>
      <c r="C121" s="34"/>
      <c r="D121" s="81"/>
      <c r="E121" s="89"/>
      <c r="F121" s="95"/>
      <c r="G121" s="52"/>
      <c r="H121" s="39"/>
      <c r="I121" s="25"/>
    </row>
    <row r="122" spans="2:9" s="6" customFormat="1" ht="15.75" x14ac:dyDescent="0.25">
      <c r="B122" s="50"/>
      <c r="C122" s="34"/>
      <c r="D122" s="81"/>
      <c r="E122" s="89"/>
      <c r="F122" s="95"/>
      <c r="G122" s="52"/>
      <c r="H122" s="39"/>
      <c r="I122" s="25"/>
    </row>
    <row r="123" spans="2:9" s="6" customFormat="1" x14ac:dyDescent="0.2">
      <c r="B123" s="50"/>
      <c r="C123" s="34"/>
      <c r="D123" s="81"/>
      <c r="E123" s="82"/>
      <c r="F123" s="96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87</v>
      </c>
      <c r="F124" s="198"/>
      <c r="G124" s="199"/>
      <c r="H124" s="41"/>
      <c r="I124" s="25"/>
    </row>
    <row r="125" spans="2:9" s="6" customFormat="1" ht="15.75" x14ac:dyDescent="0.25">
      <c r="B125" s="50"/>
      <c r="C125" s="34"/>
      <c r="D125" s="81"/>
      <c r="E125" s="82"/>
      <c r="F125" s="37"/>
      <c r="G125" s="52"/>
      <c r="H125" s="39"/>
      <c r="I125" s="25"/>
    </row>
    <row r="126" spans="2:9" s="6" customFormat="1" ht="15.75" x14ac:dyDescent="0.25">
      <c r="B126" s="50"/>
      <c r="C126" s="34"/>
      <c r="D126" s="81"/>
      <c r="E126" s="82"/>
      <c r="F126" s="37"/>
      <c r="G126" s="52"/>
      <c r="H126" s="39"/>
      <c r="I126" s="25"/>
    </row>
    <row r="127" spans="2:9" s="6" customFormat="1" x14ac:dyDescent="0.2">
      <c r="B127" s="50"/>
      <c r="C127" s="34"/>
      <c r="D127" s="81"/>
      <c r="E127" s="82"/>
      <c r="F127" s="97"/>
      <c r="G127" s="52"/>
      <c r="H127" s="41"/>
      <c r="I127" s="25"/>
    </row>
    <row r="128" spans="2:9" s="6" customFormat="1" ht="15.75" thickBot="1" x14ac:dyDescent="0.25">
      <c r="B128" s="50" t="s">
        <v>88</v>
      </c>
      <c r="C128" s="34"/>
      <c r="D128" s="81"/>
      <c r="E128" s="86"/>
      <c r="F128" s="98"/>
      <c r="G128" s="88"/>
      <c r="H128" s="99"/>
      <c r="I128" s="25"/>
    </row>
    <row r="129" spans="2:9" s="6" customFormat="1" ht="15.75" x14ac:dyDescent="0.25">
      <c r="B129" s="50"/>
      <c r="C129" s="34"/>
      <c r="D129" s="81"/>
      <c r="E129" s="100"/>
      <c r="F129" s="101"/>
      <c r="G129" s="102" t="s">
        <v>89</v>
      </c>
      <c r="H129" s="103">
        <v>20000</v>
      </c>
      <c r="I129" s="25"/>
    </row>
    <row r="130" spans="2:9" s="6" customFormat="1" ht="15.75" x14ac:dyDescent="0.25">
      <c r="B130" s="50"/>
      <c r="C130" s="34"/>
      <c r="D130" s="81"/>
      <c r="E130" s="82"/>
      <c r="F130" s="104"/>
      <c r="G130" s="105" t="s">
        <v>90</v>
      </c>
      <c r="H130" s="41">
        <v>30000</v>
      </c>
      <c r="I130" s="25"/>
    </row>
    <row r="131" spans="2:9" s="6" customFormat="1" ht="15.75" x14ac:dyDescent="0.25">
      <c r="B131" s="50"/>
      <c r="C131" s="34"/>
      <c r="D131" s="81"/>
      <c r="E131" s="82"/>
      <c r="F131" s="104"/>
      <c r="G131" s="105" t="s">
        <v>91</v>
      </c>
      <c r="H131" s="41"/>
      <c r="I131" s="25"/>
    </row>
    <row r="132" spans="2:9" s="6" customFormat="1" ht="15.75" x14ac:dyDescent="0.25">
      <c r="B132" s="50"/>
      <c r="C132" s="34"/>
      <c r="D132" s="81"/>
      <c r="E132" s="82"/>
      <c r="F132" s="104"/>
      <c r="G132" s="105" t="s">
        <v>92</v>
      </c>
      <c r="H132" s="41"/>
      <c r="I132" s="25"/>
    </row>
    <row r="133" spans="2:9" s="6" customFormat="1" ht="15.75" x14ac:dyDescent="0.25">
      <c r="B133" s="50"/>
      <c r="C133" s="34"/>
      <c r="D133" s="81"/>
      <c r="E133" s="82"/>
      <c r="F133" s="104"/>
      <c r="G133" s="105" t="s">
        <v>93</v>
      </c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104"/>
      <c r="G134" s="106" t="s">
        <v>137</v>
      </c>
      <c r="H134" s="107"/>
      <c r="I134" s="108"/>
    </row>
    <row r="135" spans="2:9" s="6" customFormat="1" ht="15.75" x14ac:dyDescent="0.25">
      <c r="B135" s="50"/>
      <c r="C135" s="34"/>
      <c r="D135" s="81"/>
      <c r="E135" s="82"/>
      <c r="F135" s="104"/>
      <c r="G135" s="106" t="s">
        <v>94</v>
      </c>
      <c r="H135" s="109">
        <f>300+550</f>
        <v>850</v>
      </c>
      <c r="I135" s="108"/>
    </row>
    <row r="136" spans="2:9" s="6" customFormat="1" ht="15.75" x14ac:dyDescent="0.25">
      <c r="B136" s="50"/>
      <c r="C136" s="34"/>
      <c r="D136" s="81"/>
      <c r="E136" s="82"/>
      <c r="F136" s="104"/>
      <c r="G136" s="106" t="s">
        <v>95</v>
      </c>
      <c r="H136" s="109">
        <v>2050</v>
      </c>
      <c r="I136" s="108"/>
    </row>
    <row r="137" spans="2:9" s="6" customFormat="1" ht="15.75" x14ac:dyDescent="0.25">
      <c r="B137" s="50"/>
      <c r="C137" s="34"/>
      <c r="D137" s="81"/>
      <c r="E137" s="82"/>
      <c r="F137" s="104"/>
      <c r="G137" s="106" t="s">
        <v>96</v>
      </c>
      <c r="H137" s="107"/>
      <c r="I137" s="108"/>
    </row>
    <row r="138" spans="2:9" s="6" customFormat="1" ht="15.75" x14ac:dyDescent="0.25">
      <c r="B138" s="50"/>
      <c r="C138" s="34"/>
      <c r="D138" s="81"/>
      <c r="E138" s="82"/>
      <c r="F138" s="104"/>
      <c r="G138" s="106" t="s">
        <v>97</v>
      </c>
      <c r="H138" s="107"/>
      <c r="I138" s="108"/>
    </row>
    <row r="139" spans="2:9" s="6" customFormat="1" ht="15.75" x14ac:dyDescent="0.25">
      <c r="B139" s="50"/>
      <c r="C139" s="34"/>
      <c r="D139" s="81"/>
      <c r="E139" s="82"/>
      <c r="F139" s="104"/>
      <c r="G139" s="106" t="s">
        <v>193</v>
      </c>
      <c r="H139" s="107">
        <v>1950</v>
      </c>
      <c r="I139" s="108"/>
    </row>
    <row r="140" spans="2:9" s="6" customFormat="1" ht="15.75" x14ac:dyDescent="0.25">
      <c r="B140" s="50"/>
      <c r="C140" s="34"/>
      <c r="D140" s="81"/>
      <c r="E140" s="82"/>
      <c r="F140" s="104"/>
      <c r="G140" s="106" t="s">
        <v>240</v>
      </c>
      <c r="H140" s="107">
        <v>380</v>
      </c>
      <c r="I140" s="108"/>
    </row>
    <row r="141" spans="2:9" s="6" customFormat="1" ht="15.75" x14ac:dyDescent="0.25">
      <c r="B141" s="50"/>
      <c r="C141" s="34"/>
      <c r="D141" s="81"/>
      <c r="E141" s="82"/>
      <c r="F141" s="104"/>
      <c r="G141" s="106" t="s">
        <v>239</v>
      </c>
      <c r="H141" s="107">
        <v>1150</v>
      </c>
      <c r="I141" s="108"/>
    </row>
    <row r="142" spans="2:9" s="6" customFormat="1" ht="15.75" x14ac:dyDescent="0.25">
      <c r="B142" s="50"/>
      <c r="C142" s="34"/>
      <c r="D142" s="81"/>
      <c r="E142" s="82"/>
      <c r="F142" s="104"/>
      <c r="G142" s="106" t="s">
        <v>99</v>
      </c>
      <c r="H142" s="107"/>
      <c r="I142" s="108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100</v>
      </c>
      <c r="H143" s="107"/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101</v>
      </c>
      <c r="H144" s="107">
        <v>300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220</v>
      </c>
      <c r="H145" s="107">
        <v>16000</v>
      </c>
      <c r="I145" s="108"/>
    </row>
    <row r="146" spans="2:9" s="6" customFormat="1" ht="15.75" x14ac:dyDescent="0.25">
      <c r="B146" s="50" t="s">
        <v>103</v>
      </c>
      <c r="C146" s="34" t="s">
        <v>103</v>
      </c>
      <c r="D146" s="81"/>
      <c r="E146" s="82"/>
      <c r="F146" s="104"/>
      <c r="G146" s="106" t="s">
        <v>104</v>
      </c>
      <c r="H146" s="107"/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105</v>
      </c>
      <c r="H147" s="107"/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106</v>
      </c>
      <c r="H148" s="107"/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107</v>
      </c>
      <c r="H149" s="107"/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108</v>
      </c>
      <c r="H150" s="107"/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109</v>
      </c>
      <c r="H151" s="107"/>
      <c r="I151" s="108"/>
    </row>
    <row r="152" spans="2:9" s="6" customFormat="1" ht="15.75" x14ac:dyDescent="0.25">
      <c r="B152" s="50"/>
      <c r="C152" s="34"/>
      <c r="D152" s="81"/>
      <c r="E152" s="110"/>
      <c r="F152" s="104"/>
      <c r="G152" s="111" t="s">
        <v>110</v>
      </c>
      <c r="H152" s="107"/>
      <c r="I152" s="108"/>
    </row>
    <row r="153" spans="2:9" s="118" customFormat="1" ht="16.5" thickBot="1" x14ac:dyDescent="0.3">
      <c r="B153" s="50"/>
      <c r="C153" s="112"/>
      <c r="D153" s="113"/>
      <c r="E153" s="114"/>
      <c r="F153" s="115"/>
      <c r="G153" s="116" t="s">
        <v>111</v>
      </c>
      <c r="H153" s="117"/>
      <c r="I153" s="108"/>
    </row>
    <row r="154" spans="2:9" s="11" customFormat="1" ht="15.75" x14ac:dyDescent="0.2">
      <c r="B154" s="119"/>
      <c r="C154" s="120"/>
      <c r="D154" s="121"/>
      <c r="E154" s="122"/>
      <c r="F154" s="101"/>
      <c r="G154" s="123" t="s">
        <v>112</v>
      </c>
      <c r="H154" s="124">
        <f>SUM(H10:H153)</f>
        <v>488660</v>
      </c>
      <c r="I154" s="125"/>
    </row>
    <row r="155" spans="2:9" ht="15.75" x14ac:dyDescent="0.25">
      <c r="B155" s="119"/>
      <c r="C155" s="126" t="s">
        <v>113</v>
      </c>
      <c r="D155" s="127">
        <f>SUM(D10:D154)</f>
        <v>1000000</v>
      </c>
      <c r="E155" s="128"/>
      <c r="F155" s="129"/>
      <c r="G155" s="130" t="s">
        <v>114</v>
      </c>
      <c r="H155" s="131">
        <f>H9-H154</f>
        <v>1083724</v>
      </c>
      <c r="I155" s="132"/>
    </row>
    <row r="156" spans="2:9" ht="16.5" thickBot="1" x14ac:dyDescent="0.3">
      <c r="B156" s="133"/>
      <c r="C156" s="134" t="s">
        <v>115</v>
      </c>
      <c r="D156" s="135">
        <f>D9+D155</f>
        <v>1572384</v>
      </c>
      <c r="E156" s="136"/>
      <c r="F156" s="137"/>
      <c r="G156" s="138" t="s">
        <v>116</v>
      </c>
      <c r="H156" s="139">
        <f>H154+H155</f>
        <v>1572384</v>
      </c>
      <c r="I156" s="132"/>
    </row>
    <row r="157" spans="2:9" ht="15.75" x14ac:dyDescent="0.25">
      <c r="B157" s="140"/>
      <c r="C157" s="140"/>
      <c r="D157" s="141"/>
      <c r="E157" s="142"/>
      <c r="F157" s="143"/>
      <c r="G157" s="144"/>
      <c r="H157" s="145"/>
      <c r="I157" s="145"/>
    </row>
    <row r="158" spans="2:9" ht="15.75" x14ac:dyDescent="0.25">
      <c r="B158" s="140"/>
      <c r="C158" s="140"/>
      <c r="D158" s="141"/>
      <c r="E158" s="142"/>
      <c r="F158" s="143"/>
      <c r="G158" s="144"/>
      <c r="H158" s="145"/>
      <c r="I158" s="145"/>
    </row>
    <row r="159" spans="2:9" ht="15.75" x14ac:dyDescent="0.25">
      <c r="B159" s="140"/>
      <c r="C159" s="140"/>
      <c r="D159" s="141"/>
      <c r="E159" s="142"/>
      <c r="F159" s="143"/>
      <c r="G159" s="144"/>
      <c r="H159" s="145"/>
      <c r="I159" s="145"/>
    </row>
    <row r="160" spans="2:9" ht="15.75" x14ac:dyDescent="0.25">
      <c r="B160" s="140"/>
      <c r="C160" s="140"/>
      <c r="D160" s="141"/>
      <c r="E160" s="142"/>
      <c r="F160" s="143"/>
      <c r="G160" s="144"/>
      <c r="H160" s="145"/>
      <c r="I160" s="145"/>
    </row>
    <row r="161" spans="2:11" ht="15.75" x14ac:dyDescent="0.25">
      <c r="B161" s="187" t="s">
        <v>117</v>
      </c>
      <c r="C161" s="187"/>
      <c r="D161" s="188" t="s">
        <v>118</v>
      </c>
      <c r="E161" s="188"/>
      <c r="F161" s="188"/>
      <c r="G161" s="146" t="s">
        <v>119</v>
      </c>
      <c r="H161" s="146" t="s">
        <v>120</v>
      </c>
      <c r="I161" s="146"/>
    </row>
    <row r="162" spans="2:11" ht="15.75" x14ac:dyDescent="0.25">
      <c r="B162" s="140"/>
      <c r="C162" s="140"/>
      <c r="D162" s="141"/>
      <c r="E162" s="142"/>
      <c r="F162" s="143"/>
      <c r="G162" s="147"/>
    </row>
    <row r="163" spans="2:11" x14ac:dyDescent="0.2">
      <c r="E163" s="5" t="s">
        <v>121</v>
      </c>
    </row>
    <row r="164" spans="2:11" x14ac:dyDescent="0.2">
      <c r="H164" s="151"/>
      <c r="I164" s="151"/>
    </row>
    <row r="165" spans="2:11" x14ac:dyDescent="0.2">
      <c r="H165" s="189"/>
      <c r="I165" s="189"/>
      <c r="J165" s="189"/>
    </row>
    <row r="166" spans="2:11" x14ac:dyDescent="0.2">
      <c r="B166" s="152" t="s">
        <v>122</v>
      </c>
      <c r="C166" s="153" t="s">
        <v>123</v>
      </c>
      <c r="D166" s="152" t="s">
        <v>124</v>
      </c>
      <c r="H166" s="151"/>
      <c r="I166" s="151"/>
    </row>
    <row r="167" spans="2:11" ht="23.25" x14ac:dyDescent="0.2">
      <c r="B167" s="154">
        <v>1</v>
      </c>
      <c r="C167" s="155" t="s">
        <v>125</v>
      </c>
      <c r="D167" s="156"/>
      <c r="H167" s="157"/>
      <c r="I167" s="157"/>
      <c r="J167" s="158"/>
      <c r="K167" s="159"/>
    </row>
    <row r="168" spans="2:11" ht="23.25" x14ac:dyDescent="0.2">
      <c r="B168" s="154">
        <v>2</v>
      </c>
      <c r="C168" s="155" t="s">
        <v>126</v>
      </c>
      <c r="D168" s="160"/>
      <c r="H168" s="157"/>
      <c r="I168" s="157"/>
      <c r="J168" s="158"/>
      <c r="K168" s="159"/>
    </row>
    <row r="169" spans="2:11" ht="23.25" x14ac:dyDescent="0.2">
      <c r="B169" s="154">
        <v>3</v>
      </c>
      <c r="C169" s="155" t="s">
        <v>127</v>
      </c>
      <c r="D169" s="160">
        <f>10000-5000</f>
        <v>5000</v>
      </c>
      <c r="H169" s="157"/>
      <c r="I169" s="157"/>
      <c r="J169" s="158"/>
      <c r="K169" s="159"/>
    </row>
    <row r="170" spans="2:11" ht="23.25" x14ac:dyDescent="0.3">
      <c r="B170" s="154">
        <v>4</v>
      </c>
      <c r="C170" s="155"/>
      <c r="D170" s="160"/>
      <c r="H170" s="161"/>
      <c r="I170" s="157"/>
      <c r="J170" s="158"/>
      <c r="K170" s="159"/>
    </row>
    <row r="171" spans="2:11" ht="23.25" x14ac:dyDescent="0.2">
      <c r="B171" s="154">
        <v>5</v>
      </c>
      <c r="C171" s="155" t="s">
        <v>128</v>
      </c>
      <c r="D171" s="162">
        <f>10000+20000+15000-15000</f>
        <v>30000</v>
      </c>
      <c r="H171" s="157"/>
      <c r="I171" s="157"/>
      <c r="J171" s="158"/>
      <c r="K171" s="159"/>
    </row>
    <row r="172" spans="2:11" ht="23.25" x14ac:dyDescent="0.2">
      <c r="B172" s="154">
        <v>6</v>
      </c>
      <c r="C172" s="155" t="s">
        <v>129</v>
      </c>
      <c r="D172" s="162">
        <f>2000+5000+2000-2000+1000+3000-3000+10000-6500</f>
        <v>11500</v>
      </c>
      <c r="H172" s="157"/>
      <c r="I172" s="157"/>
      <c r="J172" s="158"/>
      <c r="K172" s="159"/>
    </row>
    <row r="173" spans="2:11" ht="23.25" x14ac:dyDescent="0.2">
      <c r="B173" s="154">
        <v>7</v>
      </c>
      <c r="C173" s="155" t="s">
        <v>130</v>
      </c>
      <c r="D173" s="160">
        <f>-6700+100+10000-3450-1720-700-1950</f>
        <v>-4420</v>
      </c>
      <c r="H173" s="157"/>
      <c r="I173" s="157"/>
      <c r="J173" s="158"/>
      <c r="K173" s="159"/>
    </row>
    <row r="174" spans="2:11" ht="23.25" x14ac:dyDescent="0.2">
      <c r="B174" s="154">
        <v>8</v>
      </c>
      <c r="C174" s="163"/>
      <c r="D174" s="164"/>
      <c r="H174" s="157"/>
      <c r="I174" s="157"/>
      <c r="J174" s="158"/>
      <c r="K174" s="159"/>
    </row>
    <row r="175" spans="2:11" ht="23.25" x14ac:dyDescent="0.2">
      <c r="B175" s="154">
        <v>9</v>
      </c>
      <c r="C175" s="163" t="s">
        <v>132</v>
      </c>
      <c r="D175" s="165"/>
      <c r="H175" s="166"/>
      <c r="I175" s="158"/>
      <c r="J175" s="158"/>
      <c r="K175" s="159"/>
    </row>
    <row r="176" spans="2:11" ht="23.25" x14ac:dyDescent="0.2">
      <c r="B176" s="154">
        <v>10</v>
      </c>
      <c r="C176" s="155" t="s">
        <v>133</v>
      </c>
      <c r="D176" s="160">
        <f>2610+10000-10000-21800+5000+8000-11800+6000+13080+8720+14497+13080+8720+13080-30000+8000-11500-40000+10000</f>
        <v>-4313</v>
      </c>
      <c r="H176" s="167"/>
      <c r="I176" s="158"/>
      <c r="J176" s="158"/>
      <c r="K176" s="159"/>
    </row>
    <row r="177" spans="2:11" ht="23.25" x14ac:dyDescent="0.3">
      <c r="B177" s="154">
        <v>11</v>
      </c>
      <c r="C177" s="155" t="s">
        <v>134</v>
      </c>
      <c r="D177" s="160" t="s">
        <v>103</v>
      </c>
      <c r="E177" s="168"/>
      <c r="G177" s="150" t="s">
        <v>121</v>
      </c>
      <c r="H177" s="169"/>
      <c r="I177" s="158"/>
      <c r="J177" s="158"/>
      <c r="K177" s="159"/>
    </row>
    <row r="178" spans="2:11" ht="23.25" x14ac:dyDescent="0.2">
      <c r="B178" s="154"/>
      <c r="C178" s="170" t="s">
        <v>135</v>
      </c>
      <c r="D178" s="171">
        <f>SUM(D167:D177)</f>
        <v>37767</v>
      </c>
      <c r="F178" s="172"/>
      <c r="H178" s="167"/>
      <c r="I178" s="158"/>
      <c r="J178" s="158"/>
      <c r="K178" s="159"/>
    </row>
    <row r="179" spans="2:11" ht="23.25" x14ac:dyDescent="0.2">
      <c r="D179" s="173">
        <f>-12000-4953+6000-80+9800</f>
        <v>-1233</v>
      </c>
      <c r="E179" s="174"/>
      <c r="H179" s="167"/>
      <c r="I179" s="175"/>
      <c r="J179" s="158"/>
      <c r="K179" s="159"/>
    </row>
    <row r="180" spans="2:11" ht="23.25" x14ac:dyDescent="0.25">
      <c r="D180" s="176">
        <v>3470</v>
      </c>
      <c r="E180" s="5" t="s">
        <v>243</v>
      </c>
      <c r="F180" s="177"/>
      <c r="H180" s="178"/>
      <c r="I180" s="175"/>
      <c r="J180" s="175"/>
      <c r="K180" s="159"/>
    </row>
    <row r="181" spans="2:11" ht="23.25" x14ac:dyDescent="0.2">
      <c r="D181" s="176">
        <v>3800</v>
      </c>
      <c r="E181" s="5" t="s">
        <v>244</v>
      </c>
      <c r="H181" s="179"/>
      <c r="I181" s="180"/>
      <c r="J181" s="158"/>
      <c r="K181" s="159"/>
    </row>
    <row r="182" spans="2:11" ht="23.25" x14ac:dyDescent="0.25">
      <c r="B182" s="5"/>
      <c r="D182" s="181"/>
      <c r="E182" s="178"/>
      <c r="G182" s="178"/>
      <c r="H182" s="167"/>
      <c r="I182" s="5"/>
      <c r="J182" s="158"/>
      <c r="K182" s="159"/>
    </row>
    <row r="183" spans="2:11" ht="15.75" x14ac:dyDescent="0.25">
      <c r="B183" s="5"/>
      <c r="D183" s="181"/>
      <c r="E183" s="178"/>
      <c r="G183" s="178"/>
      <c r="H183" s="167"/>
      <c r="I183" s="5"/>
      <c r="J183" s="175"/>
    </row>
    <row r="184" spans="2:11" ht="15.75" x14ac:dyDescent="0.25">
      <c r="D184" s="181"/>
      <c r="E184" s="178"/>
      <c r="H184" s="182"/>
    </row>
    <row r="185" spans="2:11" x14ac:dyDescent="0.2">
      <c r="B185" s="5"/>
      <c r="D185" s="176" t="s">
        <v>103</v>
      </c>
      <c r="F185" s="5"/>
      <c r="G185" s="5"/>
      <c r="H185" s="183"/>
      <c r="I185" s="5"/>
    </row>
    <row r="186" spans="2:11" x14ac:dyDescent="0.2">
      <c r="D186" s="184">
        <f>SUM(D179:D185)+D178</f>
        <v>43804</v>
      </c>
      <c r="H186" s="182"/>
    </row>
    <row r="187" spans="2:11" x14ac:dyDescent="0.2">
      <c r="B187" s="5"/>
      <c r="D187" s="185">
        <f>D186-H155</f>
        <v>-1039920</v>
      </c>
      <c r="F187" s="5"/>
      <c r="G187" s="5"/>
      <c r="H187" s="178"/>
      <c r="I187" s="5"/>
    </row>
    <row r="188" spans="2:11" x14ac:dyDescent="0.2">
      <c r="H188" s="182"/>
    </row>
    <row r="189" spans="2:11" x14ac:dyDescent="0.2">
      <c r="H189" s="182"/>
    </row>
    <row r="190" spans="2:11" x14ac:dyDescent="0.2">
      <c r="H190" s="182"/>
    </row>
    <row r="191" spans="2:11" x14ac:dyDescent="0.2">
      <c r="H191" s="182"/>
    </row>
    <row r="192" spans="2:11" x14ac:dyDescent="0.2">
      <c r="B192" s="5"/>
      <c r="D192" s="5"/>
      <c r="F192" s="5"/>
      <c r="G192" s="5"/>
      <c r="H192" s="182"/>
      <c r="I192" s="5"/>
    </row>
    <row r="193" spans="8:8" s="5" customFormat="1" ht="15.75" x14ac:dyDescent="0.25">
      <c r="H193" s="145"/>
    </row>
    <row r="194" spans="8:8" s="5" customFormat="1" x14ac:dyDescent="0.2">
      <c r="H194" s="182"/>
    </row>
    <row r="195" spans="8:8" s="5" customFormat="1" x14ac:dyDescent="0.2">
      <c r="H195" s="182"/>
    </row>
    <row r="196" spans="8:8" s="5" customFormat="1" x14ac:dyDescent="0.2">
      <c r="H196" s="182"/>
    </row>
    <row r="198" spans="8:8" s="5" customFormat="1" x14ac:dyDescent="0.2">
      <c r="H198" s="182"/>
    </row>
    <row r="199" spans="8:8" s="5" customFormat="1" x14ac:dyDescent="0.2">
      <c r="H199" s="182"/>
    </row>
    <row r="200" spans="8:8" s="5" customFormat="1" x14ac:dyDescent="0.2">
      <c r="H200" s="182"/>
    </row>
    <row r="201" spans="8:8" s="5" customFormat="1" x14ac:dyDescent="0.2">
      <c r="H201" s="182"/>
    </row>
    <row r="202" spans="8:8" s="5" customFormat="1" x14ac:dyDescent="0.2">
      <c r="H202" s="182"/>
    </row>
    <row r="203" spans="8:8" s="5" customFormat="1" x14ac:dyDescent="0.2">
      <c r="H203" s="182"/>
    </row>
    <row r="204" spans="8:8" s="5" customFormat="1" x14ac:dyDescent="0.2">
      <c r="H204" s="182"/>
    </row>
    <row r="205" spans="8:8" s="5" customFormat="1" x14ac:dyDescent="0.2">
      <c r="H205" s="182"/>
    </row>
    <row r="206" spans="8:8" s="5" customFormat="1" x14ac:dyDescent="0.2">
      <c r="H206" s="182"/>
    </row>
    <row r="207" spans="8:8" s="5" customFormat="1" x14ac:dyDescent="0.2">
      <c r="H207" s="182"/>
    </row>
    <row r="208" spans="8:8" s="5" customFormat="1" x14ac:dyDescent="0.2">
      <c r="H208" s="182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</sheetData>
  <mergeCells count="24">
    <mergeCell ref="B161:C161"/>
    <mergeCell ref="D161:F161"/>
    <mergeCell ref="H165:J165"/>
    <mergeCell ref="H7:H8"/>
    <mergeCell ref="B9:C9"/>
    <mergeCell ref="F9:G9"/>
    <mergeCell ref="F10:G10"/>
    <mergeCell ref="E109:G109"/>
    <mergeCell ref="E112:G112"/>
    <mergeCell ref="B7:B8"/>
    <mergeCell ref="C7:C8"/>
    <mergeCell ref="D7:D8"/>
    <mergeCell ref="E7:E8"/>
    <mergeCell ref="F7:F8"/>
    <mergeCell ref="G7:G8"/>
    <mergeCell ref="E115:G115"/>
    <mergeCell ref="E118:G118"/>
    <mergeCell ref="E124:G124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99DE-4101-4181-A477-F6AE077CB895}">
  <dimension ref="B1:K316"/>
  <sheetViews>
    <sheetView topLeftCell="A57" workbookViewId="0">
      <selection activeCell="D185" sqref="D185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245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1083724</v>
      </c>
      <c r="E9" s="17"/>
      <c r="F9" s="194" t="s">
        <v>10</v>
      </c>
      <c r="G9" s="195"/>
      <c r="H9" s="18">
        <f>D165</f>
        <v>1092724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/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 t="s">
        <v>247</v>
      </c>
      <c r="C12" s="34" t="s">
        <v>248</v>
      </c>
      <c r="D12" s="35">
        <v>9000</v>
      </c>
      <c r="E12" s="36">
        <v>101</v>
      </c>
      <c r="F12" s="37" t="s">
        <v>14</v>
      </c>
      <c r="G12" s="38" t="s">
        <v>289</v>
      </c>
      <c r="H12" s="39">
        <f>1900+2480</f>
        <v>4380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/>
      <c r="H13" s="41"/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321</v>
      </c>
      <c r="H14" s="42">
        <f>4300+1750</f>
        <v>6050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286</v>
      </c>
      <c r="H15" s="42">
        <f>1100+1500</f>
        <v>2600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280</v>
      </c>
      <c r="H16" s="42">
        <v>2000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284</v>
      </c>
      <c r="H18" s="42">
        <v>1900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331</v>
      </c>
      <c r="H19" s="42">
        <f>2300+1800</f>
        <v>4100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298</v>
      </c>
      <c r="H20" s="39">
        <v>1700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 t="s">
        <v>249</v>
      </c>
      <c r="H21" s="39">
        <v>1800</v>
      </c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 t="s">
        <v>285</v>
      </c>
      <c r="H22" s="39">
        <v>1300</v>
      </c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251</v>
      </c>
      <c r="H23" s="42">
        <v>1800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281</v>
      </c>
      <c r="H25" s="51">
        <f>1000+1600</f>
        <v>2600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/>
      <c r="H28" s="39"/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294</v>
      </c>
      <c r="H30" s="42">
        <v>2200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304</v>
      </c>
      <c r="H31" s="42">
        <v>1800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/>
      <c r="H32" s="39"/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287</v>
      </c>
      <c r="H33" s="39">
        <v>1900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295</v>
      </c>
      <c r="H36" s="42">
        <f>1250+1450</f>
        <v>2700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 t="s">
        <v>326</v>
      </c>
      <c r="H37" s="42">
        <f>1800+2200</f>
        <v>4000</v>
      </c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/>
      <c r="H38" s="57"/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327</v>
      </c>
      <c r="H39" s="59">
        <v>3800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/>
      <c r="H40" s="39"/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328</v>
      </c>
      <c r="H41" s="39">
        <v>7500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 t="s">
        <v>320</v>
      </c>
      <c r="H42" s="39">
        <f>3600+900</f>
        <v>4500</v>
      </c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306</v>
      </c>
      <c r="H43" s="39">
        <v>5000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325</v>
      </c>
      <c r="H44" s="57">
        <f>4100+400</f>
        <v>4500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324</v>
      </c>
      <c r="H45" s="32">
        <v>5900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296</v>
      </c>
      <c r="H46" s="42">
        <v>2000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/>
      <c r="H47" s="42"/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/>
      <c r="H49" s="42"/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/>
      <c r="H50" s="42"/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/>
      <c r="H51" s="62"/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 t="s">
        <v>323</v>
      </c>
      <c r="H54" s="39">
        <v>6000</v>
      </c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 t="s">
        <v>302</v>
      </c>
      <c r="H56" s="39">
        <v>14500</v>
      </c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 t="s">
        <v>288</v>
      </c>
      <c r="H57" s="42">
        <v>6500</v>
      </c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/>
      <c r="H65" s="67"/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 t="s">
        <v>305</v>
      </c>
      <c r="H66" s="39">
        <v>17500</v>
      </c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 t="s">
        <v>250</v>
      </c>
      <c r="H69" s="39">
        <v>1300</v>
      </c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/>
      <c r="H71" s="69"/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 t="s">
        <v>255</v>
      </c>
      <c r="H73" s="39">
        <v>16800</v>
      </c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 t="s">
        <v>252</v>
      </c>
      <c r="H75" s="39">
        <v>1400</v>
      </c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 t="s">
        <v>275</v>
      </c>
      <c r="H76" s="69">
        <v>3100</v>
      </c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265</v>
      </c>
      <c r="G78" s="84" t="s">
        <v>266</v>
      </c>
      <c r="H78" s="39">
        <v>15000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267</v>
      </c>
      <c r="G79" s="84" t="s">
        <v>268</v>
      </c>
      <c r="H79" s="39">
        <v>15500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269</v>
      </c>
      <c r="G80" s="68" t="s">
        <v>270</v>
      </c>
      <c r="H80" s="69">
        <v>13500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273</v>
      </c>
      <c r="G81" s="68" t="s">
        <v>274</v>
      </c>
      <c r="H81" s="69">
        <v>12500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276</v>
      </c>
      <c r="G82" s="68" t="s">
        <v>277</v>
      </c>
      <c r="H82" s="69">
        <v>12000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278</v>
      </c>
      <c r="G83" s="68" t="s">
        <v>279</v>
      </c>
      <c r="H83" s="69">
        <v>9000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282</v>
      </c>
      <c r="G84" s="68" t="s">
        <v>279</v>
      </c>
      <c r="H84" s="69">
        <v>10000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290</v>
      </c>
      <c r="G85" s="68" t="s">
        <v>291</v>
      </c>
      <c r="H85" s="69">
        <v>14000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292</v>
      </c>
      <c r="G86" s="68" t="s">
        <v>293</v>
      </c>
      <c r="H86" s="69">
        <v>11000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158</v>
      </c>
      <c r="G87" s="68" t="s">
        <v>297</v>
      </c>
      <c r="H87" s="69">
        <v>10000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156</v>
      </c>
      <c r="G88" s="68" t="s">
        <v>299</v>
      </c>
      <c r="H88" s="69">
        <v>19500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300</v>
      </c>
      <c r="G89" s="68" t="s">
        <v>301</v>
      </c>
      <c r="H89" s="69">
        <v>12500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303</v>
      </c>
      <c r="G90" s="68" t="s">
        <v>266</v>
      </c>
      <c r="H90" s="69">
        <v>16000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307</v>
      </c>
      <c r="G91" s="68" t="s">
        <v>308</v>
      </c>
      <c r="H91" s="69">
        <v>13300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309</v>
      </c>
      <c r="G92" s="68" t="s">
        <v>310</v>
      </c>
      <c r="H92" s="69">
        <v>16000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311</v>
      </c>
      <c r="G93" s="68" t="s">
        <v>312</v>
      </c>
      <c r="H93" s="69">
        <v>11000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313</v>
      </c>
      <c r="G94" s="68" t="s">
        <v>314</v>
      </c>
      <c r="H94" s="69">
        <v>13500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315</v>
      </c>
      <c r="G95" s="68" t="s">
        <v>316</v>
      </c>
      <c r="H95" s="69">
        <v>15500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317</v>
      </c>
      <c r="G96" s="68" t="s">
        <v>318</v>
      </c>
      <c r="H96" s="69">
        <v>12000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319</v>
      </c>
      <c r="G97" s="68" t="s">
        <v>279</v>
      </c>
      <c r="H97" s="69">
        <v>10000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189</v>
      </c>
      <c r="G98" s="68" t="s">
        <v>322</v>
      </c>
      <c r="H98" s="69">
        <v>16000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 t="s">
        <v>332</v>
      </c>
      <c r="G99" s="68" t="s">
        <v>333</v>
      </c>
      <c r="H99" s="69">
        <v>17500</v>
      </c>
      <c r="I99" s="46"/>
    </row>
    <row r="100" spans="2:9" s="6" customFormat="1" ht="15.75" thickBot="1" x14ac:dyDescent="0.25">
      <c r="B100" s="50"/>
      <c r="C100" s="34"/>
      <c r="D100" s="81"/>
      <c r="E100" s="86">
        <v>102</v>
      </c>
      <c r="F100" s="87"/>
      <c r="G100" s="88"/>
      <c r="H100" s="57"/>
      <c r="I100" s="46"/>
    </row>
    <row r="101" spans="2:9" s="6" customFormat="1" ht="15.75" x14ac:dyDescent="0.25">
      <c r="B101" s="50"/>
      <c r="C101" s="34"/>
      <c r="D101" s="81"/>
      <c r="E101" s="78">
        <v>103</v>
      </c>
      <c r="F101" s="79"/>
      <c r="G101" s="80" t="s">
        <v>80</v>
      </c>
      <c r="H101" s="59"/>
      <c r="I101" s="46"/>
    </row>
    <row r="102" spans="2:9" s="6" customFormat="1" x14ac:dyDescent="0.2">
      <c r="B102" s="50"/>
      <c r="C102" s="34"/>
      <c r="D102" s="81"/>
      <c r="E102" s="82">
        <v>103</v>
      </c>
      <c r="F102" s="85" t="s">
        <v>329</v>
      </c>
      <c r="G102" s="68" t="s">
        <v>330</v>
      </c>
      <c r="H102" s="69">
        <v>1150</v>
      </c>
      <c r="I102" s="46"/>
    </row>
    <row r="103" spans="2:9" s="6" customFormat="1" x14ac:dyDescent="0.2">
      <c r="B103" s="50"/>
      <c r="C103" s="34"/>
      <c r="D103" s="81"/>
      <c r="E103" s="82">
        <v>103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103</v>
      </c>
      <c r="F104" s="85"/>
      <c r="G104" s="68"/>
      <c r="H104" s="69"/>
      <c r="I104" s="46"/>
    </row>
    <row r="105" spans="2:9" s="6" customFormat="1" x14ac:dyDescent="0.2">
      <c r="B105" s="50"/>
      <c r="C105" s="34"/>
      <c r="D105" s="81"/>
      <c r="E105" s="82">
        <v>103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103</v>
      </c>
      <c r="F106" s="85"/>
      <c r="G106" s="68"/>
      <c r="H106" s="69"/>
      <c r="I106" s="46"/>
    </row>
    <row r="107" spans="2:9" s="6" customFormat="1" x14ac:dyDescent="0.2">
      <c r="B107" s="50"/>
      <c r="C107" s="34"/>
      <c r="D107" s="81"/>
      <c r="E107" s="82">
        <v>103</v>
      </c>
      <c r="F107" s="85"/>
      <c r="G107" s="68"/>
      <c r="H107" s="69"/>
      <c r="I107" s="46"/>
    </row>
    <row r="108" spans="2:9" s="6" customFormat="1" ht="15.75" thickBot="1" x14ac:dyDescent="0.25">
      <c r="B108" s="50"/>
      <c r="C108" s="34"/>
      <c r="D108" s="81"/>
      <c r="E108" s="82">
        <v>103</v>
      </c>
      <c r="F108" s="87"/>
      <c r="G108" s="88"/>
      <c r="H108" s="57"/>
      <c r="I108" s="46"/>
    </row>
    <row r="109" spans="2:9" s="6" customFormat="1" ht="15.75" x14ac:dyDescent="0.25">
      <c r="B109" s="50"/>
      <c r="C109" s="34"/>
      <c r="D109" s="81"/>
      <c r="E109" s="89">
        <v>104</v>
      </c>
      <c r="F109" s="79"/>
      <c r="G109" s="80" t="s">
        <v>81</v>
      </c>
      <c r="H109" s="59"/>
      <c r="I109" s="46"/>
    </row>
    <row r="110" spans="2:9" s="6" customFormat="1" x14ac:dyDescent="0.2">
      <c r="B110" s="50"/>
      <c r="C110" s="34"/>
      <c r="D110" s="81"/>
      <c r="E110" s="82">
        <v>104</v>
      </c>
      <c r="F110" s="83" t="s">
        <v>256</v>
      </c>
      <c r="G110" s="84" t="s">
        <v>257</v>
      </c>
      <c r="H110" s="39">
        <v>1000</v>
      </c>
      <c r="I110" s="46"/>
    </row>
    <row r="111" spans="2:9" s="6" customFormat="1" x14ac:dyDescent="0.2">
      <c r="B111" s="50"/>
      <c r="C111" s="34"/>
      <c r="D111" s="81"/>
      <c r="E111" s="82">
        <v>104</v>
      </c>
      <c r="F111" s="85" t="s">
        <v>259</v>
      </c>
      <c r="G111" s="84" t="s">
        <v>260</v>
      </c>
      <c r="H111" s="69">
        <v>2000</v>
      </c>
      <c r="I111" s="46"/>
    </row>
    <row r="112" spans="2:9" s="6" customFormat="1" x14ac:dyDescent="0.2">
      <c r="B112" s="50"/>
      <c r="C112" s="34"/>
      <c r="D112" s="81"/>
      <c r="E112" s="82">
        <v>104</v>
      </c>
      <c r="F112" s="85" t="s">
        <v>261</v>
      </c>
      <c r="G112" s="68" t="s">
        <v>262</v>
      </c>
      <c r="H112" s="69">
        <v>2500</v>
      </c>
      <c r="I112" s="46"/>
    </row>
    <row r="113" spans="2:9" s="6" customFormat="1" x14ac:dyDescent="0.2">
      <c r="B113" s="50"/>
      <c r="C113" s="34"/>
      <c r="D113" s="81"/>
      <c r="E113" s="82">
        <v>104</v>
      </c>
      <c r="F113" s="85" t="s">
        <v>189</v>
      </c>
      <c r="G113" s="68" t="s">
        <v>190</v>
      </c>
      <c r="H113" s="69">
        <v>1300</v>
      </c>
      <c r="I113" s="46"/>
    </row>
    <row r="114" spans="2:9" s="6" customFormat="1" x14ac:dyDescent="0.2">
      <c r="B114" s="50"/>
      <c r="C114" s="34"/>
      <c r="D114" s="81"/>
      <c r="E114" s="82">
        <v>104</v>
      </c>
      <c r="F114" s="85"/>
      <c r="G114" s="68"/>
      <c r="H114" s="69"/>
      <c r="I114" s="46"/>
    </row>
    <row r="115" spans="2:9" s="6" customFormat="1" x14ac:dyDescent="0.2">
      <c r="B115" s="50"/>
      <c r="C115" s="34"/>
      <c r="D115" s="81"/>
      <c r="E115" s="82">
        <v>104</v>
      </c>
      <c r="F115" s="85"/>
      <c r="G115" s="68"/>
      <c r="H115" s="69"/>
      <c r="I115" s="46"/>
    </row>
    <row r="116" spans="2:9" s="6" customFormat="1" ht="15.75" thickBot="1" x14ac:dyDescent="0.25">
      <c r="B116" s="50"/>
      <c r="C116" s="34"/>
      <c r="D116" s="81"/>
      <c r="E116" s="82">
        <v>104</v>
      </c>
      <c r="F116" s="87"/>
      <c r="G116" s="88"/>
      <c r="H116" s="57"/>
      <c r="I116" s="46"/>
    </row>
    <row r="117" spans="2:9" s="6" customFormat="1" ht="15.75" x14ac:dyDescent="0.25">
      <c r="B117" s="50"/>
      <c r="C117" s="34"/>
      <c r="D117" s="81"/>
      <c r="E117" s="90"/>
      <c r="F117" s="91"/>
      <c r="G117" s="92" t="s">
        <v>82</v>
      </c>
      <c r="H117" s="93"/>
      <c r="I117" s="25"/>
    </row>
    <row r="118" spans="2:9" s="6" customFormat="1" ht="15.75" x14ac:dyDescent="0.25">
      <c r="B118" s="50"/>
      <c r="C118" s="34"/>
      <c r="D118" s="81"/>
      <c r="E118" s="197" t="s">
        <v>83</v>
      </c>
      <c r="F118" s="198"/>
      <c r="G118" s="199"/>
      <c r="H118" s="41"/>
      <c r="I118" s="25"/>
    </row>
    <row r="119" spans="2:9" s="6" customFormat="1" ht="15.75" x14ac:dyDescent="0.2">
      <c r="B119" s="50"/>
      <c r="C119" s="34"/>
      <c r="D119" s="81"/>
      <c r="E119" s="82"/>
      <c r="F119" s="94"/>
      <c r="G119" s="52"/>
      <c r="H119" s="67"/>
      <c r="I119" s="25"/>
    </row>
    <row r="120" spans="2:9" s="6" customFormat="1" ht="15.75" x14ac:dyDescent="0.2">
      <c r="B120" s="50"/>
      <c r="C120" s="34"/>
      <c r="D120" s="81"/>
      <c r="E120" s="82"/>
      <c r="F120" s="94"/>
      <c r="G120" s="52"/>
      <c r="H120" s="67"/>
      <c r="I120" s="25"/>
    </row>
    <row r="121" spans="2:9" s="6" customFormat="1" ht="15.75" x14ac:dyDescent="0.25">
      <c r="B121" s="50"/>
      <c r="C121" s="34"/>
      <c r="D121" s="81"/>
      <c r="E121" s="197" t="s">
        <v>84</v>
      </c>
      <c r="F121" s="198"/>
      <c r="G121" s="199"/>
      <c r="H121" s="41"/>
      <c r="I121" s="25"/>
    </row>
    <row r="122" spans="2:9" s="6" customFormat="1" ht="15.75" x14ac:dyDescent="0.2">
      <c r="B122" s="50"/>
      <c r="C122" s="34"/>
      <c r="D122" s="81"/>
      <c r="E122" s="82"/>
      <c r="F122" s="94"/>
      <c r="G122" s="52"/>
      <c r="H122" s="67"/>
      <c r="I122" s="25"/>
    </row>
    <row r="123" spans="2:9" s="6" customFormat="1" ht="15.75" x14ac:dyDescent="0.25">
      <c r="B123" s="50"/>
      <c r="C123" s="34"/>
      <c r="D123" s="81"/>
      <c r="E123" s="82"/>
      <c r="F123" s="37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85</v>
      </c>
      <c r="F124" s="198"/>
      <c r="G124" s="199"/>
      <c r="H124" s="41"/>
      <c r="I124" s="25"/>
    </row>
    <row r="125" spans="2:9" s="6" customFormat="1" x14ac:dyDescent="0.2">
      <c r="B125" s="50"/>
      <c r="C125" s="34"/>
      <c r="D125" s="81"/>
      <c r="E125" s="82"/>
      <c r="F125" s="83"/>
      <c r="G125" s="84"/>
      <c r="H125" s="41"/>
      <c r="I125" s="25"/>
    </row>
    <row r="126" spans="2:9" s="6" customFormat="1" x14ac:dyDescent="0.2">
      <c r="B126" s="50"/>
      <c r="C126" s="34"/>
      <c r="D126" s="81"/>
      <c r="E126" s="82"/>
      <c r="F126" s="83"/>
      <c r="G126" s="84"/>
      <c r="H126" s="41"/>
      <c r="I126" s="25"/>
    </row>
    <row r="127" spans="2:9" s="6" customFormat="1" ht="15.75" x14ac:dyDescent="0.25">
      <c r="B127" s="50"/>
      <c r="C127" s="34"/>
      <c r="D127" s="81"/>
      <c r="E127" s="197" t="s">
        <v>86</v>
      </c>
      <c r="F127" s="198"/>
      <c r="G127" s="199"/>
      <c r="H127" s="41"/>
      <c r="I127" s="25"/>
    </row>
    <row r="128" spans="2:9" s="6" customFormat="1" ht="15.75" x14ac:dyDescent="0.25">
      <c r="B128" s="50"/>
      <c r="C128" s="34"/>
      <c r="D128" s="81"/>
      <c r="E128" s="89"/>
      <c r="F128" s="95" t="s">
        <v>256</v>
      </c>
      <c r="G128" s="52" t="s">
        <v>258</v>
      </c>
      <c r="H128" s="39">
        <v>10500</v>
      </c>
      <c r="I128" s="25"/>
    </row>
    <row r="129" spans="2:9" s="6" customFormat="1" ht="15.75" x14ac:dyDescent="0.25">
      <c r="B129" s="50"/>
      <c r="C129" s="34"/>
      <c r="D129" s="81"/>
      <c r="E129" s="89"/>
      <c r="F129" s="95" t="s">
        <v>189</v>
      </c>
      <c r="G129" s="52" t="s">
        <v>258</v>
      </c>
      <c r="H129" s="39">
        <v>10500</v>
      </c>
      <c r="I129" s="25"/>
    </row>
    <row r="130" spans="2:9" s="6" customFormat="1" ht="15.75" x14ac:dyDescent="0.25">
      <c r="B130" s="50"/>
      <c r="C130" s="34"/>
      <c r="D130" s="81"/>
      <c r="E130" s="89"/>
      <c r="F130" s="95"/>
      <c r="G130" s="52"/>
      <c r="H130" s="39"/>
      <c r="I130" s="25"/>
    </row>
    <row r="131" spans="2:9" s="6" customFormat="1" ht="15.75" x14ac:dyDescent="0.25">
      <c r="B131" s="50"/>
      <c r="C131" s="34"/>
      <c r="D131" s="81"/>
      <c r="E131" s="89"/>
      <c r="F131" s="95"/>
      <c r="G131" s="52"/>
      <c r="H131" s="39"/>
      <c r="I131" s="25"/>
    </row>
    <row r="132" spans="2:9" s="6" customFormat="1" x14ac:dyDescent="0.2">
      <c r="B132" s="50"/>
      <c r="C132" s="34"/>
      <c r="D132" s="81"/>
      <c r="E132" s="82"/>
      <c r="F132" s="96"/>
      <c r="G132" s="84"/>
      <c r="H132" s="41"/>
      <c r="I132" s="25"/>
    </row>
    <row r="133" spans="2:9" s="6" customFormat="1" ht="15.75" x14ac:dyDescent="0.25">
      <c r="B133" s="50"/>
      <c r="C133" s="34"/>
      <c r="D133" s="81"/>
      <c r="E133" s="197" t="s">
        <v>87</v>
      </c>
      <c r="F133" s="198"/>
      <c r="G133" s="199"/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37" t="s">
        <v>271</v>
      </c>
      <c r="G134" s="52" t="s">
        <v>272</v>
      </c>
      <c r="H134" s="39">
        <v>17300</v>
      </c>
      <c r="I134" s="25"/>
    </row>
    <row r="135" spans="2:9" s="6" customFormat="1" ht="15.75" x14ac:dyDescent="0.25">
      <c r="B135" s="50"/>
      <c r="C135" s="34"/>
      <c r="D135" s="81"/>
      <c r="E135" s="82"/>
      <c r="F135" s="37"/>
      <c r="G135" s="52"/>
      <c r="H135" s="39"/>
      <c r="I135" s="25"/>
    </row>
    <row r="136" spans="2:9" s="6" customFormat="1" x14ac:dyDescent="0.2">
      <c r="B136" s="50"/>
      <c r="C136" s="34"/>
      <c r="D136" s="81"/>
      <c r="E136" s="82"/>
      <c r="F136" s="97"/>
      <c r="G136" s="52"/>
      <c r="H136" s="41"/>
      <c r="I136" s="25"/>
    </row>
    <row r="137" spans="2:9" s="6" customFormat="1" ht="15.75" thickBot="1" x14ac:dyDescent="0.25">
      <c r="B137" s="50" t="s">
        <v>88</v>
      </c>
      <c r="C137" s="34"/>
      <c r="D137" s="81"/>
      <c r="E137" s="86"/>
      <c r="F137" s="98"/>
      <c r="G137" s="88"/>
      <c r="H137" s="99"/>
      <c r="I137" s="25"/>
    </row>
    <row r="138" spans="2:9" s="6" customFormat="1" ht="15.75" x14ac:dyDescent="0.25">
      <c r="B138" s="50"/>
      <c r="C138" s="34"/>
      <c r="D138" s="81"/>
      <c r="E138" s="100"/>
      <c r="F138" s="101"/>
      <c r="G138" s="102" t="s">
        <v>89</v>
      </c>
      <c r="H138" s="103">
        <v>25000</v>
      </c>
      <c r="I138" s="25"/>
    </row>
    <row r="139" spans="2:9" s="6" customFormat="1" ht="15.75" x14ac:dyDescent="0.25">
      <c r="B139" s="50"/>
      <c r="C139" s="34"/>
      <c r="D139" s="81"/>
      <c r="E139" s="82"/>
      <c r="F139" s="104"/>
      <c r="G139" s="105" t="s">
        <v>90</v>
      </c>
      <c r="H139" s="41"/>
      <c r="I139" s="25"/>
    </row>
    <row r="140" spans="2:9" s="6" customFormat="1" ht="15.75" x14ac:dyDescent="0.25">
      <c r="B140" s="50"/>
      <c r="C140" s="34"/>
      <c r="D140" s="81"/>
      <c r="E140" s="82"/>
      <c r="F140" s="104"/>
      <c r="G140" s="105" t="s">
        <v>91</v>
      </c>
      <c r="H140" s="41"/>
      <c r="I140" s="25"/>
    </row>
    <row r="141" spans="2:9" s="6" customFormat="1" ht="15.75" x14ac:dyDescent="0.25">
      <c r="B141" s="50"/>
      <c r="C141" s="34"/>
      <c r="D141" s="81"/>
      <c r="E141" s="82"/>
      <c r="F141" s="104"/>
      <c r="G141" s="105" t="s">
        <v>92</v>
      </c>
      <c r="H141" s="41"/>
      <c r="I141" s="25"/>
    </row>
    <row r="142" spans="2:9" s="6" customFormat="1" ht="15.75" x14ac:dyDescent="0.25">
      <c r="B142" s="50"/>
      <c r="C142" s="34"/>
      <c r="D142" s="81"/>
      <c r="E142" s="82"/>
      <c r="F142" s="104"/>
      <c r="G142" s="105" t="s">
        <v>93</v>
      </c>
      <c r="H142" s="41"/>
      <c r="I142" s="25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137</v>
      </c>
      <c r="H143" s="107"/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94</v>
      </c>
      <c r="H144" s="109">
        <f>300+600</f>
        <v>900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95</v>
      </c>
      <c r="H145" s="109">
        <v>2000</v>
      </c>
      <c r="I145" s="108"/>
    </row>
    <row r="146" spans="2:9" s="6" customFormat="1" ht="15.75" x14ac:dyDescent="0.25">
      <c r="B146" s="50"/>
      <c r="C146" s="34"/>
      <c r="D146" s="81"/>
      <c r="E146" s="82"/>
      <c r="F146" s="104"/>
      <c r="G146" s="106" t="s">
        <v>96</v>
      </c>
      <c r="H146" s="107"/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97</v>
      </c>
      <c r="H147" s="107">
        <v>6600</v>
      </c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138</v>
      </c>
      <c r="H148" s="107"/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246</v>
      </c>
      <c r="H149" s="107"/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263</v>
      </c>
      <c r="H150" s="107">
        <f>26144+1000</f>
        <v>27144</v>
      </c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99</v>
      </c>
      <c r="H151" s="107">
        <v>400</v>
      </c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100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101</v>
      </c>
      <c r="H153" s="107">
        <v>600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102</v>
      </c>
      <c r="H154" s="107"/>
      <c r="I154" s="108"/>
    </row>
    <row r="155" spans="2:9" s="6" customFormat="1" ht="15.75" x14ac:dyDescent="0.25">
      <c r="B155" s="50" t="s">
        <v>103</v>
      </c>
      <c r="C155" s="34" t="s">
        <v>103</v>
      </c>
      <c r="D155" s="81"/>
      <c r="E155" s="82"/>
      <c r="F155" s="104"/>
      <c r="G155" s="106" t="s">
        <v>104</v>
      </c>
      <c r="H155" s="107">
        <v>200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105</v>
      </c>
      <c r="H156" s="107">
        <v>2000</v>
      </c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106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107</v>
      </c>
      <c r="H158" s="107"/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283</v>
      </c>
      <c r="H159" s="107">
        <v>550</v>
      </c>
      <c r="I159" s="108"/>
    </row>
    <row r="160" spans="2:9" s="6" customFormat="1" ht="15.75" x14ac:dyDescent="0.25">
      <c r="B160" s="50"/>
      <c r="C160" s="34"/>
      <c r="D160" s="81"/>
      <c r="E160" s="82"/>
      <c r="F160" s="104"/>
      <c r="G160" s="106" t="s">
        <v>109</v>
      </c>
      <c r="H160" s="107"/>
      <c r="I160" s="108"/>
    </row>
    <row r="161" spans="2:11" s="6" customFormat="1" ht="15.75" x14ac:dyDescent="0.25">
      <c r="B161" s="50"/>
      <c r="C161" s="34"/>
      <c r="D161" s="81"/>
      <c r="E161" s="110"/>
      <c r="F161" s="104"/>
      <c r="G161" s="111" t="s">
        <v>110</v>
      </c>
      <c r="H161" s="107"/>
      <c r="I161" s="108"/>
    </row>
    <row r="162" spans="2:11" s="118" customFormat="1" ht="16.5" thickBot="1" x14ac:dyDescent="0.3">
      <c r="B162" s="50"/>
      <c r="C162" s="112"/>
      <c r="D162" s="113"/>
      <c r="E162" s="114"/>
      <c r="F162" s="115"/>
      <c r="G162" s="116" t="s">
        <v>111</v>
      </c>
      <c r="H162" s="117"/>
      <c r="I162" s="108"/>
    </row>
    <row r="163" spans="2:11" s="11" customFormat="1" ht="15.75" x14ac:dyDescent="0.2">
      <c r="B163" s="119"/>
      <c r="C163" s="120"/>
      <c r="D163" s="121"/>
      <c r="E163" s="122"/>
      <c r="F163" s="101"/>
      <c r="G163" s="123" t="s">
        <v>112</v>
      </c>
      <c r="H163" s="124">
        <f>SUM(H10:H162)</f>
        <v>550074</v>
      </c>
      <c r="I163" s="125"/>
    </row>
    <row r="164" spans="2:11" ht="15.75" x14ac:dyDescent="0.25">
      <c r="B164" s="119"/>
      <c r="C164" s="126" t="s">
        <v>113</v>
      </c>
      <c r="D164" s="127">
        <f>SUM(D10:D163)</f>
        <v>9000</v>
      </c>
      <c r="E164" s="128"/>
      <c r="F164" s="129"/>
      <c r="G164" s="130" t="s">
        <v>114</v>
      </c>
      <c r="H164" s="131">
        <f>H9-H163</f>
        <v>542650</v>
      </c>
      <c r="I164" s="132"/>
    </row>
    <row r="165" spans="2:11" ht="16.5" thickBot="1" x14ac:dyDescent="0.3">
      <c r="B165" s="133"/>
      <c r="C165" s="134" t="s">
        <v>115</v>
      </c>
      <c r="D165" s="135">
        <f>D9+D164</f>
        <v>1092724</v>
      </c>
      <c r="E165" s="136"/>
      <c r="F165" s="137"/>
      <c r="G165" s="138" t="s">
        <v>116</v>
      </c>
      <c r="H165" s="139">
        <f>H163+H164</f>
        <v>1092724</v>
      </c>
      <c r="I165" s="132"/>
    </row>
    <row r="166" spans="2:11" ht="15.75" x14ac:dyDescent="0.25">
      <c r="B166" s="140"/>
      <c r="C166" s="140"/>
      <c r="D166" s="141"/>
      <c r="E166" s="142"/>
      <c r="F166" s="143"/>
      <c r="G166" s="144"/>
      <c r="H166" s="145"/>
      <c r="I166" s="145"/>
    </row>
    <row r="167" spans="2:11" ht="15.75" x14ac:dyDescent="0.25">
      <c r="B167" s="140"/>
      <c r="C167" s="140"/>
      <c r="D167" s="141"/>
      <c r="E167" s="142"/>
      <c r="F167" s="143"/>
      <c r="G167" s="144"/>
      <c r="H167" s="145"/>
      <c r="I167" s="145"/>
    </row>
    <row r="168" spans="2:11" ht="15.75" x14ac:dyDescent="0.25">
      <c r="B168" s="140"/>
      <c r="C168" s="140"/>
      <c r="D168" s="141"/>
      <c r="E168" s="142"/>
      <c r="F168" s="143"/>
      <c r="G168" s="144"/>
      <c r="H168" s="145"/>
      <c r="I168" s="145"/>
    </row>
    <row r="169" spans="2:11" ht="15.75" x14ac:dyDescent="0.25">
      <c r="B169" s="140"/>
      <c r="C169" s="140"/>
      <c r="D169" s="141"/>
      <c r="E169" s="142"/>
      <c r="F169" s="143"/>
      <c r="G169" s="144"/>
      <c r="H169" s="145"/>
      <c r="I169" s="145"/>
    </row>
    <row r="170" spans="2:11" ht="15.75" x14ac:dyDescent="0.25">
      <c r="B170" s="187" t="s">
        <v>117</v>
      </c>
      <c r="C170" s="187"/>
      <c r="D170" s="188" t="s">
        <v>118</v>
      </c>
      <c r="E170" s="188"/>
      <c r="F170" s="188"/>
      <c r="G170" s="146" t="s">
        <v>119</v>
      </c>
      <c r="H170" s="146" t="s">
        <v>120</v>
      </c>
      <c r="I170" s="146"/>
    </row>
    <row r="171" spans="2:11" ht="15.75" x14ac:dyDescent="0.25">
      <c r="B171" s="140"/>
      <c r="C171" s="140"/>
      <c r="D171" s="141"/>
      <c r="E171" s="142"/>
      <c r="F171" s="143"/>
      <c r="G171" s="147"/>
    </row>
    <row r="172" spans="2:11" x14ac:dyDescent="0.2">
      <c r="E172" s="5" t="s">
        <v>121</v>
      </c>
    </row>
    <row r="173" spans="2:11" x14ac:dyDescent="0.2">
      <c r="H173" s="151"/>
      <c r="I173" s="151"/>
    </row>
    <row r="174" spans="2:11" x14ac:dyDescent="0.2">
      <c r="H174" s="189"/>
      <c r="I174" s="189"/>
      <c r="J174" s="189"/>
    </row>
    <row r="175" spans="2:11" x14ac:dyDescent="0.2">
      <c r="B175" s="152" t="s">
        <v>122</v>
      </c>
      <c r="C175" s="153" t="s">
        <v>123</v>
      </c>
      <c r="D175" s="152" t="s">
        <v>124</v>
      </c>
      <c r="H175" s="151"/>
      <c r="I175" s="151"/>
    </row>
    <row r="176" spans="2:11" ht="23.25" x14ac:dyDescent="0.2">
      <c r="B176" s="154">
        <v>1</v>
      </c>
      <c r="C176" s="155" t="s">
        <v>125</v>
      </c>
      <c r="D176" s="156"/>
      <c r="H176" s="157"/>
      <c r="I176" s="157"/>
      <c r="J176" s="158"/>
      <c r="K176" s="159"/>
    </row>
    <row r="177" spans="2:11" ht="23.25" x14ac:dyDescent="0.2">
      <c r="B177" s="154">
        <v>2</v>
      </c>
      <c r="C177" s="155" t="s">
        <v>126</v>
      </c>
      <c r="D177" s="160"/>
      <c r="H177" s="157"/>
      <c r="I177" s="157"/>
      <c r="J177" s="158"/>
      <c r="K177" s="159"/>
    </row>
    <row r="178" spans="2:11" ht="23.25" x14ac:dyDescent="0.2">
      <c r="B178" s="154">
        <v>3</v>
      </c>
      <c r="C178" s="155" t="s">
        <v>127</v>
      </c>
      <c r="D178" s="160">
        <f>10000-5000</f>
        <v>5000</v>
      </c>
      <c r="H178" s="157"/>
      <c r="I178" s="157"/>
      <c r="J178" s="158"/>
      <c r="K178" s="159"/>
    </row>
    <row r="179" spans="2:11" ht="23.25" x14ac:dyDescent="0.3">
      <c r="B179" s="154">
        <v>4</v>
      </c>
      <c r="C179" s="155"/>
      <c r="D179" s="160"/>
      <c r="H179" s="161"/>
      <c r="I179" s="157"/>
      <c r="J179" s="158"/>
      <c r="K179" s="159"/>
    </row>
    <row r="180" spans="2:11" ht="23.25" x14ac:dyDescent="0.2">
      <c r="B180" s="154">
        <v>5</v>
      </c>
      <c r="C180" s="155" t="s">
        <v>128</v>
      </c>
      <c r="D180" s="162">
        <f>10000+20000+15000-15000</f>
        <v>30000</v>
      </c>
      <c r="H180" s="157"/>
      <c r="I180" s="157"/>
      <c r="J180" s="158"/>
      <c r="K180" s="159"/>
    </row>
    <row r="181" spans="2:11" ht="23.25" x14ac:dyDescent="0.2">
      <c r="B181" s="154">
        <v>6</v>
      </c>
      <c r="C181" s="155" t="s">
        <v>129</v>
      </c>
      <c r="D181" s="162">
        <f>2000+5000+2000-2000+1000+3000-3000+10000-6500</f>
        <v>11500</v>
      </c>
      <c r="H181" s="157"/>
      <c r="I181" s="157"/>
      <c r="J181" s="158"/>
      <c r="K181" s="159"/>
    </row>
    <row r="182" spans="2:11" ht="23.25" x14ac:dyDescent="0.2">
      <c r="B182" s="154">
        <v>7</v>
      </c>
      <c r="C182" s="155" t="s">
        <v>130</v>
      </c>
      <c r="D182" s="160">
        <f>-6700+100+10000-3450-1720-700-1950</f>
        <v>-4420</v>
      </c>
      <c r="H182" s="157"/>
      <c r="I182" s="157"/>
      <c r="J182" s="158"/>
      <c r="K182" s="159"/>
    </row>
    <row r="183" spans="2:11" ht="23.25" x14ac:dyDescent="0.2">
      <c r="B183" s="154">
        <v>8</v>
      </c>
      <c r="C183" s="163" t="s">
        <v>254</v>
      </c>
      <c r="D183" s="164">
        <v>4300</v>
      </c>
      <c r="H183" s="157"/>
      <c r="I183" s="157"/>
      <c r="J183" s="158"/>
      <c r="K183" s="159"/>
    </row>
    <row r="184" spans="2:11" ht="23.25" x14ac:dyDescent="0.2">
      <c r="B184" s="154">
        <v>9</v>
      </c>
      <c r="C184" s="163" t="s">
        <v>132</v>
      </c>
      <c r="D184" s="165"/>
      <c r="H184" s="166"/>
      <c r="I184" s="158"/>
      <c r="J184" s="158"/>
      <c r="K184" s="159"/>
    </row>
    <row r="185" spans="2:11" ht="23.25" x14ac:dyDescent="0.2">
      <c r="B185" s="154">
        <v>10</v>
      </c>
      <c r="C185" s="155" t="s">
        <v>133</v>
      </c>
      <c r="D185" s="160">
        <f>2610+10000-10000-21800+5000+8000-11800+6000+13080+8720+14497+13080+8720+13080-30000+8000-11500-40000+10000</f>
        <v>-4313</v>
      </c>
      <c r="H185" s="167"/>
      <c r="I185" s="158"/>
      <c r="J185" s="158"/>
      <c r="K185" s="159"/>
    </row>
    <row r="186" spans="2:11" ht="23.25" x14ac:dyDescent="0.3">
      <c r="B186" s="154">
        <v>11</v>
      </c>
      <c r="C186" s="155" t="s">
        <v>264</v>
      </c>
      <c r="D186" s="160" t="s">
        <v>103</v>
      </c>
      <c r="E186" s="168"/>
      <c r="G186" s="150" t="s">
        <v>121</v>
      </c>
      <c r="H186" s="169"/>
      <c r="I186" s="158"/>
      <c r="J186" s="158"/>
      <c r="K186" s="159"/>
    </row>
    <row r="187" spans="2:11" ht="23.25" x14ac:dyDescent="0.2">
      <c r="B187" s="154"/>
      <c r="C187" s="170" t="s">
        <v>135</v>
      </c>
      <c r="D187" s="171">
        <f>SUM(D176:D186)</f>
        <v>42067</v>
      </c>
      <c r="F187" s="172"/>
      <c r="H187" s="167"/>
      <c r="I187" s="158"/>
      <c r="J187" s="158"/>
      <c r="K187" s="159"/>
    </row>
    <row r="188" spans="2:11" ht="23.25" x14ac:dyDescent="0.2">
      <c r="D188" s="173">
        <f>-12000-4953+6000-80+9800</f>
        <v>-1233</v>
      </c>
      <c r="E188" s="174"/>
      <c r="H188" s="167"/>
      <c r="I188" s="175"/>
      <c r="J188" s="158"/>
      <c r="K188" s="159"/>
    </row>
    <row r="189" spans="2:11" ht="23.25" x14ac:dyDescent="0.25">
      <c r="D189" s="176">
        <v>3470</v>
      </c>
      <c r="E189" s="5" t="s">
        <v>243</v>
      </c>
      <c r="F189" s="177"/>
      <c r="H189" s="178"/>
      <c r="I189" s="175"/>
      <c r="J189" s="175"/>
      <c r="K189" s="159"/>
    </row>
    <row r="190" spans="2:11" ht="23.25" x14ac:dyDescent="0.2">
      <c r="D190" s="176">
        <v>3800</v>
      </c>
      <c r="E190" s="5" t="s">
        <v>244</v>
      </c>
      <c r="H190" s="179"/>
      <c r="I190" s="180"/>
      <c r="J190" s="158"/>
      <c r="K190" s="159"/>
    </row>
    <row r="191" spans="2:11" ht="23.25" x14ac:dyDescent="0.25">
      <c r="B191" s="5"/>
      <c r="D191" s="181">
        <v>15000</v>
      </c>
      <c r="E191" s="178" t="s">
        <v>253</v>
      </c>
      <c r="G191" s="178"/>
      <c r="H191" s="167"/>
      <c r="I191" s="5"/>
      <c r="J191" s="158"/>
      <c r="K191" s="159"/>
    </row>
    <row r="192" spans="2:11" ht="15.75" x14ac:dyDescent="0.25">
      <c r="B192" s="5"/>
      <c r="D192" s="181"/>
      <c r="E192" s="178"/>
      <c r="G192" s="178"/>
      <c r="H192" s="167"/>
      <c r="I192" s="5"/>
      <c r="J192" s="175"/>
    </row>
    <row r="193" spans="2:9" ht="15.75" x14ac:dyDescent="0.25">
      <c r="D193" s="181"/>
      <c r="E193" s="178"/>
      <c r="H193" s="182"/>
    </row>
    <row r="194" spans="2:9" x14ac:dyDescent="0.2">
      <c r="B194" s="5"/>
      <c r="D194" s="176" t="s">
        <v>103</v>
      </c>
      <c r="F194" s="5"/>
      <c r="G194" s="5"/>
      <c r="H194" s="183"/>
      <c r="I194" s="5"/>
    </row>
    <row r="195" spans="2:9" x14ac:dyDescent="0.2">
      <c r="D195" s="184">
        <f>SUM(D188:D194)+D187</f>
        <v>63104</v>
      </c>
      <c r="H195" s="182"/>
    </row>
    <row r="196" spans="2:9" x14ac:dyDescent="0.2">
      <c r="B196" s="5"/>
      <c r="D196" s="185">
        <f>D195-H164</f>
        <v>-479546</v>
      </c>
      <c r="F196" s="5"/>
      <c r="G196" s="5"/>
      <c r="H196" s="178"/>
      <c r="I196" s="5"/>
    </row>
    <row r="197" spans="2:9" x14ac:dyDescent="0.2">
      <c r="H197" s="182"/>
    </row>
    <row r="198" spans="2:9" x14ac:dyDescent="0.2">
      <c r="H198" s="182"/>
    </row>
    <row r="199" spans="2:9" x14ac:dyDescent="0.2">
      <c r="H199" s="182"/>
    </row>
    <row r="200" spans="2:9" x14ac:dyDescent="0.2">
      <c r="H200" s="182"/>
    </row>
    <row r="201" spans="2:9" x14ac:dyDescent="0.2">
      <c r="B201" s="5"/>
      <c r="D201" s="5"/>
      <c r="F201" s="5"/>
      <c r="G201" s="5"/>
      <c r="H201" s="182"/>
      <c r="I201" s="5"/>
    </row>
    <row r="202" spans="2:9" ht="15.75" x14ac:dyDescent="0.25">
      <c r="B202" s="5"/>
      <c r="D202" s="5"/>
      <c r="F202" s="5"/>
      <c r="G202" s="5"/>
      <c r="H202" s="145"/>
      <c r="I202" s="5"/>
    </row>
    <row r="203" spans="2:9" x14ac:dyDescent="0.2">
      <c r="B203" s="5"/>
      <c r="D203" s="5"/>
      <c r="F203" s="5"/>
      <c r="G203" s="5"/>
      <c r="H203" s="182"/>
      <c r="I203" s="5"/>
    </row>
    <row r="204" spans="2:9" x14ac:dyDescent="0.2">
      <c r="B204" s="5"/>
      <c r="D204" s="5"/>
      <c r="F204" s="5"/>
      <c r="G204" s="5"/>
      <c r="H204" s="182"/>
      <c r="I204" s="5"/>
    </row>
    <row r="205" spans="2:9" x14ac:dyDescent="0.2">
      <c r="B205" s="5"/>
      <c r="D205" s="5"/>
      <c r="F205" s="5"/>
      <c r="G205" s="5"/>
      <c r="H205" s="182"/>
      <c r="I205" s="5"/>
    </row>
    <row r="207" spans="2:9" x14ac:dyDescent="0.2">
      <c r="B207" s="5"/>
      <c r="D207" s="5"/>
      <c r="F207" s="5"/>
      <c r="G207" s="5"/>
      <c r="H207" s="182"/>
      <c r="I207" s="5"/>
    </row>
    <row r="208" spans="2:9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</sheetData>
  <mergeCells count="24">
    <mergeCell ref="E127:G127"/>
    <mergeCell ref="E133:G133"/>
    <mergeCell ref="B1:H1"/>
    <mergeCell ref="B2:H2"/>
    <mergeCell ref="B3:H3"/>
    <mergeCell ref="B4:H4"/>
    <mergeCell ref="B6:D6"/>
    <mergeCell ref="F6:H6"/>
    <mergeCell ref="B170:C170"/>
    <mergeCell ref="D170:F170"/>
    <mergeCell ref="H174:J174"/>
    <mergeCell ref="H7:H8"/>
    <mergeCell ref="B9:C9"/>
    <mergeCell ref="F9:G9"/>
    <mergeCell ref="F10:G10"/>
    <mergeCell ref="E118:G118"/>
    <mergeCell ref="E121:G121"/>
    <mergeCell ref="B7:B8"/>
    <mergeCell ref="C7:C8"/>
    <mergeCell ref="D7:D8"/>
    <mergeCell ref="E7:E8"/>
    <mergeCell ref="F7:F8"/>
    <mergeCell ref="G7:G8"/>
    <mergeCell ref="E124:G1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7AF3-90CE-48F8-87CD-4DE06F42D821}">
  <dimension ref="B1:K316"/>
  <sheetViews>
    <sheetView topLeftCell="A58" workbookViewId="0">
      <selection activeCell="D185" sqref="D185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334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542650</v>
      </c>
      <c r="E9" s="17"/>
      <c r="F9" s="194" t="s">
        <v>10</v>
      </c>
      <c r="G9" s="195"/>
      <c r="H9" s="18">
        <f>D165</f>
        <v>892650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350000</v>
      </c>
      <c r="E11" s="29">
        <v>101</v>
      </c>
      <c r="F11" s="30" t="s">
        <v>13</v>
      </c>
      <c r="G11" s="31" t="s">
        <v>349</v>
      </c>
      <c r="H11" s="32">
        <v>2950</v>
      </c>
      <c r="I11" s="25"/>
    </row>
    <row r="12" spans="2:9" s="6" customFormat="1" ht="15.75" x14ac:dyDescent="0.25">
      <c r="B12" s="33"/>
      <c r="C12" s="34"/>
      <c r="D12" s="35"/>
      <c r="E12" s="36">
        <v>101</v>
      </c>
      <c r="F12" s="37" t="s">
        <v>14</v>
      </c>
      <c r="G12" s="38" t="s">
        <v>381</v>
      </c>
      <c r="H12" s="39">
        <v>3600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342</v>
      </c>
      <c r="H13" s="41">
        <v>1900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/>
      <c r="H14" s="42"/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363</v>
      </c>
      <c r="H15" s="42">
        <v>1600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/>
      <c r="H16" s="42"/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382</v>
      </c>
      <c r="H18" s="42">
        <v>2040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/>
      <c r="H19" s="42"/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373</v>
      </c>
      <c r="H20" s="39">
        <v>1600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 t="s">
        <v>372</v>
      </c>
      <c r="H22" s="39">
        <v>1950</v>
      </c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367</v>
      </c>
      <c r="H23" s="42">
        <f>1750+1450</f>
        <v>3200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339</v>
      </c>
      <c r="H25" s="51">
        <v>3300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/>
      <c r="H28" s="39"/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/>
      <c r="H30" s="42"/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/>
      <c r="H31" s="42"/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/>
      <c r="H32" s="39"/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366</v>
      </c>
      <c r="H33" s="39">
        <v>2100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362</v>
      </c>
      <c r="H36" s="42">
        <v>2400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 t="s">
        <v>340</v>
      </c>
      <c r="H38" s="57">
        <v>300</v>
      </c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399</v>
      </c>
      <c r="H39" s="59">
        <v>6800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/>
      <c r="H40" s="39"/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383</v>
      </c>
      <c r="H41" s="39">
        <v>500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/>
      <c r="H42" s="39"/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386</v>
      </c>
      <c r="H43" s="39">
        <v>8200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395</v>
      </c>
      <c r="H44" s="57">
        <f>7000+500</f>
        <v>7500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400</v>
      </c>
      <c r="H45" s="32">
        <v>13400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374</v>
      </c>
      <c r="H46" s="42">
        <v>3000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/>
      <c r="H47" s="42"/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380</v>
      </c>
      <c r="H49" s="42">
        <f>2000+500</f>
        <v>2500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 t="s">
        <v>365</v>
      </c>
      <c r="H50" s="42">
        <v>17400</v>
      </c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390</v>
      </c>
      <c r="H51" s="62">
        <v>3900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 t="s">
        <v>401</v>
      </c>
      <c r="H61" s="39">
        <v>5300</v>
      </c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/>
      <c r="H65" s="67"/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 t="s">
        <v>341</v>
      </c>
      <c r="H67" s="39">
        <v>23000</v>
      </c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 t="s">
        <v>359</v>
      </c>
      <c r="H68" s="39">
        <v>1500</v>
      </c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 t="s">
        <v>375</v>
      </c>
      <c r="H71" s="69">
        <v>15000</v>
      </c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 t="s">
        <v>389</v>
      </c>
      <c r="H72" s="39">
        <v>3000</v>
      </c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/>
      <c r="H75" s="39"/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337</v>
      </c>
      <c r="G78" s="84" t="s">
        <v>338</v>
      </c>
      <c r="H78" s="39">
        <v>16000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351</v>
      </c>
      <c r="G79" s="84" t="s">
        <v>352</v>
      </c>
      <c r="H79" s="39">
        <v>16000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354</v>
      </c>
      <c r="G80" s="68" t="s">
        <v>355</v>
      </c>
      <c r="H80" s="69">
        <v>12300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356</v>
      </c>
      <c r="G81" s="68" t="s">
        <v>357</v>
      </c>
      <c r="H81" s="69">
        <v>13500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256</v>
      </c>
      <c r="G82" s="68" t="s">
        <v>360</v>
      </c>
      <c r="H82" s="69">
        <v>11800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179</v>
      </c>
      <c r="G83" s="68" t="s">
        <v>364</v>
      </c>
      <c r="H83" s="69">
        <v>18000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368</v>
      </c>
      <c r="G84" s="68" t="s">
        <v>369</v>
      </c>
      <c r="H84" s="69">
        <v>9500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237</v>
      </c>
      <c r="G85" s="68" t="s">
        <v>370</v>
      </c>
      <c r="H85" s="69">
        <v>9700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368</v>
      </c>
      <c r="G86" s="68" t="s">
        <v>371</v>
      </c>
      <c r="H86" s="69">
        <v>22000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376</v>
      </c>
      <c r="G87" s="68" t="s">
        <v>377</v>
      </c>
      <c r="H87" s="69">
        <v>13500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378</v>
      </c>
      <c r="G88" s="68" t="s">
        <v>379</v>
      </c>
      <c r="H88" s="69">
        <v>17000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384</v>
      </c>
      <c r="G89" s="68" t="s">
        <v>385</v>
      </c>
      <c r="H89" s="69">
        <v>17500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387</v>
      </c>
      <c r="G90" s="68" t="s">
        <v>388</v>
      </c>
      <c r="H90" s="69">
        <v>13000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259</v>
      </c>
      <c r="G91" s="68" t="s">
        <v>391</v>
      </c>
      <c r="H91" s="69">
        <v>13500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392</v>
      </c>
      <c r="G92" s="68" t="s">
        <v>393</v>
      </c>
      <c r="H92" s="69">
        <v>13000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187</v>
      </c>
      <c r="G93" s="68" t="s">
        <v>394</v>
      </c>
      <c r="H93" s="69">
        <v>20500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396</v>
      </c>
      <c r="G94" s="68" t="s">
        <v>397</v>
      </c>
      <c r="H94" s="69">
        <v>25500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398</v>
      </c>
      <c r="G95" s="68" t="s">
        <v>279</v>
      </c>
      <c r="H95" s="69">
        <v>10000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402</v>
      </c>
      <c r="G96" s="68" t="s">
        <v>403</v>
      </c>
      <c r="H96" s="69">
        <v>14500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/>
      <c r="G97" s="68"/>
      <c r="H97" s="69"/>
      <c r="I97" s="46"/>
    </row>
    <row r="98" spans="2:9" s="6" customFormat="1" x14ac:dyDescent="0.2">
      <c r="B98" s="50"/>
      <c r="C98" s="34"/>
      <c r="D98" s="81"/>
      <c r="E98" s="82">
        <v>102</v>
      </c>
      <c r="F98" s="85"/>
      <c r="G98" s="68"/>
      <c r="H98" s="69"/>
      <c r="I98" s="46"/>
    </row>
    <row r="99" spans="2:9" s="6" customFormat="1" x14ac:dyDescent="0.2">
      <c r="B99" s="50"/>
      <c r="C99" s="34"/>
      <c r="D99" s="81"/>
      <c r="E99" s="82">
        <v>102</v>
      </c>
      <c r="F99" s="85"/>
      <c r="G99" s="68"/>
      <c r="H99" s="69"/>
      <c r="I99" s="46"/>
    </row>
    <row r="100" spans="2:9" s="6" customFormat="1" ht="15.75" thickBot="1" x14ac:dyDescent="0.25">
      <c r="B100" s="50"/>
      <c r="C100" s="34"/>
      <c r="D100" s="81"/>
      <c r="E100" s="86">
        <v>102</v>
      </c>
      <c r="F100" s="87"/>
      <c r="G100" s="88"/>
      <c r="H100" s="57"/>
      <c r="I100" s="46"/>
    </row>
    <row r="101" spans="2:9" s="6" customFormat="1" ht="15.75" x14ac:dyDescent="0.25">
      <c r="B101" s="50"/>
      <c r="C101" s="34"/>
      <c r="D101" s="81"/>
      <c r="E101" s="78">
        <v>103</v>
      </c>
      <c r="F101" s="79"/>
      <c r="G101" s="80" t="s">
        <v>80</v>
      </c>
      <c r="H101" s="59"/>
      <c r="I101" s="46"/>
    </row>
    <row r="102" spans="2:9" s="6" customFormat="1" x14ac:dyDescent="0.2">
      <c r="B102" s="50"/>
      <c r="C102" s="34"/>
      <c r="D102" s="81"/>
      <c r="E102" s="82">
        <v>103</v>
      </c>
      <c r="F102" s="85" t="s">
        <v>344</v>
      </c>
      <c r="G102" s="68" t="s">
        <v>330</v>
      </c>
      <c r="H102" s="69">
        <v>900</v>
      </c>
      <c r="I102" s="46"/>
    </row>
    <row r="103" spans="2:9" s="6" customFormat="1" x14ac:dyDescent="0.2">
      <c r="B103" s="50"/>
      <c r="C103" s="34"/>
      <c r="D103" s="81"/>
      <c r="E103" s="82">
        <v>103</v>
      </c>
      <c r="F103" s="85" t="s">
        <v>345</v>
      </c>
      <c r="G103" s="68" t="s">
        <v>346</v>
      </c>
      <c r="H103" s="69">
        <v>500</v>
      </c>
      <c r="I103" s="46"/>
    </row>
    <row r="104" spans="2:9" s="6" customFormat="1" x14ac:dyDescent="0.2">
      <c r="B104" s="50"/>
      <c r="C104" s="34"/>
      <c r="D104" s="81"/>
      <c r="E104" s="82">
        <v>103</v>
      </c>
      <c r="F104" s="85" t="s">
        <v>347</v>
      </c>
      <c r="G104" s="68" t="s">
        <v>330</v>
      </c>
      <c r="H104" s="69">
        <v>1800</v>
      </c>
      <c r="I104" s="46"/>
    </row>
    <row r="105" spans="2:9" s="6" customFormat="1" x14ac:dyDescent="0.2">
      <c r="B105" s="50"/>
      <c r="C105" s="34"/>
      <c r="D105" s="81"/>
      <c r="E105" s="82">
        <v>103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103</v>
      </c>
      <c r="F106" s="85"/>
      <c r="G106" s="68"/>
      <c r="H106" s="69"/>
      <c r="I106" s="46"/>
    </row>
    <row r="107" spans="2:9" s="6" customFormat="1" x14ac:dyDescent="0.2">
      <c r="B107" s="50"/>
      <c r="C107" s="34"/>
      <c r="D107" s="81"/>
      <c r="E107" s="82">
        <v>103</v>
      </c>
      <c r="F107" s="85"/>
      <c r="G107" s="68"/>
      <c r="H107" s="69"/>
      <c r="I107" s="46"/>
    </row>
    <row r="108" spans="2:9" s="6" customFormat="1" ht="15.75" thickBot="1" x14ac:dyDescent="0.25">
      <c r="B108" s="50"/>
      <c r="C108" s="34"/>
      <c r="D108" s="81"/>
      <c r="E108" s="82">
        <v>103</v>
      </c>
      <c r="F108" s="87"/>
      <c r="G108" s="88"/>
      <c r="H108" s="57"/>
      <c r="I108" s="46"/>
    </row>
    <row r="109" spans="2:9" s="6" customFormat="1" ht="15.75" x14ac:dyDescent="0.25">
      <c r="B109" s="50"/>
      <c r="C109" s="34"/>
      <c r="D109" s="81"/>
      <c r="E109" s="89">
        <v>104</v>
      </c>
      <c r="F109" s="79"/>
      <c r="G109" s="80" t="s">
        <v>81</v>
      </c>
      <c r="H109" s="59"/>
      <c r="I109" s="46"/>
    </row>
    <row r="110" spans="2:9" s="6" customFormat="1" x14ac:dyDescent="0.2">
      <c r="B110" s="50"/>
      <c r="C110" s="34"/>
      <c r="D110" s="81"/>
      <c r="E110" s="82">
        <v>104</v>
      </c>
      <c r="F110" s="83" t="s">
        <v>187</v>
      </c>
      <c r="G110" s="84" t="s">
        <v>188</v>
      </c>
      <c r="H110" s="39">
        <v>1000</v>
      </c>
      <c r="I110" s="46"/>
    </row>
    <row r="111" spans="2:9" s="6" customFormat="1" x14ac:dyDescent="0.2">
      <c r="B111" s="50"/>
      <c r="C111" s="34"/>
      <c r="D111" s="81"/>
      <c r="E111" s="82">
        <v>104</v>
      </c>
      <c r="F111" s="85"/>
      <c r="G111" s="84"/>
      <c r="H111" s="69"/>
      <c r="I111" s="46"/>
    </row>
    <row r="112" spans="2:9" s="6" customFormat="1" x14ac:dyDescent="0.2">
      <c r="B112" s="50"/>
      <c r="C112" s="34"/>
      <c r="D112" s="81"/>
      <c r="E112" s="82">
        <v>104</v>
      </c>
      <c r="F112" s="85"/>
      <c r="G112" s="68"/>
      <c r="H112" s="69"/>
      <c r="I112" s="46"/>
    </row>
    <row r="113" spans="2:9" s="6" customFormat="1" x14ac:dyDescent="0.2">
      <c r="B113" s="50"/>
      <c r="C113" s="34"/>
      <c r="D113" s="81"/>
      <c r="E113" s="82">
        <v>104</v>
      </c>
      <c r="F113" s="85"/>
      <c r="G113" s="68"/>
      <c r="H113" s="69"/>
      <c r="I113" s="46"/>
    </row>
    <row r="114" spans="2:9" s="6" customFormat="1" x14ac:dyDescent="0.2">
      <c r="B114" s="50"/>
      <c r="C114" s="34"/>
      <c r="D114" s="81"/>
      <c r="E114" s="82">
        <v>104</v>
      </c>
      <c r="F114" s="85"/>
      <c r="G114" s="68"/>
      <c r="H114" s="69"/>
      <c r="I114" s="46"/>
    </row>
    <row r="115" spans="2:9" s="6" customFormat="1" x14ac:dyDescent="0.2">
      <c r="B115" s="50"/>
      <c r="C115" s="34"/>
      <c r="D115" s="81"/>
      <c r="E115" s="82">
        <v>104</v>
      </c>
      <c r="F115" s="85"/>
      <c r="G115" s="68"/>
      <c r="H115" s="69"/>
      <c r="I115" s="46"/>
    </row>
    <row r="116" spans="2:9" s="6" customFormat="1" ht="15.75" thickBot="1" x14ac:dyDescent="0.25">
      <c r="B116" s="50"/>
      <c r="C116" s="34"/>
      <c r="D116" s="81"/>
      <c r="E116" s="82">
        <v>104</v>
      </c>
      <c r="F116" s="87"/>
      <c r="G116" s="88"/>
      <c r="H116" s="57"/>
      <c r="I116" s="46"/>
    </row>
    <row r="117" spans="2:9" s="6" customFormat="1" ht="15.75" x14ac:dyDescent="0.25">
      <c r="B117" s="50"/>
      <c r="C117" s="34"/>
      <c r="D117" s="81"/>
      <c r="E117" s="90"/>
      <c r="F117" s="91"/>
      <c r="G117" s="92" t="s">
        <v>82</v>
      </c>
      <c r="H117" s="93"/>
      <c r="I117" s="25"/>
    </row>
    <row r="118" spans="2:9" s="6" customFormat="1" ht="15.75" x14ac:dyDescent="0.25">
      <c r="B118" s="50"/>
      <c r="C118" s="34"/>
      <c r="D118" s="81"/>
      <c r="E118" s="197" t="s">
        <v>83</v>
      </c>
      <c r="F118" s="198"/>
      <c r="G118" s="199"/>
      <c r="H118" s="41"/>
      <c r="I118" s="25"/>
    </row>
    <row r="119" spans="2:9" s="6" customFormat="1" ht="15.75" x14ac:dyDescent="0.2">
      <c r="B119" s="50"/>
      <c r="C119" s="34"/>
      <c r="D119" s="81"/>
      <c r="E119" s="82"/>
      <c r="F119" s="94"/>
      <c r="G119" s="52"/>
      <c r="H119" s="67"/>
      <c r="I119" s="25"/>
    </row>
    <row r="120" spans="2:9" s="6" customFormat="1" ht="15.75" x14ac:dyDescent="0.2">
      <c r="B120" s="50"/>
      <c r="C120" s="34"/>
      <c r="D120" s="81"/>
      <c r="E120" s="82"/>
      <c r="F120" s="94"/>
      <c r="G120" s="52"/>
      <c r="H120" s="67"/>
      <c r="I120" s="25"/>
    </row>
    <row r="121" spans="2:9" s="6" customFormat="1" ht="15.75" x14ac:dyDescent="0.25">
      <c r="B121" s="50"/>
      <c r="C121" s="34"/>
      <c r="D121" s="81"/>
      <c r="E121" s="197" t="s">
        <v>84</v>
      </c>
      <c r="F121" s="198"/>
      <c r="G121" s="199"/>
      <c r="H121" s="41"/>
      <c r="I121" s="25"/>
    </row>
    <row r="122" spans="2:9" s="6" customFormat="1" ht="15.75" x14ac:dyDescent="0.2">
      <c r="B122" s="50"/>
      <c r="C122" s="34"/>
      <c r="D122" s="81"/>
      <c r="E122" s="82"/>
      <c r="F122" s="94"/>
      <c r="G122" s="52"/>
      <c r="H122" s="67"/>
      <c r="I122" s="25"/>
    </row>
    <row r="123" spans="2:9" s="6" customFormat="1" ht="15.75" x14ac:dyDescent="0.25">
      <c r="B123" s="50"/>
      <c r="C123" s="34"/>
      <c r="D123" s="81"/>
      <c r="E123" s="82"/>
      <c r="F123" s="37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85</v>
      </c>
      <c r="F124" s="198"/>
      <c r="G124" s="199"/>
      <c r="H124" s="41"/>
      <c r="I124" s="25"/>
    </row>
    <row r="125" spans="2:9" s="6" customFormat="1" x14ac:dyDescent="0.2">
      <c r="B125" s="50"/>
      <c r="C125" s="34"/>
      <c r="D125" s="81"/>
      <c r="E125" s="82"/>
      <c r="F125" s="83"/>
      <c r="G125" s="84"/>
      <c r="H125" s="41"/>
      <c r="I125" s="25"/>
    </row>
    <row r="126" spans="2:9" s="6" customFormat="1" x14ac:dyDescent="0.2">
      <c r="B126" s="50"/>
      <c r="C126" s="34"/>
      <c r="D126" s="81"/>
      <c r="E126" s="82"/>
      <c r="F126" s="83"/>
      <c r="G126" s="84"/>
      <c r="H126" s="41"/>
      <c r="I126" s="25"/>
    </row>
    <row r="127" spans="2:9" s="6" customFormat="1" ht="15.75" x14ac:dyDescent="0.25">
      <c r="B127" s="50"/>
      <c r="C127" s="34"/>
      <c r="D127" s="81"/>
      <c r="E127" s="197" t="s">
        <v>86</v>
      </c>
      <c r="F127" s="198"/>
      <c r="G127" s="199"/>
      <c r="H127" s="41"/>
      <c r="I127" s="25"/>
    </row>
    <row r="128" spans="2:9" s="6" customFormat="1" ht="15.75" x14ac:dyDescent="0.25">
      <c r="B128" s="50"/>
      <c r="C128" s="34"/>
      <c r="D128" s="81"/>
      <c r="E128" s="89"/>
      <c r="F128" s="95" t="s">
        <v>156</v>
      </c>
      <c r="G128" s="52" t="s">
        <v>258</v>
      </c>
      <c r="H128" s="39">
        <v>10500</v>
      </c>
      <c r="I128" s="25"/>
    </row>
    <row r="129" spans="2:9" s="6" customFormat="1" ht="15.75" x14ac:dyDescent="0.25">
      <c r="B129" s="50"/>
      <c r="C129" s="34"/>
      <c r="D129" s="81"/>
      <c r="E129" s="89"/>
      <c r="F129" s="95"/>
      <c r="G129" s="52"/>
      <c r="H129" s="39"/>
      <c r="I129" s="25"/>
    </row>
    <row r="130" spans="2:9" s="6" customFormat="1" ht="15.75" x14ac:dyDescent="0.25">
      <c r="B130" s="50"/>
      <c r="C130" s="34"/>
      <c r="D130" s="81"/>
      <c r="E130" s="89"/>
      <c r="F130" s="95"/>
      <c r="G130" s="52"/>
      <c r="H130" s="39"/>
      <c r="I130" s="25"/>
    </row>
    <row r="131" spans="2:9" s="6" customFormat="1" ht="15.75" x14ac:dyDescent="0.25">
      <c r="B131" s="50"/>
      <c r="C131" s="34"/>
      <c r="D131" s="81"/>
      <c r="E131" s="89"/>
      <c r="F131" s="95"/>
      <c r="G131" s="52"/>
      <c r="H131" s="39"/>
      <c r="I131" s="25"/>
    </row>
    <row r="132" spans="2:9" s="6" customFormat="1" x14ac:dyDescent="0.2">
      <c r="B132" s="50"/>
      <c r="C132" s="34"/>
      <c r="D132" s="81"/>
      <c r="E132" s="82"/>
      <c r="F132" s="96"/>
      <c r="G132" s="84"/>
      <c r="H132" s="41"/>
      <c r="I132" s="25"/>
    </row>
    <row r="133" spans="2:9" s="6" customFormat="1" ht="15.75" x14ac:dyDescent="0.25">
      <c r="B133" s="50"/>
      <c r="C133" s="34"/>
      <c r="D133" s="81"/>
      <c r="E133" s="197" t="s">
        <v>87</v>
      </c>
      <c r="F133" s="198"/>
      <c r="G133" s="199"/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37"/>
      <c r="G134" s="52"/>
      <c r="H134" s="39"/>
      <c r="I134" s="25"/>
    </row>
    <row r="135" spans="2:9" s="6" customFormat="1" ht="15.75" x14ac:dyDescent="0.25">
      <c r="B135" s="50"/>
      <c r="C135" s="34"/>
      <c r="D135" s="81"/>
      <c r="E135" s="82"/>
      <c r="F135" s="37"/>
      <c r="G135" s="52"/>
      <c r="H135" s="39"/>
      <c r="I135" s="25"/>
    </row>
    <row r="136" spans="2:9" s="6" customFormat="1" x14ac:dyDescent="0.2">
      <c r="B136" s="50"/>
      <c r="C136" s="34"/>
      <c r="D136" s="81"/>
      <c r="E136" s="82"/>
      <c r="F136" s="97"/>
      <c r="G136" s="52"/>
      <c r="H136" s="41"/>
      <c r="I136" s="25"/>
    </row>
    <row r="137" spans="2:9" s="6" customFormat="1" ht="15.75" thickBot="1" x14ac:dyDescent="0.25">
      <c r="B137" s="50" t="s">
        <v>88</v>
      </c>
      <c r="C137" s="34"/>
      <c r="D137" s="81"/>
      <c r="E137" s="86"/>
      <c r="F137" s="98"/>
      <c r="G137" s="88"/>
      <c r="H137" s="99"/>
      <c r="I137" s="25"/>
    </row>
    <row r="138" spans="2:9" s="6" customFormat="1" ht="15.75" x14ac:dyDescent="0.25">
      <c r="B138" s="50"/>
      <c r="C138" s="34"/>
      <c r="D138" s="81"/>
      <c r="E138" s="100"/>
      <c r="F138" s="101"/>
      <c r="G138" s="102" t="s">
        <v>89</v>
      </c>
      <c r="H138" s="103">
        <v>16000</v>
      </c>
      <c r="I138" s="25"/>
    </row>
    <row r="139" spans="2:9" s="6" customFormat="1" ht="15.75" x14ac:dyDescent="0.25">
      <c r="B139" s="50"/>
      <c r="C139" s="34"/>
      <c r="D139" s="81"/>
      <c r="E139" s="82"/>
      <c r="F139" s="104"/>
      <c r="G139" s="105" t="s">
        <v>90</v>
      </c>
      <c r="H139" s="41">
        <v>34000</v>
      </c>
      <c r="I139" s="25"/>
    </row>
    <row r="140" spans="2:9" s="6" customFormat="1" ht="15.75" x14ac:dyDescent="0.25">
      <c r="B140" s="50"/>
      <c r="C140" s="34"/>
      <c r="D140" s="81"/>
      <c r="E140" s="82"/>
      <c r="F140" s="104"/>
      <c r="G140" s="105" t="s">
        <v>91</v>
      </c>
      <c r="H140" s="41"/>
      <c r="I140" s="25"/>
    </row>
    <row r="141" spans="2:9" s="6" customFormat="1" ht="15.75" x14ac:dyDescent="0.25">
      <c r="B141" s="50"/>
      <c r="C141" s="34"/>
      <c r="D141" s="81"/>
      <c r="E141" s="82"/>
      <c r="F141" s="104"/>
      <c r="G141" s="105" t="s">
        <v>92</v>
      </c>
      <c r="H141" s="41"/>
      <c r="I141" s="25"/>
    </row>
    <row r="142" spans="2:9" s="6" customFormat="1" ht="15.75" x14ac:dyDescent="0.25">
      <c r="B142" s="50"/>
      <c r="C142" s="34"/>
      <c r="D142" s="81"/>
      <c r="E142" s="82"/>
      <c r="F142" s="104"/>
      <c r="G142" s="105" t="s">
        <v>93</v>
      </c>
      <c r="H142" s="41"/>
      <c r="I142" s="25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137</v>
      </c>
      <c r="H143" s="107">
        <v>150</v>
      </c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94</v>
      </c>
      <c r="H144" s="109">
        <f>500+300</f>
        <v>800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95</v>
      </c>
      <c r="H145" s="109">
        <v>2100</v>
      </c>
      <c r="I145" s="108"/>
    </row>
    <row r="146" spans="2:9" s="6" customFormat="1" ht="15.75" x14ac:dyDescent="0.25">
      <c r="B146" s="50"/>
      <c r="C146" s="34"/>
      <c r="D146" s="81"/>
      <c r="E146" s="82"/>
      <c r="F146" s="104"/>
      <c r="G146" s="106" t="s">
        <v>353</v>
      </c>
      <c r="H146" s="107">
        <v>7800</v>
      </c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97</v>
      </c>
      <c r="H147" s="107"/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336</v>
      </c>
      <c r="H148" s="107">
        <v>3520</v>
      </c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246</v>
      </c>
      <c r="H149" s="107"/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335</v>
      </c>
      <c r="H150" s="107"/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348</v>
      </c>
      <c r="H151" s="107">
        <v>400</v>
      </c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100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101</v>
      </c>
      <c r="H153" s="107">
        <v>300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358</v>
      </c>
      <c r="H154" s="107">
        <v>317</v>
      </c>
      <c r="I154" s="108"/>
    </row>
    <row r="155" spans="2:9" s="6" customFormat="1" ht="15.75" x14ac:dyDescent="0.25">
      <c r="B155" s="50" t="s">
        <v>103</v>
      </c>
      <c r="C155" s="34" t="s">
        <v>103</v>
      </c>
      <c r="D155" s="81"/>
      <c r="E155" s="82"/>
      <c r="F155" s="104"/>
      <c r="G155" s="106" t="s">
        <v>361</v>
      </c>
      <c r="H155" s="107">
        <v>1000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105</v>
      </c>
      <c r="H156" s="107"/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106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350</v>
      </c>
      <c r="H158" s="107">
        <v>260</v>
      </c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283</v>
      </c>
      <c r="H159" s="107"/>
      <c r="I159" s="108"/>
    </row>
    <row r="160" spans="2:9" s="6" customFormat="1" ht="15.75" x14ac:dyDescent="0.25">
      <c r="B160" s="50"/>
      <c r="C160" s="34"/>
      <c r="D160" s="81"/>
      <c r="E160" s="82"/>
      <c r="F160" s="104"/>
      <c r="G160" s="106" t="s">
        <v>109</v>
      </c>
      <c r="H160" s="107"/>
      <c r="I160" s="108"/>
    </row>
    <row r="161" spans="2:11" s="6" customFormat="1" ht="15.75" x14ac:dyDescent="0.25">
      <c r="B161" s="50"/>
      <c r="C161" s="34"/>
      <c r="D161" s="81"/>
      <c r="E161" s="110"/>
      <c r="F161" s="104"/>
      <c r="G161" s="111" t="s">
        <v>110</v>
      </c>
      <c r="H161" s="107"/>
      <c r="I161" s="108"/>
    </row>
    <row r="162" spans="2:11" s="118" customFormat="1" ht="16.5" thickBot="1" x14ac:dyDescent="0.3">
      <c r="B162" s="50"/>
      <c r="C162" s="112"/>
      <c r="D162" s="113"/>
      <c r="E162" s="114"/>
      <c r="F162" s="115"/>
      <c r="G162" s="116" t="s">
        <v>111</v>
      </c>
      <c r="H162" s="117"/>
      <c r="I162" s="108"/>
    </row>
    <row r="163" spans="2:11" s="11" customFormat="1" ht="15.75" x14ac:dyDescent="0.2">
      <c r="B163" s="119"/>
      <c r="C163" s="120"/>
      <c r="D163" s="121"/>
      <c r="E163" s="122"/>
      <c r="F163" s="101"/>
      <c r="G163" s="123" t="s">
        <v>112</v>
      </c>
      <c r="H163" s="124">
        <f>SUM(H10:H162)</f>
        <v>506087</v>
      </c>
      <c r="I163" s="125"/>
    </row>
    <row r="164" spans="2:11" ht="15.75" x14ac:dyDescent="0.25">
      <c r="B164" s="119"/>
      <c r="C164" s="126" t="s">
        <v>113</v>
      </c>
      <c r="D164" s="127">
        <f>SUM(D10:D163)</f>
        <v>350000</v>
      </c>
      <c r="E164" s="128"/>
      <c r="F164" s="129"/>
      <c r="G164" s="130" t="s">
        <v>114</v>
      </c>
      <c r="H164" s="131">
        <f>H9-H163</f>
        <v>386563</v>
      </c>
      <c r="I164" s="132"/>
    </row>
    <row r="165" spans="2:11" ht="16.5" thickBot="1" x14ac:dyDescent="0.3">
      <c r="B165" s="133"/>
      <c r="C165" s="134" t="s">
        <v>115</v>
      </c>
      <c r="D165" s="135">
        <f>D9+D164</f>
        <v>892650</v>
      </c>
      <c r="E165" s="136"/>
      <c r="F165" s="137"/>
      <c r="G165" s="138" t="s">
        <v>116</v>
      </c>
      <c r="H165" s="139">
        <f>H163+H164</f>
        <v>892650</v>
      </c>
      <c r="I165" s="132"/>
    </row>
    <row r="166" spans="2:11" ht="15.75" x14ac:dyDescent="0.25">
      <c r="B166" s="140"/>
      <c r="C166" s="140"/>
      <c r="D166" s="141"/>
      <c r="E166" s="142"/>
      <c r="F166" s="143"/>
      <c r="G166" s="144"/>
      <c r="H166" s="145"/>
      <c r="I166" s="145"/>
    </row>
    <row r="167" spans="2:11" ht="15.75" x14ac:dyDescent="0.25">
      <c r="B167" s="140"/>
      <c r="C167" s="140"/>
      <c r="D167" s="141"/>
      <c r="E167" s="142"/>
      <c r="F167" s="143"/>
      <c r="G167" s="144"/>
      <c r="H167" s="145"/>
      <c r="I167" s="145"/>
    </row>
    <row r="168" spans="2:11" ht="15.75" x14ac:dyDescent="0.25">
      <c r="B168" s="140"/>
      <c r="C168" s="140"/>
      <c r="D168" s="141"/>
      <c r="E168" s="142"/>
      <c r="F168" s="143"/>
      <c r="G168" s="144"/>
      <c r="H168" s="145"/>
      <c r="I168" s="145"/>
    </row>
    <row r="169" spans="2:11" ht="15.75" x14ac:dyDescent="0.25">
      <c r="B169" s="140"/>
      <c r="C169" s="140"/>
      <c r="D169" s="141"/>
      <c r="E169" s="142"/>
      <c r="F169" s="143"/>
      <c r="G169" s="144"/>
      <c r="H169" s="145"/>
      <c r="I169" s="145"/>
    </row>
    <row r="170" spans="2:11" ht="15.75" x14ac:dyDescent="0.25">
      <c r="B170" s="187" t="s">
        <v>117</v>
      </c>
      <c r="C170" s="187"/>
      <c r="D170" s="188" t="s">
        <v>118</v>
      </c>
      <c r="E170" s="188"/>
      <c r="F170" s="188"/>
      <c r="G170" s="146" t="s">
        <v>119</v>
      </c>
      <c r="H170" s="146" t="s">
        <v>120</v>
      </c>
      <c r="I170" s="146"/>
    </row>
    <row r="171" spans="2:11" ht="15.75" x14ac:dyDescent="0.25">
      <c r="B171" s="140"/>
      <c r="C171" s="140"/>
      <c r="D171" s="141"/>
      <c r="E171" s="142"/>
      <c r="F171" s="143"/>
      <c r="G171" s="147"/>
    </row>
    <row r="172" spans="2:11" x14ac:dyDescent="0.2">
      <c r="E172" s="5" t="s">
        <v>121</v>
      </c>
    </row>
    <row r="173" spans="2:11" x14ac:dyDescent="0.2">
      <c r="H173" s="151"/>
      <c r="I173" s="151"/>
    </row>
    <row r="174" spans="2:11" x14ac:dyDescent="0.2">
      <c r="H174" s="189"/>
      <c r="I174" s="189"/>
      <c r="J174" s="189"/>
    </row>
    <row r="175" spans="2:11" x14ac:dyDescent="0.2">
      <c r="B175" s="152" t="s">
        <v>122</v>
      </c>
      <c r="C175" s="153" t="s">
        <v>123</v>
      </c>
      <c r="D175" s="152" t="s">
        <v>124</v>
      </c>
      <c r="H175" s="151"/>
      <c r="I175" s="151"/>
    </row>
    <row r="176" spans="2:11" ht="23.25" x14ac:dyDescent="0.2">
      <c r="B176" s="154">
        <v>1</v>
      </c>
      <c r="C176" s="155" t="s">
        <v>125</v>
      </c>
      <c r="D176" s="156"/>
      <c r="H176" s="157"/>
      <c r="I176" s="157"/>
      <c r="J176" s="158"/>
      <c r="K176" s="159"/>
    </row>
    <row r="177" spans="2:11" ht="23.25" x14ac:dyDescent="0.2">
      <c r="B177" s="154">
        <v>2</v>
      </c>
      <c r="C177" s="155" t="s">
        <v>126</v>
      </c>
      <c r="D177" s="160"/>
      <c r="H177" s="157"/>
      <c r="I177" s="157"/>
      <c r="J177" s="158"/>
      <c r="K177" s="159"/>
    </row>
    <row r="178" spans="2:11" ht="23.25" x14ac:dyDescent="0.2">
      <c r="B178" s="154">
        <v>3</v>
      </c>
      <c r="C178" s="155" t="s">
        <v>127</v>
      </c>
      <c r="D178" s="160">
        <f>10000-5000</f>
        <v>5000</v>
      </c>
      <c r="H178" s="157"/>
      <c r="I178" s="157"/>
      <c r="J178" s="158"/>
      <c r="K178" s="159"/>
    </row>
    <row r="179" spans="2:11" ht="23.25" x14ac:dyDescent="0.3">
      <c r="B179" s="154">
        <v>4</v>
      </c>
      <c r="C179" s="155"/>
      <c r="D179" s="160"/>
      <c r="H179" s="161"/>
      <c r="I179" s="157"/>
      <c r="J179" s="158"/>
      <c r="K179" s="159"/>
    </row>
    <row r="180" spans="2:11" ht="23.25" x14ac:dyDescent="0.2">
      <c r="B180" s="154">
        <v>5</v>
      </c>
      <c r="C180" s="155" t="s">
        <v>128</v>
      </c>
      <c r="D180" s="162">
        <f>10000+20000+15000-15000</f>
        <v>30000</v>
      </c>
      <c r="H180" s="157"/>
      <c r="I180" s="157"/>
      <c r="J180" s="158"/>
      <c r="K180" s="159"/>
    </row>
    <row r="181" spans="2:11" ht="23.25" x14ac:dyDescent="0.2">
      <c r="B181" s="154">
        <v>6</v>
      </c>
      <c r="C181" s="155" t="s">
        <v>129</v>
      </c>
      <c r="D181" s="162">
        <f>2000+5000+2000-2000+1000+3000-3000+10000-6500</f>
        <v>11500</v>
      </c>
      <c r="H181" s="157"/>
      <c r="I181" s="157"/>
      <c r="J181" s="158"/>
      <c r="K181" s="159"/>
    </row>
    <row r="182" spans="2:11" ht="23.25" x14ac:dyDescent="0.2">
      <c r="B182" s="154">
        <v>7</v>
      </c>
      <c r="C182" s="155" t="s">
        <v>130</v>
      </c>
      <c r="D182" s="160">
        <f>-6700+100+10000-3450-1720-700-1950+4000</f>
        <v>-420</v>
      </c>
      <c r="H182" s="157"/>
      <c r="I182" s="157"/>
      <c r="J182" s="158"/>
      <c r="K182" s="159"/>
    </row>
    <row r="183" spans="2:11" ht="23.25" x14ac:dyDescent="0.2">
      <c r="B183" s="154">
        <v>8</v>
      </c>
      <c r="C183" s="163" t="s">
        <v>343</v>
      </c>
      <c r="D183" s="164">
        <f>3300+4300</f>
        <v>7600</v>
      </c>
      <c r="H183" s="157"/>
      <c r="I183" s="157"/>
      <c r="J183" s="158"/>
      <c r="K183" s="159"/>
    </row>
    <row r="184" spans="2:11" ht="23.25" x14ac:dyDescent="0.2">
      <c r="B184" s="154">
        <v>9</v>
      </c>
      <c r="C184" s="163" t="s">
        <v>132</v>
      </c>
      <c r="D184" s="165"/>
      <c r="H184" s="166"/>
      <c r="I184" s="158"/>
      <c r="J184" s="158"/>
      <c r="K184" s="159"/>
    </row>
    <row r="185" spans="2:11" ht="23.25" x14ac:dyDescent="0.2">
      <c r="B185" s="154">
        <v>10</v>
      </c>
      <c r="C185" s="155" t="s">
        <v>133</v>
      </c>
      <c r="D185" s="160">
        <f>2610+10000-10000-21800+5000+8000-11800+6000+13080+8720+14497+13080+8720+13080-30000+8000-11500-40000+10000</f>
        <v>-4313</v>
      </c>
      <c r="H185" s="167"/>
      <c r="I185" s="158"/>
      <c r="J185" s="158"/>
      <c r="K185" s="159"/>
    </row>
    <row r="186" spans="2:11" ht="23.25" x14ac:dyDescent="0.3">
      <c r="B186" s="154">
        <v>11</v>
      </c>
      <c r="C186" s="155" t="s">
        <v>264</v>
      </c>
      <c r="D186" s="160" t="s">
        <v>103</v>
      </c>
      <c r="E186" s="168"/>
      <c r="G186" s="150" t="s">
        <v>121</v>
      </c>
      <c r="H186" s="169"/>
      <c r="I186" s="158"/>
      <c r="J186" s="158"/>
      <c r="K186" s="159"/>
    </row>
    <row r="187" spans="2:11" ht="23.25" x14ac:dyDescent="0.2">
      <c r="B187" s="154"/>
      <c r="C187" s="170" t="s">
        <v>135</v>
      </c>
      <c r="D187" s="171">
        <f>SUM(D176:D186)</f>
        <v>49367</v>
      </c>
      <c r="F187" s="172"/>
      <c r="H187" s="167"/>
      <c r="I187" s="158"/>
      <c r="J187" s="158"/>
      <c r="K187" s="159"/>
    </row>
    <row r="188" spans="2:11" ht="23.25" x14ac:dyDescent="0.2">
      <c r="D188" s="173">
        <f>-12000-4953+6000-80+9800</f>
        <v>-1233</v>
      </c>
      <c r="E188" s="174"/>
      <c r="H188" s="167"/>
      <c r="I188" s="175"/>
      <c r="J188" s="158"/>
      <c r="K188" s="159"/>
    </row>
    <row r="189" spans="2:11" ht="23.25" x14ac:dyDescent="0.25">
      <c r="D189" s="176">
        <v>3470</v>
      </c>
      <c r="E189" s="5" t="s">
        <v>243</v>
      </c>
      <c r="F189" s="177"/>
      <c r="H189" s="178"/>
      <c r="I189" s="175"/>
      <c r="J189" s="175"/>
      <c r="K189" s="159"/>
    </row>
    <row r="190" spans="2:11" ht="23.25" x14ac:dyDescent="0.2">
      <c r="D190" s="176">
        <v>3800</v>
      </c>
      <c r="E190" s="5" t="s">
        <v>244</v>
      </c>
      <c r="H190" s="179"/>
      <c r="I190" s="180"/>
      <c r="J190" s="158"/>
      <c r="K190" s="159"/>
    </row>
    <row r="191" spans="2:11" ht="23.25" x14ac:dyDescent="0.25">
      <c r="B191" s="5"/>
      <c r="D191" s="181">
        <v>15000</v>
      </c>
      <c r="E191" s="178" t="s">
        <v>253</v>
      </c>
      <c r="G191" s="178"/>
      <c r="H191" s="167"/>
      <c r="I191" s="5"/>
      <c r="J191" s="158"/>
      <c r="K191" s="159"/>
    </row>
    <row r="192" spans="2:11" ht="15.75" x14ac:dyDescent="0.25">
      <c r="B192" s="5"/>
      <c r="D192" s="181"/>
      <c r="E192" s="178"/>
      <c r="G192" s="178"/>
      <c r="H192" s="167"/>
      <c r="I192" s="5"/>
      <c r="J192" s="175"/>
    </row>
    <row r="193" spans="2:9" ht="15.75" x14ac:dyDescent="0.25">
      <c r="D193" s="181"/>
      <c r="E193" s="178"/>
      <c r="H193" s="182"/>
    </row>
    <row r="194" spans="2:9" x14ac:dyDescent="0.2">
      <c r="B194" s="5"/>
      <c r="D194" s="176" t="s">
        <v>103</v>
      </c>
      <c r="F194" s="5"/>
      <c r="G194" s="5"/>
      <c r="H194" s="183"/>
      <c r="I194" s="5"/>
    </row>
    <row r="195" spans="2:9" x14ac:dyDescent="0.2">
      <c r="D195" s="184">
        <f>SUM(D188:D194)+D187</f>
        <v>70404</v>
      </c>
      <c r="H195" s="182"/>
    </row>
    <row r="196" spans="2:9" x14ac:dyDescent="0.2">
      <c r="B196" s="5"/>
      <c r="D196" s="185">
        <f>D195-H164</f>
        <v>-316159</v>
      </c>
      <c r="F196" s="5"/>
      <c r="G196" s="5"/>
      <c r="H196" s="178"/>
      <c r="I196" s="5"/>
    </row>
    <row r="197" spans="2:9" x14ac:dyDescent="0.2">
      <c r="H197" s="182"/>
    </row>
    <row r="198" spans="2:9" x14ac:dyDescent="0.2">
      <c r="H198" s="182"/>
    </row>
    <row r="199" spans="2:9" x14ac:dyDescent="0.2">
      <c r="H199" s="182"/>
    </row>
    <row r="200" spans="2:9" x14ac:dyDescent="0.2">
      <c r="H200" s="182"/>
    </row>
    <row r="201" spans="2:9" x14ac:dyDescent="0.2">
      <c r="B201" s="5"/>
      <c r="D201" s="5"/>
      <c r="F201" s="5"/>
      <c r="G201" s="5"/>
      <c r="H201" s="182"/>
      <c r="I201" s="5"/>
    </row>
    <row r="202" spans="2:9" ht="15.75" x14ac:dyDescent="0.25">
      <c r="B202" s="5"/>
      <c r="D202" s="5"/>
      <c r="F202" s="5"/>
      <c r="G202" s="5"/>
      <c r="H202" s="145"/>
      <c r="I202" s="5"/>
    </row>
    <row r="203" spans="2:9" x14ac:dyDescent="0.2">
      <c r="B203" s="5"/>
      <c r="D203" s="5"/>
      <c r="F203" s="5"/>
      <c r="G203" s="5"/>
      <c r="H203" s="182"/>
      <c r="I203" s="5"/>
    </row>
    <row r="204" spans="2:9" x14ac:dyDescent="0.2">
      <c r="B204" s="5"/>
      <c r="D204" s="5"/>
      <c r="F204" s="5"/>
      <c r="G204" s="5"/>
      <c r="H204" s="182"/>
      <c r="I204" s="5"/>
    </row>
    <row r="205" spans="2:9" x14ac:dyDescent="0.2">
      <c r="B205" s="5"/>
      <c r="D205" s="5"/>
      <c r="F205" s="5"/>
      <c r="G205" s="5"/>
      <c r="H205" s="182"/>
      <c r="I205" s="5"/>
    </row>
    <row r="207" spans="2:9" x14ac:dyDescent="0.2">
      <c r="B207" s="5"/>
      <c r="D207" s="5"/>
      <c r="F207" s="5"/>
      <c r="G207" s="5"/>
      <c r="H207" s="182"/>
      <c r="I207" s="5"/>
    </row>
    <row r="208" spans="2:9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</sheetData>
  <mergeCells count="24">
    <mergeCell ref="B170:C170"/>
    <mergeCell ref="D170:F170"/>
    <mergeCell ref="H174:J174"/>
    <mergeCell ref="H7:H8"/>
    <mergeCell ref="B9:C9"/>
    <mergeCell ref="F9:G9"/>
    <mergeCell ref="F10:G10"/>
    <mergeCell ref="E118:G118"/>
    <mergeCell ref="E121:G121"/>
    <mergeCell ref="B7:B8"/>
    <mergeCell ref="C7:C8"/>
    <mergeCell ref="D7:D8"/>
    <mergeCell ref="E7:E8"/>
    <mergeCell ref="F7:F8"/>
    <mergeCell ref="G7:G8"/>
    <mergeCell ref="E124:G124"/>
    <mergeCell ref="E127:G127"/>
    <mergeCell ref="E133:G133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3EBA-1C4A-4F77-8B6E-40C973DBF655}">
  <dimension ref="B1:K316"/>
  <sheetViews>
    <sheetView topLeftCell="A160" workbookViewId="0">
      <selection activeCell="A133" sqref="A1:XFD1048576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404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386563</v>
      </c>
      <c r="E9" s="17"/>
      <c r="F9" s="194" t="s">
        <v>10</v>
      </c>
      <c r="G9" s="195"/>
      <c r="H9" s="18">
        <f>D165</f>
        <v>936563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550000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/>
      <c r="C12" s="34"/>
      <c r="D12" s="35"/>
      <c r="E12" s="36">
        <v>101</v>
      </c>
      <c r="F12" s="37" t="s">
        <v>14</v>
      </c>
      <c r="G12" s="38" t="s">
        <v>434</v>
      </c>
      <c r="H12" s="39">
        <v>2000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/>
      <c r="H13" s="41"/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/>
      <c r="H14" s="42"/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433</v>
      </c>
      <c r="H15" s="42">
        <v>1800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430</v>
      </c>
      <c r="H16" s="42">
        <v>3000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448</v>
      </c>
      <c r="H18" s="42">
        <v>1350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453</v>
      </c>
      <c r="H19" s="42">
        <v>2800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435</v>
      </c>
      <c r="H20" s="39">
        <v>2350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 t="s">
        <v>450</v>
      </c>
      <c r="H21" s="39">
        <v>1800</v>
      </c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 t="s">
        <v>414</v>
      </c>
      <c r="H22" s="39">
        <v>2900</v>
      </c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436</v>
      </c>
      <c r="H23" s="42">
        <v>1100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 t="s">
        <v>449</v>
      </c>
      <c r="H24" s="42">
        <v>1100</v>
      </c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446</v>
      </c>
      <c r="H25" s="51">
        <v>2250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/>
      <c r="H28" s="39"/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428</v>
      </c>
      <c r="H30" s="42">
        <f>2500+2450</f>
        <v>4950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454</v>
      </c>
      <c r="H31" s="42">
        <f>1800+2500</f>
        <v>4300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431</v>
      </c>
      <c r="H32" s="39">
        <f>1800+1800</f>
        <v>3600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/>
      <c r="H33" s="39"/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/>
      <c r="H36" s="42"/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 t="s">
        <v>474</v>
      </c>
      <c r="H37" s="42">
        <f>1300+1500</f>
        <v>2800</v>
      </c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 t="s">
        <v>407</v>
      </c>
      <c r="H38" s="57">
        <v>8017</v>
      </c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411</v>
      </c>
      <c r="H39" s="59">
        <v>11500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470</v>
      </c>
      <c r="H40" s="39">
        <v>3500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410</v>
      </c>
      <c r="H41" s="39">
        <v>5600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 t="s">
        <v>460</v>
      </c>
      <c r="H42" s="39">
        <f>4500+5700</f>
        <v>10200</v>
      </c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473</v>
      </c>
      <c r="H43" s="39">
        <v>2300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464</v>
      </c>
      <c r="H44" s="57">
        <v>4500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/>
      <c r="H45" s="32"/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468</v>
      </c>
      <c r="H46" s="42">
        <v>9500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 t="s">
        <v>416</v>
      </c>
      <c r="H47" s="42">
        <v>27500</v>
      </c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 t="s">
        <v>440</v>
      </c>
      <c r="H48" s="42">
        <f>3600+3300</f>
        <v>6900</v>
      </c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429</v>
      </c>
      <c r="H49" s="42">
        <v>1000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/>
      <c r="H50" s="42"/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459</v>
      </c>
      <c r="H51" s="62">
        <v>10000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 t="s">
        <v>465</v>
      </c>
      <c r="H61" s="39">
        <v>7000</v>
      </c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 t="s">
        <v>439</v>
      </c>
      <c r="H63" s="39">
        <v>11650</v>
      </c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 t="s">
        <v>451</v>
      </c>
      <c r="H65" s="67">
        <v>17850</v>
      </c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 t="s">
        <v>438</v>
      </c>
      <c r="H66" s="39">
        <v>10800</v>
      </c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 t="s">
        <v>432</v>
      </c>
      <c r="H68" s="39">
        <v>14500</v>
      </c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/>
      <c r="H71" s="69"/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 t="s">
        <v>422</v>
      </c>
      <c r="H73" s="39">
        <v>1000</v>
      </c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/>
      <c r="H75" s="39"/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 t="s">
        <v>441</v>
      </c>
      <c r="H76" s="69">
        <v>2200</v>
      </c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408</v>
      </c>
      <c r="G78" s="84" t="s">
        <v>279</v>
      </c>
      <c r="H78" s="39">
        <v>10200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409</v>
      </c>
      <c r="G79" s="84" t="s">
        <v>279</v>
      </c>
      <c r="H79" s="39">
        <v>10200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203</v>
      </c>
      <c r="G80" s="68" t="s">
        <v>279</v>
      </c>
      <c r="H80" s="69">
        <v>9800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417</v>
      </c>
      <c r="G81" s="68" t="s">
        <v>418</v>
      </c>
      <c r="H81" s="69">
        <v>14000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420</v>
      </c>
      <c r="G82" s="68" t="s">
        <v>421</v>
      </c>
      <c r="H82" s="69">
        <v>18800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423</v>
      </c>
      <c r="G83" s="68" t="s">
        <v>377</v>
      </c>
      <c r="H83" s="69">
        <v>12500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424</v>
      </c>
      <c r="G84" s="68" t="s">
        <v>425</v>
      </c>
      <c r="H84" s="69">
        <v>13000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426</v>
      </c>
      <c r="G85" s="68" t="s">
        <v>427</v>
      </c>
      <c r="H85" s="69">
        <v>13800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437</v>
      </c>
      <c r="G86" s="68" t="s">
        <v>297</v>
      </c>
      <c r="H86" s="69">
        <v>11000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158</v>
      </c>
      <c r="G87" s="68" t="s">
        <v>190</v>
      </c>
      <c r="H87" s="69">
        <v>12500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228</v>
      </c>
      <c r="G88" s="68" t="s">
        <v>443</v>
      </c>
      <c r="H88" s="69">
        <v>23000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198</v>
      </c>
      <c r="G89" s="68" t="s">
        <v>444</v>
      </c>
      <c r="H89" s="69">
        <v>15800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160</v>
      </c>
      <c r="G90" s="68" t="s">
        <v>452</v>
      </c>
      <c r="H90" s="69">
        <v>11500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455</v>
      </c>
      <c r="G91" s="68" t="s">
        <v>456</v>
      </c>
      <c r="H91" s="69">
        <v>22500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457</v>
      </c>
      <c r="G92" s="68" t="s">
        <v>458</v>
      </c>
      <c r="H92" s="69">
        <v>13000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461</v>
      </c>
      <c r="G93" s="68" t="s">
        <v>462</v>
      </c>
      <c r="H93" s="69">
        <v>22000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463</v>
      </c>
      <c r="G94" s="68" t="s">
        <v>279</v>
      </c>
      <c r="H94" s="69">
        <v>10200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466</v>
      </c>
      <c r="G95" s="68" t="s">
        <v>467</v>
      </c>
      <c r="H95" s="69">
        <v>7500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469</v>
      </c>
      <c r="G96" s="68" t="s">
        <v>279</v>
      </c>
      <c r="H96" s="69">
        <v>10200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189</v>
      </c>
      <c r="G97" s="68" t="s">
        <v>471</v>
      </c>
      <c r="H97" s="69">
        <v>10700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319</v>
      </c>
      <c r="G98" s="68" t="s">
        <v>475</v>
      </c>
      <c r="H98" s="69">
        <v>11300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 t="s">
        <v>133</v>
      </c>
      <c r="G99" s="68" t="s">
        <v>476</v>
      </c>
      <c r="H99" s="69">
        <v>27000</v>
      </c>
      <c r="I99" s="46"/>
    </row>
    <row r="100" spans="2:9" s="6" customFormat="1" ht="15.75" thickBot="1" x14ac:dyDescent="0.25">
      <c r="B100" s="50"/>
      <c r="C100" s="34"/>
      <c r="D100" s="81"/>
      <c r="E100" s="86">
        <v>102</v>
      </c>
      <c r="F100" s="87"/>
      <c r="G100" s="88"/>
      <c r="H100" s="57"/>
      <c r="I100" s="46"/>
    </row>
    <row r="101" spans="2:9" s="6" customFormat="1" ht="15.75" x14ac:dyDescent="0.25">
      <c r="B101" s="50"/>
      <c r="C101" s="34"/>
      <c r="D101" s="81"/>
      <c r="E101" s="78">
        <v>103</v>
      </c>
      <c r="F101" s="79"/>
      <c r="G101" s="80" t="s">
        <v>80</v>
      </c>
      <c r="H101" s="59"/>
      <c r="I101" s="46"/>
    </row>
    <row r="102" spans="2:9" s="6" customFormat="1" x14ac:dyDescent="0.2">
      <c r="B102" s="50"/>
      <c r="C102" s="34"/>
      <c r="D102" s="81"/>
      <c r="E102" s="82">
        <v>103</v>
      </c>
      <c r="F102" s="85" t="s">
        <v>344</v>
      </c>
      <c r="G102" s="68" t="s">
        <v>330</v>
      </c>
      <c r="H102" s="69">
        <v>600</v>
      </c>
      <c r="I102" s="46"/>
    </row>
    <row r="103" spans="2:9" s="6" customFormat="1" x14ac:dyDescent="0.2">
      <c r="B103" s="50"/>
      <c r="C103" s="34"/>
      <c r="D103" s="81"/>
      <c r="E103" s="82">
        <v>103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103</v>
      </c>
      <c r="F104" s="85"/>
      <c r="G104" s="68"/>
      <c r="H104" s="69"/>
      <c r="I104" s="46"/>
    </row>
    <row r="105" spans="2:9" s="6" customFormat="1" x14ac:dyDescent="0.2">
      <c r="B105" s="50"/>
      <c r="C105" s="34"/>
      <c r="D105" s="81"/>
      <c r="E105" s="82">
        <v>103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103</v>
      </c>
      <c r="F106" s="85"/>
      <c r="G106" s="68"/>
      <c r="H106" s="69"/>
      <c r="I106" s="46"/>
    </row>
    <row r="107" spans="2:9" s="6" customFormat="1" x14ac:dyDescent="0.2">
      <c r="B107" s="50"/>
      <c r="C107" s="34"/>
      <c r="D107" s="81"/>
      <c r="E107" s="82">
        <v>103</v>
      </c>
      <c r="F107" s="85"/>
      <c r="G107" s="68"/>
      <c r="H107" s="69"/>
      <c r="I107" s="46"/>
    </row>
    <row r="108" spans="2:9" s="6" customFormat="1" ht="15.75" thickBot="1" x14ac:dyDescent="0.25">
      <c r="B108" s="50"/>
      <c r="C108" s="34"/>
      <c r="D108" s="81"/>
      <c r="E108" s="82">
        <v>103</v>
      </c>
      <c r="F108" s="87"/>
      <c r="G108" s="88"/>
      <c r="H108" s="57"/>
      <c r="I108" s="46"/>
    </row>
    <row r="109" spans="2:9" s="6" customFormat="1" ht="15.75" x14ac:dyDescent="0.25">
      <c r="B109" s="50"/>
      <c r="C109" s="34"/>
      <c r="D109" s="81"/>
      <c r="E109" s="89">
        <v>104</v>
      </c>
      <c r="F109" s="79"/>
      <c r="G109" s="80" t="s">
        <v>81</v>
      </c>
      <c r="H109" s="59"/>
      <c r="I109" s="46"/>
    </row>
    <row r="110" spans="2:9" s="6" customFormat="1" x14ac:dyDescent="0.2">
      <c r="B110" s="50"/>
      <c r="C110" s="34"/>
      <c r="D110" s="81"/>
      <c r="E110" s="82">
        <v>104</v>
      </c>
      <c r="F110" s="83" t="s">
        <v>203</v>
      </c>
      <c r="G110" s="84" t="s">
        <v>447</v>
      </c>
      <c r="H110" s="39">
        <v>1000</v>
      </c>
      <c r="I110" s="46"/>
    </row>
    <row r="111" spans="2:9" s="6" customFormat="1" x14ac:dyDescent="0.2">
      <c r="B111" s="50"/>
      <c r="C111" s="34"/>
      <c r="D111" s="81"/>
      <c r="E111" s="82">
        <v>104</v>
      </c>
      <c r="F111" s="85" t="s">
        <v>189</v>
      </c>
      <c r="G111" s="84" t="s">
        <v>472</v>
      </c>
      <c r="H111" s="69">
        <v>1000</v>
      </c>
      <c r="I111" s="46"/>
    </row>
    <row r="112" spans="2:9" s="6" customFormat="1" x14ac:dyDescent="0.2">
      <c r="B112" s="50"/>
      <c r="C112" s="34"/>
      <c r="D112" s="81"/>
      <c r="E112" s="82">
        <v>104</v>
      </c>
      <c r="F112" s="85"/>
      <c r="G112" s="68"/>
      <c r="H112" s="69"/>
      <c r="I112" s="46"/>
    </row>
    <row r="113" spans="2:9" s="6" customFormat="1" x14ac:dyDescent="0.2">
      <c r="B113" s="50"/>
      <c r="C113" s="34"/>
      <c r="D113" s="81"/>
      <c r="E113" s="82">
        <v>104</v>
      </c>
      <c r="F113" s="85"/>
      <c r="G113" s="68"/>
      <c r="H113" s="69"/>
      <c r="I113" s="46"/>
    </row>
    <row r="114" spans="2:9" s="6" customFormat="1" x14ac:dyDescent="0.2">
      <c r="B114" s="50"/>
      <c r="C114" s="34"/>
      <c r="D114" s="81"/>
      <c r="E114" s="82">
        <v>104</v>
      </c>
      <c r="F114" s="85"/>
      <c r="G114" s="68"/>
      <c r="H114" s="69"/>
      <c r="I114" s="46"/>
    </row>
    <row r="115" spans="2:9" s="6" customFormat="1" x14ac:dyDescent="0.2">
      <c r="B115" s="50"/>
      <c r="C115" s="34"/>
      <c r="D115" s="81"/>
      <c r="E115" s="82">
        <v>104</v>
      </c>
      <c r="F115" s="85"/>
      <c r="G115" s="68"/>
      <c r="H115" s="69"/>
      <c r="I115" s="46"/>
    </row>
    <row r="116" spans="2:9" s="6" customFormat="1" ht="15.75" thickBot="1" x14ac:dyDescent="0.25">
      <c r="B116" s="50"/>
      <c r="C116" s="34"/>
      <c r="D116" s="81"/>
      <c r="E116" s="82">
        <v>104</v>
      </c>
      <c r="F116" s="87"/>
      <c r="G116" s="88"/>
      <c r="H116" s="57"/>
      <c r="I116" s="46"/>
    </row>
    <row r="117" spans="2:9" s="6" customFormat="1" ht="15.75" x14ac:dyDescent="0.25">
      <c r="B117" s="50"/>
      <c r="C117" s="34"/>
      <c r="D117" s="81"/>
      <c r="E117" s="90"/>
      <c r="F117" s="91"/>
      <c r="G117" s="92" t="s">
        <v>82</v>
      </c>
      <c r="H117" s="93"/>
      <c r="I117" s="25"/>
    </row>
    <row r="118" spans="2:9" s="6" customFormat="1" ht="15.75" x14ac:dyDescent="0.25">
      <c r="B118" s="50"/>
      <c r="C118" s="34"/>
      <c r="D118" s="81"/>
      <c r="E118" s="197" t="s">
        <v>83</v>
      </c>
      <c r="F118" s="198"/>
      <c r="G118" s="199"/>
      <c r="H118" s="41"/>
      <c r="I118" s="25"/>
    </row>
    <row r="119" spans="2:9" s="6" customFormat="1" ht="15.75" x14ac:dyDescent="0.2">
      <c r="B119" s="50"/>
      <c r="C119" s="34"/>
      <c r="D119" s="81"/>
      <c r="E119" s="82"/>
      <c r="F119" s="94"/>
      <c r="G119" s="52"/>
      <c r="H119" s="67"/>
      <c r="I119" s="25"/>
    </row>
    <row r="120" spans="2:9" s="6" customFormat="1" ht="15.75" x14ac:dyDescent="0.2">
      <c r="B120" s="50"/>
      <c r="C120" s="34"/>
      <c r="D120" s="81"/>
      <c r="E120" s="82"/>
      <c r="F120" s="94"/>
      <c r="G120" s="52"/>
      <c r="H120" s="67"/>
      <c r="I120" s="25"/>
    </row>
    <row r="121" spans="2:9" s="6" customFormat="1" ht="15.75" x14ac:dyDescent="0.25">
      <c r="B121" s="50"/>
      <c r="C121" s="34"/>
      <c r="D121" s="81"/>
      <c r="E121" s="197" t="s">
        <v>84</v>
      </c>
      <c r="F121" s="198"/>
      <c r="G121" s="199"/>
      <c r="H121" s="41"/>
      <c r="I121" s="25"/>
    </row>
    <row r="122" spans="2:9" s="6" customFormat="1" ht="15.75" x14ac:dyDescent="0.2">
      <c r="B122" s="50"/>
      <c r="C122" s="34"/>
      <c r="D122" s="81"/>
      <c r="E122" s="82"/>
      <c r="F122" s="94" t="s">
        <v>412</v>
      </c>
      <c r="G122" s="52" t="s">
        <v>413</v>
      </c>
      <c r="H122" s="67">
        <v>700</v>
      </c>
      <c r="I122" s="25"/>
    </row>
    <row r="123" spans="2:9" s="6" customFormat="1" ht="15.75" x14ac:dyDescent="0.25">
      <c r="B123" s="50"/>
      <c r="C123" s="34"/>
      <c r="D123" s="81"/>
      <c r="E123" s="82"/>
      <c r="F123" s="37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85</v>
      </c>
      <c r="F124" s="198"/>
      <c r="G124" s="199"/>
      <c r="H124" s="41"/>
      <c r="I124" s="25"/>
    </row>
    <row r="125" spans="2:9" s="6" customFormat="1" x14ac:dyDescent="0.2">
      <c r="B125" s="50"/>
      <c r="C125" s="34"/>
      <c r="D125" s="81"/>
      <c r="E125" s="82"/>
      <c r="F125" s="83"/>
      <c r="G125" s="84"/>
      <c r="H125" s="41"/>
      <c r="I125" s="25"/>
    </row>
    <row r="126" spans="2:9" s="6" customFormat="1" x14ac:dyDescent="0.2">
      <c r="B126" s="50"/>
      <c r="C126" s="34"/>
      <c r="D126" s="81"/>
      <c r="E126" s="82"/>
      <c r="F126" s="83"/>
      <c r="G126" s="84"/>
      <c r="H126" s="41"/>
      <c r="I126" s="25"/>
    </row>
    <row r="127" spans="2:9" s="6" customFormat="1" ht="15.75" x14ac:dyDescent="0.25">
      <c r="B127" s="50"/>
      <c r="C127" s="34"/>
      <c r="D127" s="81"/>
      <c r="E127" s="197" t="s">
        <v>86</v>
      </c>
      <c r="F127" s="198"/>
      <c r="G127" s="199"/>
      <c r="H127" s="41"/>
      <c r="I127" s="25"/>
    </row>
    <row r="128" spans="2:9" s="6" customFormat="1" ht="15.75" x14ac:dyDescent="0.25">
      <c r="B128" s="50"/>
      <c r="C128" s="34"/>
      <c r="D128" s="81"/>
      <c r="E128" s="89"/>
      <c r="F128" s="95" t="s">
        <v>158</v>
      </c>
      <c r="G128" s="52" t="s">
        <v>442</v>
      </c>
      <c r="H128" s="39">
        <v>10500</v>
      </c>
      <c r="I128" s="25"/>
    </row>
    <row r="129" spans="2:9" s="6" customFormat="1" ht="15.75" x14ac:dyDescent="0.25">
      <c r="B129" s="50"/>
      <c r="C129" s="34"/>
      <c r="D129" s="81"/>
      <c r="E129" s="89"/>
      <c r="F129" s="95" t="s">
        <v>189</v>
      </c>
      <c r="G129" s="52" t="s">
        <v>442</v>
      </c>
      <c r="H129" s="39">
        <v>10500</v>
      </c>
      <c r="I129" s="25"/>
    </row>
    <row r="130" spans="2:9" s="6" customFormat="1" ht="15.75" x14ac:dyDescent="0.25">
      <c r="B130" s="50"/>
      <c r="C130" s="34"/>
      <c r="D130" s="81"/>
      <c r="E130" s="89"/>
      <c r="F130" s="95"/>
      <c r="G130" s="52"/>
      <c r="H130" s="39"/>
      <c r="I130" s="25"/>
    </row>
    <row r="131" spans="2:9" s="6" customFormat="1" ht="15.75" x14ac:dyDescent="0.25">
      <c r="B131" s="50"/>
      <c r="C131" s="34"/>
      <c r="D131" s="81"/>
      <c r="E131" s="89"/>
      <c r="F131" s="95"/>
      <c r="G131" s="52"/>
      <c r="H131" s="39"/>
      <c r="I131" s="25"/>
    </row>
    <row r="132" spans="2:9" s="6" customFormat="1" x14ac:dyDescent="0.2">
      <c r="B132" s="50"/>
      <c r="C132" s="34"/>
      <c r="D132" s="81"/>
      <c r="E132" s="82"/>
      <c r="F132" s="96"/>
      <c r="G132" s="84"/>
      <c r="H132" s="41"/>
      <c r="I132" s="25"/>
    </row>
    <row r="133" spans="2:9" s="6" customFormat="1" ht="15.75" x14ac:dyDescent="0.25">
      <c r="B133" s="50"/>
      <c r="C133" s="34"/>
      <c r="D133" s="81"/>
      <c r="E133" s="197" t="s">
        <v>87</v>
      </c>
      <c r="F133" s="198"/>
      <c r="G133" s="199"/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37"/>
      <c r="G134" s="52"/>
      <c r="H134" s="39"/>
      <c r="I134" s="25"/>
    </row>
    <row r="135" spans="2:9" s="6" customFormat="1" ht="15.75" x14ac:dyDescent="0.25">
      <c r="B135" s="50"/>
      <c r="C135" s="34"/>
      <c r="D135" s="81"/>
      <c r="E135" s="82"/>
      <c r="F135" s="37"/>
      <c r="G135" s="52"/>
      <c r="H135" s="39"/>
      <c r="I135" s="25"/>
    </row>
    <row r="136" spans="2:9" s="6" customFormat="1" x14ac:dyDescent="0.2">
      <c r="B136" s="50"/>
      <c r="C136" s="34"/>
      <c r="D136" s="81"/>
      <c r="E136" s="82"/>
      <c r="F136" s="97"/>
      <c r="G136" s="52"/>
      <c r="H136" s="41"/>
      <c r="I136" s="25"/>
    </row>
    <row r="137" spans="2:9" s="6" customFormat="1" ht="15.75" thickBot="1" x14ac:dyDescent="0.25">
      <c r="B137" s="50" t="s">
        <v>88</v>
      </c>
      <c r="C137" s="34"/>
      <c r="D137" s="81"/>
      <c r="E137" s="86"/>
      <c r="F137" s="98"/>
      <c r="G137" s="88"/>
      <c r="H137" s="99"/>
      <c r="I137" s="25"/>
    </row>
    <row r="138" spans="2:9" s="6" customFormat="1" ht="15.75" x14ac:dyDescent="0.25">
      <c r="B138" s="50"/>
      <c r="C138" s="34"/>
      <c r="D138" s="81"/>
      <c r="E138" s="100"/>
      <c r="F138" s="101"/>
      <c r="G138" s="102" t="s">
        <v>89</v>
      </c>
      <c r="H138" s="103">
        <v>30000</v>
      </c>
      <c r="I138" s="25"/>
    </row>
    <row r="139" spans="2:9" s="6" customFormat="1" ht="15.75" x14ac:dyDescent="0.25">
      <c r="B139" s="50"/>
      <c r="C139" s="34"/>
      <c r="D139" s="81"/>
      <c r="E139" s="82"/>
      <c r="F139" s="104"/>
      <c r="G139" s="105" t="s">
        <v>90</v>
      </c>
      <c r="H139" s="41">
        <v>35000</v>
      </c>
      <c r="I139" s="25"/>
    </row>
    <row r="140" spans="2:9" s="6" customFormat="1" ht="15.75" x14ac:dyDescent="0.25">
      <c r="B140" s="50"/>
      <c r="C140" s="34"/>
      <c r="D140" s="81"/>
      <c r="E140" s="82"/>
      <c r="F140" s="104"/>
      <c r="G140" s="105" t="s">
        <v>91</v>
      </c>
      <c r="H140" s="41">
        <v>30000</v>
      </c>
      <c r="I140" s="25"/>
    </row>
    <row r="141" spans="2:9" s="6" customFormat="1" ht="15.75" x14ac:dyDescent="0.25">
      <c r="B141" s="50"/>
      <c r="C141" s="34"/>
      <c r="D141" s="81"/>
      <c r="E141" s="82"/>
      <c r="F141" s="104"/>
      <c r="G141" s="105" t="s">
        <v>92</v>
      </c>
      <c r="H141" s="41"/>
      <c r="I141" s="25"/>
    </row>
    <row r="142" spans="2:9" s="6" customFormat="1" ht="15.75" x14ac:dyDescent="0.25">
      <c r="B142" s="50"/>
      <c r="C142" s="34"/>
      <c r="D142" s="81"/>
      <c r="E142" s="82"/>
      <c r="F142" s="104"/>
      <c r="G142" s="105" t="s">
        <v>93</v>
      </c>
      <c r="H142" s="41"/>
      <c r="I142" s="25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137</v>
      </c>
      <c r="H143" s="107"/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94</v>
      </c>
      <c r="H144" s="109">
        <f>300+500</f>
        <v>800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95</v>
      </c>
      <c r="H145" s="109">
        <v>2100</v>
      </c>
      <c r="I145" s="108"/>
    </row>
    <row r="146" spans="2:9" s="6" customFormat="1" ht="15.75" x14ac:dyDescent="0.25">
      <c r="B146" s="50"/>
      <c r="C146" s="34"/>
      <c r="D146" s="81"/>
      <c r="E146" s="82"/>
      <c r="F146" s="104"/>
      <c r="G146" s="106" t="s">
        <v>419</v>
      </c>
      <c r="H146" s="107">
        <f>1500+1000</f>
        <v>2500</v>
      </c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97</v>
      </c>
      <c r="H147" s="107"/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138</v>
      </c>
      <c r="H148" s="107"/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246</v>
      </c>
      <c r="H149" s="107"/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335</v>
      </c>
      <c r="H150" s="107"/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99</v>
      </c>
      <c r="H151" s="107"/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445</v>
      </c>
      <c r="H152" s="107">
        <v>13000</v>
      </c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101</v>
      </c>
      <c r="H153" s="107">
        <v>300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406</v>
      </c>
      <c r="H154" s="107"/>
      <c r="I154" s="108"/>
    </row>
    <row r="155" spans="2:9" s="6" customFormat="1" ht="15.75" x14ac:dyDescent="0.25">
      <c r="B155" s="50" t="s">
        <v>103</v>
      </c>
      <c r="C155" s="34" t="s">
        <v>103</v>
      </c>
      <c r="D155" s="81"/>
      <c r="E155" s="82"/>
      <c r="F155" s="104"/>
      <c r="G155" s="106" t="s">
        <v>104</v>
      </c>
      <c r="H155" s="107"/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105</v>
      </c>
      <c r="H156" s="107">
        <v>15000</v>
      </c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415</v>
      </c>
      <c r="H157" s="107">
        <v>22000</v>
      </c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405</v>
      </c>
      <c r="H158" s="107"/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108</v>
      </c>
      <c r="H159" s="107"/>
      <c r="I159" s="108"/>
    </row>
    <row r="160" spans="2:9" s="6" customFormat="1" ht="15.75" x14ac:dyDescent="0.25">
      <c r="B160" s="50"/>
      <c r="C160" s="34"/>
      <c r="D160" s="81"/>
      <c r="E160" s="82"/>
      <c r="F160" s="104"/>
      <c r="G160" s="106" t="s">
        <v>109</v>
      </c>
      <c r="H160" s="107"/>
      <c r="I160" s="108"/>
    </row>
    <row r="161" spans="2:11" s="6" customFormat="1" ht="15.75" x14ac:dyDescent="0.25">
      <c r="B161" s="50"/>
      <c r="C161" s="34"/>
      <c r="D161" s="81"/>
      <c r="E161" s="110"/>
      <c r="F161" s="104"/>
      <c r="G161" s="111" t="s">
        <v>110</v>
      </c>
      <c r="H161" s="107"/>
      <c r="I161" s="108"/>
    </row>
    <row r="162" spans="2:11" s="118" customFormat="1" ht="16.5" thickBot="1" x14ac:dyDescent="0.3">
      <c r="B162" s="50"/>
      <c r="C162" s="112"/>
      <c r="D162" s="113"/>
      <c r="E162" s="114"/>
      <c r="F162" s="115"/>
      <c r="G162" s="116" t="s">
        <v>111</v>
      </c>
      <c r="H162" s="117"/>
      <c r="I162" s="108"/>
    </row>
    <row r="163" spans="2:11" s="11" customFormat="1" ht="15.75" x14ac:dyDescent="0.2">
      <c r="B163" s="119"/>
      <c r="C163" s="120"/>
      <c r="D163" s="121"/>
      <c r="E163" s="122"/>
      <c r="F163" s="101"/>
      <c r="G163" s="123" t="s">
        <v>112</v>
      </c>
      <c r="H163" s="124">
        <f>SUM(H10:H162)</f>
        <v>689117</v>
      </c>
      <c r="I163" s="125"/>
    </row>
    <row r="164" spans="2:11" ht="15.75" x14ac:dyDescent="0.25">
      <c r="B164" s="119"/>
      <c r="C164" s="126" t="s">
        <v>113</v>
      </c>
      <c r="D164" s="127">
        <f>SUM(D10:D163)</f>
        <v>550000</v>
      </c>
      <c r="E164" s="128"/>
      <c r="F164" s="129"/>
      <c r="G164" s="130" t="s">
        <v>114</v>
      </c>
      <c r="H164" s="131">
        <f>H9-H163</f>
        <v>247446</v>
      </c>
      <c r="I164" s="132"/>
    </row>
    <row r="165" spans="2:11" ht="16.5" thickBot="1" x14ac:dyDescent="0.3">
      <c r="B165" s="133"/>
      <c r="C165" s="134" t="s">
        <v>115</v>
      </c>
      <c r="D165" s="135">
        <f>D9+D164</f>
        <v>936563</v>
      </c>
      <c r="E165" s="136"/>
      <c r="F165" s="137"/>
      <c r="G165" s="138" t="s">
        <v>116</v>
      </c>
      <c r="H165" s="139">
        <f>H163+H164</f>
        <v>936563</v>
      </c>
      <c r="I165" s="132"/>
    </row>
    <row r="166" spans="2:11" ht="15.75" x14ac:dyDescent="0.25">
      <c r="B166" s="140"/>
      <c r="C166" s="140"/>
      <c r="D166" s="141"/>
      <c r="E166" s="142"/>
      <c r="F166" s="143"/>
      <c r="G166" s="144"/>
      <c r="H166" s="145"/>
      <c r="I166" s="145"/>
    </row>
    <row r="167" spans="2:11" ht="15.75" x14ac:dyDescent="0.25">
      <c r="B167" s="140"/>
      <c r="C167" s="140"/>
      <c r="D167" s="141"/>
      <c r="E167" s="142"/>
      <c r="F167" s="143"/>
      <c r="G167" s="144"/>
      <c r="H167" s="145"/>
      <c r="I167" s="145"/>
    </row>
    <row r="168" spans="2:11" ht="15.75" x14ac:dyDescent="0.25">
      <c r="B168" s="140"/>
      <c r="C168" s="140"/>
      <c r="D168" s="141"/>
      <c r="E168" s="142"/>
      <c r="F168" s="143"/>
      <c r="G168" s="144"/>
      <c r="H168" s="145"/>
      <c r="I168" s="145"/>
    </row>
    <row r="169" spans="2:11" ht="15.75" x14ac:dyDescent="0.25">
      <c r="B169" s="140"/>
      <c r="C169" s="140"/>
      <c r="D169" s="141"/>
      <c r="E169" s="142"/>
      <c r="F169" s="143"/>
      <c r="G169" s="144"/>
      <c r="H169" s="145"/>
      <c r="I169" s="145"/>
    </row>
    <row r="170" spans="2:11" ht="15.75" x14ac:dyDescent="0.25">
      <c r="B170" s="187" t="s">
        <v>117</v>
      </c>
      <c r="C170" s="187"/>
      <c r="D170" s="188" t="s">
        <v>118</v>
      </c>
      <c r="E170" s="188"/>
      <c r="F170" s="188"/>
      <c r="G170" s="146" t="s">
        <v>119</v>
      </c>
      <c r="H170" s="146" t="s">
        <v>120</v>
      </c>
      <c r="I170" s="146"/>
    </row>
    <row r="171" spans="2:11" ht="15.75" x14ac:dyDescent="0.25">
      <c r="B171" s="140"/>
      <c r="C171" s="140"/>
      <c r="D171" s="141"/>
      <c r="E171" s="142"/>
      <c r="F171" s="143"/>
      <c r="G171" s="147"/>
    </row>
    <row r="172" spans="2:11" x14ac:dyDescent="0.2">
      <c r="E172" s="5" t="s">
        <v>121</v>
      </c>
    </row>
    <row r="173" spans="2:11" x14ac:dyDescent="0.2">
      <c r="H173" s="151"/>
      <c r="I173" s="151"/>
    </row>
    <row r="174" spans="2:11" x14ac:dyDescent="0.2">
      <c r="H174" s="189"/>
      <c r="I174" s="189"/>
      <c r="J174" s="189"/>
    </row>
    <row r="175" spans="2:11" x14ac:dyDescent="0.2">
      <c r="B175" s="152" t="s">
        <v>122</v>
      </c>
      <c r="C175" s="153" t="s">
        <v>123</v>
      </c>
      <c r="D175" s="152" t="s">
        <v>124</v>
      </c>
      <c r="H175" s="151"/>
      <c r="I175" s="151"/>
    </row>
    <row r="176" spans="2:11" ht="23.25" x14ac:dyDescent="0.2">
      <c r="B176" s="154">
        <v>1</v>
      </c>
      <c r="C176" s="155" t="s">
        <v>125</v>
      </c>
      <c r="D176" s="156"/>
      <c r="H176" s="157"/>
      <c r="I176" s="157"/>
      <c r="J176" s="158"/>
      <c r="K176" s="159"/>
    </row>
    <row r="177" spans="2:11" ht="23.25" x14ac:dyDescent="0.2">
      <c r="B177" s="154">
        <v>2</v>
      </c>
      <c r="C177" s="155" t="s">
        <v>126</v>
      </c>
      <c r="D177" s="160"/>
      <c r="H177" s="157"/>
      <c r="I177" s="157"/>
      <c r="J177" s="158"/>
      <c r="K177" s="159"/>
    </row>
    <row r="178" spans="2:11" ht="23.25" x14ac:dyDescent="0.2">
      <c r="B178" s="154">
        <v>3</v>
      </c>
      <c r="C178" s="155" t="s">
        <v>127</v>
      </c>
      <c r="D178" s="160">
        <f>10000-5000</f>
        <v>5000</v>
      </c>
      <c r="H178" s="157"/>
      <c r="I178" s="157"/>
      <c r="J178" s="158"/>
      <c r="K178" s="159"/>
    </row>
    <row r="179" spans="2:11" ht="23.25" x14ac:dyDescent="0.3">
      <c r="B179" s="154">
        <v>4</v>
      </c>
      <c r="C179" s="155"/>
      <c r="D179" s="160"/>
      <c r="H179" s="161"/>
      <c r="I179" s="157"/>
      <c r="J179" s="158"/>
      <c r="K179" s="159"/>
    </row>
    <row r="180" spans="2:11" ht="23.25" x14ac:dyDescent="0.2">
      <c r="B180" s="154">
        <v>5</v>
      </c>
      <c r="C180" s="155" t="s">
        <v>128</v>
      </c>
      <c r="D180" s="162">
        <f>10000+20000+15000-15000</f>
        <v>30000</v>
      </c>
      <c r="H180" s="157"/>
      <c r="I180" s="157"/>
      <c r="J180" s="158"/>
      <c r="K180" s="159"/>
    </row>
    <row r="181" spans="2:11" ht="23.25" x14ac:dyDescent="0.2">
      <c r="B181" s="154">
        <v>6</v>
      </c>
      <c r="C181" s="155" t="s">
        <v>129</v>
      </c>
      <c r="D181" s="162">
        <f>2000+5000+2000-2000+1000+3000-3000+10000-6500</f>
        <v>11500</v>
      </c>
      <c r="H181" s="157"/>
      <c r="I181" s="157"/>
      <c r="J181" s="158"/>
      <c r="K181" s="159"/>
    </row>
    <row r="182" spans="2:11" ht="23.25" x14ac:dyDescent="0.2">
      <c r="B182" s="154">
        <v>7</v>
      </c>
      <c r="C182" s="155" t="s">
        <v>130</v>
      </c>
      <c r="D182" s="160">
        <f>-6700+100+10000-3450-1720-700-1950+4000+1000</f>
        <v>580</v>
      </c>
      <c r="H182" s="157"/>
      <c r="I182" s="157"/>
      <c r="J182" s="158"/>
      <c r="K182" s="159"/>
    </row>
    <row r="183" spans="2:11" ht="23.25" x14ac:dyDescent="0.2">
      <c r="B183" s="154">
        <v>8</v>
      </c>
      <c r="C183" s="163" t="s">
        <v>343</v>
      </c>
      <c r="D183" s="164">
        <f>3300+4300</f>
        <v>7600</v>
      </c>
      <c r="H183" s="157"/>
      <c r="I183" s="157"/>
      <c r="J183" s="158"/>
      <c r="K183" s="159"/>
    </row>
    <row r="184" spans="2:11" ht="23.25" x14ac:dyDescent="0.2">
      <c r="B184" s="154">
        <v>9</v>
      </c>
      <c r="C184" s="163" t="s">
        <v>132</v>
      </c>
      <c r="D184" s="165">
        <v>3000</v>
      </c>
      <c r="H184" s="166"/>
      <c r="I184" s="158"/>
      <c r="J184" s="158"/>
      <c r="K184" s="159"/>
    </row>
    <row r="185" spans="2:11" ht="23.25" x14ac:dyDescent="0.2">
      <c r="B185" s="154">
        <v>10</v>
      </c>
      <c r="C185" s="155" t="s">
        <v>133</v>
      </c>
      <c r="D185" s="160">
        <f>2610+10000-10000-21800+5000+8000-11800+6000+13080+8720+14497+13080+8720+13080-30000+8000-11500-40000+10000+10900+10900+10900+17549-27000</f>
        <v>18936</v>
      </c>
      <c r="H185" s="167"/>
      <c r="I185" s="158"/>
      <c r="J185" s="158"/>
      <c r="K185" s="159"/>
    </row>
    <row r="186" spans="2:11" ht="23.25" x14ac:dyDescent="0.3">
      <c r="B186" s="154">
        <v>11</v>
      </c>
      <c r="C186" s="155" t="s">
        <v>264</v>
      </c>
      <c r="D186" s="160" t="s">
        <v>103</v>
      </c>
      <c r="E186" s="168"/>
      <c r="G186" s="150" t="s">
        <v>121</v>
      </c>
      <c r="H186" s="169"/>
      <c r="I186" s="158"/>
      <c r="J186" s="158"/>
      <c r="K186" s="159"/>
    </row>
    <row r="187" spans="2:11" ht="23.25" x14ac:dyDescent="0.2">
      <c r="B187" s="154"/>
      <c r="C187" s="170" t="s">
        <v>135</v>
      </c>
      <c r="D187" s="171">
        <f>SUM(D176:D186)</f>
        <v>76616</v>
      </c>
      <c r="F187" s="172"/>
      <c r="H187" s="167"/>
      <c r="I187" s="158"/>
      <c r="J187" s="158"/>
      <c r="K187" s="159"/>
    </row>
    <row r="188" spans="2:11" ht="23.25" x14ac:dyDescent="0.2">
      <c r="D188" s="173">
        <f>-13300-4953+6000-80+9800</f>
        <v>-2533</v>
      </c>
      <c r="E188" s="174"/>
      <c r="H188" s="167"/>
      <c r="I188" s="175"/>
      <c r="J188" s="158"/>
      <c r="K188" s="159"/>
    </row>
    <row r="189" spans="2:11" ht="23.25" x14ac:dyDescent="0.25">
      <c r="D189" s="176">
        <v>3470</v>
      </c>
      <c r="E189" s="5" t="s">
        <v>243</v>
      </c>
      <c r="F189" s="177"/>
      <c r="H189" s="178"/>
      <c r="I189" s="175"/>
      <c r="J189" s="175"/>
      <c r="K189" s="159"/>
    </row>
    <row r="190" spans="2:11" ht="23.25" x14ac:dyDescent="0.2">
      <c r="D190" s="176">
        <v>3800</v>
      </c>
      <c r="E190" s="5" t="s">
        <v>244</v>
      </c>
      <c r="H190" s="179"/>
      <c r="I190" s="180"/>
      <c r="J190" s="158"/>
      <c r="K190" s="159"/>
    </row>
    <row r="191" spans="2:11" ht="23.25" x14ac:dyDescent="0.25">
      <c r="B191" s="5"/>
      <c r="D191" s="181">
        <v>15000</v>
      </c>
      <c r="E191" s="178" t="s">
        <v>253</v>
      </c>
      <c r="G191" s="178"/>
      <c r="H191" s="167"/>
      <c r="I191" s="5"/>
      <c r="J191" s="158"/>
      <c r="K191" s="159"/>
    </row>
    <row r="192" spans="2:11" ht="15.75" x14ac:dyDescent="0.25">
      <c r="B192" s="5"/>
      <c r="D192" s="181"/>
      <c r="E192" s="178"/>
      <c r="G192" s="178"/>
      <c r="H192" s="167"/>
      <c r="I192" s="5"/>
      <c r="J192" s="175"/>
    </row>
    <row r="193" spans="2:9" ht="15.75" x14ac:dyDescent="0.25">
      <c r="D193" s="181"/>
      <c r="E193" s="178"/>
      <c r="H193" s="182"/>
    </row>
    <row r="194" spans="2:9" x14ac:dyDescent="0.2">
      <c r="B194" s="5"/>
      <c r="D194" s="176"/>
      <c r="F194" s="5"/>
      <c r="G194" s="5"/>
      <c r="H194" s="183"/>
      <c r="I194" s="5"/>
    </row>
    <row r="195" spans="2:9" x14ac:dyDescent="0.2">
      <c r="D195" s="184">
        <f>SUM(D188:D194)+D187</f>
        <v>96353</v>
      </c>
      <c r="H195" s="182"/>
    </row>
    <row r="196" spans="2:9" x14ac:dyDescent="0.2">
      <c r="B196" s="5"/>
      <c r="D196" s="185">
        <f>D195-H164</f>
        <v>-151093</v>
      </c>
      <c r="F196" s="5"/>
      <c r="G196" s="5"/>
      <c r="H196" s="178"/>
      <c r="I196" s="5"/>
    </row>
    <row r="197" spans="2:9" x14ac:dyDescent="0.2">
      <c r="H197" s="182"/>
    </row>
    <row r="198" spans="2:9" x14ac:dyDescent="0.2">
      <c r="H198" s="182"/>
    </row>
    <row r="199" spans="2:9" x14ac:dyDescent="0.2">
      <c r="H199" s="182"/>
    </row>
    <row r="200" spans="2:9" x14ac:dyDescent="0.2">
      <c r="H200" s="182"/>
    </row>
    <row r="201" spans="2:9" x14ac:dyDescent="0.2">
      <c r="B201" s="5"/>
      <c r="D201" s="5"/>
      <c r="F201" s="5"/>
      <c r="G201" s="5"/>
      <c r="H201" s="182"/>
      <c r="I201" s="5"/>
    </row>
    <row r="202" spans="2:9" ht="15.75" x14ac:dyDescent="0.25">
      <c r="B202" s="5"/>
      <c r="D202" s="5"/>
      <c r="F202" s="5"/>
      <c r="G202" s="5"/>
      <c r="H202" s="145"/>
      <c r="I202" s="5"/>
    </row>
    <row r="203" spans="2:9" x14ac:dyDescent="0.2">
      <c r="B203" s="5"/>
      <c r="D203" s="5"/>
      <c r="F203" s="5"/>
      <c r="G203" s="5"/>
      <c r="H203" s="182"/>
      <c r="I203" s="5"/>
    </row>
    <row r="204" spans="2:9" x14ac:dyDescent="0.2">
      <c r="B204" s="5"/>
      <c r="D204" s="5"/>
      <c r="F204" s="5"/>
      <c r="G204" s="5"/>
      <c r="H204" s="182"/>
      <c r="I204" s="5"/>
    </row>
    <row r="205" spans="2:9" x14ac:dyDescent="0.2">
      <c r="B205" s="5"/>
      <c r="D205" s="5"/>
      <c r="F205" s="5"/>
      <c r="G205" s="5"/>
      <c r="H205" s="182"/>
      <c r="I205" s="5"/>
    </row>
    <row r="207" spans="2:9" x14ac:dyDescent="0.2">
      <c r="B207" s="5"/>
      <c r="D207" s="5"/>
      <c r="F207" s="5"/>
      <c r="G207" s="5"/>
      <c r="H207" s="182"/>
      <c r="I207" s="5"/>
    </row>
    <row r="208" spans="2:9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</sheetData>
  <mergeCells count="24">
    <mergeCell ref="E127:G127"/>
    <mergeCell ref="E133:G133"/>
    <mergeCell ref="B1:H1"/>
    <mergeCell ref="B2:H2"/>
    <mergeCell ref="B3:H3"/>
    <mergeCell ref="B4:H4"/>
    <mergeCell ref="B6:D6"/>
    <mergeCell ref="F6:H6"/>
    <mergeCell ref="B170:C170"/>
    <mergeCell ref="D170:F170"/>
    <mergeCell ref="H174:J174"/>
    <mergeCell ref="H7:H8"/>
    <mergeCell ref="B9:C9"/>
    <mergeCell ref="F9:G9"/>
    <mergeCell ref="F10:G10"/>
    <mergeCell ref="E118:G118"/>
    <mergeCell ref="E121:G121"/>
    <mergeCell ref="B7:B8"/>
    <mergeCell ref="C7:C8"/>
    <mergeCell ref="D7:D8"/>
    <mergeCell ref="E7:E8"/>
    <mergeCell ref="F7:F8"/>
    <mergeCell ref="G7:G8"/>
    <mergeCell ref="E124:G1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6732-CDDF-4E25-922A-33384DD9B370}">
  <dimension ref="B1:K316"/>
  <sheetViews>
    <sheetView topLeftCell="A151" workbookViewId="0">
      <selection sqref="A1:XFD1048576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477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247446</v>
      </c>
      <c r="E9" s="17"/>
      <c r="F9" s="194" t="s">
        <v>10</v>
      </c>
      <c r="G9" s="195"/>
      <c r="H9" s="18">
        <f>D165</f>
        <v>1016946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750000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 t="s">
        <v>479</v>
      </c>
      <c r="C12" s="34" t="s">
        <v>480</v>
      </c>
      <c r="D12" s="35">
        <v>19500</v>
      </c>
      <c r="E12" s="36">
        <v>101</v>
      </c>
      <c r="F12" s="37" t="s">
        <v>14</v>
      </c>
      <c r="G12" s="38" t="s">
        <v>542</v>
      </c>
      <c r="H12" s="39">
        <f>2500+1500</f>
        <v>4000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496</v>
      </c>
      <c r="H13" s="41">
        <v>3950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545</v>
      </c>
      <c r="H14" s="42">
        <f>2900+1000</f>
        <v>3900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/>
      <c r="H15" s="42"/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520</v>
      </c>
      <c r="H16" s="42">
        <f>1700+2100</f>
        <v>3800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/>
      <c r="H18" s="42"/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/>
      <c r="H19" s="42"/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548</v>
      </c>
      <c r="H20" s="39">
        <f>2100+1900</f>
        <v>4000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449</v>
      </c>
      <c r="H23" s="42">
        <v>1100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 t="s">
        <v>494</v>
      </c>
      <c r="H24" s="42">
        <v>2750</v>
      </c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519</v>
      </c>
      <c r="H25" s="51">
        <v>1380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 t="s">
        <v>491</v>
      </c>
      <c r="H28" s="39">
        <v>2200</v>
      </c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508</v>
      </c>
      <c r="H30" s="42">
        <v>1150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525</v>
      </c>
      <c r="H31" s="42">
        <v>2000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/>
      <c r="H32" s="39"/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513</v>
      </c>
      <c r="H33" s="39">
        <v>1930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515</v>
      </c>
      <c r="H36" s="42">
        <v>450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 t="s">
        <v>547</v>
      </c>
      <c r="H37" s="42">
        <f>4300+300+650</f>
        <v>5250</v>
      </c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 t="s">
        <v>481</v>
      </c>
      <c r="H38" s="57">
        <v>300</v>
      </c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/>
      <c r="H39" s="59"/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/>
      <c r="H40" s="39"/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536</v>
      </c>
      <c r="H41" s="39">
        <v>7800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 t="s">
        <v>549</v>
      </c>
      <c r="H42" s="39">
        <v>7600</v>
      </c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509</v>
      </c>
      <c r="H43" s="39">
        <f>2000+1500</f>
        <v>3500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487</v>
      </c>
      <c r="H44" s="57">
        <v>3500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543</v>
      </c>
      <c r="H45" s="32">
        <v>5400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535</v>
      </c>
      <c r="H46" s="42">
        <v>600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/>
      <c r="H47" s="42"/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482</v>
      </c>
      <c r="H49" s="42">
        <v>4400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 t="s">
        <v>512</v>
      </c>
      <c r="H50" s="42">
        <v>24100</v>
      </c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/>
      <c r="H51" s="62"/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 t="s">
        <v>488</v>
      </c>
      <c r="H62" s="39">
        <f>1150+9900+14500</f>
        <v>25550</v>
      </c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 t="s">
        <v>497</v>
      </c>
      <c r="H64" s="39">
        <v>6900</v>
      </c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/>
      <c r="H65" s="67"/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 t="s">
        <v>544</v>
      </c>
      <c r="H66" s="39">
        <v>11330</v>
      </c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 t="s">
        <v>501</v>
      </c>
      <c r="H67" s="39">
        <v>1500</v>
      </c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 t="s">
        <v>546</v>
      </c>
      <c r="H71" s="69">
        <v>18700</v>
      </c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 t="s">
        <v>518</v>
      </c>
      <c r="H72" s="39">
        <v>14500</v>
      </c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 t="s">
        <v>531</v>
      </c>
      <c r="H74" s="39">
        <v>19000</v>
      </c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/>
      <c r="H75" s="39"/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483</v>
      </c>
      <c r="G78" s="84" t="s">
        <v>484</v>
      </c>
      <c r="H78" s="39">
        <v>13500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485</v>
      </c>
      <c r="G79" s="84" t="s">
        <v>486</v>
      </c>
      <c r="H79" s="39">
        <v>12500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504</v>
      </c>
      <c r="G80" s="68" t="s">
        <v>505</v>
      </c>
      <c r="H80" s="69">
        <v>12000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506</v>
      </c>
      <c r="G81" s="68" t="s">
        <v>507</v>
      </c>
      <c r="H81" s="69">
        <v>13300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203</v>
      </c>
      <c r="G82" s="68" t="s">
        <v>510</v>
      </c>
      <c r="H82" s="69">
        <v>12000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319</v>
      </c>
      <c r="G83" s="68" t="s">
        <v>511</v>
      </c>
      <c r="H83" s="69">
        <v>11500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499</v>
      </c>
      <c r="G84" s="68" t="s">
        <v>514</v>
      </c>
      <c r="H84" s="69">
        <v>14800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133</v>
      </c>
      <c r="G85" s="68" t="s">
        <v>516</v>
      </c>
      <c r="H85" s="69">
        <v>17000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521</v>
      </c>
      <c r="G86" s="68" t="s">
        <v>522</v>
      </c>
      <c r="H86" s="69">
        <v>13500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523</v>
      </c>
      <c r="G87" s="68" t="s">
        <v>524</v>
      </c>
      <c r="H87" s="69">
        <v>13300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526</v>
      </c>
      <c r="G88" s="68" t="s">
        <v>527</v>
      </c>
      <c r="H88" s="69">
        <v>14800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528</v>
      </c>
      <c r="G89" s="68" t="s">
        <v>529</v>
      </c>
      <c r="H89" s="69">
        <v>14200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179</v>
      </c>
      <c r="G90" s="68" t="s">
        <v>530</v>
      </c>
      <c r="H90" s="69">
        <v>11200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533</v>
      </c>
      <c r="G91" s="68" t="s">
        <v>534</v>
      </c>
      <c r="H91" s="69">
        <v>11300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537</v>
      </c>
      <c r="G92" s="68" t="s">
        <v>538</v>
      </c>
      <c r="H92" s="69">
        <v>13800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539</v>
      </c>
      <c r="G93" s="68" t="s">
        <v>188</v>
      </c>
      <c r="H93" s="69">
        <v>21500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187</v>
      </c>
      <c r="G94" s="68" t="s">
        <v>540</v>
      </c>
      <c r="H94" s="69">
        <v>20000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/>
      <c r="G95" s="68"/>
      <c r="H95" s="69"/>
      <c r="I95" s="46"/>
    </row>
    <row r="96" spans="2:9" s="6" customFormat="1" x14ac:dyDescent="0.2">
      <c r="B96" s="50"/>
      <c r="C96" s="34"/>
      <c r="D96" s="81"/>
      <c r="E96" s="82">
        <v>102</v>
      </c>
      <c r="F96" s="85"/>
      <c r="G96" s="68"/>
      <c r="H96" s="69"/>
      <c r="I96" s="46"/>
    </row>
    <row r="97" spans="2:9" s="6" customFormat="1" x14ac:dyDescent="0.2">
      <c r="B97" s="50"/>
      <c r="C97" s="34"/>
      <c r="D97" s="81"/>
      <c r="E97" s="82">
        <v>102</v>
      </c>
      <c r="F97" s="85"/>
      <c r="G97" s="68"/>
      <c r="H97" s="69"/>
      <c r="I97" s="46"/>
    </row>
    <row r="98" spans="2:9" s="6" customFormat="1" x14ac:dyDescent="0.2">
      <c r="B98" s="50"/>
      <c r="C98" s="34"/>
      <c r="D98" s="81"/>
      <c r="E98" s="82">
        <v>102</v>
      </c>
      <c r="F98" s="85"/>
      <c r="G98" s="68"/>
      <c r="H98" s="69"/>
      <c r="I98" s="46"/>
    </row>
    <row r="99" spans="2:9" s="6" customFormat="1" x14ac:dyDescent="0.2">
      <c r="B99" s="50"/>
      <c r="C99" s="34"/>
      <c r="D99" s="81"/>
      <c r="E99" s="82">
        <v>102</v>
      </c>
      <c r="F99" s="85"/>
      <c r="G99" s="68"/>
      <c r="H99" s="69"/>
      <c r="I99" s="46"/>
    </row>
    <row r="100" spans="2:9" s="6" customFormat="1" ht="15.75" thickBot="1" x14ac:dyDescent="0.25">
      <c r="B100" s="50"/>
      <c r="C100" s="34"/>
      <c r="D100" s="81"/>
      <c r="E100" s="86">
        <v>102</v>
      </c>
      <c r="F100" s="87"/>
      <c r="G100" s="88"/>
      <c r="H100" s="57"/>
      <c r="I100" s="46"/>
    </row>
    <row r="101" spans="2:9" s="6" customFormat="1" ht="15.75" x14ac:dyDescent="0.25">
      <c r="B101" s="50"/>
      <c r="C101" s="34"/>
      <c r="D101" s="81"/>
      <c r="E101" s="78">
        <v>103</v>
      </c>
      <c r="F101" s="79"/>
      <c r="G101" s="80" t="s">
        <v>80</v>
      </c>
      <c r="H101" s="59"/>
      <c r="I101" s="46"/>
    </row>
    <row r="102" spans="2:9" s="6" customFormat="1" x14ac:dyDescent="0.2">
      <c r="B102" s="50"/>
      <c r="C102" s="34"/>
      <c r="D102" s="81"/>
      <c r="E102" s="82">
        <v>103</v>
      </c>
      <c r="F102" s="85" t="s">
        <v>532</v>
      </c>
      <c r="G102" s="68" t="s">
        <v>186</v>
      </c>
      <c r="H102" s="69">
        <v>600</v>
      </c>
      <c r="I102" s="46"/>
    </row>
    <row r="103" spans="2:9" s="6" customFormat="1" x14ac:dyDescent="0.2">
      <c r="B103" s="50"/>
      <c r="C103" s="34"/>
      <c r="D103" s="81"/>
      <c r="E103" s="82">
        <v>103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103</v>
      </c>
      <c r="F104" s="85"/>
      <c r="G104" s="68"/>
      <c r="H104" s="69"/>
      <c r="I104" s="46"/>
    </row>
    <row r="105" spans="2:9" s="6" customFormat="1" x14ac:dyDescent="0.2">
      <c r="B105" s="50"/>
      <c r="C105" s="34"/>
      <c r="D105" s="81"/>
      <c r="E105" s="82">
        <v>103</v>
      </c>
      <c r="F105" s="85"/>
      <c r="G105" s="68"/>
      <c r="H105" s="69"/>
      <c r="I105" s="46"/>
    </row>
    <row r="106" spans="2:9" s="6" customFormat="1" x14ac:dyDescent="0.2">
      <c r="B106" s="50"/>
      <c r="C106" s="34"/>
      <c r="D106" s="81"/>
      <c r="E106" s="82">
        <v>103</v>
      </c>
      <c r="F106" s="85"/>
      <c r="G106" s="68"/>
      <c r="H106" s="69"/>
      <c r="I106" s="46"/>
    </row>
    <row r="107" spans="2:9" s="6" customFormat="1" x14ac:dyDescent="0.2">
      <c r="B107" s="50"/>
      <c r="C107" s="34"/>
      <c r="D107" s="81"/>
      <c r="E107" s="82">
        <v>103</v>
      </c>
      <c r="F107" s="85"/>
      <c r="G107" s="68"/>
      <c r="H107" s="69"/>
      <c r="I107" s="46"/>
    </row>
    <row r="108" spans="2:9" s="6" customFormat="1" ht="15.75" thickBot="1" x14ac:dyDescent="0.25">
      <c r="B108" s="50"/>
      <c r="C108" s="34"/>
      <c r="D108" s="81"/>
      <c r="E108" s="82">
        <v>103</v>
      </c>
      <c r="F108" s="87"/>
      <c r="G108" s="88"/>
      <c r="H108" s="57"/>
      <c r="I108" s="46"/>
    </row>
    <row r="109" spans="2:9" s="6" customFormat="1" ht="15.75" x14ac:dyDescent="0.25">
      <c r="B109" s="50"/>
      <c r="C109" s="34"/>
      <c r="D109" s="81"/>
      <c r="E109" s="89">
        <v>104</v>
      </c>
      <c r="F109" s="79"/>
      <c r="G109" s="80" t="s">
        <v>81</v>
      </c>
      <c r="H109" s="59"/>
      <c r="I109" s="46"/>
    </row>
    <row r="110" spans="2:9" s="6" customFormat="1" x14ac:dyDescent="0.2">
      <c r="B110" s="50"/>
      <c r="C110" s="34"/>
      <c r="D110" s="81"/>
      <c r="E110" s="82">
        <v>104</v>
      </c>
      <c r="F110" s="83" t="s">
        <v>489</v>
      </c>
      <c r="G110" s="84" t="s">
        <v>490</v>
      </c>
      <c r="H110" s="39">
        <v>17500</v>
      </c>
      <c r="I110" s="46"/>
    </row>
    <row r="111" spans="2:9" s="6" customFormat="1" x14ac:dyDescent="0.2">
      <c r="B111" s="50"/>
      <c r="C111" s="34"/>
      <c r="D111" s="81"/>
      <c r="E111" s="82">
        <v>104</v>
      </c>
      <c r="F111" s="85" t="s">
        <v>517</v>
      </c>
      <c r="G111" s="84" t="s">
        <v>490</v>
      </c>
      <c r="H111" s="69">
        <v>17500</v>
      </c>
      <c r="I111" s="46"/>
    </row>
    <row r="112" spans="2:9" s="6" customFormat="1" x14ac:dyDescent="0.2">
      <c r="B112" s="50"/>
      <c r="C112" s="34"/>
      <c r="D112" s="81"/>
      <c r="E112" s="82">
        <v>104</v>
      </c>
      <c r="F112" s="85" t="s">
        <v>187</v>
      </c>
      <c r="G112" s="68" t="s">
        <v>541</v>
      </c>
      <c r="H112" s="69">
        <v>1000</v>
      </c>
      <c r="I112" s="46"/>
    </row>
    <row r="113" spans="2:9" s="6" customFormat="1" x14ac:dyDescent="0.2">
      <c r="B113" s="50"/>
      <c r="C113" s="34"/>
      <c r="D113" s="81"/>
      <c r="E113" s="82">
        <v>104</v>
      </c>
      <c r="F113" s="85"/>
      <c r="G113" s="68"/>
      <c r="H113" s="69"/>
      <c r="I113" s="46"/>
    </row>
    <row r="114" spans="2:9" s="6" customFormat="1" x14ac:dyDescent="0.2">
      <c r="B114" s="50"/>
      <c r="C114" s="34"/>
      <c r="D114" s="81"/>
      <c r="E114" s="82">
        <v>104</v>
      </c>
      <c r="F114" s="85"/>
      <c r="G114" s="68"/>
      <c r="H114" s="69"/>
      <c r="I114" s="46"/>
    </row>
    <row r="115" spans="2:9" s="6" customFormat="1" x14ac:dyDescent="0.2">
      <c r="B115" s="50"/>
      <c r="C115" s="34"/>
      <c r="D115" s="81"/>
      <c r="E115" s="82">
        <v>104</v>
      </c>
      <c r="F115" s="85"/>
      <c r="G115" s="68"/>
      <c r="H115" s="69"/>
      <c r="I115" s="46"/>
    </row>
    <row r="116" spans="2:9" s="6" customFormat="1" ht="15.75" thickBot="1" x14ac:dyDescent="0.25">
      <c r="B116" s="50"/>
      <c r="C116" s="34"/>
      <c r="D116" s="81"/>
      <c r="E116" s="82">
        <v>104</v>
      </c>
      <c r="F116" s="87"/>
      <c r="G116" s="88"/>
      <c r="H116" s="57"/>
      <c r="I116" s="46"/>
    </row>
    <row r="117" spans="2:9" s="6" customFormat="1" ht="15.75" x14ac:dyDescent="0.25">
      <c r="B117" s="50"/>
      <c r="C117" s="34"/>
      <c r="D117" s="81"/>
      <c r="E117" s="90"/>
      <c r="F117" s="91"/>
      <c r="G117" s="92" t="s">
        <v>82</v>
      </c>
      <c r="H117" s="93"/>
      <c r="I117" s="25"/>
    </row>
    <row r="118" spans="2:9" s="6" customFormat="1" ht="15.75" x14ac:dyDescent="0.25">
      <c r="B118" s="50"/>
      <c r="C118" s="34"/>
      <c r="D118" s="81"/>
      <c r="E118" s="197" t="s">
        <v>83</v>
      </c>
      <c r="F118" s="198"/>
      <c r="G118" s="199"/>
      <c r="H118" s="41"/>
      <c r="I118" s="25"/>
    </row>
    <row r="119" spans="2:9" s="6" customFormat="1" ht="15.75" x14ac:dyDescent="0.2">
      <c r="B119" s="50"/>
      <c r="C119" s="34"/>
      <c r="D119" s="81"/>
      <c r="E119" s="82"/>
      <c r="F119" s="94"/>
      <c r="G119" s="52"/>
      <c r="H119" s="67"/>
      <c r="I119" s="25"/>
    </row>
    <row r="120" spans="2:9" s="6" customFormat="1" ht="15.75" x14ac:dyDescent="0.2">
      <c r="B120" s="50"/>
      <c r="C120" s="34"/>
      <c r="D120" s="81"/>
      <c r="E120" s="82"/>
      <c r="F120" s="94"/>
      <c r="G120" s="52"/>
      <c r="H120" s="67"/>
      <c r="I120" s="25"/>
    </row>
    <row r="121" spans="2:9" s="6" customFormat="1" ht="15.75" x14ac:dyDescent="0.25">
      <c r="B121" s="50"/>
      <c r="C121" s="34"/>
      <c r="D121" s="81"/>
      <c r="E121" s="197" t="s">
        <v>84</v>
      </c>
      <c r="F121" s="198"/>
      <c r="G121" s="199"/>
      <c r="H121" s="41"/>
      <c r="I121" s="25"/>
    </row>
    <row r="122" spans="2:9" s="6" customFormat="1" ht="15.75" x14ac:dyDescent="0.2">
      <c r="B122" s="50"/>
      <c r="C122" s="34"/>
      <c r="D122" s="81"/>
      <c r="E122" s="82"/>
      <c r="F122" s="94" t="s">
        <v>502</v>
      </c>
      <c r="G122" s="52" t="s">
        <v>413</v>
      </c>
      <c r="H122" s="67">
        <v>800</v>
      </c>
      <c r="I122" s="25"/>
    </row>
    <row r="123" spans="2:9" s="6" customFormat="1" ht="15.75" x14ac:dyDescent="0.25">
      <c r="B123" s="50"/>
      <c r="C123" s="34"/>
      <c r="D123" s="81"/>
      <c r="E123" s="82"/>
      <c r="F123" s="37"/>
      <c r="G123" s="84"/>
      <c r="H123" s="41"/>
      <c r="I123" s="25"/>
    </row>
    <row r="124" spans="2:9" s="6" customFormat="1" ht="15.75" x14ac:dyDescent="0.25">
      <c r="B124" s="50"/>
      <c r="C124" s="34"/>
      <c r="D124" s="81"/>
      <c r="E124" s="197" t="s">
        <v>85</v>
      </c>
      <c r="F124" s="198"/>
      <c r="G124" s="199"/>
      <c r="H124" s="41"/>
      <c r="I124" s="25"/>
    </row>
    <row r="125" spans="2:9" s="6" customFormat="1" x14ac:dyDescent="0.2">
      <c r="B125" s="50"/>
      <c r="C125" s="34"/>
      <c r="D125" s="81"/>
      <c r="E125" s="82"/>
      <c r="F125" s="83"/>
      <c r="G125" s="84"/>
      <c r="H125" s="41"/>
      <c r="I125" s="25"/>
    </row>
    <row r="126" spans="2:9" s="6" customFormat="1" x14ac:dyDescent="0.2">
      <c r="B126" s="50"/>
      <c r="C126" s="34"/>
      <c r="D126" s="81"/>
      <c r="E126" s="82"/>
      <c r="F126" s="83"/>
      <c r="G126" s="84"/>
      <c r="H126" s="41"/>
      <c r="I126" s="25"/>
    </row>
    <row r="127" spans="2:9" s="6" customFormat="1" ht="15.75" x14ac:dyDescent="0.25">
      <c r="B127" s="50"/>
      <c r="C127" s="34"/>
      <c r="D127" s="81"/>
      <c r="E127" s="197" t="s">
        <v>86</v>
      </c>
      <c r="F127" s="198"/>
      <c r="G127" s="199"/>
      <c r="H127" s="41"/>
      <c r="I127" s="25"/>
    </row>
    <row r="128" spans="2:9" s="6" customFormat="1" ht="15.75" x14ac:dyDescent="0.25">
      <c r="B128" s="50"/>
      <c r="C128" s="34"/>
      <c r="D128" s="81"/>
      <c r="E128" s="89"/>
      <c r="F128" s="95" t="s">
        <v>156</v>
      </c>
      <c r="G128" s="52" t="s">
        <v>498</v>
      </c>
      <c r="H128" s="39">
        <v>12000</v>
      </c>
      <c r="I128" s="25"/>
    </row>
    <row r="129" spans="2:9" s="6" customFormat="1" ht="15.75" x14ac:dyDescent="0.25">
      <c r="B129" s="50"/>
      <c r="C129" s="34"/>
      <c r="D129" s="81"/>
      <c r="E129" s="89"/>
      <c r="F129" s="95" t="s">
        <v>499</v>
      </c>
      <c r="G129" s="52" t="s">
        <v>500</v>
      </c>
      <c r="H129" s="39">
        <v>11000</v>
      </c>
      <c r="I129" s="25"/>
    </row>
    <row r="130" spans="2:9" s="6" customFormat="1" ht="15.75" x14ac:dyDescent="0.25">
      <c r="B130" s="50"/>
      <c r="C130" s="34"/>
      <c r="D130" s="81"/>
      <c r="E130" s="89"/>
      <c r="F130" s="95" t="s">
        <v>278</v>
      </c>
      <c r="G130" s="52" t="s">
        <v>500</v>
      </c>
      <c r="H130" s="39">
        <v>11000</v>
      </c>
      <c r="I130" s="25"/>
    </row>
    <row r="131" spans="2:9" s="6" customFormat="1" ht="15.75" x14ac:dyDescent="0.25">
      <c r="B131" s="50"/>
      <c r="C131" s="34"/>
      <c r="D131" s="81"/>
      <c r="E131" s="89"/>
      <c r="F131" s="95"/>
      <c r="G131" s="52"/>
      <c r="H131" s="39"/>
      <c r="I131" s="25"/>
    </row>
    <row r="132" spans="2:9" s="6" customFormat="1" x14ac:dyDescent="0.2">
      <c r="B132" s="50"/>
      <c r="C132" s="34"/>
      <c r="D132" s="81"/>
      <c r="E132" s="82"/>
      <c r="F132" s="96"/>
      <c r="G132" s="84"/>
      <c r="H132" s="41"/>
      <c r="I132" s="25"/>
    </row>
    <row r="133" spans="2:9" s="6" customFormat="1" ht="15.75" x14ac:dyDescent="0.25">
      <c r="B133" s="50"/>
      <c r="C133" s="34"/>
      <c r="D133" s="81"/>
      <c r="E133" s="197" t="s">
        <v>87</v>
      </c>
      <c r="F133" s="198"/>
      <c r="G133" s="199"/>
      <c r="H133" s="41"/>
      <c r="I133" s="25"/>
    </row>
    <row r="134" spans="2:9" s="6" customFormat="1" ht="15.75" x14ac:dyDescent="0.25">
      <c r="B134" s="50"/>
      <c r="C134" s="34"/>
      <c r="D134" s="81"/>
      <c r="E134" s="82"/>
      <c r="F134" s="37" t="s">
        <v>492</v>
      </c>
      <c r="G134" s="52" t="s">
        <v>493</v>
      </c>
      <c r="H134" s="39">
        <v>17000</v>
      </c>
      <c r="I134" s="25"/>
    </row>
    <row r="135" spans="2:9" s="6" customFormat="1" ht="15.75" x14ac:dyDescent="0.25">
      <c r="B135" s="50"/>
      <c r="C135" s="34"/>
      <c r="D135" s="81"/>
      <c r="E135" s="82"/>
      <c r="F135" s="37"/>
      <c r="G135" s="52"/>
      <c r="H135" s="39"/>
      <c r="I135" s="25"/>
    </row>
    <row r="136" spans="2:9" s="6" customFormat="1" x14ac:dyDescent="0.2">
      <c r="B136" s="50"/>
      <c r="C136" s="34"/>
      <c r="D136" s="81"/>
      <c r="E136" s="82"/>
      <c r="F136" s="97"/>
      <c r="G136" s="52"/>
      <c r="H136" s="41"/>
      <c r="I136" s="25"/>
    </row>
    <row r="137" spans="2:9" s="6" customFormat="1" ht="15.75" thickBot="1" x14ac:dyDescent="0.25">
      <c r="B137" s="50" t="s">
        <v>88</v>
      </c>
      <c r="C137" s="34"/>
      <c r="D137" s="81"/>
      <c r="E137" s="86"/>
      <c r="F137" s="98"/>
      <c r="G137" s="88"/>
      <c r="H137" s="99"/>
      <c r="I137" s="25"/>
    </row>
    <row r="138" spans="2:9" s="6" customFormat="1" ht="15.75" x14ac:dyDescent="0.25">
      <c r="B138" s="50"/>
      <c r="C138" s="34"/>
      <c r="D138" s="81"/>
      <c r="E138" s="100"/>
      <c r="F138" s="101"/>
      <c r="G138" s="102" t="s">
        <v>89</v>
      </c>
      <c r="H138" s="103">
        <f>25000+15000</f>
        <v>40000</v>
      </c>
      <c r="I138" s="25"/>
    </row>
    <row r="139" spans="2:9" s="6" customFormat="1" ht="15.75" x14ac:dyDescent="0.25">
      <c r="B139" s="50"/>
      <c r="C139" s="34"/>
      <c r="D139" s="81"/>
      <c r="E139" s="82"/>
      <c r="F139" s="104"/>
      <c r="G139" s="105" t="s">
        <v>90</v>
      </c>
      <c r="H139" s="41">
        <v>35000</v>
      </c>
      <c r="I139" s="25"/>
    </row>
    <row r="140" spans="2:9" s="6" customFormat="1" ht="15.75" x14ac:dyDescent="0.25">
      <c r="B140" s="50"/>
      <c r="C140" s="34"/>
      <c r="D140" s="81"/>
      <c r="E140" s="82"/>
      <c r="F140" s="104"/>
      <c r="G140" s="105" t="s">
        <v>91</v>
      </c>
      <c r="H140" s="41"/>
      <c r="I140" s="25"/>
    </row>
    <row r="141" spans="2:9" s="6" customFormat="1" ht="15.75" x14ac:dyDescent="0.25">
      <c r="B141" s="50"/>
      <c r="C141" s="34"/>
      <c r="D141" s="81"/>
      <c r="E141" s="82"/>
      <c r="F141" s="104"/>
      <c r="G141" s="105" t="s">
        <v>92</v>
      </c>
      <c r="H141" s="41"/>
      <c r="I141" s="25"/>
    </row>
    <row r="142" spans="2:9" s="6" customFormat="1" ht="15.75" x14ac:dyDescent="0.25">
      <c r="B142" s="50"/>
      <c r="C142" s="34"/>
      <c r="D142" s="81"/>
      <c r="E142" s="82"/>
      <c r="F142" s="104"/>
      <c r="G142" s="105" t="s">
        <v>93</v>
      </c>
      <c r="H142" s="41"/>
      <c r="I142" s="25"/>
    </row>
    <row r="143" spans="2:9" s="6" customFormat="1" ht="15.75" x14ac:dyDescent="0.25">
      <c r="B143" s="50"/>
      <c r="C143" s="34"/>
      <c r="D143" s="81"/>
      <c r="E143" s="82"/>
      <c r="F143" s="104"/>
      <c r="G143" s="106" t="s">
        <v>137</v>
      </c>
      <c r="H143" s="107">
        <v>150</v>
      </c>
      <c r="I143" s="108"/>
    </row>
    <row r="144" spans="2:9" s="6" customFormat="1" ht="15.75" x14ac:dyDescent="0.25">
      <c r="B144" s="50"/>
      <c r="C144" s="34"/>
      <c r="D144" s="81"/>
      <c r="E144" s="82"/>
      <c r="F144" s="104"/>
      <c r="G144" s="106" t="s">
        <v>495</v>
      </c>
      <c r="H144" s="109">
        <f>300+500+300</f>
        <v>1100</v>
      </c>
      <c r="I144" s="108"/>
    </row>
    <row r="145" spans="2:9" s="6" customFormat="1" ht="15.75" x14ac:dyDescent="0.25">
      <c r="B145" s="50"/>
      <c r="C145" s="34"/>
      <c r="D145" s="81"/>
      <c r="E145" s="82"/>
      <c r="F145" s="104"/>
      <c r="G145" s="106" t="s">
        <v>95</v>
      </c>
      <c r="H145" s="109">
        <v>2100</v>
      </c>
      <c r="I145" s="108"/>
    </row>
    <row r="146" spans="2:9" s="6" customFormat="1" ht="15.75" x14ac:dyDescent="0.25">
      <c r="B146" s="50"/>
      <c r="C146" s="34"/>
      <c r="D146" s="81"/>
      <c r="E146" s="82"/>
      <c r="F146" s="104"/>
      <c r="G146" s="106" t="s">
        <v>96</v>
      </c>
      <c r="H146" s="107"/>
      <c r="I146" s="108"/>
    </row>
    <row r="147" spans="2:9" s="6" customFormat="1" ht="15.75" x14ac:dyDescent="0.25">
      <c r="B147" s="50"/>
      <c r="C147" s="34"/>
      <c r="D147" s="81"/>
      <c r="E147" s="82"/>
      <c r="F147" s="104"/>
      <c r="G147" s="106" t="s">
        <v>97</v>
      </c>
      <c r="H147" s="107"/>
      <c r="I147" s="108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138</v>
      </c>
      <c r="H148" s="107"/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246</v>
      </c>
      <c r="H149" s="107"/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335</v>
      </c>
      <c r="H150" s="107"/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99</v>
      </c>
      <c r="H151" s="107">
        <v>200</v>
      </c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100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101</v>
      </c>
      <c r="H153" s="107">
        <v>600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406</v>
      </c>
      <c r="H154" s="107"/>
      <c r="I154" s="108"/>
    </row>
    <row r="155" spans="2:9" s="6" customFormat="1" ht="15.75" x14ac:dyDescent="0.25">
      <c r="B155" s="50" t="s">
        <v>103</v>
      </c>
      <c r="C155" s="34" t="s">
        <v>103</v>
      </c>
      <c r="D155" s="81"/>
      <c r="E155" s="82"/>
      <c r="F155" s="104"/>
      <c r="G155" s="106" t="s">
        <v>104</v>
      </c>
      <c r="H155" s="107"/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503</v>
      </c>
      <c r="H156" s="107">
        <v>50120</v>
      </c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478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405</v>
      </c>
      <c r="H158" s="107"/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108</v>
      </c>
      <c r="H159" s="107"/>
      <c r="I159" s="108"/>
    </row>
    <row r="160" spans="2:9" s="6" customFormat="1" ht="15.75" x14ac:dyDescent="0.25">
      <c r="B160" s="50"/>
      <c r="C160" s="34"/>
      <c r="D160" s="81"/>
      <c r="E160" s="82"/>
      <c r="F160" s="104"/>
      <c r="G160" s="106" t="s">
        <v>109</v>
      </c>
      <c r="H160" s="107"/>
      <c r="I160" s="108"/>
    </row>
    <row r="161" spans="2:11" s="6" customFormat="1" ht="15.75" x14ac:dyDescent="0.25">
      <c r="B161" s="50"/>
      <c r="C161" s="34"/>
      <c r="D161" s="81"/>
      <c r="E161" s="110"/>
      <c r="F161" s="104"/>
      <c r="G161" s="111" t="s">
        <v>110</v>
      </c>
      <c r="H161" s="107"/>
      <c r="I161" s="108"/>
    </row>
    <row r="162" spans="2:11" s="118" customFormat="1" ht="16.5" thickBot="1" x14ac:dyDescent="0.3">
      <c r="B162" s="50"/>
      <c r="C162" s="112"/>
      <c r="D162" s="113"/>
      <c r="E162" s="114"/>
      <c r="F162" s="115"/>
      <c r="G162" s="116" t="s">
        <v>111</v>
      </c>
      <c r="H162" s="117"/>
      <c r="I162" s="108"/>
    </row>
    <row r="163" spans="2:11" s="11" customFormat="1" ht="15.75" x14ac:dyDescent="0.2">
      <c r="B163" s="119"/>
      <c r="C163" s="120"/>
      <c r="D163" s="121"/>
      <c r="E163" s="122"/>
      <c r="F163" s="101"/>
      <c r="G163" s="123" t="s">
        <v>112</v>
      </c>
      <c r="H163" s="124">
        <f>SUM(H10:H162)</f>
        <v>650410</v>
      </c>
      <c r="I163" s="125"/>
    </row>
    <row r="164" spans="2:11" ht="15.75" x14ac:dyDescent="0.25">
      <c r="B164" s="119"/>
      <c r="C164" s="126" t="s">
        <v>113</v>
      </c>
      <c r="D164" s="127">
        <f>SUM(D10:D163)</f>
        <v>769500</v>
      </c>
      <c r="E164" s="128"/>
      <c r="F164" s="129"/>
      <c r="G164" s="130" t="s">
        <v>114</v>
      </c>
      <c r="H164" s="131">
        <f>H9-H163</f>
        <v>366536</v>
      </c>
      <c r="I164" s="132"/>
    </row>
    <row r="165" spans="2:11" ht="16.5" thickBot="1" x14ac:dyDescent="0.3">
      <c r="B165" s="133"/>
      <c r="C165" s="134" t="s">
        <v>115</v>
      </c>
      <c r="D165" s="135">
        <f>D9+D164</f>
        <v>1016946</v>
      </c>
      <c r="E165" s="136"/>
      <c r="F165" s="137"/>
      <c r="G165" s="138" t="s">
        <v>116</v>
      </c>
      <c r="H165" s="139">
        <f>H163+H164</f>
        <v>1016946</v>
      </c>
      <c r="I165" s="132"/>
    </row>
    <row r="166" spans="2:11" ht="15.75" x14ac:dyDescent="0.25">
      <c r="B166" s="140"/>
      <c r="C166" s="140"/>
      <c r="D166" s="141"/>
      <c r="E166" s="142"/>
      <c r="F166" s="143"/>
      <c r="G166" s="144"/>
      <c r="H166" s="145"/>
      <c r="I166" s="145"/>
    </row>
    <row r="167" spans="2:11" ht="15.75" x14ac:dyDescent="0.25">
      <c r="B167" s="140"/>
      <c r="C167" s="140"/>
      <c r="D167" s="141"/>
      <c r="E167" s="142"/>
      <c r="F167" s="143"/>
      <c r="G167" s="144"/>
      <c r="H167" s="145"/>
      <c r="I167" s="145"/>
    </row>
    <row r="168" spans="2:11" ht="15.75" x14ac:dyDescent="0.25">
      <c r="B168" s="140"/>
      <c r="C168" s="140"/>
      <c r="D168" s="141"/>
      <c r="E168" s="142"/>
      <c r="F168" s="143"/>
      <c r="G168" s="144"/>
      <c r="H168" s="145"/>
      <c r="I168" s="145"/>
    </row>
    <row r="169" spans="2:11" ht="15.75" x14ac:dyDescent="0.25">
      <c r="B169" s="140"/>
      <c r="C169" s="140"/>
      <c r="D169" s="141"/>
      <c r="E169" s="142"/>
      <c r="F169" s="143"/>
      <c r="G169" s="144"/>
      <c r="H169" s="145"/>
      <c r="I169" s="145"/>
    </row>
    <row r="170" spans="2:11" ht="15.75" x14ac:dyDescent="0.25">
      <c r="B170" s="187" t="s">
        <v>117</v>
      </c>
      <c r="C170" s="187"/>
      <c r="D170" s="188" t="s">
        <v>118</v>
      </c>
      <c r="E170" s="188"/>
      <c r="F170" s="188"/>
      <c r="G170" s="146" t="s">
        <v>119</v>
      </c>
      <c r="H170" s="146" t="s">
        <v>120</v>
      </c>
      <c r="I170" s="146"/>
    </row>
    <row r="171" spans="2:11" ht="15.75" x14ac:dyDescent="0.25">
      <c r="B171" s="140"/>
      <c r="C171" s="140"/>
      <c r="D171" s="141"/>
      <c r="E171" s="142"/>
      <c r="F171" s="143"/>
      <c r="G171" s="147"/>
    </row>
    <row r="172" spans="2:11" x14ac:dyDescent="0.2">
      <c r="E172" s="5" t="s">
        <v>121</v>
      </c>
    </row>
    <row r="173" spans="2:11" x14ac:dyDescent="0.2">
      <c r="H173" s="151"/>
      <c r="I173" s="151"/>
    </row>
    <row r="174" spans="2:11" x14ac:dyDescent="0.2">
      <c r="H174" s="189"/>
      <c r="I174" s="189"/>
      <c r="J174" s="189"/>
    </row>
    <row r="175" spans="2:11" x14ac:dyDescent="0.2">
      <c r="B175" s="152" t="s">
        <v>122</v>
      </c>
      <c r="C175" s="153" t="s">
        <v>123</v>
      </c>
      <c r="D175" s="152" t="s">
        <v>124</v>
      </c>
      <c r="H175" s="151"/>
      <c r="I175" s="151"/>
    </row>
    <row r="176" spans="2:11" ht="23.25" x14ac:dyDescent="0.2">
      <c r="B176" s="154">
        <v>1</v>
      </c>
      <c r="C176" s="155" t="s">
        <v>125</v>
      </c>
      <c r="D176" s="156"/>
      <c r="H176" s="157"/>
      <c r="I176" s="157"/>
      <c r="J176" s="158"/>
      <c r="K176" s="159"/>
    </row>
    <row r="177" spans="2:11" ht="23.25" x14ac:dyDescent="0.2">
      <c r="B177" s="154">
        <v>2</v>
      </c>
      <c r="C177" s="155" t="s">
        <v>126</v>
      </c>
      <c r="D177" s="160"/>
      <c r="H177" s="157"/>
      <c r="I177" s="157"/>
      <c r="J177" s="158"/>
      <c r="K177" s="159"/>
    </row>
    <row r="178" spans="2:11" ht="23.25" x14ac:dyDescent="0.2">
      <c r="B178" s="154">
        <v>3</v>
      </c>
      <c r="C178" s="155" t="s">
        <v>127</v>
      </c>
      <c r="D178" s="160">
        <f>10000-5000</f>
        <v>5000</v>
      </c>
      <c r="H178" s="157"/>
      <c r="I178" s="157"/>
      <c r="J178" s="158"/>
      <c r="K178" s="159"/>
    </row>
    <row r="179" spans="2:11" ht="23.25" x14ac:dyDescent="0.3">
      <c r="B179" s="154">
        <v>4</v>
      </c>
      <c r="C179" s="155"/>
      <c r="D179" s="160"/>
      <c r="H179" s="161"/>
      <c r="I179" s="157"/>
      <c r="J179" s="158"/>
      <c r="K179" s="159"/>
    </row>
    <row r="180" spans="2:11" ht="23.25" x14ac:dyDescent="0.2">
      <c r="B180" s="154">
        <v>5</v>
      </c>
      <c r="C180" s="155" t="s">
        <v>128</v>
      </c>
      <c r="D180" s="162">
        <f>10000+20000+15000-15000</f>
        <v>30000</v>
      </c>
      <c r="H180" s="157"/>
      <c r="I180" s="157"/>
      <c r="J180" s="158"/>
      <c r="K180" s="159"/>
    </row>
    <row r="181" spans="2:11" ht="23.25" x14ac:dyDescent="0.2">
      <c r="B181" s="154">
        <v>6</v>
      </c>
      <c r="C181" s="155" t="s">
        <v>129</v>
      </c>
      <c r="D181" s="162">
        <f>2000+5000+2000-2000+1000+3000-3000+10000-6500</f>
        <v>11500</v>
      </c>
      <c r="H181" s="157"/>
      <c r="I181" s="157"/>
      <c r="J181" s="158"/>
      <c r="K181" s="159"/>
    </row>
    <row r="182" spans="2:11" ht="23.25" x14ac:dyDescent="0.2">
      <c r="B182" s="154">
        <v>7</v>
      </c>
      <c r="C182" s="155" t="s">
        <v>130</v>
      </c>
      <c r="D182" s="160">
        <f>-6700+100+10000-3450-1720-700-1950+4000+1000+5000</f>
        <v>5580</v>
      </c>
      <c r="H182" s="157"/>
      <c r="I182" s="157"/>
      <c r="J182" s="158"/>
      <c r="K182" s="159"/>
    </row>
    <row r="183" spans="2:11" ht="23.25" x14ac:dyDescent="0.2">
      <c r="B183" s="154">
        <v>8</v>
      </c>
      <c r="C183" s="163" t="s">
        <v>343</v>
      </c>
      <c r="D183" s="164">
        <f>3300+4300</f>
        <v>7600</v>
      </c>
      <c r="H183" s="157"/>
      <c r="I183" s="157"/>
      <c r="J183" s="158"/>
      <c r="K183" s="159"/>
    </row>
    <row r="184" spans="2:11" ht="23.25" x14ac:dyDescent="0.2">
      <c r="B184" s="154">
        <v>9</v>
      </c>
      <c r="C184" s="163" t="s">
        <v>132</v>
      </c>
      <c r="D184" s="165">
        <v>3000</v>
      </c>
      <c r="H184" s="166"/>
      <c r="I184" s="158"/>
      <c r="J184" s="158"/>
      <c r="K184" s="159"/>
    </row>
    <row r="185" spans="2:11" ht="23.25" x14ac:dyDescent="0.2">
      <c r="B185" s="154">
        <v>10</v>
      </c>
      <c r="C185" s="155" t="s">
        <v>133</v>
      </c>
      <c r="D185" s="160">
        <f>2610+10000-10000-21800+5000+8000-11800+6000+13080+8720+14497+13080+8720+13080-30000+8000-11500-40000+10000+10900+10900+10900+17549-27000-17000+8000</f>
        <v>9936</v>
      </c>
      <c r="H185" s="167"/>
      <c r="I185" s="158"/>
      <c r="J185" s="158"/>
      <c r="K185" s="159"/>
    </row>
    <row r="186" spans="2:11" ht="23.25" x14ac:dyDescent="0.3">
      <c r="B186" s="154">
        <v>11</v>
      </c>
      <c r="C186" s="155" t="s">
        <v>264</v>
      </c>
      <c r="D186" s="160" t="s">
        <v>103</v>
      </c>
      <c r="E186" s="168"/>
      <c r="G186" s="150" t="s">
        <v>121</v>
      </c>
      <c r="H186" s="169"/>
      <c r="I186" s="158"/>
      <c r="J186" s="158"/>
      <c r="K186" s="159"/>
    </row>
    <row r="187" spans="2:11" ht="23.25" x14ac:dyDescent="0.2">
      <c r="B187" s="154"/>
      <c r="C187" s="170" t="s">
        <v>135</v>
      </c>
      <c r="D187" s="171">
        <f>SUM(D176:D186)</f>
        <v>72616</v>
      </c>
      <c r="F187" s="172"/>
      <c r="H187" s="167"/>
      <c r="I187" s="158"/>
      <c r="J187" s="158"/>
      <c r="K187" s="159"/>
    </row>
    <row r="188" spans="2:11" ht="23.25" x14ac:dyDescent="0.2">
      <c r="D188" s="173">
        <f>-13300-4953+6000-80+9800</f>
        <v>-2533</v>
      </c>
      <c r="E188" s="174"/>
      <c r="H188" s="167"/>
      <c r="I188" s="175"/>
      <c r="J188" s="158"/>
      <c r="K188" s="159"/>
    </row>
    <row r="189" spans="2:11" ht="23.25" x14ac:dyDescent="0.25">
      <c r="D189" s="176">
        <v>3470</v>
      </c>
      <c r="E189" s="5" t="s">
        <v>243</v>
      </c>
      <c r="F189" s="177"/>
      <c r="H189" s="178"/>
      <c r="I189" s="175"/>
      <c r="J189" s="175"/>
      <c r="K189" s="159"/>
    </row>
    <row r="190" spans="2:11" ht="23.25" x14ac:dyDescent="0.2">
      <c r="D190" s="176"/>
      <c r="H190" s="179"/>
      <c r="I190" s="180"/>
      <c r="J190" s="158"/>
      <c r="K190" s="159"/>
    </row>
    <row r="191" spans="2:11" ht="23.25" x14ac:dyDescent="0.25">
      <c r="B191" s="5"/>
      <c r="D191" s="181">
        <v>15000</v>
      </c>
      <c r="E191" s="178" t="s">
        <v>253</v>
      </c>
      <c r="G191" s="178"/>
      <c r="H191" s="167"/>
      <c r="I191" s="5"/>
      <c r="J191" s="158"/>
      <c r="K191" s="159"/>
    </row>
    <row r="192" spans="2:11" ht="15.75" x14ac:dyDescent="0.25">
      <c r="B192" s="5"/>
      <c r="D192" s="181"/>
      <c r="E192" s="178"/>
      <c r="G192" s="178"/>
      <c r="H192" s="167"/>
      <c r="I192" s="5"/>
      <c r="J192" s="175"/>
    </row>
    <row r="193" spans="2:9" ht="15.75" x14ac:dyDescent="0.25">
      <c r="D193" s="181"/>
      <c r="E193" s="178"/>
      <c r="H193" s="182"/>
    </row>
    <row r="194" spans="2:9" x14ac:dyDescent="0.2">
      <c r="B194" s="5"/>
      <c r="D194" s="176"/>
      <c r="F194" s="5"/>
      <c r="G194" s="5"/>
      <c r="H194" s="183"/>
      <c r="I194" s="5"/>
    </row>
    <row r="195" spans="2:9" x14ac:dyDescent="0.2">
      <c r="D195" s="184">
        <f>SUM(D188:D194)+D187</f>
        <v>88553</v>
      </c>
      <c r="H195" s="182"/>
    </row>
    <row r="196" spans="2:9" x14ac:dyDescent="0.2">
      <c r="B196" s="5"/>
      <c r="D196" s="185">
        <f>D195-H164</f>
        <v>-277983</v>
      </c>
      <c r="F196" s="5"/>
      <c r="G196" s="5"/>
      <c r="H196" s="178"/>
      <c r="I196" s="5"/>
    </row>
    <row r="197" spans="2:9" x14ac:dyDescent="0.2">
      <c r="H197" s="182"/>
    </row>
    <row r="198" spans="2:9" x14ac:dyDescent="0.2">
      <c r="H198" s="182"/>
    </row>
    <row r="199" spans="2:9" x14ac:dyDescent="0.2">
      <c r="H199" s="182"/>
    </row>
    <row r="200" spans="2:9" x14ac:dyDescent="0.2">
      <c r="H200" s="182"/>
    </row>
    <row r="201" spans="2:9" x14ac:dyDescent="0.2">
      <c r="B201" s="5"/>
      <c r="D201" s="5"/>
      <c r="F201" s="5"/>
      <c r="G201" s="5"/>
      <c r="H201" s="182"/>
      <c r="I201" s="5"/>
    </row>
    <row r="202" spans="2:9" ht="15.75" x14ac:dyDescent="0.25">
      <c r="B202" s="5"/>
      <c r="D202" s="5"/>
      <c r="F202" s="5"/>
      <c r="G202" s="5"/>
      <c r="H202" s="145"/>
      <c r="I202" s="5"/>
    </row>
    <row r="203" spans="2:9" x14ac:dyDescent="0.2">
      <c r="B203" s="5"/>
      <c r="D203" s="5"/>
      <c r="F203" s="5"/>
      <c r="G203" s="5"/>
      <c r="H203" s="182"/>
      <c r="I203" s="5"/>
    </row>
    <row r="204" spans="2:9" x14ac:dyDescent="0.2">
      <c r="B204" s="5"/>
      <c r="D204" s="5"/>
      <c r="F204" s="5"/>
      <c r="G204" s="5"/>
      <c r="H204" s="182"/>
      <c r="I204" s="5"/>
    </row>
    <row r="205" spans="2:9" x14ac:dyDescent="0.2">
      <c r="B205" s="5"/>
      <c r="D205" s="5"/>
      <c r="F205" s="5"/>
      <c r="G205" s="5"/>
      <c r="H205" s="182"/>
      <c r="I205" s="5"/>
    </row>
    <row r="207" spans="2:9" x14ac:dyDescent="0.2">
      <c r="B207" s="5"/>
      <c r="D207" s="5"/>
      <c r="F207" s="5"/>
      <c r="G207" s="5"/>
      <c r="H207" s="182"/>
      <c r="I207" s="5"/>
    </row>
    <row r="208" spans="2:9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1" spans="8:8" s="5" customFormat="1" x14ac:dyDescent="0.2">
      <c r="H211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</sheetData>
  <mergeCells count="24">
    <mergeCell ref="B170:C170"/>
    <mergeCell ref="D170:F170"/>
    <mergeCell ref="H174:J174"/>
    <mergeCell ref="H7:H8"/>
    <mergeCell ref="B9:C9"/>
    <mergeCell ref="F9:G9"/>
    <mergeCell ref="F10:G10"/>
    <mergeCell ref="E118:G118"/>
    <mergeCell ref="E121:G121"/>
    <mergeCell ref="B7:B8"/>
    <mergeCell ref="C7:C8"/>
    <mergeCell ref="D7:D8"/>
    <mergeCell ref="E7:E8"/>
    <mergeCell ref="F7:F8"/>
    <mergeCell ref="G7:G8"/>
    <mergeCell ref="E124:G124"/>
    <mergeCell ref="E127:G127"/>
    <mergeCell ref="E133:G133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9F41-99BD-4F14-BBC0-2BA32D15BC9A}">
  <dimension ref="B1:K321"/>
  <sheetViews>
    <sheetView topLeftCell="A155" workbookViewId="0">
      <selection activeCell="A155" sqref="A1:XFD1048576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550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366536</v>
      </c>
      <c r="E9" s="17"/>
      <c r="F9" s="194" t="s">
        <v>10</v>
      </c>
      <c r="G9" s="195"/>
      <c r="H9" s="18">
        <f>D170</f>
        <v>1187236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800000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 t="s">
        <v>551</v>
      </c>
      <c r="C12" s="34" t="s">
        <v>552</v>
      </c>
      <c r="D12" s="35">
        <v>9000</v>
      </c>
      <c r="E12" s="36">
        <v>101</v>
      </c>
      <c r="F12" s="37" t="s">
        <v>14</v>
      </c>
      <c r="G12" s="38" t="s">
        <v>601</v>
      </c>
      <c r="H12" s="39">
        <v>2000</v>
      </c>
      <c r="I12" s="25"/>
    </row>
    <row r="13" spans="2:9" s="6" customFormat="1" ht="15.75" x14ac:dyDescent="0.25">
      <c r="B13" s="33" t="s">
        <v>344</v>
      </c>
      <c r="C13" s="34" t="s">
        <v>553</v>
      </c>
      <c r="D13" s="35">
        <v>9700</v>
      </c>
      <c r="E13" s="36">
        <v>101</v>
      </c>
      <c r="F13" s="37" t="s">
        <v>15</v>
      </c>
      <c r="G13" s="40"/>
      <c r="H13" s="41"/>
      <c r="I13" s="25"/>
    </row>
    <row r="14" spans="2:9" s="6" customFormat="1" ht="15.75" x14ac:dyDescent="0.25">
      <c r="B14" s="33"/>
      <c r="C14" s="34" t="s">
        <v>554</v>
      </c>
      <c r="D14" s="35">
        <v>2000</v>
      </c>
      <c r="E14" s="36">
        <v>101</v>
      </c>
      <c r="F14" s="37" t="s">
        <v>16</v>
      </c>
      <c r="G14" s="40" t="s">
        <v>575</v>
      </c>
      <c r="H14" s="42">
        <v>3000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579</v>
      </c>
      <c r="H15" s="42">
        <v>2100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558</v>
      </c>
      <c r="H16" s="42">
        <v>500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/>
      <c r="H18" s="42"/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626</v>
      </c>
      <c r="H19" s="42">
        <v>1600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/>
      <c r="H20" s="39"/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/>
      <c r="H23" s="42"/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615</v>
      </c>
      <c r="H25" s="51">
        <v>1500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/>
      <c r="H28" s="39"/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562</v>
      </c>
      <c r="H30" s="42">
        <v>1600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/>
      <c r="H31" s="42"/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591</v>
      </c>
      <c r="H32" s="39">
        <v>2100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593</v>
      </c>
      <c r="H33" s="39">
        <v>2150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578</v>
      </c>
      <c r="H36" s="42">
        <f>1500+1000</f>
        <v>2500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/>
      <c r="H38" s="57"/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624</v>
      </c>
      <c r="H39" s="59">
        <v>11300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566</v>
      </c>
      <c r="H40" s="39">
        <v>2200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631</v>
      </c>
      <c r="H41" s="39">
        <f>5600+1100</f>
        <v>6700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 t="s">
        <v>607</v>
      </c>
      <c r="H42" s="39">
        <v>650</v>
      </c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594</v>
      </c>
      <c r="H43" s="39">
        <v>6700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/>
      <c r="H44" s="57"/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/>
      <c r="H45" s="32"/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563</v>
      </c>
      <c r="H46" s="42">
        <v>7000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/>
      <c r="H47" s="42"/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 t="s">
        <v>627</v>
      </c>
      <c r="H48" s="42">
        <v>18100</v>
      </c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/>
      <c r="H49" s="42"/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/>
      <c r="H50" s="42"/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561</v>
      </c>
      <c r="H51" s="62">
        <v>2000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 t="s">
        <v>586</v>
      </c>
      <c r="H59" s="39">
        <v>14300</v>
      </c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 t="s">
        <v>604</v>
      </c>
      <c r="H61" s="39">
        <v>7100</v>
      </c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 t="s">
        <v>606</v>
      </c>
      <c r="H64" s="39">
        <v>17600</v>
      </c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 t="s">
        <v>580</v>
      </c>
      <c r="H65" s="67">
        <v>1800</v>
      </c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 t="s">
        <v>590</v>
      </c>
      <c r="H68" s="39">
        <v>17700</v>
      </c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 t="s">
        <v>589</v>
      </c>
      <c r="H69" s="39">
        <v>17100</v>
      </c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 t="s">
        <v>585</v>
      </c>
      <c r="H70" s="39">
        <v>12500</v>
      </c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/>
      <c r="H71" s="69"/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 t="s">
        <v>592</v>
      </c>
      <c r="H75" s="39">
        <v>4800</v>
      </c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317</v>
      </c>
      <c r="G78" s="84" t="s">
        <v>559</v>
      </c>
      <c r="H78" s="39">
        <v>11500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256</v>
      </c>
      <c r="G79" s="84" t="s">
        <v>568</v>
      </c>
      <c r="H79" s="39">
        <v>11500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570</v>
      </c>
      <c r="G80" s="68" t="s">
        <v>571</v>
      </c>
      <c r="H80" s="69">
        <v>11500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156</v>
      </c>
      <c r="G81" s="68" t="s">
        <v>572</v>
      </c>
      <c r="H81" s="69">
        <v>16000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278</v>
      </c>
      <c r="G82" s="68" t="s">
        <v>573</v>
      </c>
      <c r="H82" s="69">
        <v>15000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574</v>
      </c>
      <c r="G83" s="68" t="s">
        <v>297</v>
      </c>
      <c r="H83" s="69">
        <v>11200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576</v>
      </c>
      <c r="G84" s="68" t="s">
        <v>577</v>
      </c>
      <c r="H84" s="69">
        <v>19500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581</v>
      </c>
      <c r="G85" s="68" t="s">
        <v>582</v>
      </c>
      <c r="H85" s="69">
        <v>13000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583</v>
      </c>
      <c r="G86" s="68" t="s">
        <v>584</v>
      </c>
      <c r="H86" s="69">
        <v>16500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588</v>
      </c>
      <c r="G87" s="68" t="s">
        <v>587</v>
      </c>
      <c r="H87" s="69">
        <v>11500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595</v>
      </c>
      <c r="G88" s="68" t="s">
        <v>596</v>
      </c>
      <c r="H88" s="69">
        <v>12000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597</v>
      </c>
      <c r="G89" s="68" t="s">
        <v>598</v>
      </c>
      <c r="H89" s="69">
        <v>17800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599</v>
      </c>
      <c r="G90" s="68" t="s">
        <v>600</v>
      </c>
      <c r="H90" s="69">
        <v>11500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602</v>
      </c>
      <c r="G91" s="68" t="s">
        <v>603</v>
      </c>
      <c r="H91" s="69">
        <v>13500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311</v>
      </c>
      <c r="G92" s="68" t="s">
        <v>605</v>
      </c>
      <c r="H92" s="69">
        <v>14500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608</v>
      </c>
      <c r="G93" s="68" t="s">
        <v>609</v>
      </c>
      <c r="H93" s="69">
        <v>14000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610</v>
      </c>
      <c r="G94" s="68" t="s">
        <v>611</v>
      </c>
      <c r="H94" s="69">
        <v>12300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309</v>
      </c>
      <c r="G95" s="68" t="s">
        <v>612</v>
      </c>
      <c r="H95" s="69">
        <v>20000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613</v>
      </c>
      <c r="G96" s="68" t="s">
        <v>614</v>
      </c>
      <c r="H96" s="69">
        <v>11300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616</v>
      </c>
      <c r="G97" s="68" t="s">
        <v>617</v>
      </c>
      <c r="H97" s="69">
        <v>19500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618</v>
      </c>
      <c r="G98" s="68" t="s">
        <v>619</v>
      </c>
      <c r="H98" s="69">
        <v>11500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 t="s">
        <v>368</v>
      </c>
      <c r="G99" s="68" t="s">
        <v>620</v>
      </c>
      <c r="H99" s="69">
        <v>15500</v>
      </c>
      <c r="I99" s="46"/>
    </row>
    <row r="100" spans="2:9" s="6" customFormat="1" x14ac:dyDescent="0.2">
      <c r="B100" s="50"/>
      <c r="C100" s="34"/>
      <c r="D100" s="81"/>
      <c r="E100" s="82">
        <v>102</v>
      </c>
      <c r="F100" s="85" t="s">
        <v>158</v>
      </c>
      <c r="G100" s="68" t="s">
        <v>621</v>
      </c>
      <c r="H100" s="69">
        <v>12500</v>
      </c>
      <c r="I100" s="46"/>
    </row>
    <row r="101" spans="2:9" s="6" customFormat="1" x14ac:dyDescent="0.2">
      <c r="B101" s="50"/>
      <c r="C101" s="34"/>
      <c r="D101" s="81"/>
      <c r="E101" s="82">
        <v>102</v>
      </c>
      <c r="F101" s="85" t="s">
        <v>237</v>
      </c>
      <c r="G101" s="68" t="s">
        <v>622</v>
      </c>
      <c r="H101" s="69">
        <v>20000</v>
      </c>
      <c r="I101" s="46"/>
    </row>
    <row r="102" spans="2:9" s="6" customFormat="1" x14ac:dyDescent="0.2">
      <c r="B102" s="50"/>
      <c r="C102" s="34"/>
      <c r="D102" s="81"/>
      <c r="E102" s="82">
        <v>102</v>
      </c>
      <c r="F102" s="85" t="s">
        <v>228</v>
      </c>
      <c r="G102" s="68" t="s">
        <v>623</v>
      </c>
      <c r="H102" s="69">
        <v>20000</v>
      </c>
      <c r="I102" s="46"/>
    </row>
    <row r="103" spans="2:9" s="6" customFormat="1" x14ac:dyDescent="0.2">
      <c r="B103" s="50"/>
      <c r="C103" s="34"/>
      <c r="D103" s="81"/>
      <c r="E103" s="82">
        <v>102</v>
      </c>
      <c r="F103" s="85" t="s">
        <v>629</v>
      </c>
      <c r="G103" s="68" t="s">
        <v>630</v>
      </c>
      <c r="H103" s="69">
        <v>22500</v>
      </c>
      <c r="I103" s="46"/>
    </row>
    <row r="104" spans="2:9" s="6" customFormat="1" x14ac:dyDescent="0.2">
      <c r="B104" s="50"/>
      <c r="C104" s="34"/>
      <c r="D104" s="81"/>
      <c r="E104" s="82">
        <v>102</v>
      </c>
      <c r="F104" s="85" t="s">
        <v>189</v>
      </c>
      <c r="G104" s="68" t="s">
        <v>632</v>
      </c>
      <c r="H104" s="69">
        <v>20500</v>
      </c>
      <c r="I104" s="46"/>
    </row>
    <row r="105" spans="2:9" s="6" customFormat="1" ht="15.75" thickBot="1" x14ac:dyDescent="0.25">
      <c r="B105" s="50"/>
      <c r="C105" s="34"/>
      <c r="D105" s="81"/>
      <c r="E105" s="86">
        <v>102</v>
      </c>
      <c r="F105" s="87"/>
      <c r="G105" s="88"/>
      <c r="H105" s="57"/>
      <c r="I105" s="46"/>
    </row>
    <row r="106" spans="2:9" s="6" customFormat="1" ht="15.75" x14ac:dyDescent="0.25">
      <c r="B106" s="50"/>
      <c r="C106" s="34"/>
      <c r="D106" s="81"/>
      <c r="E106" s="78">
        <v>103</v>
      </c>
      <c r="F106" s="79"/>
      <c r="G106" s="80" t="s">
        <v>80</v>
      </c>
      <c r="H106" s="59"/>
      <c r="I106" s="46"/>
    </row>
    <row r="107" spans="2:9" s="6" customFormat="1" x14ac:dyDescent="0.2">
      <c r="B107" s="50"/>
      <c r="C107" s="34"/>
      <c r="D107" s="81"/>
      <c r="E107" s="82">
        <v>103</v>
      </c>
      <c r="F107" s="85"/>
      <c r="G107" s="68" t="s">
        <v>569</v>
      </c>
      <c r="H107" s="69">
        <v>1000</v>
      </c>
      <c r="I107" s="46"/>
    </row>
    <row r="108" spans="2:9" s="6" customFormat="1" x14ac:dyDescent="0.2">
      <c r="B108" s="50"/>
      <c r="C108" s="34"/>
      <c r="D108" s="81"/>
      <c r="E108" s="82">
        <v>103</v>
      </c>
      <c r="F108" s="85" t="s">
        <v>625</v>
      </c>
      <c r="G108" s="68" t="s">
        <v>186</v>
      </c>
      <c r="H108" s="69">
        <v>550</v>
      </c>
      <c r="I108" s="46"/>
    </row>
    <row r="109" spans="2:9" s="6" customFormat="1" x14ac:dyDescent="0.2">
      <c r="B109" s="50"/>
      <c r="C109" s="34"/>
      <c r="D109" s="81"/>
      <c r="E109" s="82">
        <v>103</v>
      </c>
      <c r="F109" s="85" t="s">
        <v>479</v>
      </c>
      <c r="G109" s="68" t="s">
        <v>330</v>
      </c>
      <c r="H109" s="69">
        <v>500</v>
      </c>
      <c r="I109" s="46"/>
    </row>
    <row r="110" spans="2:9" s="6" customFormat="1" x14ac:dyDescent="0.2">
      <c r="B110" s="50"/>
      <c r="C110" s="34"/>
      <c r="D110" s="81"/>
      <c r="E110" s="82">
        <v>103</v>
      </c>
      <c r="F110" s="85"/>
      <c r="G110" s="68"/>
      <c r="H110" s="69"/>
      <c r="I110" s="46"/>
    </row>
    <row r="111" spans="2:9" s="6" customFormat="1" x14ac:dyDescent="0.2">
      <c r="B111" s="50"/>
      <c r="C111" s="34"/>
      <c r="D111" s="81"/>
      <c r="E111" s="82">
        <v>103</v>
      </c>
      <c r="F111" s="85"/>
      <c r="G111" s="68"/>
      <c r="H111" s="69"/>
      <c r="I111" s="46"/>
    </row>
    <row r="112" spans="2:9" s="6" customFormat="1" x14ac:dyDescent="0.2">
      <c r="B112" s="50"/>
      <c r="C112" s="34"/>
      <c r="D112" s="81"/>
      <c r="E112" s="82">
        <v>103</v>
      </c>
      <c r="F112" s="85"/>
      <c r="G112" s="68"/>
      <c r="H112" s="69"/>
      <c r="I112" s="46"/>
    </row>
    <row r="113" spans="2:9" s="6" customFormat="1" ht="15.75" thickBot="1" x14ac:dyDescent="0.25">
      <c r="B113" s="50"/>
      <c r="C113" s="34"/>
      <c r="D113" s="81"/>
      <c r="E113" s="82">
        <v>103</v>
      </c>
      <c r="F113" s="87"/>
      <c r="G113" s="88"/>
      <c r="H113" s="57"/>
      <c r="I113" s="46"/>
    </row>
    <row r="114" spans="2:9" s="6" customFormat="1" ht="15.75" x14ac:dyDescent="0.25">
      <c r="B114" s="50"/>
      <c r="C114" s="34"/>
      <c r="D114" s="81"/>
      <c r="E114" s="89">
        <v>104</v>
      </c>
      <c r="F114" s="79"/>
      <c r="G114" s="80" t="s">
        <v>81</v>
      </c>
      <c r="H114" s="59"/>
      <c r="I114" s="46"/>
    </row>
    <row r="115" spans="2:9" s="6" customFormat="1" x14ac:dyDescent="0.2">
      <c r="B115" s="50"/>
      <c r="C115" s="34"/>
      <c r="D115" s="81"/>
      <c r="E115" s="82">
        <v>104</v>
      </c>
      <c r="F115" s="83" t="s">
        <v>556</v>
      </c>
      <c r="G115" s="84" t="s">
        <v>557</v>
      </c>
      <c r="H115" s="39">
        <v>10000</v>
      </c>
      <c r="I115" s="46"/>
    </row>
    <row r="116" spans="2:9" s="6" customFormat="1" x14ac:dyDescent="0.2">
      <c r="B116" s="50"/>
      <c r="C116" s="34"/>
      <c r="D116" s="81"/>
      <c r="E116" s="82">
        <v>104</v>
      </c>
      <c r="F116" s="85" t="s">
        <v>565</v>
      </c>
      <c r="G116" s="84" t="s">
        <v>490</v>
      </c>
      <c r="H116" s="69">
        <v>17500</v>
      </c>
      <c r="I116" s="46"/>
    </row>
    <row r="117" spans="2:9" s="6" customFormat="1" x14ac:dyDescent="0.2">
      <c r="B117" s="50"/>
      <c r="C117" s="34"/>
      <c r="D117" s="81"/>
      <c r="E117" s="82">
        <v>104</v>
      </c>
      <c r="F117" s="85" t="s">
        <v>256</v>
      </c>
      <c r="G117" s="68" t="s">
        <v>567</v>
      </c>
      <c r="H117" s="69">
        <v>1000</v>
      </c>
      <c r="I117" s="46"/>
    </row>
    <row r="118" spans="2:9" s="6" customFormat="1" x14ac:dyDescent="0.2">
      <c r="B118" s="50"/>
      <c r="C118" s="34"/>
      <c r="D118" s="81"/>
      <c r="E118" s="82">
        <v>104</v>
      </c>
      <c r="F118" s="85" t="s">
        <v>189</v>
      </c>
      <c r="G118" s="68" t="s">
        <v>471</v>
      </c>
      <c r="H118" s="69">
        <v>1000</v>
      </c>
      <c r="I118" s="46"/>
    </row>
    <row r="119" spans="2:9" s="6" customFormat="1" x14ac:dyDescent="0.2">
      <c r="B119" s="50"/>
      <c r="C119" s="34"/>
      <c r="D119" s="81"/>
      <c r="E119" s="82">
        <v>104</v>
      </c>
      <c r="F119" s="85"/>
      <c r="G119" s="68"/>
      <c r="H119" s="69"/>
      <c r="I119" s="46"/>
    </row>
    <row r="120" spans="2:9" s="6" customFormat="1" x14ac:dyDescent="0.2">
      <c r="B120" s="50"/>
      <c r="C120" s="34"/>
      <c r="D120" s="81"/>
      <c r="E120" s="82">
        <v>104</v>
      </c>
      <c r="F120" s="85"/>
      <c r="G120" s="68"/>
      <c r="H120" s="69"/>
      <c r="I120" s="46"/>
    </row>
    <row r="121" spans="2:9" s="6" customFormat="1" ht="15.75" thickBot="1" x14ac:dyDescent="0.25">
      <c r="B121" s="50"/>
      <c r="C121" s="34"/>
      <c r="D121" s="81"/>
      <c r="E121" s="82">
        <v>104</v>
      </c>
      <c r="F121" s="87"/>
      <c r="G121" s="88"/>
      <c r="H121" s="57"/>
      <c r="I121" s="46"/>
    </row>
    <row r="122" spans="2:9" s="6" customFormat="1" ht="15.75" x14ac:dyDescent="0.25">
      <c r="B122" s="50"/>
      <c r="C122" s="34"/>
      <c r="D122" s="81"/>
      <c r="E122" s="90"/>
      <c r="F122" s="91"/>
      <c r="G122" s="92" t="s">
        <v>82</v>
      </c>
      <c r="H122" s="93"/>
      <c r="I122" s="25"/>
    </row>
    <row r="123" spans="2:9" s="6" customFormat="1" ht="15.75" x14ac:dyDescent="0.25">
      <c r="B123" s="50"/>
      <c r="C123" s="34"/>
      <c r="D123" s="81"/>
      <c r="E123" s="197" t="s">
        <v>83</v>
      </c>
      <c r="F123" s="198"/>
      <c r="G123" s="199"/>
      <c r="H123" s="41"/>
      <c r="I123" s="25"/>
    </row>
    <row r="124" spans="2:9" s="6" customFormat="1" ht="15.75" x14ac:dyDescent="0.2">
      <c r="B124" s="50"/>
      <c r="C124" s="34"/>
      <c r="D124" s="81"/>
      <c r="E124" s="82"/>
      <c r="F124" s="94"/>
      <c r="G124" s="52"/>
      <c r="H124" s="67"/>
      <c r="I124" s="25"/>
    </row>
    <row r="125" spans="2:9" s="6" customFormat="1" ht="15.75" x14ac:dyDescent="0.2">
      <c r="B125" s="50"/>
      <c r="C125" s="34"/>
      <c r="D125" s="81"/>
      <c r="E125" s="82"/>
      <c r="F125" s="94"/>
      <c r="G125" s="52"/>
      <c r="H125" s="67"/>
      <c r="I125" s="25"/>
    </row>
    <row r="126" spans="2:9" s="6" customFormat="1" ht="15.75" x14ac:dyDescent="0.25">
      <c r="B126" s="50"/>
      <c r="C126" s="34"/>
      <c r="D126" s="81"/>
      <c r="E126" s="197" t="s">
        <v>84</v>
      </c>
      <c r="F126" s="198"/>
      <c r="G126" s="199"/>
      <c r="H126" s="41"/>
      <c r="I126" s="25"/>
    </row>
    <row r="127" spans="2:9" s="6" customFormat="1" ht="15.75" x14ac:dyDescent="0.2">
      <c r="B127" s="50"/>
      <c r="C127" s="34"/>
      <c r="D127" s="81"/>
      <c r="E127" s="82"/>
      <c r="F127" s="94"/>
      <c r="G127" s="52"/>
      <c r="H127" s="67"/>
      <c r="I127" s="25"/>
    </row>
    <row r="128" spans="2:9" s="6" customFormat="1" ht="15.75" x14ac:dyDescent="0.25">
      <c r="B128" s="50"/>
      <c r="C128" s="34"/>
      <c r="D128" s="81"/>
      <c r="E128" s="82"/>
      <c r="F128" s="37"/>
      <c r="G128" s="84"/>
      <c r="H128" s="41"/>
      <c r="I128" s="25"/>
    </row>
    <row r="129" spans="2:9" s="6" customFormat="1" ht="15.75" x14ac:dyDescent="0.25">
      <c r="B129" s="50"/>
      <c r="C129" s="34"/>
      <c r="D129" s="81"/>
      <c r="E129" s="197" t="s">
        <v>85</v>
      </c>
      <c r="F129" s="198"/>
      <c r="G129" s="199"/>
      <c r="H129" s="41"/>
      <c r="I129" s="25"/>
    </row>
    <row r="130" spans="2:9" s="6" customFormat="1" x14ac:dyDescent="0.2">
      <c r="B130" s="50"/>
      <c r="C130" s="34"/>
      <c r="D130" s="81"/>
      <c r="E130" s="82"/>
      <c r="F130" s="83"/>
      <c r="G130" s="84"/>
      <c r="H130" s="41"/>
      <c r="I130" s="25"/>
    </row>
    <row r="131" spans="2:9" s="6" customFormat="1" x14ac:dyDescent="0.2">
      <c r="B131" s="50"/>
      <c r="C131" s="34"/>
      <c r="D131" s="81"/>
      <c r="E131" s="82"/>
      <c r="F131" s="83"/>
      <c r="G131" s="84"/>
      <c r="H131" s="41"/>
      <c r="I131" s="25"/>
    </row>
    <row r="132" spans="2:9" s="6" customFormat="1" ht="15.75" x14ac:dyDescent="0.25">
      <c r="B132" s="50"/>
      <c r="C132" s="34"/>
      <c r="D132" s="81"/>
      <c r="E132" s="197" t="s">
        <v>86</v>
      </c>
      <c r="F132" s="198"/>
      <c r="G132" s="199"/>
      <c r="H132" s="41"/>
      <c r="I132" s="25"/>
    </row>
    <row r="133" spans="2:9" s="6" customFormat="1" ht="15.75" x14ac:dyDescent="0.25">
      <c r="B133" s="50"/>
      <c r="C133" s="34"/>
      <c r="D133" s="81"/>
      <c r="E133" s="89"/>
      <c r="F133" s="95" t="s">
        <v>256</v>
      </c>
      <c r="G133" s="52" t="s">
        <v>258</v>
      </c>
      <c r="H133" s="39">
        <v>11000</v>
      </c>
      <c r="I133" s="25"/>
    </row>
    <row r="134" spans="2:9" s="6" customFormat="1" ht="15.75" x14ac:dyDescent="0.25">
      <c r="B134" s="50"/>
      <c r="C134" s="34"/>
      <c r="D134" s="81"/>
      <c r="E134" s="89"/>
      <c r="F134" s="95" t="s">
        <v>228</v>
      </c>
      <c r="G134" s="52" t="s">
        <v>258</v>
      </c>
      <c r="H134" s="39">
        <v>11000</v>
      </c>
      <c r="I134" s="25"/>
    </row>
    <row r="135" spans="2:9" s="6" customFormat="1" ht="15.75" x14ac:dyDescent="0.25">
      <c r="B135" s="50"/>
      <c r="C135" s="34"/>
      <c r="D135" s="81"/>
      <c r="E135" s="89"/>
      <c r="F135" s="95" t="s">
        <v>237</v>
      </c>
      <c r="G135" s="52" t="s">
        <v>258</v>
      </c>
      <c r="H135" s="39">
        <v>11000</v>
      </c>
      <c r="I135" s="25"/>
    </row>
    <row r="136" spans="2:9" s="6" customFormat="1" ht="15.75" x14ac:dyDescent="0.25">
      <c r="B136" s="50"/>
      <c r="C136" s="34"/>
      <c r="D136" s="81"/>
      <c r="E136" s="89"/>
      <c r="F136" s="95"/>
      <c r="G136" s="52"/>
      <c r="H136" s="39"/>
      <c r="I136" s="25"/>
    </row>
    <row r="137" spans="2:9" s="6" customFormat="1" x14ac:dyDescent="0.2">
      <c r="B137" s="50"/>
      <c r="C137" s="34"/>
      <c r="D137" s="81"/>
      <c r="E137" s="82"/>
      <c r="F137" s="96"/>
      <c r="G137" s="84"/>
      <c r="H137" s="41"/>
      <c r="I137" s="25"/>
    </row>
    <row r="138" spans="2:9" s="6" customFormat="1" ht="15.75" x14ac:dyDescent="0.25">
      <c r="B138" s="50"/>
      <c r="C138" s="34"/>
      <c r="D138" s="81"/>
      <c r="E138" s="197" t="s">
        <v>87</v>
      </c>
      <c r="F138" s="198"/>
      <c r="G138" s="199"/>
      <c r="H138" s="41"/>
      <c r="I138" s="25"/>
    </row>
    <row r="139" spans="2:9" s="6" customFormat="1" ht="15.75" x14ac:dyDescent="0.25">
      <c r="B139" s="50"/>
      <c r="C139" s="34"/>
      <c r="D139" s="81"/>
      <c r="E139" s="82"/>
      <c r="F139" s="37" t="s">
        <v>479</v>
      </c>
      <c r="G139" s="52" t="s">
        <v>628</v>
      </c>
      <c r="H139" s="39">
        <v>17700</v>
      </c>
      <c r="I139" s="25"/>
    </row>
    <row r="140" spans="2:9" s="6" customFormat="1" ht="15.75" x14ac:dyDescent="0.25">
      <c r="B140" s="50"/>
      <c r="C140" s="34"/>
      <c r="D140" s="81"/>
      <c r="E140" s="82"/>
      <c r="F140" s="37"/>
      <c r="G140" s="52"/>
      <c r="H140" s="39"/>
      <c r="I140" s="25"/>
    </row>
    <row r="141" spans="2:9" s="6" customFormat="1" x14ac:dyDescent="0.2">
      <c r="B141" s="50"/>
      <c r="C141" s="34"/>
      <c r="D141" s="81"/>
      <c r="E141" s="82"/>
      <c r="F141" s="97"/>
      <c r="G141" s="52"/>
      <c r="H141" s="41"/>
      <c r="I141" s="25"/>
    </row>
    <row r="142" spans="2:9" s="6" customFormat="1" ht="15.75" thickBot="1" x14ac:dyDescent="0.25">
      <c r="B142" s="50" t="s">
        <v>88</v>
      </c>
      <c r="C142" s="34"/>
      <c r="D142" s="81"/>
      <c r="E142" s="86"/>
      <c r="F142" s="98"/>
      <c r="G142" s="88"/>
      <c r="H142" s="99"/>
      <c r="I142" s="25"/>
    </row>
    <row r="143" spans="2:9" s="6" customFormat="1" ht="15.75" x14ac:dyDescent="0.25">
      <c r="B143" s="50"/>
      <c r="C143" s="34"/>
      <c r="D143" s="81"/>
      <c r="E143" s="100"/>
      <c r="F143" s="101"/>
      <c r="G143" s="102" t="s">
        <v>89</v>
      </c>
      <c r="H143" s="103">
        <v>10000</v>
      </c>
      <c r="I143" s="25"/>
    </row>
    <row r="144" spans="2:9" s="6" customFormat="1" ht="15.75" x14ac:dyDescent="0.25">
      <c r="B144" s="50"/>
      <c r="C144" s="34"/>
      <c r="D144" s="81"/>
      <c r="E144" s="82"/>
      <c r="F144" s="104"/>
      <c r="G144" s="105" t="s">
        <v>90</v>
      </c>
      <c r="H144" s="41">
        <v>40000</v>
      </c>
      <c r="I144" s="25"/>
    </row>
    <row r="145" spans="2:9" s="6" customFormat="1" ht="15.75" x14ac:dyDescent="0.25">
      <c r="B145" s="50"/>
      <c r="C145" s="34"/>
      <c r="D145" s="81"/>
      <c r="E145" s="82"/>
      <c r="F145" s="104"/>
      <c r="G145" s="105" t="s">
        <v>91</v>
      </c>
      <c r="H145" s="41"/>
      <c r="I145" s="25"/>
    </row>
    <row r="146" spans="2:9" s="6" customFormat="1" ht="15.75" x14ac:dyDescent="0.25">
      <c r="B146" s="50"/>
      <c r="C146" s="34"/>
      <c r="D146" s="81"/>
      <c r="E146" s="82"/>
      <c r="F146" s="104"/>
      <c r="G146" s="105" t="s">
        <v>92</v>
      </c>
      <c r="H146" s="41"/>
      <c r="I146" s="25"/>
    </row>
    <row r="147" spans="2:9" s="6" customFormat="1" ht="15.75" x14ac:dyDescent="0.25">
      <c r="B147" s="50"/>
      <c r="C147" s="34"/>
      <c r="D147" s="81"/>
      <c r="E147" s="82"/>
      <c r="F147" s="104"/>
      <c r="G147" s="105" t="s">
        <v>93</v>
      </c>
      <c r="H147" s="41"/>
      <c r="I147" s="25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137</v>
      </c>
      <c r="H148" s="107">
        <f>100+100</f>
        <v>200</v>
      </c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94</v>
      </c>
      <c r="H149" s="109">
        <f>300+500</f>
        <v>800</v>
      </c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95</v>
      </c>
      <c r="H150" s="109">
        <v>2100</v>
      </c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96</v>
      </c>
      <c r="H151" s="107"/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97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138</v>
      </c>
      <c r="H153" s="107"/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246</v>
      </c>
      <c r="H154" s="107"/>
      <c r="I154" s="108"/>
    </row>
    <row r="155" spans="2:9" s="6" customFormat="1" ht="15.75" x14ac:dyDescent="0.25">
      <c r="B155" s="50"/>
      <c r="C155" s="34"/>
      <c r="D155" s="81"/>
      <c r="E155" s="82"/>
      <c r="F155" s="104"/>
      <c r="G155" s="106" t="s">
        <v>564</v>
      </c>
      <c r="H155" s="107">
        <f>1500+230</f>
        <v>1730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99</v>
      </c>
      <c r="H156" s="107"/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560</v>
      </c>
      <c r="H157" s="107">
        <v>6000</v>
      </c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101</v>
      </c>
      <c r="H158" s="107">
        <v>300</v>
      </c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406</v>
      </c>
      <c r="H159" s="107"/>
      <c r="I159" s="108"/>
    </row>
    <row r="160" spans="2:9" s="6" customFormat="1" ht="15.75" x14ac:dyDescent="0.25">
      <c r="B160" s="50" t="s">
        <v>103</v>
      </c>
      <c r="C160" s="34" t="s">
        <v>103</v>
      </c>
      <c r="D160" s="81"/>
      <c r="E160" s="82"/>
      <c r="F160" s="104"/>
      <c r="G160" s="106" t="s">
        <v>104</v>
      </c>
      <c r="H160" s="107">
        <v>100</v>
      </c>
      <c r="I160" s="108"/>
    </row>
    <row r="161" spans="2:9" s="6" customFormat="1" ht="15.75" x14ac:dyDescent="0.25">
      <c r="B161" s="50"/>
      <c r="C161" s="34"/>
      <c r="D161" s="81"/>
      <c r="E161" s="82"/>
      <c r="F161" s="104"/>
      <c r="G161" s="106" t="s">
        <v>555</v>
      </c>
      <c r="H161" s="107">
        <v>5000</v>
      </c>
      <c r="I161" s="108"/>
    </row>
    <row r="162" spans="2:9" s="6" customFormat="1" ht="15.75" x14ac:dyDescent="0.25">
      <c r="B162" s="50"/>
      <c r="C162" s="34"/>
      <c r="D162" s="81"/>
      <c r="E162" s="82"/>
      <c r="F162" s="104"/>
      <c r="G162" s="106" t="s">
        <v>478</v>
      </c>
      <c r="H162" s="107"/>
      <c r="I162" s="108"/>
    </row>
    <row r="163" spans="2:9" s="6" customFormat="1" ht="15.75" x14ac:dyDescent="0.25">
      <c r="B163" s="50"/>
      <c r="C163" s="34"/>
      <c r="D163" s="81"/>
      <c r="E163" s="82"/>
      <c r="F163" s="104"/>
      <c r="G163" s="106" t="s">
        <v>405</v>
      </c>
      <c r="H163" s="107"/>
      <c r="I163" s="108"/>
    </row>
    <row r="164" spans="2:9" s="6" customFormat="1" ht="15.75" x14ac:dyDescent="0.25">
      <c r="B164" s="50"/>
      <c r="C164" s="34"/>
      <c r="D164" s="81"/>
      <c r="E164" s="82"/>
      <c r="F164" s="104"/>
      <c r="G164" s="106" t="s">
        <v>108</v>
      </c>
      <c r="H164" s="107">
        <v>3480</v>
      </c>
      <c r="I164" s="108"/>
    </row>
    <row r="165" spans="2:9" s="6" customFormat="1" ht="15.75" x14ac:dyDescent="0.25">
      <c r="B165" s="50"/>
      <c r="C165" s="34"/>
      <c r="D165" s="81"/>
      <c r="E165" s="82"/>
      <c r="F165" s="104"/>
      <c r="G165" s="106" t="s">
        <v>109</v>
      </c>
      <c r="H165" s="107"/>
      <c r="I165" s="108"/>
    </row>
    <row r="166" spans="2:9" s="6" customFormat="1" ht="15.75" x14ac:dyDescent="0.25">
      <c r="B166" s="50"/>
      <c r="C166" s="34"/>
      <c r="D166" s="81"/>
      <c r="E166" s="110"/>
      <c r="F166" s="104"/>
      <c r="G166" s="111" t="s">
        <v>110</v>
      </c>
      <c r="H166" s="107"/>
      <c r="I166" s="108"/>
    </row>
    <row r="167" spans="2:9" s="118" customFormat="1" ht="16.5" thickBot="1" x14ac:dyDescent="0.3">
      <c r="B167" s="50"/>
      <c r="C167" s="112"/>
      <c r="D167" s="113"/>
      <c r="E167" s="114"/>
      <c r="F167" s="115"/>
      <c r="G167" s="116" t="s">
        <v>111</v>
      </c>
      <c r="H167" s="117"/>
      <c r="I167" s="108"/>
    </row>
    <row r="168" spans="2:9" s="11" customFormat="1" ht="15.75" x14ac:dyDescent="0.2">
      <c r="B168" s="119"/>
      <c r="C168" s="120"/>
      <c r="D168" s="121"/>
      <c r="E168" s="122"/>
      <c r="F168" s="101"/>
      <c r="G168" s="123" t="s">
        <v>112</v>
      </c>
      <c r="H168" s="124">
        <f>SUM(H10:H167)</f>
        <v>724660</v>
      </c>
      <c r="I168" s="125"/>
    </row>
    <row r="169" spans="2:9" ht="15.75" x14ac:dyDescent="0.25">
      <c r="B169" s="119"/>
      <c r="C169" s="126" t="s">
        <v>113</v>
      </c>
      <c r="D169" s="127">
        <f>SUM(D10:D168)</f>
        <v>820700</v>
      </c>
      <c r="E169" s="128"/>
      <c r="F169" s="129"/>
      <c r="G169" s="130" t="s">
        <v>114</v>
      </c>
      <c r="H169" s="131">
        <f>H9-H168</f>
        <v>462576</v>
      </c>
      <c r="I169" s="132"/>
    </row>
    <row r="170" spans="2:9" ht="16.5" thickBot="1" x14ac:dyDescent="0.3">
      <c r="B170" s="133"/>
      <c r="C170" s="134" t="s">
        <v>115</v>
      </c>
      <c r="D170" s="135">
        <f>D9+D169</f>
        <v>1187236</v>
      </c>
      <c r="E170" s="136"/>
      <c r="F170" s="137"/>
      <c r="G170" s="138" t="s">
        <v>116</v>
      </c>
      <c r="H170" s="139">
        <f>H168+H169</f>
        <v>1187236</v>
      </c>
      <c r="I170" s="132"/>
    </row>
    <row r="171" spans="2:9" ht="15.75" x14ac:dyDescent="0.25">
      <c r="B171" s="140"/>
      <c r="C171" s="140"/>
      <c r="D171" s="141"/>
      <c r="E171" s="142"/>
      <c r="F171" s="143"/>
      <c r="G171" s="144"/>
      <c r="H171" s="145"/>
      <c r="I171" s="145"/>
    </row>
    <row r="172" spans="2:9" ht="15.75" x14ac:dyDescent="0.25">
      <c r="B172" s="140"/>
      <c r="C172" s="140"/>
      <c r="D172" s="141"/>
      <c r="E172" s="142"/>
      <c r="F172" s="143"/>
      <c r="G172" s="144"/>
      <c r="H172" s="145"/>
      <c r="I172" s="145"/>
    </row>
    <row r="173" spans="2:9" ht="15.75" x14ac:dyDescent="0.25">
      <c r="B173" s="140"/>
      <c r="C173" s="140"/>
      <c r="D173" s="141"/>
      <c r="E173" s="142"/>
      <c r="F173" s="143"/>
      <c r="G173" s="144"/>
      <c r="H173" s="145"/>
      <c r="I173" s="145"/>
    </row>
    <row r="174" spans="2:9" ht="15.75" x14ac:dyDescent="0.25">
      <c r="B174" s="140"/>
      <c r="C174" s="140"/>
      <c r="D174" s="141"/>
      <c r="E174" s="142"/>
      <c r="F174" s="143"/>
      <c r="G174" s="144"/>
      <c r="H174" s="145"/>
      <c r="I174" s="145"/>
    </row>
    <row r="175" spans="2:9" ht="15.75" x14ac:dyDescent="0.25">
      <c r="B175" s="187" t="s">
        <v>117</v>
      </c>
      <c r="C175" s="187"/>
      <c r="D175" s="188" t="s">
        <v>118</v>
      </c>
      <c r="E175" s="188"/>
      <c r="F175" s="188"/>
      <c r="G175" s="146" t="s">
        <v>119</v>
      </c>
      <c r="H175" s="146" t="s">
        <v>120</v>
      </c>
      <c r="I175" s="146"/>
    </row>
    <row r="176" spans="2:9" ht="15.75" x14ac:dyDescent="0.25">
      <c r="B176" s="140"/>
      <c r="C176" s="140"/>
      <c r="D176" s="141"/>
      <c r="E176" s="142"/>
      <c r="F176" s="143"/>
      <c r="G176" s="147"/>
    </row>
    <row r="177" spans="2:11" x14ac:dyDescent="0.2">
      <c r="E177" s="5" t="s">
        <v>121</v>
      </c>
    </row>
    <row r="178" spans="2:11" x14ac:dyDescent="0.2">
      <c r="H178" s="151"/>
      <c r="I178" s="151"/>
    </row>
    <row r="179" spans="2:11" x14ac:dyDescent="0.2">
      <c r="H179" s="189"/>
      <c r="I179" s="189"/>
      <c r="J179" s="189"/>
    </row>
    <row r="180" spans="2:11" x14ac:dyDescent="0.2">
      <c r="B180" s="152" t="s">
        <v>122</v>
      </c>
      <c r="C180" s="153" t="s">
        <v>123</v>
      </c>
      <c r="D180" s="152" t="s">
        <v>124</v>
      </c>
      <c r="H180" s="151"/>
      <c r="I180" s="151"/>
    </row>
    <row r="181" spans="2:11" ht="23.25" x14ac:dyDescent="0.2">
      <c r="B181" s="154">
        <v>1</v>
      </c>
      <c r="C181" s="155" t="s">
        <v>125</v>
      </c>
      <c r="D181" s="156"/>
      <c r="H181" s="157"/>
      <c r="I181" s="157"/>
      <c r="J181" s="158"/>
      <c r="K181" s="159"/>
    </row>
    <row r="182" spans="2:11" ht="23.25" x14ac:dyDescent="0.2">
      <c r="B182" s="154">
        <v>2</v>
      </c>
      <c r="C182" s="155" t="s">
        <v>126</v>
      </c>
      <c r="D182" s="160"/>
      <c r="H182" s="157"/>
      <c r="I182" s="157"/>
      <c r="J182" s="158"/>
      <c r="K182" s="159"/>
    </row>
    <row r="183" spans="2:11" ht="23.25" x14ac:dyDescent="0.2">
      <c r="B183" s="154">
        <v>3</v>
      </c>
      <c r="C183" s="155" t="s">
        <v>127</v>
      </c>
      <c r="D183" s="160">
        <f>10000-5000</f>
        <v>5000</v>
      </c>
      <c r="H183" s="157"/>
      <c r="I183" s="157"/>
      <c r="J183" s="158"/>
      <c r="K183" s="159"/>
    </row>
    <row r="184" spans="2:11" ht="23.25" x14ac:dyDescent="0.3">
      <c r="B184" s="154">
        <v>4</v>
      </c>
      <c r="C184" s="155"/>
      <c r="D184" s="160"/>
      <c r="H184" s="161"/>
      <c r="I184" s="157"/>
      <c r="J184" s="158"/>
      <c r="K184" s="159"/>
    </row>
    <row r="185" spans="2:11" ht="23.25" x14ac:dyDescent="0.2">
      <c r="B185" s="154">
        <v>5</v>
      </c>
      <c r="C185" s="155" t="s">
        <v>128</v>
      </c>
      <c r="D185" s="162">
        <f>10000+20000+15000-15000</f>
        <v>30000</v>
      </c>
      <c r="H185" s="157"/>
      <c r="I185" s="157"/>
      <c r="J185" s="158"/>
      <c r="K185" s="159"/>
    </row>
    <row r="186" spans="2:11" ht="23.25" x14ac:dyDescent="0.2">
      <c r="B186" s="154">
        <v>6</v>
      </c>
      <c r="C186" s="155" t="s">
        <v>129</v>
      </c>
      <c r="D186" s="162">
        <f>2000+5000+2000-2000+1000+3000-3000+10000-6500</f>
        <v>11500</v>
      </c>
      <c r="H186" s="157"/>
      <c r="I186" s="157"/>
      <c r="J186" s="158"/>
      <c r="K186" s="159"/>
    </row>
    <row r="187" spans="2:11" ht="23.25" x14ac:dyDescent="0.2">
      <c r="B187" s="154">
        <v>7</v>
      </c>
      <c r="C187" s="155" t="s">
        <v>130</v>
      </c>
      <c r="D187" s="160">
        <f>-6700+100+10000-3450-1720-700-1950+4000+1000+5000</f>
        <v>5580</v>
      </c>
      <c r="H187" s="157"/>
      <c r="I187" s="157"/>
      <c r="J187" s="158"/>
      <c r="K187" s="159"/>
    </row>
    <row r="188" spans="2:11" ht="23.25" x14ac:dyDescent="0.2">
      <c r="B188" s="154">
        <v>8</v>
      </c>
      <c r="C188" s="163" t="s">
        <v>343</v>
      </c>
      <c r="D188" s="164">
        <f>3300+4300</f>
        <v>7600</v>
      </c>
      <c r="H188" s="157"/>
      <c r="I188" s="157"/>
      <c r="J188" s="158"/>
      <c r="K188" s="159"/>
    </row>
    <row r="189" spans="2:11" ht="23.25" x14ac:dyDescent="0.2">
      <c r="B189" s="154">
        <v>9</v>
      </c>
      <c r="C189" s="163"/>
      <c r="D189" s="165"/>
      <c r="H189" s="166"/>
      <c r="I189" s="158"/>
      <c r="J189" s="158"/>
      <c r="K189" s="159"/>
    </row>
    <row r="190" spans="2:11" ht="23.25" x14ac:dyDescent="0.2">
      <c r="B190" s="154">
        <v>10</v>
      </c>
      <c r="C190" s="155" t="s">
        <v>133</v>
      </c>
      <c r="D190" s="160">
        <f>2610+10000-10000-21800+5000+8000-11800+6000+13080+8720+14497+13080+8720+13080-30000+8000-11500-40000+10000+10900+10900+10900+17549-27000-17000+8000-4600</f>
        <v>5336</v>
      </c>
      <c r="H190" s="167"/>
      <c r="I190" s="158"/>
      <c r="J190" s="158"/>
      <c r="K190" s="159"/>
    </row>
    <row r="191" spans="2:11" ht="23.25" x14ac:dyDescent="0.3">
      <c r="B191" s="154">
        <v>11</v>
      </c>
      <c r="C191" s="155" t="s">
        <v>264</v>
      </c>
      <c r="D191" s="160" t="s">
        <v>103</v>
      </c>
      <c r="E191" s="168"/>
      <c r="G191" s="150" t="s">
        <v>121</v>
      </c>
      <c r="H191" s="169"/>
      <c r="I191" s="158"/>
      <c r="J191" s="158"/>
      <c r="K191" s="159"/>
    </row>
    <row r="192" spans="2:11" ht="23.25" x14ac:dyDescent="0.2">
      <c r="B192" s="154"/>
      <c r="C192" s="170" t="s">
        <v>135</v>
      </c>
      <c r="D192" s="171">
        <f>SUM(D181:D191)</f>
        <v>65016</v>
      </c>
      <c r="F192" s="172"/>
      <c r="H192" s="167"/>
      <c r="I192" s="158"/>
      <c r="J192" s="158"/>
      <c r="K192" s="159"/>
    </row>
    <row r="193" spans="2:11" ht="23.25" x14ac:dyDescent="0.2">
      <c r="D193" s="186"/>
      <c r="E193" s="174"/>
      <c r="H193" s="167"/>
      <c r="I193" s="175"/>
      <c r="J193" s="158"/>
      <c r="K193" s="159"/>
    </row>
    <row r="194" spans="2:11" ht="23.25" x14ac:dyDescent="0.25">
      <c r="D194" s="176"/>
      <c r="F194" s="177"/>
      <c r="H194" s="178"/>
      <c r="I194" s="175"/>
      <c r="J194" s="175"/>
      <c r="K194" s="159"/>
    </row>
    <row r="195" spans="2:11" ht="23.25" x14ac:dyDescent="0.2">
      <c r="D195" s="176"/>
      <c r="H195" s="179"/>
      <c r="I195" s="180"/>
      <c r="J195" s="158"/>
      <c r="K195" s="159"/>
    </row>
    <row r="196" spans="2:11" ht="23.25" x14ac:dyDescent="0.25">
      <c r="B196" s="5"/>
      <c r="D196" s="181">
        <v>12500</v>
      </c>
      <c r="E196" s="178" t="s">
        <v>253</v>
      </c>
      <c r="G196" s="178"/>
      <c r="H196" s="167"/>
      <c r="I196" s="5"/>
      <c r="J196" s="158"/>
      <c r="K196" s="159"/>
    </row>
    <row r="197" spans="2:11" ht="15.75" x14ac:dyDescent="0.25">
      <c r="B197" s="5"/>
      <c r="D197" s="181"/>
      <c r="E197" s="178"/>
      <c r="G197" s="178"/>
      <c r="H197" s="167"/>
      <c r="I197" s="5"/>
      <c r="J197" s="175"/>
    </row>
    <row r="198" spans="2:11" ht="15.75" x14ac:dyDescent="0.25">
      <c r="D198" s="181"/>
      <c r="E198" s="178"/>
      <c r="H198" s="182"/>
    </row>
    <row r="199" spans="2:11" x14ac:dyDescent="0.2">
      <c r="B199" s="5"/>
      <c r="D199" s="176"/>
      <c r="F199" s="5"/>
      <c r="G199" s="5"/>
      <c r="H199" s="183"/>
      <c r="I199" s="5"/>
    </row>
    <row r="200" spans="2:11" x14ac:dyDescent="0.2">
      <c r="D200" s="184">
        <f>SUM(D193:D199)+D192</f>
        <v>77516</v>
      </c>
      <c r="H200" s="182"/>
    </row>
    <row r="201" spans="2:11" x14ac:dyDescent="0.2">
      <c r="B201" s="5"/>
      <c r="D201" s="185">
        <f>D200-H169</f>
        <v>-385060</v>
      </c>
      <c r="F201" s="5"/>
      <c r="G201" s="5"/>
      <c r="H201" s="178"/>
      <c r="I201" s="5"/>
    </row>
    <row r="202" spans="2:11" x14ac:dyDescent="0.2">
      <c r="H202" s="182"/>
    </row>
    <row r="203" spans="2:11" x14ac:dyDescent="0.2">
      <c r="H203" s="182"/>
    </row>
    <row r="204" spans="2:11" x14ac:dyDescent="0.2">
      <c r="H204" s="182"/>
    </row>
    <row r="205" spans="2:11" x14ac:dyDescent="0.2">
      <c r="H205" s="182"/>
    </row>
    <row r="206" spans="2:11" x14ac:dyDescent="0.2">
      <c r="B206" s="5"/>
      <c r="D206" s="5"/>
      <c r="F206" s="5"/>
      <c r="G206" s="5"/>
      <c r="H206" s="182"/>
      <c r="I206" s="5"/>
    </row>
    <row r="207" spans="2:11" ht="15.75" x14ac:dyDescent="0.25">
      <c r="B207" s="5"/>
      <c r="D207" s="5"/>
      <c r="F207" s="5"/>
      <c r="G207" s="5"/>
      <c r="H207" s="145"/>
      <c r="I207" s="5"/>
    </row>
    <row r="208" spans="2:11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  <row r="317" spans="8:8" s="5" customFormat="1" x14ac:dyDescent="0.2">
      <c r="H317" s="182"/>
    </row>
    <row r="318" spans="8:8" s="5" customFormat="1" x14ac:dyDescent="0.2">
      <c r="H318" s="182"/>
    </row>
    <row r="319" spans="8:8" s="5" customFormat="1" x14ac:dyDescent="0.2">
      <c r="H319" s="182"/>
    </row>
    <row r="320" spans="8:8" s="5" customFormat="1" x14ac:dyDescent="0.2">
      <c r="H320" s="182"/>
    </row>
    <row r="321" spans="8:8" s="5" customFormat="1" x14ac:dyDescent="0.2">
      <c r="H321" s="182"/>
    </row>
  </sheetData>
  <mergeCells count="24">
    <mergeCell ref="E132:G132"/>
    <mergeCell ref="E138:G138"/>
    <mergeCell ref="B1:H1"/>
    <mergeCell ref="B2:H2"/>
    <mergeCell ref="B3:H3"/>
    <mergeCell ref="B4:H4"/>
    <mergeCell ref="B6:D6"/>
    <mergeCell ref="F6:H6"/>
    <mergeCell ref="B175:C175"/>
    <mergeCell ref="D175:F175"/>
    <mergeCell ref="H179:J179"/>
    <mergeCell ref="H7:H8"/>
    <mergeCell ref="B9:C9"/>
    <mergeCell ref="F9:G9"/>
    <mergeCell ref="F10:G10"/>
    <mergeCell ref="E123:G123"/>
    <mergeCell ref="E126:G126"/>
    <mergeCell ref="B7:B8"/>
    <mergeCell ref="C7:C8"/>
    <mergeCell ref="D7:D8"/>
    <mergeCell ref="E7:E8"/>
    <mergeCell ref="F7:F8"/>
    <mergeCell ref="G7:G8"/>
    <mergeCell ref="E129:G1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96AE-8340-41F0-878C-633C0ACE9793}">
  <dimension ref="B1:K321"/>
  <sheetViews>
    <sheetView topLeftCell="A139" workbookViewId="0">
      <selection activeCell="A139" sqref="A1:XFD1048576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633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462576</v>
      </c>
      <c r="E9" s="17"/>
      <c r="F9" s="194" t="s">
        <v>10</v>
      </c>
      <c r="G9" s="195"/>
      <c r="H9" s="18">
        <f>D170</f>
        <v>1212076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730000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 t="s">
        <v>635</v>
      </c>
      <c r="C12" s="34" t="s">
        <v>636</v>
      </c>
      <c r="D12" s="35">
        <v>19500</v>
      </c>
      <c r="E12" s="36">
        <v>101</v>
      </c>
      <c r="F12" s="37" t="s">
        <v>14</v>
      </c>
      <c r="G12" s="38" t="s">
        <v>251</v>
      </c>
      <c r="H12" s="39">
        <v>1800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 t="s">
        <v>650</v>
      </c>
      <c r="H13" s="41">
        <v>2200</v>
      </c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682</v>
      </c>
      <c r="H14" s="42">
        <v>2900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675</v>
      </c>
      <c r="H15" s="42">
        <v>1900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684</v>
      </c>
      <c r="H16" s="42">
        <v>2100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 t="s">
        <v>685</v>
      </c>
      <c r="H18" s="42">
        <v>1700</v>
      </c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 t="s">
        <v>683</v>
      </c>
      <c r="H19" s="42">
        <f>2200+2400+1500</f>
        <v>6100</v>
      </c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654</v>
      </c>
      <c r="H20" s="39">
        <v>2700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/>
      <c r="H21" s="39"/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674</v>
      </c>
      <c r="H23" s="42">
        <f>2150+3550</f>
        <v>5700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449</v>
      </c>
      <c r="H25" s="51">
        <v>1100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 t="s">
        <v>676</v>
      </c>
      <c r="H28" s="39">
        <v>2500</v>
      </c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686</v>
      </c>
      <c r="H30" s="42">
        <v>3600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659</v>
      </c>
      <c r="H31" s="42">
        <v>1950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709</v>
      </c>
      <c r="H32" s="39">
        <v>5000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705</v>
      </c>
      <c r="H33" s="39">
        <f>3500+2000</f>
        <v>5500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708</v>
      </c>
      <c r="H36" s="42">
        <f>3500+1730</f>
        <v>5230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 t="s">
        <v>647</v>
      </c>
      <c r="H37" s="42">
        <v>2000</v>
      </c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/>
      <c r="H38" s="57"/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/>
      <c r="H39" s="59"/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697</v>
      </c>
      <c r="H40" s="39">
        <v>3300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701</v>
      </c>
      <c r="H41" s="39">
        <v>3800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 t="s">
        <v>655</v>
      </c>
      <c r="H42" s="39">
        <v>11200</v>
      </c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702</v>
      </c>
      <c r="H43" s="39">
        <f>4000+2000</f>
        <v>6000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689</v>
      </c>
      <c r="H44" s="57">
        <v>5500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710</v>
      </c>
      <c r="H45" s="32">
        <v>8000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/>
      <c r="H46" s="42"/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/>
      <c r="H47" s="42"/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678</v>
      </c>
      <c r="H49" s="42">
        <v>2000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/>
      <c r="H50" s="42"/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/>
      <c r="H51" s="62"/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 t="s">
        <v>657</v>
      </c>
      <c r="H55" s="39">
        <v>13500</v>
      </c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/>
      <c r="H56" s="39"/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 t="s">
        <v>658</v>
      </c>
      <c r="H57" s="42">
        <v>10800</v>
      </c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 t="s">
        <v>638</v>
      </c>
      <c r="H58" s="39">
        <v>17700</v>
      </c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 t="s">
        <v>637</v>
      </c>
      <c r="H60" s="39">
        <v>12800</v>
      </c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/>
      <c r="H63" s="39"/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/>
      <c r="H64" s="39"/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/>
      <c r="H65" s="67"/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 t="s">
        <v>698</v>
      </c>
      <c r="H71" s="69">
        <v>21600</v>
      </c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/>
      <c r="H74" s="39"/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/>
      <c r="H75" s="39"/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640</v>
      </c>
      <c r="G78" s="84" t="s">
        <v>641</v>
      </c>
      <c r="H78" s="39">
        <v>22000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642</v>
      </c>
      <c r="G79" s="84" t="s">
        <v>643</v>
      </c>
      <c r="H79" s="39">
        <v>14500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179</v>
      </c>
      <c r="G80" s="68" t="s">
        <v>652</v>
      </c>
      <c r="H80" s="69">
        <v>16000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656</v>
      </c>
      <c r="G81" s="68" t="s">
        <v>301</v>
      </c>
      <c r="H81" s="69">
        <v>11500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662</v>
      </c>
      <c r="G82" s="68" t="s">
        <v>663</v>
      </c>
      <c r="H82" s="69">
        <v>17000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664</v>
      </c>
      <c r="G83" s="68" t="s">
        <v>665</v>
      </c>
      <c r="H83" s="69">
        <v>18500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398</v>
      </c>
      <c r="G84" s="68" t="s">
        <v>666</v>
      </c>
      <c r="H84" s="69">
        <v>11500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273</v>
      </c>
      <c r="G85" s="68" t="s">
        <v>667</v>
      </c>
      <c r="H85" s="69">
        <v>13000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499</v>
      </c>
      <c r="G86" s="68" t="s">
        <v>668</v>
      </c>
      <c r="H86" s="69">
        <v>19500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278</v>
      </c>
      <c r="G87" s="68" t="s">
        <v>669</v>
      </c>
      <c r="H87" s="69">
        <v>19500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198</v>
      </c>
      <c r="G88" s="68" t="s">
        <v>670</v>
      </c>
      <c r="H88" s="69">
        <v>12500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156</v>
      </c>
      <c r="G89" s="68" t="s">
        <v>671</v>
      </c>
      <c r="H89" s="69">
        <v>20000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672</v>
      </c>
      <c r="G90" s="68" t="s">
        <v>673</v>
      </c>
      <c r="H90" s="69">
        <v>13200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160</v>
      </c>
      <c r="G91" s="68" t="s">
        <v>677</v>
      </c>
      <c r="H91" s="69">
        <v>11500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177</v>
      </c>
      <c r="G92" s="68" t="s">
        <v>679</v>
      </c>
      <c r="H92" s="69">
        <v>10800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680</v>
      </c>
      <c r="G93" s="68" t="s">
        <v>681</v>
      </c>
      <c r="H93" s="69">
        <v>22000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687</v>
      </c>
      <c r="G94" s="68" t="s">
        <v>688</v>
      </c>
      <c r="H94" s="69">
        <v>11500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690</v>
      </c>
      <c r="G95" s="68" t="s">
        <v>691</v>
      </c>
      <c r="H95" s="69">
        <v>13000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692</v>
      </c>
      <c r="G96" s="68" t="s">
        <v>693</v>
      </c>
      <c r="H96" s="69">
        <v>11800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409</v>
      </c>
      <c r="G97" s="68" t="s">
        <v>694</v>
      </c>
      <c r="H97" s="69">
        <v>10500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695</v>
      </c>
      <c r="G98" s="68" t="s">
        <v>696</v>
      </c>
      <c r="H98" s="69">
        <v>16800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 t="s">
        <v>315</v>
      </c>
      <c r="G99" s="68" t="s">
        <v>699</v>
      </c>
      <c r="H99" s="69">
        <v>15500</v>
      </c>
      <c r="I99" s="46"/>
    </row>
    <row r="100" spans="2:9" s="6" customFormat="1" x14ac:dyDescent="0.2">
      <c r="B100" s="50"/>
      <c r="C100" s="34"/>
      <c r="D100" s="81"/>
      <c r="E100" s="82">
        <v>102</v>
      </c>
      <c r="F100" s="85" t="s">
        <v>259</v>
      </c>
      <c r="G100" s="68" t="s">
        <v>700</v>
      </c>
      <c r="H100" s="69">
        <v>13800</v>
      </c>
      <c r="I100" s="46"/>
    </row>
    <row r="101" spans="2:9" s="6" customFormat="1" x14ac:dyDescent="0.2">
      <c r="B101" s="50"/>
      <c r="C101" s="34"/>
      <c r="D101" s="81"/>
      <c r="E101" s="82">
        <v>102</v>
      </c>
      <c r="F101" s="85" t="s">
        <v>703</v>
      </c>
      <c r="G101" s="68" t="s">
        <v>704</v>
      </c>
      <c r="H101" s="69">
        <v>14000</v>
      </c>
      <c r="I101" s="46"/>
    </row>
    <row r="102" spans="2:9" s="6" customFormat="1" x14ac:dyDescent="0.2">
      <c r="B102" s="50"/>
      <c r="C102" s="34"/>
      <c r="D102" s="81"/>
      <c r="E102" s="82">
        <v>102</v>
      </c>
      <c r="F102" s="85" t="s">
        <v>706</v>
      </c>
      <c r="G102" s="68" t="s">
        <v>707</v>
      </c>
      <c r="H102" s="69">
        <v>12000</v>
      </c>
      <c r="I102" s="46"/>
    </row>
    <row r="103" spans="2:9" s="6" customFormat="1" x14ac:dyDescent="0.2">
      <c r="B103" s="50"/>
      <c r="C103" s="34"/>
      <c r="D103" s="81"/>
      <c r="E103" s="82">
        <v>102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102</v>
      </c>
      <c r="F104" s="85"/>
      <c r="G104" s="68"/>
      <c r="H104" s="69"/>
      <c r="I104" s="46"/>
    </row>
    <row r="105" spans="2:9" s="6" customFormat="1" ht="15.75" thickBot="1" x14ac:dyDescent="0.25">
      <c r="B105" s="50"/>
      <c r="C105" s="34"/>
      <c r="D105" s="81"/>
      <c r="E105" s="86">
        <v>102</v>
      </c>
      <c r="F105" s="87"/>
      <c r="G105" s="88"/>
      <c r="H105" s="57"/>
      <c r="I105" s="46"/>
    </row>
    <row r="106" spans="2:9" s="6" customFormat="1" ht="15.75" x14ac:dyDescent="0.25">
      <c r="B106" s="50"/>
      <c r="C106" s="34"/>
      <c r="D106" s="81"/>
      <c r="E106" s="78">
        <v>103</v>
      </c>
      <c r="F106" s="79"/>
      <c r="G106" s="80" t="s">
        <v>80</v>
      </c>
      <c r="H106" s="59"/>
      <c r="I106" s="46"/>
    </row>
    <row r="107" spans="2:9" s="6" customFormat="1" x14ac:dyDescent="0.2">
      <c r="B107" s="50"/>
      <c r="C107" s="34"/>
      <c r="D107" s="81"/>
      <c r="E107" s="82">
        <v>103</v>
      </c>
      <c r="F107" s="85" t="s">
        <v>648</v>
      </c>
      <c r="G107" s="68" t="s">
        <v>186</v>
      </c>
      <c r="H107" s="69">
        <v>2000</v>
      </c>
      <c r="I107" s="46"/>
    </row>
    <row r="108" spans="2:9" s="6" customFormat="1" x14ac:dyDescent="0.2">
      <c r="B108" s="50"/>
      <c r="C108" s="34"/>
      <c r="D108" s="81"/>
      <c r="E108" s="82">
        <v>103</v>
      </c>
      <c r="F108" s="85" t="s">
        <v>651</v>
      </c>
      <c r="G108" s="68" t="s">
        <v>186</v>
      </c>
      <c r="H108" s="69">
        <v>600</v>
      </c>
      <c r="I108" s="46"/>
    </row>
    <row r="109" spans="2:9" s="6" customFormat="1" x14ac:dyDescent="0.2">
      <c r="B109" s="50"/>
      <c r="C109" s="34"/>
      <c r="D109" s="81"/>
      <c r="E109" s="82">
        <v>103</v>
      </c>
      <c r="F109" s="85"/>
      <c r="G109" s="68"/>
      <c r="H109" s="69"/>
      <c r="I109" s="46"/>
    </row>
    <row r="110" spans="2:9" s="6" customFormat="1" x14ac:dyDescent="0.2">
      <c r="B110" s="50"/>
      <c r="C110" s="34"/>
      <c r="D110" s="81"/>
      <c r="E110" s="82">
        <v>103</v>
      </c>
      <c r="F110" s="85"/>
      <c r="G110" s="68"/>
      <c r="H110" s="69"/>
      <c r="I110" s="46"/>
    </row>
    <row r="111" spans="2:9" s="6" customFormat="1" x14ac:dyDescent="0.2">
      <c r="B111" s="50"/>
      <c r="C111" s="34"/>
      <c r="D111" s="81"/>
      <c r="E111" s="82">
        <v>103</v>
      </c>
      <c r="F111" s="85"/>
      <c r="G111" s="68"/>
      <c r="H111" s="69"/>
      <c r="I111" s="46"/>
    </row>
    <row r="112" spans="2:9" s="6" customFormat="1" x14ac:dyDescent="0.2">
      <c r="B112" s="50"/>
      <c r="C112" s="34"/>
      <c r="D112" s="81"/>
      <c r="E112" s="82">
        <v>103</v>
      </c>
      <c r="F112" s="85"/>
      <c r="G112" s="68"/>
      <c r="H112" s="69"/>
      <c r="I112" s="46"/>
    </row>
    <row r="113" spans="2:9" s="6" customFormat="1" ht="15.75" thickBot="1" x14ac:dyDescent="0.25">
      <c r="B113" s="50"/>
      <c r="C113" s="34"/>
      <c r="D113" s="81"/>
      <c r="E113" s="82">
        <v>103</v>
      </c>
      <c r="F113" s="87"/>
      <c r="G113" s="88"/>
      <c r="H113" s="57"/>
      <c r="I113" s="46"/>
    </row>
    <row r="114" spans="2:9" s="6" customFormat="1" ht="15.75" x14ac:dyDescent="0.25">
      <c r="B114" s="50"/>
      <c r="C114" s="34"/>
      <c r="D114" s="81"/>
      <c r="E114" s="89">
        <v>104</v>
      </c>
      <c r="F114" s="79"/>
      <c r="G114" s="80" t="s">
        <v>81</v>
      </c>
      <c r="H114" s="59"/>
      <c r="I114" s="46"/>
    </row>
    <row r="115" spans="2:9" s="6" customFormat="1" x14ac:dyDescent="0.2">
      <c r="B115" s="50"/>
      <c r="C115" s="34"/>
      <c r="D115" s="81"/>
      <c r="E115" s="82">
        <v>104</v>
      </c>
      <c r="F115" s="83" t="s">
        <v>644</v>
      </c>
      <c r="G115" s="84" t="s">
        <v>490</v>
      </c>
      <c r="H115" s="39">
        <v>17500</v>
      </c>
      <c r="I115" s="46"/>
    </row>
    <row r="116" spans="2:9" s="6" customFormat="1" x14ac:dyDescent="0.2">
      <c r="B116" s="50"/>
      <c r="C116" s="34"/>
      <c r="D116" s="81"/>
      <c r="E116" s="82">
        <v>104</v>
      </c>
      <c r="F116" s="85" t="s">
        <v>179</v>
      </c>
      <c r="G116" s="84" t="s">
        <v>279</v>
      </c>
      <c r="H116" s="69">
        <v>1000</v>
      </c>
      <c r="I116" s="46"/>
    </row>
    <row r="117" spans="2:9" s="6" customFormat="1" x14ac:dyDescent="0.2">
      <c r="B117" s="50"/>
      <c r="C117" s="34"/>
      <c r="D117" s="81"/>
      <c r="E117" s="82">
        <v>104</v>
      </c>
      <c r="F117" s="85"/>
      <c r="G117" s="68"/>
      <c r="H117" s="69"/>
      <c r="I117" s="46"/>
    </row>
    <row r="118" spans="2:9" s="6" customFormat="1" x14ac:dyDescent="0.2">
      <c r="B118" s="50"/>
      <c r="C118" s="34"/>
      <c r="D118" s="81"/>
      <c r="E118" s="82">
        <v>104</v>
      </c>
      <c r="F118" s="85"/>
      <c r="G118" s="68"/>
      <c r="H118" s="69"/>
      <c r="I118" s="46"/>
    </row>
    <row r="119" spans="2:9" s="6" customFormat="1" x14ac:dyDescent="0.2">
      <c r="B119" s="50"/>
      <c r="C119" s="34"/>
      <c r="D119" s="81"/>
      <c r="E119" s="82">
        <v>104</v>
      </c>
      <c r="F119" s="85"/>
      <c r="G119" s="68"/>
      <c r="H119" s="69"/>
      <c r="I119" s="46"/>
    </row>
    <row r="120" spans="2:9" s="6" customFormat="1" x14ac:dyDescent="0.2">
      <c r="B120" s="50"/>
      <c r="C120" s="34"/>
      <c r="D120" s="81"/>
      <c r="E120" s="82">
        <v>104</v>
      </c>
      <c r="F120" s="85"/>
      <c r="G120" s="68"/>
      <c r="H120" s="69"/>
      <c r="I120" s="46"/>
    </row>
    <row r="121" spans="2:9" s="6" customFormat="1" ht="15.75" thickBot="1" x14ac:dyDescent="0.25">
      <c r="B121" s="50"/>
      <c r="C121" s="34"/>
      <c r="D121" s="81"/>
      <c r="E121" s="82">
        <v>104</v>
      </c>
      <c r="F121" s="87"/>
      <c r="G121" s="88"/>
      <c r="H121" s="57"/>
      <c r="I121" s="46"/>
    </row>
    <row r="122" spans="2:9" s="6" customFormat="1" ht="15.75" x14ac:dyDescent="0.25">
      <c r="B122" s="50"/>
      <c r="C122" s="34"/>
      <c r="D122" s="81"/>
      <c r="E122" s="90"/>
      <c r="F122" s="91"/>
      <c r="G122" s="92" t="s">
        <v>82</v>
      </c>
      <c r="H122" s="93"/>
      <c r="I122" s="25"/>
    </row>
    <row r="123" spans="2:9" s="6" customFormat="1" ht="15.75" x14ac:dyDescent="0.25">
      <c r="B123" s="50"/>
      <c r="C123" s="34"/>
      <c r="D123" s="81"/>
      <c r="E123" s="197" t="s">
        <v>83</v>
      </c>
      <c r="F123" s="198"/>
      <c r="G123" s="199"/>
      <c r="H123" s="41"/>
      <c r="I123" s="25"/>
    </row>
    <row r="124" spans="2:9" s="6" customFormat="1" ht="15.75" x14ac:dyDescent="0.2">
      <c r="B124" s="50"/>
      <c r="C124" s="34"/>
      <c r="D124" s="81"/>
      <c r="E124" s="82"/>
      <c r="F124" s="94" t="s">
        <v>648</v>
      </c>
      <c r="G124" s="52" t="s">
        <v>649</v>
      </c>
      <c r="H124" s="67">
        <v>2500</v>
      </c>
      <c r="I124" s="25"/>
    </row>
    <row r="125" spans="2:9" s="6" customFormat="1" ht="15.75" x14ac:dyDescent="0.2">
      <c r="B125" s="50"/>
      <c r="C125" s="34"/>
      <c r="D125" s="81"/>
      <c r="E125" s="82"/>
      <c r="F125" s="94"/>
      <c r="G125" s="52"/>
      <c r="H125" s="67"/>
      <c r="I125" s="25"/>
    </row>
    <row r="126" spans="2:9" s="6" customFormat="1" ht="15.75" x14ac:dyDescent="0.25">
      <c r="B126" s="50"/>
      <c r="C126" s="34"/>
      <c r="D126" s="81"/>
      <c r="E126" s="197" t="s">
        <v>84</v>
      </c>
      <c r="F126" s="198"/>
      <c r="G126" s="199"/>
      <c r="H126" s="41"/>
      <c r="I126" s="25"/>
    </row>
    <row r="127" spans="2:9" s="6" customFormat="1" ht="15.75" x14ac:dyDescent="0.2">
      <c r="B127" s="50"/>
      <c r="C127" s="34"/>
      <c r="D127" s="81"/>
      <c r="E127" s="82"/>
      <c r="F127" s="94"/>
      <c r="G127" s="52"/>
      <c r="H127" s="67"/>
      <c r="I127" s="25"/>
    </row>
    <row r="128" spans="2:9" s="6" customFormat="1" ht="15.75" x14ac:dyDescent="0.25">
      <c r="B128" s="50"/>
      <c r="C128" s="34"/>
      <c r="D128" s="81"/>
      <c r="E128" s="82"/>
      <c r="F128" s="37"/>
      <c r="G128" s="84"/>
      <c r="H128" s="41"/>
      <c r="I128" s="25"/>
    </row>
    <row r="129" spans="2:9" s="6" customFormat="1" ht="15.75" x14ac:dyDescent="0.25">
      <c r="B129" s="50"/>
      <c r="C129" s="34"/>
      <c r="D129" s="81"/>
      <c r="E129" s="197" t="s">
        <v>85</v>
      </c>
      <c r="F129" s="198"/>
      <c r="G129" s="199"/>
      <c r="H129" s="41"/>
      <c r="I129" s="25"/>
    </row>
    <row r="130" spans="2:9" s="6" customFormat="1" x14ac:dyDescent="0.2">
      <c r="B130" s="50"/>
      <c r="C130" s="34"/>
      <c r="D130" s="81"/>
      <c r="E130" s="82"/>
      <c r="F130" s="83"/>
      <c r="G130" s="84"/>
      <c r="H130" s="41"/>
      <c r="I130" s="25"/>
    </row>
    <row r="131" spans="2:9" s="6" customFormat="1" x14ac:dyDescent="0.2">
      <c r="B131" s="50"/>
      <c r="C131" s="34"/>
      <c r="D131" s="81"/>
      <c r="E131" s="82"/>
      <c r="F131" s="83"/>
      <c r="G131" s="84"/>
      <c r="H131" s="41"/>
      <c r="I131" s="25"/>
    </row>
    <row r="132" spans="2:9" s="6" customFormat="1" ht="15.75" x14ac:dyDescent="0.25">
      <c r="B132" s="50"/>
      <c r="C132" s="34"/>
      <c r="D132" s="81"/>
      <c r="E132" s="197" t="s">
        <v>86</v>
      </c>
      <c r="F132" s="198"/>
      <c r="G132" s="199"/>
      <c r="H132" s="41"/>
      <c r="I132" s="25"/>
    </row>
    <row r="133" spans="2:9" s="6" customFormat="1" ht="15.75" x14ac:dyDescent="0.25">
      <c r="B133" s="50"/>
      <c r="C133" s="34"/>
      <c r="D133" s="81"/>
      <c r="E133" s="89"/>
      <c r="F133" s="95"/>
      <c r="G133" s="52"/>
      <c r="H133" s="39"/>
      <c r="I133" s="25"/>
    </row>
    <row r="134" spans="2:9" s="6" customFormat="1" ht="15.75" x14ac:dyDescent="0.25">
      <c r="B134" s="50"/>
      <c r="C134" s="34"/>
      <c r="D134" s="81"/>
      <c r="E134" s="89"/>
      <c r="F134" s="95"/>
      <c r="G134" s="52"/>
      <c r="H134" s="39"/>
      <c r="I134" s="25"/>
    </row>
    <row r="135" spans="2:9" s="6" customFormat="1" ht="15.75" x14ac:dyDescent="0.25">
      <c r="B135" s="50"/>
      <c r="C135" s="34"/>
      <c r="D135" s="81"/>
      <c r="E135" s="89"/>
      <c r="F135" s="95"/>
      <c r="G135" s="52"/>
      <c r="H135" s="39"/>
      <c r="I135" s="25"/>
    </row>
    <row r="136" spans="2:9" s="6" customFormat="1" ht="15.75" x14ac:dyDescent="0.25">
      <c r="B136" s="50"/>
      <c r="C136" s="34"/>
      <c r="D136" s="81"/>
      <c r="E136" s="89"/>
      <c r="F136" s="95"/>
      <c r="G136" s="52"/>
      <c r="H136" s="39"/>
      <c r="I136" s="25"/>
    </row>
    <row r="137" spans="2:9" s="6" customFormat="1" x14ac:dyDescent="0.2">
      <c r="B137" s="50"/>
      <c r="C137" s="34"/>
      <c r="D137" s="81"/>
      <c r="E137" s="82"/>
      <c r="F137" s="96"/>
      <c r="G137" s="84"/>
      <c r="H137" s="41"/>
      <c r="I137" s="25"/>
    </row>
    <row r="138" spans="2:9" s="6" customFormat="1" ht="15.75" x14ac:dyDescent="0.25">
      <c r="B138" s="50"/>
      <c r="C138" s="34"/>
      <c r="D138" s="81"/>
      <c r="E138" s="197" t="s">
        <v>87</v>
      </c>
      <c r="F138" s="198"/>
      <c r="G138" s="199"/>
      <c r="H138" s="41"/>
      <c r="I138" s="25"/>
    </row>
    <row r="139" spans="2:9" s="6" customFormat="1" ht="15.75" x14ac:dyDescent="0.25">
      <c r="B139" s="50"/>
      <c r="C139" s="34"/>
      <c r="D139" s="81"/>
      <c r="E139" s="82"/>
      <c r="F139" s="37" t="s">
        <v>167</v>
      </c>
      <c r="G139" s="52" t="s">
        <v>646</v>
      </c>
      <c r="H139" s="39">
        <v>18100</v>
      </c>
      <c r="I139" s="25"/>
    </row>
    <row r="140" spans="2:9" s="6" customFormat="1" ht="15.75" x14ac:dyDescent="0.25">
      <c r="B140" s="50"/>
      <c r="C140" s="34"/>
      <c r="D140" s="81"/>
      <c r="E140" s="82"/>
      <c r="F140" s="37" t="s">
        <v>660</v>
      </c>
      <c r="G140" s="52" t="s">
        <v>661</v>
      </c>
      <c r="H140" s="39">
        <v>17700</v>
      </c>
      <c r="I140" s="25"/>
    </row>
    <row r="141" spans="2:9" s="6" customFormat="1" x14ac:dyDescent="0.2">
      <c r="B141" s="50"/>
      <c r="C141" s="34"/>
      <c r="D141" s="81"/>
      <c r="E141" s="82"/>
      <c r="F141" s="97"/>
      <c r="G141" s="52"/>
      <c r="H141" s="41"/>
      <c r="I141" s="25"/>
    </row>
    <row r="142" spans="2:9" s="6" customFormat="1" ht="15.75" thickBot="1" x14ac:dyDescent="0.25">
      <c r="B142" s="50" t="s">
        <v>88</v>
      </c>
      <c r="C142" s="34"/>
      <c r="D142" s="81"/>
      <c r="E142" s="86"/>
      <c r="F142" s="98"/>
      <c r="G142" s="88"/>
      <c r="H142" s="99"/>
      <c r="I142" s="25"/>
    </row>
    <row r="143" spans="2:9" s="6" customFormat="1" ht="15.75" x14ac:dyDescent="0.25">
      <c r="B143" s="50"/>
      <c r="C143" s="34"/>
      <c r="D143" s="81"/>
      <c r="E143" s="100"/>
      <c r="F143" s="101"/>
      <c r="G143" s="102" t="s">
        <v>89</v>
      </c>
      <c r="H143" s="103"/>
      <c r="I143" s="25"/>
    </row>
    <row r="144" spans="2:9" s="6" customFormat="1" ht="15.75" x14ac:dyDescent="0.25">
      <c r="B144" s="50"/>
      <c r="C144" s="34"/>
      <c r="D144" s="81"/>
      <c r="E144" s="82"/>
      <c r="F144" s="104"/>
      <c r="G144" s="105" t="s">
        <v>90</v>
      </c>
      <c r="H144" s="41">
        <v>10000</v>
      </c>
      <c r="I144" s="25"/>
    </row>
    <row r="145" spans="2:9" s="6" customFormat="1" ht="15.75" x14ac:dyDescent="0.25">
      <c r="B145" s="50"/>
      <c r="C145" s="34"/>
      <c r="D145" s="81"/>
      <c r="E145" s="82"/>
      <c r="F145" s="104"/>
      <c r="G145" s="105" t="s">
        <v>91</v>
      </c>
      <c r="H145" s="41"/>
      <c r="I145" s="25"/>
    </row>
    <row r="146" spans="2:9" s="6" customFormat="1" ht="15.75" x14ac:dyDescent="0.25">
      <c r="B146" s="50"/>
      <c r="C146" s="34"/>
      <c r="D146" s="81"/>
      <c r="E146" s="82"/>
      <c r="F146" s="104"/>
      <c r="G146" s="105" t="s">
        <v>92</v>
      </c>
      <c r="H146" s="41"/>
      <c r="I146" s="25"/>
    </row>
    <row r="147" spans="2:9" s="6" customFormat="1" ht="15.75" x14ac:dyDescent="0.25">
      <c r="B147" s="50"/>
      <c r="C147" s="34"/>
      <c r="D147" s="81"/>
      <c r="E147" s="82"/>
      <c r="F147" s="104"/>
      <c r="G147" s="105" t="s">
        <v>93</v>
      </c>
      <c r="H147" s="41"/>
      <c r="I147" s="25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639</v>
      </c>
      <c r="H148" s="107">
        <v>300</v>
      </c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94</v>
      </c>
      <c r="H149" s="109">
        <f>300+500</f>
        <v>800</v>
      </c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95</v>
      </c>
      <c r="H150" s="109">
        <v>2100</v>
      </c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96</v>
      </c>
      <c r="H151" s="107"/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97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138</v>
      </c>
      <c r="H153" s="107"/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246</v>
      </c>
      <c r="H154" s="107"/>
      <c r="I154" s="108"/>
    </row>
    <row r="155" spans="2:9" s="6" customFormat="1" ht="15.75" x14ac:dyDescent="0.25">
      <c r="B155" s="50"/>
      <c r="C155" s="34"/>
      <c r="D155" s="81"/>
      <c r="E155" s="82"/>
      <c r="F155" s="104"/>
      <c r="G155" s="106" t="s">
        <v>645</v>
      </c>
      <c r="H155" s="107">
        <v>4500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653</v>
      </c>
      <c r="H156" s="107">
        <f>800+3300</f>
        <v>4100</v>
      </c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634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101</v>
      </c>
      <c r="H158" s="107">
        <v>300</v>
      </c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406</v>
      </c>
      <c r="H159" s="107"/>
      <c r="I159" s="108"/>
    </row>
    <row r="160" spans="2:9" s="6" customFormat="1" ht="15.75" x14ac:dyDescent="0.25">
      <c r="B160" s="50" t="s">
        <v>103</v>
      </c>
      <c r="C160" s="34" t="s">
        <v>103</v>
      </c>
      <c r="D160" s="81"/>
      <c r="E160" s="82"/>
      <c r="F160" s="104"/>
      <c r="G160" s="106" t="s">
        <v>104</v>
      </c>
      <c r="H160" s="107"/>
      <c r="I160" s="108"/>
    </row>
    <row r="161" spans="2:9" s="6" customFormat="1" ht="15.75" x14ac:dyDescent="0.25">
      <c r="B161" s="50"/>
      <c r="C161" s="34"/>
      <c r="D161" s="81"/>
      <c r="E161" s="82"/>
      <c r="F161" s="104"/>
      <c r="G161" s="106" t="s">
        <v>555</v>
      </c>
      <c r="H161" s="107"/>
      <c r="I161" s="108"/>
    </row>
    <row r="162" spans="2:9" s="6" customFormat="1" ht="15.75" x14ac:dyDescent="0.25">
      <c r="B162" s="50"/>
      <c r="C162" s="34"/>
      <c r="D162" s="81"/>
      <c r="E162" s="82"/>
      <c r="F162" s="104"/>
      <c r="G162" s="106" t="s">
        <v>478</v>
      </c>
      <c r="H162" s="107"/>
      <c r="I162" s="108"/>
    </row>
    <row r="163" spans="2:9" s="6" customFormat="1" ht="15.75" x14ac:dyDescent="0.25">
      <c r="B163" s="50"/>
      <c r="C163" s="34"/>
      <c r="D163" s="81"/>
      <c r="E163" s="82"/>
      <c r="F163" s="104"/>
      <c r="G163" s="106" t="s">
        <v>711</v>
      </c>
      <c r="H163" s="107">
        <v>570</v>
      </c>
      <c r="I163" s="108"/>
    </row>
    <row r="164" spans="2:9" s="6" customFormat="1" ht="15.75" x14ac:dyDescent="0.25">
      <c r="B164" s="50"/>
      <c r="C164" s="34"/>
      <c r="D164" s="81"/>
      <c r="E164" s="82"/>
      <c r="F164" s="104"/>
      <c r="G164" s="106" t="s">
        <v>108</v>
      </c>
      <c r="H164" s="107"/>
      <c r="I164" s="108"/>
    </row>
    <row r="165" spans="2:9" s="6" customFormat="1" ht="15.75" x14ac:dyDescent="0.25">
      <c r="B165" s="50"/>
      <c r="C165" s="34"/>
      <c r="D165" s="81"/>
      <c r="E165" s="82"/>
      <c r="F165" s="104"/>
      <c r="G165" s="106" t="s">
        <v>109</v>
      </c>
      <c r="H165" s="107"/>
      <c r="I165" s="108"/>
    </row>
    <row r="166" spans="2:9" s="6" customFormat="1" ht="15.75" x14ac:dyDescent="0.25">
      <c r="B166" s="50"/>
      <c r="C166" s="34"/>
      <c r="D166" s="81"/>
      <c r="E166" s="110"/>
      <c r="F166" s="104"/>
      <c r="G166" s="111" t="s">
        <v>110</v>
      </c>
      <c r="H166" s="107"/>
      <c r="I166" s="108"/>
    </row>
    <row r="167" spans="2:9" s="118" customFormat="1" ht="16.5" thickBot="1" x14ac:dyDescent="0.3">
      <c r="B167" s="50"/>
      <c r="C167" s="112"/>
      <c r="D167" s="113"/>
      <c r="E167" s="114"/>
      <c r="F167" s="115"/>
      <c r="G167" s="116" t="s">
        <v>111</v>
      </c>
      <c r="H167" s="117"/>
      <c r="I167" s="108"/>
    </row>
    <row r="168" spans="2:9" s="11" customFormat="1" ht="15.75" x14ac:dyDescent="0.2">
      <c r="B168" s="119"/>
      <c r="C168" s="120"/>
      <c r="D168" s="121"/>
      <c r="E168" s="122"/>
      <c r="F168" s="101"/>
      <c r="G168" s="123" t="s">
        <v>112</v>
      </c>
      <c r="H168" s="124">
        <f>SUM(H10:H167)</f>
        <v>624150</v>
      </c>
      <c r="I168" s="125"/>
    </row>
    <row r="169" spans="2:9" ht="15.75" x14ac:dyDescent="0.25">
      <c r="B169" s="119"/>
      <c r="C169" s="126" t="s">
        <v>113</v>
      </c>
      <c r="D169" s="127">
        <f>SUM(D10:D168)</f>
        <v>749500</v>
      </c>
      <c r="E169" s="128"/>
      <c r="F169" s="129"/>
      <c r="G169" s="130" t="s">
        <v>114</v>
      </c>
      <c r="H169" s="131">
        <f>H9-H168</f>
        <v>587926</v>
      </c>
      <c r="I169" s="132"/>
    </row>
    <row r="170" spans="2:9" ht="16.5" thickBot="1" x14ac:dyDescent="0.3">
      <c r="B170" s="133"/>
      <c r="C170" s="134" t="s">
        <v>115</v>
      </c>
      <c r="D170" s="135">
        <f>D9+D169</f>
        <v>1212076</v>
      </c>
      <c r="E170" s="136"/>
      <c r="F170" s="137"/>
      <c r="G170" s="138" t="s">
        <v>116</v>
      </c>
      <c r="H170" s="139">
        <f>H168+H169</f>
        <v>1212076</v>
      </c>
      <c r="I170" s="132"/>
    </row>
    <row r="171" spans="2:9" ht="15.75" x14ac:dyDescent="0.25">
      <c r="B171" s="140"/>
      <c r="C171" s="140"/>
      <c r="D171" s="141"/>
      <c r="E171" s="142"/>
      <c r="F171" s="143"/>
      <c r="G171" s="144"/>
      <c r="H171" s="145"/>
      <c r="I171" s="145"/>
    </row>
    <row r="172" spans="2:9" ht="15.75" x14ac:dyDescent="0.25">
      <c r="B172" s="140"/>
      <c r="C172" s="140"/>
      <c r="D172" s="141"/>
      <c r="E172" s="142"/>
      <c r="F172" s="143"/>
      <c r="G172" s="144"/>
      <c r="H172" s="145"/>
      <c r="I172" s="145"/>
    </row>
    <row r="173" spans="2:9" ht="15.75" x14ac:dyDescent="0.25">
      <c r="B173" s="140"/>
      <c r="C173" s="140"/>
      <c r="D173" s="141"/>
      <c r="E173" s="142"/>
      <c r="F173" s="143"/>
      <c r="G173" s="144"/>
      <c r="H173" s="145"/>
      <c r="I173" s="145"/>
    </row>
    <row r="174" spans="2:9" ht="15.75" x14ac:dyDescent="0.25">
      <c r="B174" s="140"/>
      <c r="C174" s="140"/>
      <c r="D174" s="141"/>
      <c r="E174" s="142"/>
      <c r="F174" s="143"/>
      <c r="G174" s="144"/>
      <c r="H174" s="145"/>
      <c r="I174" s="145"/>
    </row>
    <row r="175" spans="2:9" ht="15.75" x14ac:dyDescent="0.25">
      <c r="B175" s="187" t="s">
        <v>117</v>
      </c>
      <c r="C175" s="187"/>
      <c r="D175" s="188" t="s">
        <v>118</v>
      </c>
      <c r="E175" s="188"/>
      <c r="F175" s="188"/>
      <c r="G175" s="146" t="s">
        <v>119</v>
      </c>
      <c r="H175" s="146" t="s">
        <v>120</v>
      </c>
      <c r="I175" s="146"/>
    </row>
    <row r="176" spans="2:9" ht="15.75" x14ac:dyDescent="0.25">
      <c r="B176" s="140"/>
      <c r="C176" s="140"/>
      <c r="D176" s="141"/>
      <c r="E176" s="142"/>
      <c r="F176" s="143"/>
      <c r="G176" s="147"/>
    </row>
    <row r="177" spans="2:11" x14ac:dyDescent="0.2">
      <c r="E177" s="5" t="s">
        <v>121</v>
      </c>
    </row>
    <row r="178" spans="2:11" x14ac:dyDescent="0.2">
      <c r="H178" s="151"/>
      <c r="I178" s="151"/>
    </row>
    <row r="179" spans="2:11" x14ac:dyDescent="0.2">
      <c r="H179" s="189"/>
      <c r="I179" s="189"/>
      <c r="J179" s="189"/>
    </row>
    <row r="180" spans="2:11" x14ac:dyDescent="0.2">
      <c r="B180" s="152" t="s">
        <v>122</v>
      </c>
      <c r="C180" s="153" t="s">
        <v>123</v>
      </c>
      <c r="D180" s="152" t="s">
        <v>124</v>
      </c>
      <c r="H180" s="151"/>
      <c r="I180" s="151"/>
    </row>
    <row r="181" spans="2:11" ht="23.25" x14ac:dyDescent="0.2">
      <c r="B181" s="154">
        <v>1</v>
      </c>
      <c r="C181" s="155" t="s">
        <v>125</v>
      </c>
      <c r="D181" s="156"/>
      <c r="H181" s="157"/>
      <c r="I181" s="157"/>
      <c r="J181" s="158"/>
      <c r="K181" s="159"/>
    </row>
    <row r="182" spans="2:11" ht="23.25" x14ac:dyDescent="0.2">
      <c r="B182" s="154">
        <v>2</v>
      </c>
      <c r="C182" s="155" t="s">
        <v>126</v>
      </c>
      <c r="D182" s="160"/>
      <c r="H182" s="157"/>
      <c r="I182" s="157"/>
      <c r="J182" s="158"/>
      <c r="K182" s="159"/>
    </row>
    <row r="183" spans="2:11" ht="23.25" x14ac:dyDescent="0.2">
      <c r="B183" s="154">
        <v>3</v>
      </c>
      <c r="C183" s="155" t="s">
        <v>127</v>
      </c>
      <c r="D183" s="160">
        <f>10000-5000</f>
        <v>5000</v>
      </c>
      <c r="H183" s="157"/>
      <c r="I183" s="157"/>
      <c r="J183" s="158"/>
      <c r="K183" s="159"/>
    </row>
    <row r="184" spans="2:11" ht="23.25" x14ac:dyDescent="0.3">
      <c r="B184" s="154">
        <v>4</v>
      </c>
      <c r="C184" s="155"/>
      <c r="D184" s="160"/>
      <c r="H184" s="161"/>
      <c r="I184" s="157"/>
      <c r="J184" s="158"/>
      <c r="K184" s="159"/>
    </row>
    <row r="185" spans="2:11" ht="23.25" x14ac:dyDescent="0.2">
      <c r="B185" s="154">
        <v>5</v>
      </c>
      <c r="C185" s="155" t="s">
        <v>128</v>
      </c>
      <c r="D185" s="162">
        <f>10000+20000+15000-15000</f>
        <v>30000</v>
      </c>
      <c r="H185" s="157"/>
      <c r="I185" s="157"/>
      <c r="J185" s="158"/>
      <c r="K185" s="159"/>
    </row>
    <row r="186" spans="2:11" ht="23.25" x14ac:dyDescent="0.2">
      <c r="B186" s="154">
        <v>6</v>
      </c>
      <c r="C186" s="155" t="s">
        <v>129</v>
      </c>
      <c r="D186" s="162">
        <f>2000+5000+2000-2000+1000+3000-3000+10000-6500</f>
        <v>11500</v>
      </c>
      <c r="H186" s="157"/>
      <c r="I186" s="157"/>
      <c r="J186" s="158"/>
      <c r="K186" s="159"/>
    </row>
    <row r="187" spans="2:11" ht="23.25" x14ac:dyDescent="0.2">
      <c r="B187" s="154">
        <v>7</v>
      </c>
      <c r="C187" s="155" t="s">
        <v>130</v>
      </c>
      <c r="D187" s="160">
        <f>-6700+100+10000-3450-1720-700-1950+4000+1000+5000</f>
        <v>5580</v>
      </c>
      <c r="H187" s="157"/>
      <c r="I187" s="157"/>
      <c r="J187" s="158"/>
      <c r="K187" s="159"/>
    </row>
    <row r="188" spans="2:11" ht="23.25" x14ac:dyDescent="0.2">
      <c r="B188" s="154">
        <v>8</v>
      </c>
      <c r="C188" s="163" t="s">
        <v>343</v>
      </c>
      <c r="D188" s="164">
        <f>3300+4300</f>
        <v>7600</v>
      </c>
      <c r="H188" s="157"/>
      <c r="I188" s="157"/>
      <c r="J188" s="158"/>
      <c r="K188" s="159"/>
    </row>
    <row r="189" spans="2:11" ht="23.25" x14ac:dyDescent="0.2">
      <c r="B189" s="154">
        <v>9</v>
      </c>
      <c r="C189" s="163"/>
      <c r="D189" s="165"/>
      <c r="H189" s="166"/>
      <c r="I189" s="158"/>
      <c r="J189" s="158"/>
      <c r="K189" s="159"/>
    </row>
    <row r="190" spans="2:11" ht="23.25" x14ac:dyDescent="0.2">
      <c r="B190" s="154">
        <v>10</v>
      </c>
      <c r="C190" s="155" t="s">
        <v>133</v>
      </c>
      <c r="D190" s="160">
        <f>2610+10000-10000-21800+5000+8000-11800+6000+13080+8720+14497+13080+8720+13080-30000+8000-11500-40000+10000+10900+10900+10900+17549-27000-17000+8000-4600+8000</f>
        <v>13336</v>
      </c>
      <c r="H190" s="167"/>
      <c r="I190" s="158"/>
      <c r="J190" s="158"/>
      <c r="K190" s="159"/>
    </row>
    <row r="191" spans="2:11" ht="23.25" x14ac:dyDescent="0.3">
      <c r="B191" s="154">
        <v>11</v>
      </c>
      <c r="C191" s="155" t="s">
        <v>264</v>
      </c>
      <c r="D191" s="160" t="s">
        <v>103</v>
      </c>
      <c r="E191" s="168"/>
      <c r="G191" s="150" t="s">
        <v>121</v>
      </c>
      <c r="H191" s="169"/>
      <c r="I191" s="158"/>
      <c r="J191" s="158"/>
      <c r="K191" s="159"/>
    </row>
    <row r="192" spans="2:11" ht="23.25" x14ac:dyDescent="0.2">
      <c r="B192" s="154"/>
      <c r="C192" s="170" t="s">
        <v>135</v>
      </c>
      <c r="D192" s="171">
        <f>SUM(D181:D191)</f>
        <v>73016</v>
      </c>
      <c r="F192" s="172"/>
      <c r="H192" s="167"/>
      <c r="I192" s="158"/>
      <c r="J192" s="158"/>
      <c r="K192" s="159"/>
    </row>
    <row r="193" spans="2:11" ht="23.25" x14ac:dyDescent="0.2">
      <c r="D193" s="186"/>
      <c r="E193" s="174"/>
      <c r="H193" s="167"/>
      <c r="I193" s="175"/>
      <c r="J193" s="158"/>
      <c r="K193" s="159"/>
    </row>
    <row r="194" spans="2:11" ht="23.25" x14ac:dyDescent="0.25">
      <c r="D194" s="176"/>
      <c r="F194" s="177"/>
      <c r="H194" s="178"/>
      <c r="I194" s="175"/>
      <c r="J194" s="175"/>
      <c r="K194" s="159"/>
    </row>
    <row r="195" spans="2:11" ht="23.25" x14ac:dyDescent="0.2">
      <c r="D195" s="176"/>
      <c r="H195" s="179"/>
      <c r="I195" s="180"/>
      <c r="J195" s="158"/>
      <c r="K195" s="159"/>
    </row>
    <row r="196" spans="2:11" ht="23.25" x14ac:dyDescent="0.25">
      <c r="B196" s="5"/>
      <c r="D196" s="181">
        <v>11800</v>
      </c>
      <c r="E196" s="178" t="s">
        <v>253</v>
      </c>
      <c r="G196" s="178"/>
      <c r="H196" s="167"/>
      <c r="I196" s="5"/>
      <c r="J196" s="158"/>
      <c r="K196" s="159"/>
    </row>
    <row r="197" spans="2:11" ht="15.75" x14ac:dyDescent="0.25">
      <c r="B197" s="5"/>
      <c r="D197" s="181"/>
      <c r="E197" s="178"/>
      <c r="G197" s="178"/>
      <c r="H197" s="167"/>
      <c r="I197" s="5"/>
      <c r="J197" s="175"/>
    </row>
    <row r="198" spans="2:11" ht="15.75" x14ac:dyDescent="0.25">
      <c r="D198" s="181"/>
      <c r="E198" s="178"/>
      <c r="H198" s="182"/>
    </row>
    <row r="199" spans="2:11" x14ac:dyDescent="0.2">
      <c r="B199" s="5"/>
      <c r="D199" s="176"/>
      <c r="F199" s="5"/>
      <c r="G199" s="5"/>
      <c r="H199" s="183"/>
      <c r="I199" s="5"/>
    </row>
    <row r="200" spans="2:11" x14ac:dyDescent="0.2">
      <c r="D200" s="184">
        <f>SUM(D193:D199)+D192</f>
        <v>84816</v>
      </c>
      <c r="H200" s="182"/>
    </row>
    <row r="201" spans="2:11" x14ac:dyDescent="0.2">
      <c r="B201" s="5"/>
      <c r="D201" s="185">
        <f>D200-H169</f>
        <v>-503110</v>
      </c>
      <c r="F201" s="5"/>
      <c r="G201" s="5"/>
      <c r="H201" s="178"/>
      <c r="I201" s="5"/>
    </row>
    <row r="202" spans="2:11" x14ac:dyDescent="0.2">
      <c r="H202" s="182"/>
    </row>
    <row r="203" spans="2:11" x14ac:dyDescent="0.2">
      <c r="H203" s="182"/>
    </row>
    <row r="204" spans="2:11" x14ac:dyDescent="0.2">
      <c r="H204" s="182"/>
    </row>
    <row r="205" spans="2:11" x14ac:dyDescent="0.2">
      <c r="H205" s="182"/>
    </row>
    <row r="206" spans="2:11" x14ac:dyDescent="0.2">
      <c r="B206" s="5"/>
      <c r="D206" s="5"/>
      <c r="F206" s="5"/>
      <c r="G206" s="5"/>
      <c r="H206" s="182"/>
      <c r="I206" s="5"/>
    </row>
    <row r="207" spans="2:11" ht="15.75" x14ac:dyDescent="0.25">
      <c r="B207" s="5"/>
      <c r="D207" s="5"/>
      <c r="F207" s="5"/>
      <c r="G207" s="5"/>
      <c r="H207" s="145"/>
      <c r="I207" s="5"/>
    </row>
    <row r="208" spans="2:11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  <row r="317" spans="8:8" s="5" customFormat="1" x14ac:dyDescent="0.2">
      <c r="H317" s="182"/>
    </row>
    <row r="318" spans="8:8" s="5" customFormat="1" x14ac:dyDescent="0.2">
      <c r="H318" s="182"/>
    </row>
    <row r="319" spans="8:8" s="5" customFormat="1" x14ac:dyDescent="0.2">
      <c r="H319" s="182"/>
    </row>
    <row r="320" spans="8:8" s="5" customFormat="1" x14ac:dyDescent="0.2">
      <c r="H320" s="182"/>
    </row>
    <row r="321" spans="8:8" s="5" customFormat="1" x14ac:dyDescent="0.2">
      <c r="H321" s="182"/>
    </row>
  </sheetData>
  <mergeCells count="24">
    <mergeCell ref="B1:H1"/>
    <mergeCell ref="B2:H2"/>
    <mergeCell ref="B3:H3"/>
    <mergeCell ref="B4:H4"/>
    <mergeCell ref="B6:D6"/>
    <mergeCell ref="F6:H6"/>
    <mergeCell ref="H179:J179"/>
    <mergeCell ref="H7:H8"/>
    <mergeCell ref="B9:C9"/>
    <mergeCell ref="F9:G9"/>
    <mergeCell ref="F10:G10"/>
    <mergeCell ref="E123:G123"/>
    <mergeCell ref="E126:G126"/>
    <mergeCell ref="B7:B8"/>
    <mergeCell ref="C7:C8"/>
    <mergeCell ref="D7:D8"/>
    <mergeCell ref="E7:E8"/>
    <mergeCell ref="F7:F8"/>
    <mergeCell ref="G7:G8"/>
    <mergeCell ref="E129:G129"/>
    <mergeCell ref="E132:G132"/>
    <mergeCell ref="E138:G138"/>
    <mergeCell ref="B175:C175"/>
    <mergeCell ref="D175:F1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1F49-3277-4B5A-A152-23B0B0FA348F}">
  <dimension ref="B1:K321"/>
  <sheetViews>
    <sheetView topLeftCell="A139" workbookViewId="0">
      <selection activeCell="A139" sqref="A1:XFD1048576"/>
    </sheetView>
  </sheetViews>
  <sheetFormatPr defaultColWidth="9.140625" defaultRowHeight="15" x14ac:dyDescent="0.2"/>
  <cols>
    <col min="1" max="1" width="0.140625" style="5" customWidth="1"/>
    <col min="2" max="2" width="15.5703125" style="6" bestFit="1" customWidth="1"/>
    <col min="3" max="3" width="31" style="5" customWidth="1"/>
    <col min="4" max="4" width="16.140625" style="6" bestFit="1" customWidth="1"/>
    <col min="5" max="5" width="6.85546875" style="5" customWidth="1"/>
    <col min="6" max="6" width="13.140625" style="149" bestFit="1" customWidth="1"/>
    <col min="7" max="7" width="61" style="150" customWidth="1"/>
    <col min="8" max="8" width="12.5703125" style="148" customWidth="1"/>
    <col min="9" max="9" width="14.85546875" style="148" customWidth="1"/>
    <col min="10" max="10" width="15" style="5" bestFit="1" customWidth="1"/>
    <col min="11" max="11" width="16.140625" style="5" bestFit="1" customWidth="1"/>
    <col min="12" max="13" width="9.140625" style="5"/>
    <col min="14" max="14" width="11.85546875" style="5" customWidth="1"/>
    <col min="15" max="16384" width="9.140625" style="5"/>
  </cols>
  <sheetData>
    <row r="1" spans="2:9" s="2" customFormat="1" ht="20.25" x14ac:dyDescent="0.3">
      <c r="B1" s="210" t="s">
        <v>0</v>
      </c>
      <c r="C1" s="210"/>
      <c r="D1" s="210"/>
      <c r="E1" s="210"/>
      <c r="F1" s="210"/>
      <c r="G1" s="210"/>
      <c r="H1" s="210"/>
      <c r="I1" s="1"/>
    </row>
    <row r="2" spans="2:9" s="2" customFormat="1" ht="20.25" x14ac:dyDescent="0.3">
      <c r="B2" s="211" t="s">
        <v>1</v>
      </c>
      <c r="C2" s="211"/>
      <c r="D2" s="211"/>
      <c r="E2" s="211"/>
      <c r="F2" s="211"/>
      <c r="G2" s="211"/>
      <c r="H2" s="211"/>
      <c r="I2" s="3"/>
    </row>
    <row r="3" spans="2:9" s="2" customFormat="1" ht="20.25" x14ac:dyDescent="0.3">
      <c r="B3" s="211" t="s">
        <v>2</v>
      </c>
      <c r="C3" s="211"/>
      <c r="D3" s="211"/>
      <c r="E3" s="211"/>
      <c r="F3" s="211"/>
      <c r="G3" s="211"/>
      <c r="H3" s="211"/>
      <c r="I3" s="3"/>
    </row>
    <row r="4" spans="2:9" ht="20.25" x14ac:dyDescent="0.3">
      <c r="B4" s="210" t="s">
        <v>712</v>
      </c>
      <c r="C4" s="210"/>
      <c r="D4" s="210"/>
      <c r="E4" s="210"/>
      <c r="F4" s="210"/>
      <c r="G4" s="210"/>
      <c r="H4" s="210"/>
      <c r="I4" s="4"/>
    </row>
    <row r="5" spans="2:9" s="11" customFormat="1" ht="16.5" thickBot="1" x14ac:dyDescent="0.3">
      <c r="B5" s="6"/>
      <c r="C5" s="6"/>
      <c r="D5" s="7"/>
      <c r="E5" s="7"/>
      <c r="F5" s="8"/>
      <c r="G5" s="9"/>
      <c r="H5" s="10"/>
      <c r="I5" s="10"/>
    </row>
    <row r="6" spans="2:9" ht="16.5" thickBot="1" x14ac:dyDescent="0.25">
      <c r="B6" s="212" t="s">
        <v>3</v>
      </c>
      <c r="C6" s="213"/>
      <c r="D6" s="213"/>
      <c r="E6" s="12"/>
      <c r="F6" s="214" t="s">
        <v>4</v>
      </c>
      <c r="G6" s="215"/>
      <c r="H6" s="216"/>
      <c r="I6" s="13"/>
    </row>
    <row r="7" spans="2:9" s="15" customFormat="1" ht="16.5" x14ac:dyDescent="0.25">
      <c r="B7" s="200" t="s">
        <v>5</v>
      </c>
      <c r="C7" s="202" t="s">
        <v>6</v>
      </c>
      <c r="D7" s="202" t="s">
        <v>7</v>
      </c>
      <c r="E7" s="204" t="s">
        <v>8</v>
      </c>
      <c r="F7" s="206" t="s">
        <v>5</v>
      </c>
      <c r="G7" s="208" t="s">
        <v>6</v>
      </c>
      <c r="H7" s="190" t="s">
        <v>7</v>
      </c>
      <c r="I7" s="14"/>
    </row>
    <row r="8" spans="2:9" ht="17.25" thickBot="1" x14ac:dyDescent="0.25">
      <c r="B8" s="201"/>
      <c r="C8" s="203"/>
      <c r="D8" s="203"/>
      <c r="E8" s="205"/>
      <c r="F8" s="207"/>
      <c r="G8" s="209"/>
      <c r="H8" s="191"/>
      <c r="I8" s="14"/>
    </row>
    <row r="9" spans="2:9" s="6" customFormat="1" ht="16.5" thickBot="1" x14ac:dyDescent="0.3">
      <c r="B9" s="192" t="s">
        <v>9</v>
      </c>
      <c r="C9" s="193"/>
      <c r="D9" s="16">
        <v>587926</v>
      </c>
      <c r="E9" s="17"/>
      <c r="F9" s="194" t="s">
        <v>10</v>
      </c>
      <c r="G9" s="195"/>
      <c r="H9" s="18">
        <f>D170</f>
        <v>1710426</v>
      </c>
      <c r="I9" s="19"/>
    </row>
    <row r="10" spans="2:9" s="6" customFormat="1" ht="16.5" thickBot="1" x14ac:dyDescent="0.3">
      <c r="B10" s="20"/>
      <c r="C10" s="21"/>
      <c r="D10" s="22"/>
      <c r="E10" s="23">
        <v>101</v>
      </c>
      <c r="F10" s="196" t="s">
        <v>11</v>
      </c>
      <c r="G10" s="196"/>
      <c r="H10" s="24"/>
      <c r="I10" s="25"/>
    </row>
    <row r="11" spans="2:9" s="6" customFormat="1" ht="15.75" x14ac:dyDescent="0.25">
      <c r="B11" s="26"/>
      <c r="C11" s="27" t="s">
        <v>12</v>
      </c>
      <c r="D11" s="28">
        <v>1120000</v>
      </c>
      <c r="E11" s="29">
        <v>101</v>
      </c>
      <c r="F11" s="30" t="s">
        <v>13</v>
      </c>
      <c r="G11" s="31"/>
      <c r="H11" s="32"/>
      <c r="I11" s="25"/>
    </row>
    <row r="12" spans="2:9" s="6" customFormat="1" ht="15.75" x14ac:dyDescent="0.25">
      <c r="B12" s="33" t="s">
        <v>625</v>
      </c>
      <c r="C12" s="34" t="s">
        <v>713</v>
      </c>
      <c r="D12" s="35">
        <v>2500</v>
      </c>
      <c r="E12" s="36">
        <v>101</v>
      </c>
      <c r="F12" s="37" t="s">
        <v>14</v>
      </c>
      <c r="G12" s="38" t="s">
        <v>764</v>
      </c>
      <c r="H12" s="39">
        <f>1900+1850</f>
        <v>3750</v>
      </c>
      <c r="I12" s="25"/>
    </row>
    <row r="13" spans="2:9" s="6" customFormat="1" ht="15.75" x14ac:dyDescent="0.25">
      <c r="B13" s="33"/>
      <c r="C13" s="34"/>
      <c r="D13" s="35"/>
      <c r="E13" s="36">
        <v>101</v>
      </c>
      <c r="F13" s="37" t="s">
        <v>15</v>
      </c>
      <c r="G13" s="40"/>
      <c r="H13" s="41"/>
      <c r="I13" s="25"/>
    </row>
    <row r="14" spans="2:9" s="6" customFormat="1" ht="15.75" x14ac:dyDescent="0.25">
      <c r="B14" s="33"/>
      <c r="C14" s="34"/>
      <c r="D14" s="35"/>
      <c r="E14" s="36">
        <v>101</v>
      </c>
      <c r="F14" s="37" t="s">
        <v>16</v>
      </c>
      <c r="G14" s="40" t="s">
        <v>761</v>
      </c>
      <c r="H14" s="42">
        <v>2100</v>
      </c>
      <c r="I14" s="25"/>
    </row>
    <row r="15" spans="2:9" s="6" customFormat="1" ht="15.75" x14ac:dyDescent="0.25">
      <c r="B15" s="43"/>
      <c r="C15" s="34"/>
      <c r="D15" s="44"/>
      <c r="E15" s="36">
        <v>101</v>
      </c>
      <c r="F15" s="37" t="s">
        <v>17</v>
      </c>
      <c r="G15" s="45" t="s">
        <v>746</v>
      </c>
      <c r="H15" s="42">
        <v>1900</v>
      </c>
      <c r="I15" s="46"/>
    </row>
    <row r="16" spans="2:9" s="6" customFormat="1" ht="15.75" x14ac:dyDescent="0.25">
      <c r="B16" s="43"/>
      <c r="C16" s="47"/>
      <c r="D16" s="44"/>
      <c r="E16" s="36">
        <v>101</v>
      </c>
      <c r="F16" s="37" t="s">
        <v>18</v>
      </c>
      <c r="G16" s="48" t="s">
        <v>725</v>
      </c>
      <c r="H16" s="42">
        <v>3500</v>
      </c>
      <c r="I16" s="25"/>
    </row>
    <row r="17" spans="2:9" s="6" customFormat="1" ht="15.75" x14ac:dyDescent="0.25">
      <c r="B17" s="43"/>
      <c r="C17" s="47"/>
      <c r="D17" s="44"/>
      <c r="E17" s="36">
        <v>101</v>
      </c>
      <c r="F17" s="37" t="s">
        <v>19</v>
      </c>
      <c r="G17" s="40"/>
      <c r="H17" s="42"/>
      <c r="I17" s="46"/>
    </row>
    <row r="18" spans="2:9" s="6" customFormat="1" ht="15.75" x14ac:dyDescent="0.25">
      <c r="B18" s="43"/>
      <c r="C18" s="47"/>
      <c r="D18" s="44"/>
      <c r="E18" s="36">
        <v>101</v>
      </c>
      <c r="F18" s="37" t="s">
        <v>20</v>
      </c>
      <c r="G18" s="45"/>
      <c r="H18" s="42"/>
      <c r="I18" s="46"/>
    </row>
    <row r="19" spans="2:9" s="6" customFormat="1" ht="15.75" x14ac:dyDescent="0.25">
      <c r="B19" s="43"/>
      <c r="C19" s="47"/>
      <c r="D19" s="44"/>
      <c r="E19" s="36">
        <v>101</v>
      </c>
      <c r="F19" s="37" t="s">
        <v>21</v>
      </c>
      <c r="G19" s="40"/>
      <c r="H19" s="42"/>
      <c r="I19" s="46"/>
    </row>
    <row r="20" spans="2:9" s="6" customFormat="1" ht="15.75" x14ac:dyDescent="0.25">
      <c r="B20" s="43"/>
      <c r="C20" s="47"/>
      <c r="D20" s="44"/>
      <c r="E20" s="36">
        <v>101</v>
      </c>
      <c r="F20" s="37" t="s">
        <v>22</v>
      </c>
      <c r="G20" s="49" t="s">
        <v>755</v>
      </c>
      <c r="H20" s="39">
        <f>2500+2150</f>
        <v>4650</v>
      </c>
      <c r="I20" s="46"/>
    </row>
    <row r="21" spans="2:9" s="6" customFormat="1" ht="15.75" x14ac:dyDescent="0.25">
      <c r="B21" s="43"/>
      <c r="C21" s="47"/>
      <c r="D21" s="44"/>
      <c r="E21" s="36">
        <v>101</v>
      </c>
      <c r="F21" s="37" t="s">
        <v>23</v>
      </c>
      <c r="G21" s="49" t="s">
        <v>771</v>
      </c>
      <c r="H21" s="39">
        <f>1900+2100</f>
        <v>4000</v>
      </c>
      <c r="I21" s="46"/>
    </row>
    <row r="22" spans="2:9" s="6" customFormat="1" ht="15.75" x14ac:dyDescent="0.25">
      <c r="B22" s="43"/>
      <c r="C22" s="34"/>
      <c r="D22" s="44"/>
      <c r="E22" s="36">
        <v>101</v>
      </c>
      <c r="F22" s="37" t="s">
        <v>24</v>
      </c>
      <c r="G22" s="49"/>
      <c r="H22" s="39"/>
      <c r="I22" s="25"/>
    </row>
    <row r="23" spans="2:9" s="6" customFormat="1" ht="15.75" x14ac:dyDescent="0.25">
      <c r="B23" s="43"/>
      <c r="C23" s="34"/>
      <c r="D23" s="44"/>
      <c r="E23" s="36">
        <v>101</v>
      </c>
      <c r="F23" s="37" t="s">
        <v>25</v>
      </c>
      <c r="G23" s="40" t="s">
        <v>770</v>
      </c>
      <c r="H23" s="42">
        <f>1300+1250</f>
        <v>2550</v>
      </c>
      <c r="I23" s="46"/>
    </row>
    <row r="24" spans="2:9" s="6" customFormat="1" ht="15.75" x14ac:dyDescent="0.25">
      <c r="B24" s="50"/>
      <c r="C24" s="34"/>
      <c r="D24" s="44"/>
      <c r="E24" s="36">
        <v>101</v>
      </c>
      <c r="F24" s="37" t="s">
        <v>26</v>
      </c>
      <c r="G24" s="45"/>
      <c r="H24" s="42"/>
      <c r="I24" s="46"/>
    </row>
    <row r="25" spans="2:9" s="6" customFormat="1" ht="15.75" x14ac:dyDescent="0.25">
      <c r="B25" s="50"/>
      <c r="C25" s="34"/>
      <c r="D25" s="44"/>
      <c r="E25" s="36">
        <v>101</v>
      </c>
      <c r="F25" s="37" t="s">
        <v>27</v>
      </c>
      <c r="G25" s="49" t="s">
        <v>776</v>
      </c>
      <c r="H25" s="51">
        <f>1500+800+1500</f>
        <v>3800</v>
      </c>
      <c r="I25" s="46"/>
    </row>
    <row r="26" spans="2:9" s="6" customFormat="1" ht="15.75" x14ac:dyDescent="0.25">
      <c r="B26" s="50"/>
      <c r="C26" s="34"/>
      <c r="D26" s="44"/>
      <c r="E26" s="36">
        <v>101</v>
      </c>
      <c r="F26" s="37" t="s">
        <v>28</v>
      </c>
      <c r="G26" s="49"/>
      <c r="H26" s="39"/>
      <c r="I26" s="46"/>
    </row>
    <row r="27" spans="2:9" s="6" customFormat="1" ht="15.75" x14ac:dyDescent="0.25">
      <c r="B27" s="50"/>
      <c r="C27" s="34"/>
      <c r="D27" s="44"/>
      <c r="E27" s="36">
        <v>101</v>
      </c>
      <c r="F27" s="37" t="s">
        <v>29</v>
      </c>
      <c r="G27" s="52"/>
      <c r="H27" s="39"/>
      <c r="I27" s="46"/>
    </row>
    <row r="28" spans="2:9" s="6" customFormat="1" ht="15.75" x14ac:dyDescent="0.25">
      <c r="B28" s="50"/>
      <c r="C28" s="34"/>
      <c r="D28" s="44"/>
      <c r="E28" s="36">
        <v>101</v>
      </c>
      <c r="F28" s="37" t="s">
        <v>30</v>
      </c>
      <c r="G28" s="52" t="s">
        <v>784</v>
      </c>
      <c r="H28" s="39">
        <f>3400+650+3500</f>
        <v>7550</v>
      </c>
      <c r="I28" s="46"/>
    </row>
    <row r="29" spans="2:9" s="6" customFormat="1" ht="15.75" x14ac:dyDescent="0.25">
      <c r="B29" s="50"/>
      <c r="C29" s="34"/>
      <c r="D29" s="44"/>
      <c r="E29" s="36">
        <v>101</v>
      </c>
      <c r="F29" s="37" t="s">
        <v>31</v>
      </c>
      <c r="G29" s="53"/>
      <c r="H29" s="42"/>
      <c r="I29" s="46"/>
    </row>
    <row r="30" spans="2:9" s="6" customFormat="1" ht="15.75" x14ac:dyDescent="0.25">
      <c r="B30" s="50"/>
      <c r="C30" s="34"/>
      <c r="D30" s="44"/>
      <c r="E30" s="36">
        <v>101</v>
      </c>
      <c r="F30" s="37" t="s">
        <v>32</v>
      </c>
      <c r="G30" s="54" t="s">
        <v>760</v>
      </c>
      <c r="H30" s="42">
        <v>2400</v>
      </c>
      <c r="I30" s="46"/>
    </row>
    <row r="31" spans="2:9" s="6" customFormat="1" ht="15.75" x14ac:dyDescent="0.25">
      <c r="B31" s="50"/>
      <c r="C31" s="34"/>
      <c r="D31" s="44"/>
      <c r="E31" s="36">
        <v>101</v>
      </c>
      <c r="F31" s="37" t="s">
        <v>33</v>
      </c>
      <c r="G31" s="53" t="s">
        <v>762</v>
      </c>
      <c r="H31" s="42">
        <v>1950</v>
      </c>
      <c r="I31" s="46"/>
    </row>
    <row r="32" spans="2:9" s="6" customFormat="1" ht="15.75" x14ac:dyDescent="0.25">
      <c r="B32" s="50"/>
      <c r="C32" s="34"/>
      <c r="D32" s="44"/>
      <c r="E32" s="36">
        <v>101</v>
      </c>
      <c r="F32" s="37" t="s">
        <v>34</v>
      </c>
      <c r="G32" s="52" t="s">
        <v>724</v>
      </c>
      <c r="H32" s="39">
        <v>2050</v>
      </c>
      <c r="I32" s="46"/>
    </row>
    <row r="33" spans="2:9" s="6" customFormat="1" ht="15.75" x14ac:dyDescent="0.25">
      <c r="B33" s="50"/>
      <c r="C33" s="34"/>
      <c r="D33" s="44"/>
      <c r="E33" s="36">
        <v>101</v>
      </c>
      <c r="F33" s="37" t="s">
        <v>35</v>
      </c>
      <c r="G33" s="52" t="s">
        <v>765</v>
      </c>
      <c r="H33" s="39">
        <f>1800+400</f>
        <v>2200</v>
      </c>
      <c r="I33" s="46"/>
    </row>
    <row r="34" spans="2:9" s="6" customFormat="1" ht="15.75" x14ac:dyDescent="0.25">
      <c r="B34" s="50"/>
      <c r="C34" s="34"/>
      <c r="D34" s="44"/>
      <c r="E34" s="36">
        <v>101</v>
      </c>
      <c r="F34" s="37" t="s">
        <v>36</v>
      </c>
      <c r="G34" s="52"/>
      <c r="H34" s="39"/>
      <c r="I34" s="46"/>
    </row>
    <row r="35" spans="2:9" s="6" customFormat="1" ht="15.75" x14ac:dyDescent="0.25">
      <c r="B35" s="50"/>
      <c r="C35" s="34"/>
      <c r="D35" s="44"/>
      <c r="E35" s="36">
        <v>101</v>
      </c>
      <c r="F35" s="37" t="s">
        <v>37</v>
      </c>
      <c r="G35" s="52"/>
      <c r="H35" s="39"/>
      <c r="I35" s="46"/>
    </row>
    <row r="36" spans="2:9" s="6" customFormat="1" ht="15.75" x14ac:dyDescent="0.25">
      <c r="B36" s="50"/>
      <c r="C36" s="34"/>
      <c r="D36" s="44"/>
      <c r="E36" s="36">
        <v>101</v>
      </c>
      <c r="F36" s="37" t="s">
        <v>38</v>
      </c>
      <c r="G36" s="53" t="s">
        <v>769</v>
      </c>
      <c r="H36" s="42">
        <v>1250</v>
      </c>
      <c r="I36" s="46"/>
    </row>
    <row r="37" spans="2:9" s="6" customFormat="1" ht="15.75" x14ac:dyDescent="0.25">
      <c r="B37" s="50"/>
      <c r="C37" s="34"/>
      <c r="D37" s="44"/>
      <c r="E37" s="36">
        <v>101</v>
      </c>
      <c r="F37" s="37" t="s">
        <v>39</v>
      </c>
      <c r="G37" s="53"/>
      <c r="H37" s="42"/>
      <c r="I37" s="46"/>
    </row>
    <row r="38" spans="2:9" s="6" customFormat="1" ht="16.5" thickBot="1" x14ac:dyDescent="0.3">
      <c r="B38" s="50"/>
      <c r="C38" s="34"/>
      <c r="D38" s="44"/>
      <c r="E38" s="36">
        <v>101</v>
      </c>
      <c r="F38" s="55" t="s">
        <v>40</v>
      </c>
      <c r="G38" s="56" t="s">
        <v>720</v>
      </c>
      <c r="H38" s="57">
        <v>2000</v>
      </c>
      <c r="I38" s="46"/>
    </row>
    <row r="39" spans="2:9" s="6" customFormat="1" ht="15.75" x14ac:dyDescent="0.25">
      <c r="B39" s="50"/>
      <c r="C39" s="34"/>
      <c r="D39" s="44"/>
      <c r="E39" s="36">
        <v>101</v>
      </c>
      <c r="F39" s="30" t="s">
        <v>41</v>
      </c>
      <c r="G39" s="58" t="s">
        <v>719</v>
      </c>
      <c r="H39" s="59">
        <f>2000+1000</f>
        <v>3000</v>
      </c>
      <c r="I39" s="46"/>
    </row>
    <row r="40" spans="2:9" s="6" customFormat="1" ht="15.75" x14ac:dyDescent="0.25">
      <c r="B40" s="50"/>
      <c r="C40" s="34"/>
      <c r="D40" s="44"/>
      <c r="E40" s="36">
        <v>101</v>
      </c>
      <c r="F40" s="37" t="s">
        <v>42</v>
      </c>
      <c r="G40" s="52" t="s">
        <v>780</v>
      </c>
      <c r="H40" s="39">
        <v>5600</v>
      </c>
      <c r="I40" s="46"/>
    </row>
    <row r="41" spans="2:9" s="6" customFormat="1" ht="15.75" x14ac:dyDescent="0.25">
      <c r="B41" s="50"/>
      <c r="C41" s="34"/>
      <c r="D41" s="44"/>
      <c r="E41" s="36">
        <v>101</v>
      </c>
      <c r="F41" s="37" t="s">
        <v>43</v>
      </c>
      <c r="G41" s="52" t="s">
        <v>747</v>
      </c>
      <c r="H41" s="39">
        <v>400</v>
      </c>
      <c r="I41" s="46"/>
    </row>
    <row r="42" spans="2:9" s="6" customFormat="1" ht="15.75" x14ac:dyDescent="0.25">
      <c r="B42" s="50"/>
      <c r="C42" s="34"/>
      <c r="D42" s="44"/>
      <c r="E42" s="36">
        <v>101</v>
      </c>
      <c r="F42" s="37" t="s">
        <v>44</v>
      </c>
      <c r="G42" s="52"/>
      <c r="H42" s="39"/>
      <c r="I42" s="46"/>
    </row>
    <row r="43" spans="2:9" s="6" customFormat="1" ht="15.75" x14ac:dyDescent="0.25">
      <c r="B43" s="50"/>
      <c r="C43" s="34"/>
      <c r="D43" s="44"/>
      <c r="E43" s="36">
        <v>101</v>
      </c>
      <c r="F43" s="37" t="s">
        <v>45</v>
      </c>
      <c r="G43" s="52" t="s">
        <v>783</v>
      </c>
      <c r="H43" s="39">
        <f>4200+600</f>
        <v>4800</v>
      </c>
      <c r="I43" s="46"/>
    </row>
    <row r="44" spans="2:9" s="6" customFormat="1" ht="16.5" thickBot="1" x14ac:dyDescent="0.3">
      <c r="B44" s="50"/>
      <c r="C44" s="34"/>
      <c r="D44" s="44"/>
      <c r="E44" s="36">
        <v>101</v>
      </c>
      <c r="F44" s="55" t="s">
        <v>46</v>
      </c>
      <c r="G44" s="56" t="s">
        <v>774</v>
      </c>
      <c r="H44" s="57">
        <f>3000+500</f>
        <v>3500</v>
      </c>
      <c r="I44" s="46"/>
    </row>
    <row r="45" spans="2:9" s="6" customFormat="1" ht="15.75" x14ac:dyDescent="0.25">
      <c r="B45" s="50"/>
      <c r="C45" s="34"/>
      <c r="D45" s="44"/>
      <c r="E45" s="36">
        <v>101</v>
      </c>
      <c r="F45" s="30" t="s">
        <v>47</v>
      </c>
      <c r="G45" s="60" t="s">
        <v>768</v>
      </c>
      <c r="H45" s="32">
        <f>6800+600</f>
        <v>7400</v>
      </c>
      <c r="I45" s="46"/>
    </row>
    <row r="46" spans="2:9" s="6" customFormat="1" ht="15.75" x14ac:dyDescent="0.25">
      <c r="B46" s="50"/>
      <c r="C46" s="34"/>
      <c r="D46" s="44"/>
      <c r="E46" s="36">
        <v>101</v>
      </c>
      <c r="F46" s="37" t="s">
        <v>48</v>
      </c>
      <c r="G46" s="54" t="s">
        <v>721</v>
      </c>
      <c r="H46" s="42">
        <v>5500</v>
      </c>
      <c r="I46" s="46"/>
    </row>
    <row r="47" spans="2:9" s="6" customFormat="1" ht="15.75" x14ac:dyDescent="0.25">
      <c r="B47" s="50"/>
      <c r="C47" s="34"/>
      <c r="D47" s="44"/>
      <c r="E47" s="36">
        <v>101</v>
      </c>
      <c r="F47" s="37" t="s">
        <v>49</v>
      </c>
      <c r="G47" s="54" t="s">
        <v>773</v>
      </c>
      <c r="H47" s="42">
        <f>8000+3000</f>
        <v>11000</v>
      </c>
      <c r="I47" s="46"/>
    </row>
    <row r="48" spans="2:9" s="6" customFormat="1" ht="15.75" x14ac:dyDescent="0.25">
      <c r="B48" s="50"/>
      <c r="C48" s="34"/>
      <c r="D48" s="44"/>
      <c r="E48" s="36">
        <v>101</v>
      </c>
      <c r="F48" s="37" t="s">
        <v>50</v>
      </c>
      <c r="G48" s="54"/>
      <c r="H48" s="42"/>
      <c r="I48" s="46"/>
    </row>
    <row r="49" spans="2:9" s="6" customFormat="1" ht="15.75" x14ac:dyDescent="0.25">
      <c r="B49" s="50"/>
      <c r="C49" s="34"/>
      <c r="D49" s="44"/>
      <c r="E49" s="36">
        <v>101</v>
      </c>
      <c r="F49" s="37" t="s">
        <v>51</v>
      </c>
      <c r="G49" s="54" t="s">
        <v>785</v>
      </c>
      <c r="H49" s="42">
        <v>4000</v>
      </c>
      <c r="I49" s="46"/>
    </row>
    <row r="50" spans="2:9" s="6" customFormat="1" ht="15.75" x14ac:dyDescent="0.25">
      <c r="B50" s="50"/>
      <c r="C50" s="34"/>
      <c r="D50" s="44"/>
      <c r="E50" s="36">
        <v>101</v>
      </c>
      <c r="F50" s="37" t="s">
        <v>52</v>
      </c>
      <c r="G50" s="54"/>
      <c r="H50" s="42"/>
      <c r="I50" s="46"/>
    </row>
    <row r="51" spans="2:9" s="6" customFormat="1" ht="16.5" thickBot="1" x14ac:dyDescent="0.3">
      <c r="B51" s="50"/>
      <c r="C51" s="34"/>
      <c r="D51" s="44"/>
      <c r="E51" s="36">
        <v>101</v>
      </c>
      <c r="F51" s="55" t="s">
        <v>53</v>
      </c>
      <c r="G51" s="61" t="s">
        <v>767</v>
      </c>
      <c r="H51" s="62">
        <f>2000+3500</f>
        <v>5500</v>
      </c>
      <c r="I51" s="46"/>
    </row>
    <row r="52" spans="2:9" s="6" customFormat="1" ht="15.75" x14ac:dyDescent="0.25">
      <c r="B52" s="50"/>
      <c r="C52" s="34"/>
      <c r="D52" s="44"/>
      <c r="E52" s="36">
        <v>101</v>
      </c>
      <c r="F52" s="63" t="s">
        <v>54</v>
      </c>
      <c r="G52" s="52"/>
      <c r="H52" s="64"/>
      <c r="I52" s="46"/>
    </row>
    <row r="53" spans="2:9" s="6" customFormat="1" ht="15.75" x14ac:dyDescent="0.25">
      <c r="B53" s="50"/>
      <c r="C53" s="34"/>
      <c r="D53" s="44"/>
      <c r="E53" s="36">
        <v>101</v>
      </c>
      <c r="F53" s="37" t="s">
        <v>55</v>
      </c>
      <c r="G53" s="52"/>
      <c r="H53" s="39"/>
      <c r="I53" s="46"/>
    </row>
    <row r="54" spans="2:9" s="6" customFormat="1" ht="15.75" x14ac:dyDescent="0.25">
      <c r="B54" s="50"/>
      <c r="C54" s="34"/>
      <c r="D54" s="44"/>
      <c r="E54" s="36">
        <v>101</v>
      </c>
      <c r="F54" s="37" t="s">
        <v>56</v>
      </c>
      <c r="G54" s="52"/>
      <c r="H54" s="39"/>
      <c r="I54" s="25"/>
    </row>
    <row r="55" spans="2:9" s="6" customFormat="1" ht="15.75" x14ac:dyDescent="0.25">
      <c r="B55" s="50"/>
      <c r="C55" s="34"/>
      <c r="D55" s="44"/>
      <c r="E55" s="36">
        <v>101</v>
      </c>
      <c r="F55" s="37" t="s">
        <v>57</v>
      </c>
      <c r="G55" s="52"/>
      <c r="H55" s="39"/>
      <c r="I55" s="25"/>
    </row>
    <row r="56" spans="2:9" s="6" customFormat="1" ht="15.75" x14ac:dyDescent="0.25">
      <c r="B56" s="50"/>
      <c r="C56" s="34"/>
      <c r="D56" s="44"/>
      <c r="E56" s="36">
        <v>101</v>
      </c>
      <c r="F56" s="37" t="s">
        <v>58</v>
      </c>
      <c r="G56" s="52" t="s">
        <v>715</v>
      </c>
      <c r="H56" s="39">
        <v>25500</v>
      </c>
      <c r="I56" s="46"/>
    </row>
    <row r="57" spans="2:9" s="6" customFormat="1" ht="15.75" x14ac:dyDescent="0.25">
      <c r="B57" s="50"/>
      <c r="C57" s="34"/>
      <c r="D57" s="44"/>
      <c r="E57" s="36">
        <v>101</v>
      </c>
      <c r="F57" s="37" t="s">
        <v>59</v>
      </c>
      <c r="G57" s="40"/>
      <c r="H57" s="42"/>
      <c r="I57" s="46"/>
    </row>
    <row r="58" spans="2:9" s="6" customFormat="1" ht="15.75" x14ac:dyDescent="0.25">
      <c r="B58" s="50"/>
      <c r="C58" s="34"/>
      <c r="D58" s="44"/>
      <c r="E58" s="36">
        <v>101</v>
      </c>
      <c r="F58" s="37" t="s">
        <v>60</v>
      </c>
      <c r="G58" s="52"/>
      <c r="H58" s="39"/>
      <c r="I58" s="46"/>
    </row>
    <row r="59" spans="2:9" s="6" customFormat="1" ht="15.75" x14ac:dyDescent="0.25">
      <c r="B59" s="50"/>
      <c r="C59" s="34"/>
      <c r="D59" s="44"/>
      <c r="E59" s="36">
        <v>101</v>
      </c>
      <c r="F59" s="37" t="s">
        <v>61</v>
      </c>
      <c r="G59" s="52"/>
      <c r="H59" s="39"/>
      <c r="I59" s="46"/>
    </row>
    <row r="60" spans="2:9" s="6" customFormat="1" ht="15.75" x14ac:dyDescent="0.25">
      <c r="B60" s="50"/>
      <c r="C60" s="34"/>
      <c r="D60" s="44"/>
      <c r="E60" s="36">
        <v>101</v>
      </c>
      <c r="F60" s="37" t="s">
        <v>62</v>
      </c>
      <c r="G60" s="52"/>
      <c r="H60" s="39"/>
      <c r="I60" s="46"/>
    </row>
    <row r="61" spans="2:9" s="6" customFormat="1" ht="15.75" x14ac:dyDescent="0.25">
      <c r="B61" s="50"/>
      <c r="C61" s="34"/>
      <c r="D61" s="44"/>
      <c r="E61" s="36">
        <v>101</v>
      </c>
      <c r="F61" s="37" t="s">
        <v>63</v>
      </c>
      <c r="G61" s="52"/>
      <c r="H61" s="39"/>
      <c r="I61" s="46"/>
    </row>
    <row r="62" spans="2:9" s="6" customFormat="1" ht="15.75" x14ac:dyDescent="0.25">
      <c r="B62" s="50"/>
      <c r="C62" s="34"/>
      <c r="D62" s="44"/>
      <c r="E62" s="36">
        <v>101</v>
      </c>
      <c r="F62" s="37" t="s">
        <v>64</v>
      </c>
      <c r="G62" s="52"/>
      <c r="H62" s="39"/>
      <c r="I62" s="46"/>
    </row>
    <row r="63" spans="2:9" s="6" customFormat="1" ht="15.75" x14ac:dyDescent="0.25">
      <c r="B63" s="50"/>
      <c r="C63" s="34"/>
      <c r="D63" s="44"/>
      <c r="E63" s="36">
        <v>101</v>
      </c>
      <c r="F63" s="37" t="s">
        <v>65</v>
      </c>
      <c r="G63" s="65" t="s">
        <v>766</v>
      </c>
      <c r="H63" s="39">
        <v>14700</v>
      </c>
      <c r="I63" s="66"/>
    </row>
    <row r="64" spans="2:9" s="6" customFormat="1" ht="15.75" x14ac:dyDescent="0.25">
      <c r="B64" s="50"/>
      <c r="C64" s="34"/>
      <c r="D64" s="44"/>
      <c r="E64" s="36">
        <v>101</v>
      </c>
      <c r="F64" s="37" t="s">
        <v>66</v>
      </c>
      <c r="G64" s="65" t="s">
        <v>772</v>
      </c>
      <c r="H64" s="39">
        <v>13500</v>
      </c>
      <c r="I64" s="66"/>
    </row>
    <row r="65" spans="2:9" s="6" customFormat="1" ht="15.75" x14ac:dyDescent="0.25">
      <c r="B65" s="50"/>
      <c r="C65" s="34"/>
      <c r="D65" s="44"/>
      <c r="E65" s="36">
        <v>101</v>
      </c>
      <c r="F65" s="37" t="s">
        <v>67</v>
      </c>
      <c r="G65" s="52"/>
      <c r="H65" s="67"/>
      <c r="I65" s="46"/>
    </row>
    <row r="66" spans="2:9" s="6" customFormat="1" ht="15.75" x14ac:dyDescent="0.25">
      <c r="B66" s="50"/>
      <c r="C66" s="34"/>
      <c r="D66" s="44"/>
      <c r="E66" s="36">
        <v>101</v>
      </c>
      <c r="F66" s="37" t="s">
        <v>68</v>
      </c>
      <c r="G66" s="52"/>
      <c r="H66" s="39"/>
      <c r="I66" s="46"/>
    </row>
    <row r="67" spans="2:9" s="6" customFormat="1" ht="15.75" x14ac:dyDescent="0.25">
      <c r="B67" s="50"/>
      <c r="C67" s="34"/>
      <c r="D67" s="44"/>
      <c r="E67" s="36">
        <v>101</v>
      </c>
      <c r="F67" s="37" t="s">
        <v>69</v>
      </c>
      <c r="G67" s="48"/>
      <c r="H67" s="39"/>
      <c r="I67" s="46"/>
    </row>
    <row r="68" spans="2:9" s="6" customFormat="1" ht="15.75" x14ac:dyDescent="0.25">
      <c r="B68" s="50"/>
      <c r="C68" s="34"/>
      <c r="D68" s="44"/>
      <c r="E68" s="36">
        <v>101</v>
      </c>
      <c r="F68" s="37" t="s">
        <v>70</v>
      </c>
      <c r="G68" s="52"/>
      <c r="H68" s="39"/>
      <c r="I68" s="46"/>
    </row>
    <row r="69" spans="2:9" s="6" customFormat="1" ht="15.75" x14ac:dyDescent="0.25">
      <c r="B69" s="50"/>
      <c r="C69" s="34"/>
      <c r="D69" s="44"/>
      <c r="E69" s="36">
        <v>101</v>
      </c>
      <c r="F69" s="37" t="s">
        <v>71</v>
      </c>
      <c r="G69" s="52"/>
      <c r="H69" s="39"/>
      <c r="I69" s="46"/>
    </row>
    <row r="70" spans="2:9" s="6" customFormat="1" ht="15.75" x14ac:dyDescent="0.25">
      <c r="B70" s="50"/>
      <c r="C70" s="34"/>
      <c r="D70" s="44"/>
      <c r="E70" s="36">
        <v>101</v>
      </c>
      <c r="F70" s="37" t="s">
        <v>72</v>
      </c>
      <c r="G70" s="52"/>
      <c r="H70" s="39"/>
      <c r="I70" s="46"/>
    </row>
    <row r="71" spans="2:9" s="6" customFormat="1" ht="15.75" x14ac:dyDescent="0.25">
      <c r="B71" s="50"/>
      <c r="C71" s="34"/>
      <c r="D71" s="44"/>
      <c r="E71" s="36">
        <v>101</v>
      </c>
      <c r="F71" s="37" t="s">
        <v>73</v>
      </c>
      <c r="G71" s="68"/>
      <c r="H71" s="69"/>
      <c r="I71" s="46"/>
    </row>
    <row r="72" spans="2:9" s="6" customFormat="1" ht="15.75" x14ac:dyDescent="0.25">
      <c r="B72" s="50"/>
      <c r="C72" s="34"/>
      <c r="D72" s="44"/>
      <c r="E72" s="36">
        <v>101</v>
      </c>
      <c r="F72" s="37" t="s">
        <v>74</v>
      </c>
      <c r="G72" s="52"/>
      <c r="H72" s="39"/>
      <c r="I72" s="46"/>
    </row>
    <row r="73" spans="2:9" s="6" customFormat="1" ht="15.75" x14ac:dyDescent="0.25">
      <c r="B73" s="50"/>
      <c r="C73" s="34"/>
      <c r="D73" s="44"/>
      <c r="E73" s="36">
        <v>101</v>
      </c>
      <c r="F73" s="37" t="s">
        <v>75</v>
      </c>
      <c r="G73" s="52"/>
      <c r="H73" s="39"/>
      <c r="I73" s="46"/>
    </row>
    <row r="74" spans="2:9" s="6" customFormat="1" ht="15.75" x14ac:dyDescent="0.25">
      <c r="B74" s="50"/>
      <c r="C74" s="34"/>
      <c r="D74" s="44"/>
      <c r="E74" s="36">
        <v>101</v>
      </c>
      <c r="F74" s="37" t="s">
        <v>76</v>
      </c>
      <c r="G74" s="52" t="s">
        <v>722</v>
      </c>
      <c r="H74" s="39">
        <v>4100</v>
      </c>
      <c r="I74" s="46"/>
    </row>
    <row r="75" spans="2:9" s="6" customFormat="1" ht="15.75" x14ac:dyDescent="0.25">
      <c r="B75" s="50"/>
      <c r="C75" s="34"/>
      <c r="D75" s="44"/>
      <c r="E75" s="36">
        <v>101</v>
      </c>
      <c r="F75" s="37" t="s">
        <v>77</v>
      </c>
      <c r="G75" s="52" t="s">
        <v>738</v>
      </c>
      <c r="H75" s="39">
        <v>4700</v>
      </c>
      <c r="I75" s="46"/>
    </row>
    <row r="76" spans="2:9" s="6" customFormat="1" ht="16.5" thickBot="1" x14ac:dyDescent="0.3">
      <c r="B76" s="70"/>
      <c r="C76" s="71"/>
      <c r="D76" s="72"/>
      <c r="E76" s="73">
        <v>101</v>
      </c>
      <c r="F76" s="74" t="s">
        <v>78</v>
      </c>
      <c r="G76" s="75"/>
      <c r="H76" s="69"/>
      <c r="I76" s="46"/>
    </row>
    <row r="77" spans="2:9" s="6" customFormat="1" ht="15.75" x14ac:dyDescent="0.25">
      <c r="B77" s="76"/>
      <c r="C77" s="34"/>
      <c r="D77" s="77"/>
      <c r="E77" s="78">
        <v>102</v>
      </c>
      <c r="F77" s="79"/>
      <c r="G77" s="80" t="s">
        <v>79</v>
      </c>
      <c r="H77" s="59"/>
      <c r="I77" s="46"/>
    </row>
    <row r="78" spans="2:9" s="6" customFormat="1" x14ac:dyDescent="0.2">
      <c r="B78" s="50"/>
      <c r="C78" s="34"/>
      <c r="D78" s="81"/>
      <c r="E78" s="82">
        <v>102</v>
      </c>
      <c r="F78" s="83" t="s">
        <v>203</v>
      </c>
      <c r="G78" s="84" t="s">
        <v>717</v>
      </c>
      <c r="H78" s="39">
        <v>12500</v>
      </c>
      <c r="I78" s="46"/>
    </row>
    <row r="79" spans="2:9" s="6" customFormat="1" x14ac:dyDescent="0.2">
      <c r="B79" s="50"/>
      <c r="C79" s="34"/>
      <c r="D79" s="81"/>
      <c r="E79" s="82">
        <v>102</v>
      </c>
      <c r="F79" s="83" t="s">
        <v>317</v>
      </c>
      <c r="G79" s="84" t="s">
        <v>723</v>
      </c>
      <c r="H79" s="39">
        <v>11000</v>
      </c>
      <c r="I79" s="46"/>
    </row>
    <row r="80" spans="2:9" s="6" customFormat="1" x14ac:dyDescent="0.2">
      <c r="B80" s="50"/>
      <c r="C80" s="34"/>
      <c r="D80" s="81"/>
      <c r="E80" s="82">
        <v>102</v>
      </c>
      <c r="F80" s="85" t="s">
        <v>726</v>
      </c>
      <c r="G80" s="68" t="s">
        <v>727</v>
      </c>
      <c r="H80" s="69">
        <v>10500</v>
      </c>
      <c r="I80" s="46"/>
    </row>
    <row r="81" spans="2:9" s="6" customFormat="1" x14ac:dyDescent="0.2">
      <c r="B81" s="50"/>
      <c r="C81" s="34"/>
      <c r="D81" s="81"/>
      <c r="E81" s="82">
        <v>102</v>
      </c>
      <c r="F81" s="85" t="s">
        <v>729</v>
      </c>
      <c r="G81" s="68" t="s">
        <v>730</v>
      </c>
      <c r="H81" s="69">
        <v>11500</v>
      </c>
      <c r="I81" s="46"/>
    </row>
    <row r="82" spans="2:9" s="6" customFormat="1" x14ac:dyDescent="0.2">
      <c r="B82" s="50"/>
      <c r="C82" s="34"/>
      <c r="D82" s="81"/>
      <c r="E82" s="82">
        <v>102</v>
      </c>
      <c r="F82" s="85" t="s">
        <v>731</v>
      </c>
      <c r="G82" s="68" t="s">
        <v>732</v>
      </c>
      <c r="H82" s="69">
        <v>12000</v>
      </c>
      <c r="I82" s="46"/>
    </row>
    <row r="83" spans="2:9" s="6" customFormat="1" x14ac:dyDescent="0.2">
      <c r="B83" s="50"/>
      <c r="C83" s="34"/>
      <c r="D83" s="81"/>
      <c r="E83" s="82">
        <v>102</v>
      </c>
      <c r="F83" s="85" t="s">
        <v>734</v>
      </c>
      <c r="G83" s="68" t="s">
        <v>735</v>
      </c>
      <c r="H83" s="69">
        <v>11500</v>
      </c>
      <c r="I83" s="46"/>
    </row>
    <row r="84" spans="2:9" s="6" customFormat="1" x14ac:dyDescent="0.2">
      <c r="B84" s="50"/>
      <c r="C84" s="34"/>
      <c r="D84" s="81"/>
      <c r="E84" s="82">
        <v>102</v>
      </c>
      <c r="F84" s="85" t="s">
        <v>256</v>
      </c>
      <c r="G84" s="68" t="s">
        <v>737</v>
      </c>
      <c r="H84" s="69">
        <v>10500</v>
      </c>
      <c r="I84" s="46"/>
    </row>
    <row r="85" spans="2:9" s="6" customFormat="1" x14ac:dyDescent="0.2">
      <c r="B85" s="50"/>
      <c r="C85" s="34"/>
      <c r="D85" s="81"/>
      <c r="E85" s="82">
        <v>102</v>
      </c>
      <c r="F85" s="85" t="s">
        <v>739</v>
      </c>
      <c r="G85" s="68" t="s">
        <v>740</v>
      </c>
      <c r="H85" s="69">
        <v>12800</v>
      </c>
      <c r="I85" s="46"/>
    </row>
    <row r="86" spans="2:9" s="6" customFormat="1" x14ac:dyDescent="0.2">
      <c r="B86" s="50"/>
      <c r="C86" s="34"/>
      <c r="D86" s="81"/>
      <c r="E86" s="82">
        <v>102</v>
      </c>
      <c r="F86" s="85" t="s">
        <v>741</v>
      </c>
      <c r="G86" s="68" t="s">
        <v>742</v>
      </c>
      <c r="H86" s="69">
        <v>24500</v>
      </c>
      <c r="I86" s="46"/>
    </row>
    <row r="87" spans="2:9" s="6" customFormat="1" x14ac:dyDescent="0.2">
      <c r="B87" s="50"/>
      <c r="C87" s="34"/>
      <c r="D87" s="81"/>
      <c r="E87" s="82">
        <v>102</v>
      </c>
      <c r="F87" s="85" t="s">
        <v>743</v>
      </c>
      <c r="G87" s="68" t="s">
        <v>236</v>
      </c>
      <c r="H87" s="69">
        <v>13500</v>
      </c>
      <c r="I87" s="46"/>
    </row>
    <row r="88" spans="2:9" s="6" customFormat="1" x14ac:dyDescent="0.2">
      <c r="B88" s="50"/>
      <c r="C88" s="34"/>
      <c r="D88" s="81"/>
      <c r="E88" s="82">
        <v>102</v>
      </c>
      <c r="F88" s="85" t="s">
        <v>744</v>
      </c>
      <c r="G88" s="68" t="s">
        <v>745</v>
      </c>
      <c r="H88" s="69">
        <v>11500</v>
      </c>
      <c r="I88" s="46"/>
    </row>
    <row r="89" spans="2:9" s="6" customFormat="1" x14ac:dyDescent="0.2">
      <c r="B89" s="50"/>
      <c r="C89" s="34"/>
      <c r="D89" s="81"/>
      <c r="E89" s="82">
        <v>102</v>
      </c>
      <c r="F89" s="85" t="s">
        <v>748</v>
      </c>
      <c r="G89" s="68" t="s">
        <v>749</v>
      </c>
      <c r="H89" s="69">
        <v>12800</v>
      </c>
      <c r="I89" s="46"/>
    </row>
    <row r="90" spans="2:9" s="6" customFormat="1" x14ac:dyDescent="0.2">
      <c r="B90" s="50"/>
      <c r="C90" s="34"/>
      <c r="D90" s="81"/>
      <c r="E90" s="82">
        <v>102</v>
      </c>
      <c r="F90" s="85" t="s">
        <v>521</v>
      </c>
      <c r="G90" s="68" t="s">
        <v>750</v>
      </c>
      <c r="H90" s="69">
        <v>19500</v>
      </c>
      <c r="I90" s="46"/>
    </row>
    <row r="91" spans="2:9" s="6" customFormat="1" x14ac:dyDescent="0.2">
      <c r="B91" s="50"/>
      <c r="C91" s="34"/>
      <c r="D91" s="81"/>
      <c r="E91" s="82">
        <v>102</v>
      </c>
      <c r="F91" s="85" t="s">
        <v>751</v>
      </c>
      <c r="G91" s="68" t="s">
        <v>752</v>
      </c>
      <c r="H91" s="69">
        <v>12300</v>
      </c>
      <c r="I91" s="46"/>
    </row>
    <row r="92" spans="2:9" s="6" customFormat="1" x14ac:dyDescent="0.2">
      <c r="B92" s="50"/>
      <c r="C92" s="34"/>
      <c r="D92" s="81"/>
      <c r="E92" s="82">
        <v>102</v>
      </c>
      <c r="F92" s="85" t="s">
        <v>753</v>
      </c>
      <c r="G92" s="68" t="s">
        <v>754</v>
      </c>
      <c r="H92" s="69">
        <v>18300</v>
      </c>
      <c r="I92" s="46"/>
    </row>
    <row r="93" spans="2:9" s="6" customFormat="1" x14ac:dyDescent="0.2">
      <c r="B93" s="50"/>
      <c r="C93" s="34"/>
      <c r="D93" s="81"/>
      <c r="E93" s="82">
        <v>102</v>
      </c>
      <c r="F93" s="85" t="s">
        <v>756</v>
      </c>
      <c r="G93" s="68" t="s">
        <v>757</v>
      </c>
      <c r="H93" s="69">
        <v>12500</v>
      </c>
      <c r="I93" s="46"/>
    </row>
    <row r="94" spans="2:9" s="6" customFormat="1" x14ac:dyDescent="0.2">
      <c r="B94" s="50"/>
      <c r="C94" s="34"/>
      <c r="D94" s="81"/>
      <c r="E94" s="82">
        <v>102</v>
      </c>
      <c r="F94" s="85" t="s">
        <v>758</v>
      </c>
      <c r="G94" s="68" t="s">
        <v>759</v>
      </c>
      <c r="H94" s="69">
        <v>15000</v>
      </c>
      <c r="I94" s="46"/>
    </row>
    <row r="95" spans="2:9" s="6" customFormat="1" x14ac:dyDescent="0.2">
      <c r="B95" s="50"/>
      <c r="C95" s="34"/>
      <c r="D95" s="81"/>
      <c r="E95" s="82">
        <v>102</v>
      </c>
      <c r="F95" s="85" t="s">
        <v>463</v>
      </c>
      <c r="G95" s="68" t="s">
        <v>777</v>
      </c>
      <c r="H95" s="69">
        <v>12000</v>
      </c>
      <c r="I95" s="46"/>
    </row>
    <row r="96" spans="2:9" s="6" customFormat="1" x14ac:dyDescent="0.2">
      <c r="B96" s="50"/>
      <c r="C96" s="34"/>
      <c r="D96" s="81"/>
      <c r="E96" s="82">
        <v>102</v>
      </c>
      <c r="F96" s="85" t="s">
        <v>778</v>
      </c>
      <c r="G96" s="68" t="s">
        <v>779</v>
      </c>
      <c r="H96" s="69">
        <v>11500</v>
      </c>
      <c r="I96" s="46"/>
    </row>
    <row r="97" spans="2:9" s="6" customFormat="1" x14ac:dyDescent="0.2">
      <c r="B97" s="50"/>
      <c r="C97" s="34"/>
      <c r="D97" s="81"/>
      <c r="E97" s="82">
        <v>102</v>
      </c>
      <c r="F97" s="85" t="s">
        <v>158</v>
      </c>
      <c r="G97" s="68" t="s">
        <v>781</v>
      </c>
      <c r="H97" s="69">
        <v>14000</v>
      </c>
      <c r="I97" s="46"/>
    </row>
    <row r="98" spans="2:9" s="6" customFormat="1" x14ac:dyDescent="0.2">
      <c r="B98" s="50"/>
      <c r="C98" s="34"/>
      <c r="D98" s="81"/>
      <c r="E98" s="82">
        <v>102</v>
      </c>
      <c r="F98" s="85" t="s">
        <v>368</v>
      </c>
      <c r="G98" s="68" t="s">
        <v>782</v>
      </c>
      <c r="H98" s="69">
        <v>18500</v>
      </c>
      <c r="I98" s="46"/>
    </row>
    <row r="99" spans="2:9" s="6" customFormat="1" x14ac:dyDescent="0.2">
      <c r="B99" s="50"/>
      <c r="C99" s="34"/>
      <c r="D99" s="81"/>
      <c r="E99" s="82">
        <v>102</v>
      </c>
      <c r="F99" s="85"/>
      <c r="G99" s="68"/>
      <c r="H99" s="69"/>
      <c r="I99" s="46"/>
    </row>
    <row r="100" spans="2:9" s="6" customFormat="1" x14ac:dyDescent="0.2">
      <c r="B100" s="50"/>
      <c r="C100" s="34"/>
      <c r="D100" s="81"/>
      <c r="E100" s="82">
        <v>102</v>
      </c>
      <c r="F100" s="85"/>
      <c r="G100" s="68"/>
      <c r="H100" s="69"/>
      <c r="I100" s="46"/>
    </row>
    <row r="101" spans="2:9" s="6" customFormat="1" x14ac:dyDescent="0.2">
      <c r="B101" s="50"/>
      <c r="C101" s="34"/>
      <c r="D101" s="81"/>
      <c r="E101" s="82">
        <v>102</v>
      </c>
      <c r="F101" s="85"/>
      <c r="G101" s="68"/>
      <c r="H101" s="69"/>
      <c r="I101" s="46"/>
    </row>
    <row r="102" spans="2:9" s="6" customFormat="1" x14ac:dyDescent="0.2">
      <c r="B102" s="50"/>
      <c r="C102" s="34"/>
      <c r="D102" s="81"/>
      <c r="E102" s="82">
        <v>102</v>
      </c>
      <c r="F102" s="85"/>
      <c r="G102" s="68"/>
      <c r="H102" s="69"/>
      <c r="I102" s="46"/>
    </row>
    <row r="103" spans="2:9" s="6" customFormat="1" x14ac:dyDescent="0.2">
      <c r="B103" s="50"/>
      <c r="C103" s="34"/>
      <c r="D103" s="81"/>
      <c r="E103" s="82">
        <v>102</v>
      </c>
      <c r="F103" s="85"/>
      <c r="G103" s="68"/>
      <c r="H103" s="69"/>
      <c r="I103" s="46"/>
    </row>
    <row r="104" spans="2:9" s="6" customFormat="1" x14ac:dyDescent="0.2">
      <c r="B104" s="50"/>
      <c r="C104" s="34"/>
      <c r="D104" s="81"/>
      <c r="E104" s="82">
        <v>102</v>
      </c>
      <c r="F104" s="85"/>
      <c r="G104" s="68"/>
      <c r="H104" s="69"/>
      <c r="I104" s="46"/>
    </row>
    <row r="105" spans="2:9" s="6" customFormat="1" ht="15.75" thickBot="1" x14ac:dyDescent="0.25">
      <c r="B105" s="50"/>
      <c r="C105" s="34"/>
      <c r="D105" s="81"/>
      <c r="E105" s="86">
        <v>102</v>
      </c>
      <c r="F105" s="87"/>
      <c r="G105" s="88"/>
      <c r="H105" s="57"/>
      <c r="I105" s="46"/>
    </row>
    <row r="106" spans="2:9" s="6" customFormat="1" ht="15.75" x14ac:dyDescent="0.25">
      <c r="B106" s="50"/>
      <c r="C106" s="34"/>
      <c r="D106" s="81"/>
      <c r="E106" s="78">
        <v>103</v>
      </c>
      <c r="F106" s="79"/>
      <c r="G106" s="80" t="s">
        <v>80</v>
      </c>
      <c r="H106" s="59"/>
      <c r="I106" s="46"/>
    </row>
    <row r="107" spans="2:9" s="6" customFormat="1" x14ac:dyDescent="0.2">
      <c r="B107" s="50"/>
      <c r="C107" s="34"/>
      <c r="D107" s="81"/>
      <c r="E107" s="82">
        <v>103</v>
      </c>
      <c r="F107" s="85" t="s">
        <v>247</v>
      </c>
      <c r="G107" s="68" t="s">
        <v>716</v>
      </c>
      <c r="H107" s="69">
        <v>1200</v>
      </c>
      <c r="I107" s="46"/>
    </row>
    <row r="108" spans="2:9" s="6" customFormat="1" x14ac:dyDescent="0.2">
      <c r="B108" s="50"/>
      <c r="C108" s="34"/>
      <c r="D108" s="81"/>
      <c r="E108" s="82">
        <v>103</v>
      </c>
      <c r="F108" s="85"/>
      <c r="G108" s="68"/>
      <c r="H108" s="69"/>
      <c r="I108" s="46"/>
    </row>
    <row r="109" spans="2:9" s="6" customFormat="1" x14ac:dyDescent="0.2">
      <c r="B109" s="50"/>
      <c r="C109" s="34"/>
      <c r="D109" s="81"/>
      <c r="E109" s="82">
        <v>103</v>
      </c>
      <c r="F109" s="85"/>
      <c r="G109" s="68"/>
      <c r="H109" s="69"/>
      <c r="I109" s="46"/>
    </row>
    <row r="110" spans="2:9" s="6" customFormat="1" x14ac:dyDescent="0.2">
      <c r="B110" s="50"/>
      <c r="C110" s="34"/>
      <c r="D110" s="81"/>
      <c r="E110" s="82">
        <v>103</v>
      </c>
      <c r="F110" s="85"/>
      <c r="G110" s="68"/>
      <c r="H110" s="69"/>
      <c r="I110" s="46"/>
    </row>
    <row r="111" spans="2:9" s="6" customFormat="1" x14ac:dyDescent="0.2">
      <c r="B111" s="50"/>
      <c r="C111" s="34"/>
      <c r="D111" s="81"/>
      <c r="E111" s="82">
        <v>103</v>
      </c>
      <c r="F111" s="85"/>
      <c r="G111" s="68"/>
      <c r="H111" s="69"/>
      <c r="I111" s="46"/>
    </row>
    <row r="112" spans="2:9" s="6" customFormat="1" x14ac:dyDescent="0.2">
      <c r="B112" s="50"/>
      <c r="C112" s="34"/>
      <c r="D112" s="81"/>
      <c r="E112" s="82">
        <v>103</v>
      </c>
      <c r="F112" s="85"/>
      <c r="G112" s="68"/>
      <c r="H112" s="69"/>
      <c r="I112" s="46"/>
    </row>
    <row r="113" spans="2:9" s="6" customFormat="1" ht="15.75" thickBot="1" x14ac:dyDescent="0.25">
      <c r="B113" s="50"/>
      <c r="C113" s="34"/>
      <c r="D113" s="81"/>
      <c r="E113" s="82">
        <v>103</v>
      </c>
      <c r="F113" s="87"/>
      <c r="G113" s="88"/>
      <c r="H113" s="57"/>
      <c r="I113" s="46"/>
    </row>
    <row r="114" spans="2:9" s="6" customFormat="1" ht="15.75" x14ac:dyDescent="0.25">
      <c r="B114" s="50"/>
      <c r="C114" s="34"/>
      <c r="D114" s="81"/>
      <c r="E114" s="89">
        <v>104</v>
      </c>
      <c r="F114" s="79"/>
      <c r="G114" s="80" t="s">
        <v>81</v>
      </c>
      <c r="H114" s="59"/>
      <c r="I114" s="46"/>
    </row>
    <row r="115" spans="2:9" s="6" customFormat="1" x14ac:dyDescent="0.2">
      <c r="B115" s="50"/>
      <c r="C115" s="34"/>
      <c r="D115" s="81"/>
      <c r="E115" s="82">
        <v>104</v>
      </c>
      <c r="F115" s="83" t="s">
        <v>256</v>
      </c>
      <c r="G115" s="84" t="s">
        <v>568</v>
      </c>
      <c r="H115" s="39">
        <v>1000</v>
      </c>
      <c r="I115" s="46"/>
    </row>
    <row r="116" spans="2:9" s="6" customFormat="1" x14ac:dyDescent="0.2">
      <c r="B116" s="50"/>
      <c r="C116" s="34"/>
      <c r="D116" s="81"/>
      <c r="E116" s="82">
        <v>104</v>
      </c>
      <c r="F116" s="85" t="s">
        <v>203</v>
      </c>
      <c r="G116" s="84" t="s">
        <v>763</v>
      </c>
      <c r="H116" s="69">
        <v>1000</v>
      </c>
      <c r="I116" s="46"/>
    </row>
    <row r="117" spans="2:9" s="6" customFormat="1" x14ac:dyDescent="0.2">
      <c r="B117" s="50"/>
      <c r="C117" s="34"/>
      <c r="D117" s="81"/>
      <c r="E117" s="82">
        <v>104</v>
      </c>
      <c r="F117" s="85"/>
      <c r="G117" s="68"/>
      <c r="H117" s="69"/>
      <c r="I117" s="46"/>
    </row>
    <row r="118" spans="2:9" s="6" customFormat="1" x14ac:dyDescent="0.2">
      <c r="B118" s="50"/>
      <c r="C118" s="34"/>
      <c r="D118" s="81"/>
      <c r="E118" s="82">
        <v>104</v>
      </c>
      <c r="F118" s="85"/>
      <c r="G118" s="68"/>
      <c r="H118" s="69"/>
      <c r="I118" s="46"/>
    </row>
    <row r="119" spans="2:9" s="6" customFormat="1" x14ac:dyDescent="0.2">
      <c r="B119" s="50"/>
      <c r="C119" s="34"/>
      <c r="D119" s="81"/>
      <c r="E119" s="82">
        <v>104</v>
      </c>
      <c r="F119" s="85"/>
      <c r="G119" s="68"/>
      <c r="H119" s="69"/>
      <c r="I119" s="46"/>
    </row>
    <row r="120" spans="2:9" s="6" customFormat="1" x14ac:dyDescent="0.2">
      <c r="B120" s="50"/>
      <c r="C120" s="34"/>
      <c r="D120" s="81"/>
      <c r="E120" s="82">
        <v>104</v>
      </c>
      <c r="F120" s="85"/>
      <c r="G120" s="68"/>
      <c r="H120" s="69"/>
      <c r="I120" s="46"/>
    </row>
    <row r="121" spans="2:9" s="6" customFormat="1" ht="15.75" thickBot="1" x14ac:dyDescent="0.25">
      <c r="B121" s="50"/>
      <c r="C121" s="34"/>
      <c r="D121" s="81"/>
      <c r="E121" s="82">
        <v>104</v>
      </c>
      <c r="F121" s="87"/>
      <c r="G121" s="88"/>
      <c r="H121" s="57"/>
      <c r="I121" s="46"/>
    </row>
    <row r="122" spans="2:9" s="6" customFormat="1" ht="15.75" x14ac:dyDescent="0.25">
      <c r="B122" s="50"/>
      <c r="C122" s="34"/>
      <c r="D122" s="81"/>
      <c r="E122" s="90"/>
      <c r="F122" s="91"/>
      <c r="G122" s="92" t="s">
        <v>82</v>
      </c>
      <c r="H122" s="93"/>
      <c r="I122" s="25"/>
    </row>
    <row r="123" spans="2:9" s="6" customFormat="1" ht="15.75" x14ac:dyDescent="0.25">
      <c r="B123" s="50"/>
      <c r="C123" s="34"/>
      <c r="D123" s="81"/>
      <c r="E123" s="197" t="s">
        <v>83</v>
      </c>
      <c r="F123" s="198"/>
      <c r="G123" s="199"/>
      <c r="H123" s="41"/>
      <c r="I123" s="25"/>
    </row>
    <row r="124" spans="2:9" s="6" customFormat="1" ht="15.75" x14ac:dyDescent="0.2">
      <c r="B124" s="50"/>
      <c r="C124" s="34"/>
      <c r="D124" s="81"/>
      <c r="E124" s="82"/>
      <c r="F124" s="94"/>
      <c r="G124" s="52"/>
      <c r="H124" s="67"/>
      <c r="I124" s="25"/>
    </row>
    <row r="125" spans="2:9" s="6" customFormat="1" ht="15.75" x14ac:dyDescent="0.2">
      <c r="B125" s="50"/>
      <c r="C125" s="34"/>
      <c r="D125" s="81"/>
      <c r="E125" s="82"/>
      <c r="F125" s="94"/>
      <c r="G125" s="52"/>
      <c r="H125" s="67"/>
      <c r="I125" s="25"/>
    </row>
    <row r="126" spans="2:9" s="6" customFormat="1" ht="15.75" x14ac:dyDescent="0.25">
      <c r="B126" s="50"/>
      <c r="C126" s="34"/>
      <c r="D126" s="81"/>
      <c r="E126" s="197" t="s">
        <v>84</v>
      </c>
      <c r="F126" s="198"/>
      <c r="G126" s="199"/>
      <c r="H126" s="41"/>
      <c r="I126" s="25"/>
    </row>
    <row r="127" spans="2:9" s="6" customFormat="1" ht="15.75" x14ac:dyDescent="0.2">
      <c r="B127" s="50"/>
      <c r="C127" s="34"/>
      <c r="D127" s="81"/>
      <c r="E127" s="82"/>
      <c r="F127" s="94" t="s">
        <v>185</v>
      </c>
      <c r="G127" s="52" t="s">
        <v>728</v>
      </c>
      <c r="H127" s="67">
        <v>1200</v>
      </c>
      <c r="I127" s="25"/>
    </row>
    <row r="128" spans="2:9" s="6" customFormat="1" ht="15.75" x14ac:dyDescent="0.25">
      <c r="B128" s="50"/>
      <c r="C128" s="34"/>
      <c r="D128" s="81"/>
      <c r="E128" s="82"/>
      <c r="F128" s="37"/>
      <c r="G128" s="84"/>
      <c r="H128" s="41"/>
      <c r="I128" s="25"/>
    </row>
    <row r="129" spans="2:9" s="6" customFormat="1" ht="15.75" x14ac:dyDescent="0.25">
      <c r="B129" s="50"/>
      <c r="C129" s="34"/>
      <c r="D129" s="81"/>
      <c r="E129" s="197" t="s">
        <v>85</v>
      </c>
      <c r="F129" s="198"/>
      <c r="G129" s="199"/>
      <c r="H129" s="41"/>
      <c r="I129" s="25"/>
    </row>
    <row r="130" spans="2:9" s="6" customFormat="1" x14ac:dyDescent="0.2">
      <c r="B130" s="50"/>
      <c r="C130" s="34"/>
      <c r="D130" s="81"/>
      <c r="E130" s="82"/>
      <c r="F130" s="83"/>
      <c r="G130" s="84"/>
      <c r="H130" s="41"/>
      <c r="I130" s="25"/>
    </row>
    <row r="131" spans="2:9" s="6" customFormat="1" x14ac:dyDescent="0.2">
      <c r="B131" s="50"/>
      <c r="C131" s="34"/>
      <c r="D131" s="81"/>
      <c r="E131" s="82"/>
      <c r="F131" s="83"/>
      <c r="G131" s="84"/>
      <c r="H131" s="41"/>
      <c r="I131" s="25"/>
    </row>
    <row r="132" spans="2:9" s="6" customFormat="1" ht="15.75" x14ac:dyDescent="0.25">
      <c r="B132" s="50"/>
      <c r="C132" s="34"/>
      <c r="D132" s="81"/>
      <c r="E132" s="197" t="s">
        <v>86</v>
      </c>
      <c r="F132" s="198"/>
      <c r="G132" s="199"/>
      <c r="H132" s="41"/>
      <c r="I132" s="25"/>
    </row>
    <row r="133" spans="2:9" s="6" customFormat="1" ht="15.75" x14ac:dyDescent="0.25">
      <c r="B133" s="50"/>
      <c r="C133" s="34"/>
      <c r="D133" s="81"/>
      <c r="E133" s="89"/>
      <c r="F133" s="95"/>
      <c r="G133" s="52"/>
      <c r="H133" s="39"/>
      <c r="I133" s="25"/>
    </row>
    <row r="134" spans="2:9" s="6" customFormat="1" ht="15.75" x14ac:dyDescent="0.25">
      <c r="B134" s="50"/>
      <c r="C134" s="34"/>
      <c r="D134" s="81"/>
      <c r="E134" s="89"/>
      <c r="F134" s="95"/>
      <c r="G134" s="52"/>
      <c r="H134" s="39"/>
      <c r="I134" s="25"/>
    </row>
    <row r="135" spans="2:9" s="6" customFormat="1" ht="15.75" x14ac:dyDescent="0.25">
      <c r="B135" s="50"/>
      <c r="C135" s="34"/>
      <c r="D135" s="81"/>
      <c r="E135" s="89"/>
      <c r="F135" s="95"/>
      <c r="G135" s="52"/>
      <c r="H135" s="39"/>
      <c r="I135" s="25"/>
    </row>
    <row r="136" spans="2:9" s="6" customFormat="1" ht="15.75" x14ac:dyDescent="0.25">
      <c r="B136" s="50"/>
      <c r="C136" s="34"/>
      <c r="D136" s="81"/>
      <c r="E136" s="89"/>
      <c r="F136" s="95"/>
      <c r="G136" s="52"/>
      <c r="H136" s="39"/>
      <c r="I136" s="25"/>
    </row>
    <row r="137" spans="2:9" s="6" customFormat="1" x14ac:dyDescent="0.2">
      <c r="B137" s="50"/>
      <c r="C137" s="34"/>
      <c r="D137" s="81"/>
      <c r="E137" s="82"/>
      <c r="F137" s="96"/>
      <c r="G137" s="84"/>
      <c r="H137" s="41"/>
      <c r="I137" s="25"/>
    </row>
    <row r="138" spans="2:9" s="6" customFormat="1" ht="15.75" x14ac:dyDescent="0.25">
      <c r="B138" s="50"/>
      <c r="C138" s="34"/>
      <c r="D138" s="81"/>
      <c r="E138" s="197" t="s">
        <v>87</v>
      </c>
      <c r="F138" s="198"/>
      <c r="G138" s="199"/>
      <c r="H138" s="41"/>
      <c r="I138" s="25"/>
    </row>
    <row r="139" spans="2:9" s="6" customFormat="1" ht="15.75" x14ac:dyDescent="0.25">
      <c r="B139" s="50"/>
      <c r="C139" s="34"/>
      <c r="D139" s="81"/>
      <c r="E139" s="82"/>
      <c r="F139" s="37" t="s">
        <v>551</v>
      </c>
      <c r="G139" s="52" t="s">
        <v>661</v>
      </c>
      <c r="H139" s="39">
        <v>17700</v>
      </c>
      <c r="I139" s="25"/>
    </row>
    <row r="140" spans="2:9" s="6" customFormat="1" ht="15.75" x14ac:dyDescent="0.25">
      <c r="B140" s="50"/>
      <c r="C140" s="34"/>
      <c r="D140" s="81"/>
      <c r="E140" s="82"/>
      <c r="F140" s="37" t="s">
        <v>775</v>
      </c>
      <c r="G140" s="52" t="s">
        <v>661</v>
      </c>
      <c r="H140" s="39">
        <v>17700</v>
      </c>
      <c r="I140" s="25"/>
    </row>
    <row r="141" spans="2:9" s="6" customFormat="1" x14ac:dyDescent="0.2">
      <c r="B141" s="50"/>
      <c r="C141" s="34"/>
      <c r="D141" s="81"/>
      <c r="E141" s="82"/>
      <c r="F141" s="97"/>
      <c r="G141" s="52"/>
      <c r="H141" s="41"/>
      <c r="I141" s="25"/>
    </row>
    <row r="142" spans="2:9" s="6" customFormat="1" ht="15.75" thickBot="1" x14ac:dyDescent="0.25">
      <c r="B142" s="50" t="s">
        <v>88</v>
      </c>
      <c r="C142" s="34"/>
      <c r="D142" s="81"/>
      <c r="E142" s="86"/>
      <c r="F142" s="98"/>
      <c r="G142" s="88"/>
      <c r="H142" s="99"/>
      <c r="I142" s="25"/>
    </row>
    <row r="143" spans="2:9" s="6" customFormat="1" ht="15.75" x14ac:dyDescent="0.25">
      <c r="B143" s="50"/>
      <c r="C143" s="34"/>
      <c r="D143" s="81"/>
      <c r="E143" s="100"/>
      <c r="F143" s="101"/>
      <c r="G143" s="102" t="s">
        <v>89</v>
      </c>
      <c r="H143" s="103">
        <v>25000</v>
      </c>
      <c r="I143" s="25"/>
    </row>
    <row r="144" spans="2:9" s="6" customFormat="1" ht="15.75" x14ac:dyDescent="0.25">
      <c r="B144" s="50"/>
      <c r="C144" s="34"/>
      <c r="D144" s="81"/>
      <c r="E144" s="82"/>
      <c r="F144" s="104"/>
      <c r="G144" s="105" t="s">
        <v>90</v>
      </c>
      <c r="H144" s="41">
        <v>50000</v>
      </c>
      <c r="I144" s="25"/>
    </row>
    <row r="145" spans="2:9" s="6" customFormat="1" ht="15.75" x14ac:dyDescent="0.25">
      <c r="B145" s="50"/>
      <c r="C145" s="34"/>
      <c r="D145" s="81"/>
      <c r="E145" s="82"/>
      <c r="F145" s="104"/>
      <c r="G145" s="105" t="s">
        <v>91</v>
      </c>
      <c r="H145" s="41"/>
      <c r="I145" s="25"/>
    </row>
    <row r="146" spans="2:9" s="6" customFormat="1" ht="15.75" x14ac:dyDescent="0.25">
      <c r="B146" s="50"/>
      <c r="C146" s="34"/>
      <c r="D146" s="81"/>
      <c r="E146" s="82"/>
      <c r="F146" s="104"/>
      <c r="G146" s="105" t="s">
        <v>92</v>
      </c>
      <c r="H146" s="41"/>
      <c r="I146" s="25"/>
    </row>
    <row r="147" spans="2:9" s="6" customFormat="1" ht="15.75" x14ac:dyDescent="0.25">
      <c r="B147" s="50"/>
      <c r="C147" s="34"/>
      <c r="D147" s="81"/>
      <c r="E147" s="82"/>
      <c r="F147" s="104"/>
      <c r="G147" s="105" t="s">
        <v>93</v>
      </c>
      <c r="H147" s="41"/>
      <c r="I147" s="25"/>
    </row>
    <row r="148" spans="2:9" s="6" customFormat="1" ht="15.75" x14ac:dyDescent="0.25">
      <c r="B148" s="50"/>
      <c r="C148" s="34"/>
      <c r="D148" s="81"/>
      <c r="E148" s="82"/>
      <c r="F148" s="104"/>
      <c r="G148" s="106" t="s">
        <v>786</v>
      </c>
      <c r="H148" s="107">
        <v>200</v>
      </c>
      <c r="I148" s="108"/>
    </row>
    <row r="149" spans="2:9" s="6" customFormat="1" ht="15.75" x14ac:dyDescent="0.25">
      <c r="B149" s="50"/>
      <c r="C149" s="34"/>
      <c r="D149" s="81"/>
      <c r="E149" s="82"/>
      <c r="F149" s="104"/>
      <c r="G149" s="106" t="s">
        <v>94</v>
      </c>
      <c r="H149" s="109">
        <f>300+500</f>
        <v>800</v>
      </c>
      <c r="I149" s="108"/>
    </row>
    <row r="150" spans="2:9" s="6" customFormat="1" ht="15.75" x14ac:dyDescent="0.25">
      <c r="B150" s="50"/>
      <c r="C150" s="34"/>
      <c r="D150" s="81"/>
      <c r="E150" s="82"/>
      <c r="F150" s="104"/>
      <c r="G150" s="106" t="s">
        <v>95</v>
      </c>
      <c r="H150" s="109">
        <v>2000</v>
      </c>
      <c r="I150" s="108"/>
    </row>
    <row r="151" spans="2:9" s="6" customFormat="1" ht="15.75" x14ac:dyDescent="0.25">
      <c r="B151" s="50"/>
      <c r="C151" s="34"/>
      <c r="D151" s="81"/>
      <c r="E151" s="82"/>
      <c r="F151" s="104"/>
      <c r="G151" s="106" t="s">
        <v>96</v>
      </c>
      <c r="H151" s="107"/>
      <c r="I151" s="108"/>
    </row>
    <row r="152" spans="2:9" s="6" customFormat="1" ht="15.75" x14ac:dyDescent="0.25">
      <c r="B152" s="50"/>
      <c r="C152" s="34"/>
      <c r="D152" s="81"/>
      <c r="E152" s="82"/>
      <c r="F152" s="104"/>
      <c r="G152" s="106" t="s">
        <v>97</v>
      </c>
      <c r="H152" s="107"/>
      <c r="I152" s="108"/>
    </row>
    <row r="153" spans="2:9" s="6" customFormat="1" ht="15.75" x14ac:dyDescent="0.25">
      <c r="B153" s="50"/>
      <c r="C153" s="34"/>
      <c r="D153" s="81"/>
      <c r="E153" s="82"/>
      <c r="F153" s="104"/>
      <c r="G153" s="106" t="s">
        <v>714</v>
      </c>
      <c r="H153" s="107">
        <v>1270</v>
      </c>
      <c r="I153" s="108"/>
    </row>
    <row r="154" spans="2:9" s="6" customFormat="1" ht="15.75" x14ac:dyDescent="0.25">
      <c r="B154" s="50"/>
      <c r="C154" s="34"/>
      <c r="D154" s="81"/>
      <c r="E154" s="82"/>
      <c r="F154" s="104"/>
      <c r="G154" s="106" t="s">
        <v>246</v>
      </c>
      <c r="H154" s="107"/>
      <c r="I154" s="108"/>
    </row>
    <row r="155" spans="2:9" s="6" customFormat="1" ht="15.75" x14ac:dyDescent="0.25">
      <c r="B155" s="50"/>
      <c r="C155" s="34"/>
      <c r="D155" s="81"/>
      <c r="E155" s="82"/>
      <c r="F155" s="104"/>
      <c r="G155" s="106" t="s">
        <v>718</v>
      </c>
      <c r="H155" s="107">
        <v>6500</v>
      </c>
      <c r="I155" s="108"/>
    </row>
    <row r="156" spans="2:9" s="6" customFormat="1" ht="15.75" x14ac:dyDescent="0.25">
      <c r="B156" s="50"/>
      <c r="C156" s="34"/>
      <c r="D156" s="81"/>
      <c r="E156" s="82"/>
      <c r="F156" s="104"/>
      <c r="G156" s="106" t="s">
        <v>99</v>
      </c>
      <c r="H156" s="107"/>
      <c r="I156" s="108"/>
    </row>
    <row r="157" spans="2:9" s="6" customFormat="1" ht="15.75" x14ac:dyDescent="0.25">
      <c r="B157" s="50"/>
      <c r="C157" s="34"/>
      <c r="D157" s="81"/>
      <c r="E157" s="82"/>
      <c r="F157" s="104"/>
      <c r="G157" s="106" t="s">
        <v>634</v>
      </c>
      <c r="H157" s="107"/>
      <c r="I157" s="108"/>
    </row>
    <row r="158" spans="2:9" s="6" customFormat="1" ht="15.75" x14ac:dyDescent="0.25">
      <c r="B158" s="50"/>
      <c r="C158" s="34"/>
      <c r="D158" s="81"/>
      <c r="E158" s="82"/>
      <c r="F158" s="104"/>
      <c r="G158" s="106" t="s">
        <v>101</v>
      </c>
      <c r="H158" s="107">
        <v>300</v>
      </c>
      <c r="I158" s="108"/>
    </row>
    <row r="159" spans="2:9" s="6" customFormat="1" ht="15.75" x14ac:dyDescent="0.25">
      <c r="B159" s="50"/>
      <c r="C159" s="34"/>
      <c r="D159" s="81"/>
      <c r="E159" s="82"/>
      <c r="F159" s="104"/>
      <c r="G159" s="106" t="s">
        <v>406</v>
      </c>
      <c r="H159" s="107"/>
      <c r="I159" s="108"/>
    </row>
    <row r="160" spans="2:9" s="6" customFormat="1" ht="15.75" x14ac:dyDescent="0.25">
      <c r="B160" s="50" t="s">
        <v>103</v>
      </c>
      <c r="C160" s="34" t="s">
        <v>103</v>
      </c>
      <c r="D160" s="81"/>
      <c r="E160" s="82"/>
      <c r="F160" s="104"/>
      <c r="G160" s="106" t="s">
        <v>733</v>
      </c>
      <c r="H160" s="107">
        <v>2250</v>
      </c>
      <c r="I160" s="108"/>
    </row>
    <row r="161" spans="2:9" s="6" customFormat="1" ht="15.75" x14ac:dyDescent="0.25">
      <c r="B161" s="50"/>
      <c r="C161" s="34"/>
      <c r="D161" s="81"/>
      <c r="E161" s="82"/>
      <c r="F161" s="104"/>
      <c r="G161" s="106" t="s">
        <v>555</v>
      </c>
      <c r="H161" s="107">
        <v>5000</v>
      </c>
      <c r="I161" s="108"/>
    </row>
    <row r="162" spans="2:9" s="6" customFormat="1" ht="15.75" x14ac:dyDescent="0.25">
      <c r="B162" s="50"/>
      <c r="C162" s="34"/>
      <c r="D162" s="81"/>
      <c r="E162" s="82"/>
      <c r="F162" s="104"/>
      <c r="G162" s="106" t="s">
        <v>478</v>
      </c>
      <c r="H162" s="107"/>
      <c r="I162" s="108"/>
    </row>
    <row r="163" spans="2:9" s="6" customFormat="1" ht="15.75" x14ac:dyDescent="0.25">
      <c r="B163" s="50"/>
      <c r="C163" s="34"/>
      <c r="D163" s="81"/>
      <c r="E163" s="82"/>
      <c r="F163" s="104"/>
      <c r="G163" s="106" t="s">
        <v>405</v>
      </c>
      <c r="H163" s="107"/>
      <c r="I163" s="108"/>
    </row>
    <row r="164" spans="2:9" s="6" customFormat="1" ht="15.75" x14ac:dyDescent="0.25">
      <c r="B164" s="50"/>
      <c r="C164" s="34"/>
      <c r="D164" s="81"/>
      <c r="E164" s="82"/>
      <c r="F164" s="104"/>
      <c r="G164" s="106" t="s">
        <v>108</v>
      </c>
      <c r="H164" s="107"/>
      <c r="I164" s="108"/>
    </row>
    <row r="165" spans="2:9" s="6" customFormat="1" ht="15.75" x14ac:dyDescent="0.25">
      <c r="B165" s="50"/>
      <c r="C165" s="34"/>
      <c r="D165" s="81"/>
      <c r="E165" s="82"/>
      <c r="F165" s="104"/>
      <c r="G165" s="106" t="s">
        <v>109</v>
      </c>
      <c r="H165" s="107"/>
      <c r="I165" s="108"/>
    </row>
    <row r="166" spans="2:9" s="6" customFormat="1" ht="15.75" x14ac:dyDescent="0.25">
      <c r="B166" s="50"/>
      <c r="C166" s="34"/>
      <c r="D166" s="81"/>
      <c r="E166" s="110"/>
      <c r="F166" s="104"/>
      <c r="G166" s="111" t="s">
        <v>110</v>
      </c>
      <c r="H166" s="107"/>
      <c r="I166" s="108"/>
    </row>
    <row r="167" spans="2:9" s="118" customFormat="1" ht="16.5" thickBot="1" x14ac:dyDescent="0.3">
      <c r="B167" s="50"/>
      <c r="C167" s="112"/>
      <c r="D167" s="113"/>
      <c r="E167" s="114"/>
      <c r="F167" s="115"/>
      <c r="G167" s="116" t="s">
        <v>111</v>
      </c>
      <c r="H167" s="117"/>
      <c r="I167" s="108"/>
    </row>
    <row r="168" spans="2:9" s="11" customFormat="1" ht="15.75" x14ac:dyDescent="0.2">
      <c r="B168" s="119"/>
      <c r="C168" s="120"/>
      <c r="D168" s="121"/>
      <c r="E168" s="122"/>
      <c r="F168" s="101"/>
      <c r="G168" s="123" t="s">
        <v>112</v>
      </c>
      <c r="H168" s="124">
        <f>SUM(H10:H167)</f>
        <v>580170</v>
      </c>
      <c r="I168" s="125"/>
    </row>
    <row r="169" spans="2:9" ht="15.75" x14ac:dyDescent="0.25">
      <c r="B169" s="119"/>
      <c r="C169" s="126" t="s">
        <v>113</v>
      </c>
      <c r="D169" s="127">
        <f>SUM(D10:D168)</f>
        <v>1122500</v>
      </c>
      <c r="E169" s="128"/>
      <c r="F169" s="129"/>
      <c r="G169" s="130" t="s">
        <v>114</v>
      </c>
      <c r="H169" s="131">
        <f>H9-H168</f>
        <v>1130256</v>
      </c>
      <c r="I169" s="132"/>
    </row>
    <row r="170" spans="2:9" ht="16.5" thickBot="1" x14ac:dyDescent="0.3">
      <c r="B170" s="133"/>
      <c r="C170" s="134" t="s">
        <v>115</v>
      </c>
      <c r="D170" s="135">
        <f>D9+D169</f>
        <v>1710426</v>
      </c>
      <c r="E170" s="136"/>
      <c r="F170" s="137"/>
      <c r="G170" s="138" t="s">
        <v>116</v>
      </c>
      <c r="H170" s="139">
        <f>H168+H169</f>
        <v>1710426</v>
      </c>
      <c r="I170" s="132"/>
    </row>
    <row r="171" spans="2:9" ht="15.75" x14ac:dyDescent="0.25">
      <c r="B171" s="140"/>
      <c r="C171" s="140"/>
      <c r="D171" s="141"/>
      <c r="E171" s="142"/>
      <c r="F171" s="143"/>
      <c r="G171" s="144"/>
      <c r="H171" s="145"/>
      <c r="I171" s="145"/>
    </row>
    <row r="172" spans="2:9" ht="15.75" x14ac:dyDescent="0.25">
      <c r="B172" s="140"/>
      <c r="C172" s="140"/>
      <c r="D172" s="141"/>
      <c r="E172" s="142"/>
      <c r="F172" s="143"/>
      <c r="G172" s="144"/>
      <c r="H172" s="145"/>
      <c r="I172" s="145"/>
    </row>
    <row r="173" spans="2:9" ht="15.75" x14ac:dyDescent="0.25">
      <c r="B173" s="140"/>
      <c r="C173" s="140"/>
      <c r="D173" s="141"/>
      <c r="E173" s="142"/>
      <c r="F173" s="143"/>
      <c r="G173" s="144"/>
      <c r="H173" s="145"/>
      <c r="I173" s="145"/>
    </row>
    <row r="174" spans="2:9" ht="15.75" x14ac:dyDescent="0.25">
      <c r="B174" s="140"/>
      <c r="C174" s="140"/>
      <c r="D174" s="141"/>
      <c r="E174" s="142"/>
      <c r="F174" s="143"/>
      <c r="G174" s="144"/>
      <c r="H174" s="145"/>
      <c r="I174" s="145"/>
    </row>
    <row r="175" spans="2:9" ht="15.75" x14ac:dyDescent="0.25">
      <c r="B175" s="187" t="s">
        <v>117</v>
      </c>
      <c r="C175" s="187"/>
      <c r="D175" s="188" t="s">
        <v>118</v>
      </c>
      <c r="E175" s="188"/>
      <c r="F175" s="188"/>
      <c r="G175" s="146" t="s">
        <v>119</v>
      </c>
      <c r="H175" s="146" t="s">
        <v>120</v>
      </c>
      <c r="I175" s="146"/>
    </row>
    <row r="176" spans="2:9" ht="15.75" x14ac:dyDescent="0.25">
      <c r="B176" s="140"/>
      <c r="C176" s="140"/>
      <c r="D176" s="141"/>
      <c r="E176" s="142"/>
      <c r="F176" s="143"/>
      <c r="G176" s="147"/>
    </row>
    <row r="177" spans="2:11" x14ac:dyDescent="0.2">
      <c r="E177" s="5" t="s">
        <v>121</v>
      </c>
    </row>
    <row r="178" spans="2:11" x14ac:dyDescent="0.2">
      <c r="H178" s="151"/>
      <c r="I178" s="151"/>
    </row>
    <row r="179" spans="2:11" x14ac:dyDescent="0.2">
      <c r="H179" s="189"/>
      <c r="I179" s="189"/>
      <c r="J179" s="189"/>
    </row>
    <row r="180" spans="2:11" x14ac:dyDescent="0.2">
      <c r="B180" s="152" t="s">
        <v>122</v>
      </c>
      <c r="C180" s="153" t="s">
        <v>123</v>
      </c>
      <c r="D180" s="152" t="s">
        <v>124</v>
      </c>
      <c r="H180" s="151"/>
      <c r="I180" s="151"/>
    </row>
    <row r="181" spans="2:11" ht="23.25" x14ac:dyDescent="0.2">
      <c r="B181" s="154">
        <v>1</v>
      </c>
      <c r="C181" s="155" t="s">
        <v>125</v>
      </c>
      <c r="D181" s="156"/>
      <c r="H181" s="157"/>
      <c r="I181" s="157"/>
      <c r="J181" s="158"/>
      <c r="K181" s="159"/>
    </row>
    <row r="182" spans="2:11" ht="23.25" x14ac:dyDescent="0.2">
      <c r="B182" s="154">
        <v>2</v>
      </c>
      <c r="C182" s="155" t="s">
        <v>126</v>
      </c>
      <c r="D182" s="160"/>
      <c r="H182" s="157"/>
      <c r="I182" s="157"/>
      <c r="J182" s="158"/>
      <c r="K182" s="159"/>
    </row>
    <row r="183" spans="2:11" ht="23.25" x14ac:dyDescent="0.2">
      <c r="B183" s="154">
        <v>3</v>
      </c>
      <c r="C183" s="155" t="s">
        <v>127</v>
      </c>
      <c r="D183" s="160">
        <f>10000-5000</f>
        <v>5000</v>
      </c>
      <c r="H183" s="157"/>
      <c r="I183" s="157"/>
      <c r="J183" s="158"/>
      <c r="K183" s="159"/>
    </row>
    <row r="184" spans="2:11" ht="23.25" x14ac:dyDescent="0.3">
      <c r="B184" s="154">
        <v>4</v>
      </c>
      <c r="C184" s="155"/>
      <c r="D184" s="160"/>
      <c r="H184" s="161"/>
      <c r="I184" s="157"/>
      <c r="J184" s="158"/>
      <c r="K184" s="159"/>
    </row>
    <row r="185" spans="2:11" ht="23.25" x14ac:dyDescent="0.2">
      <c r="B185" s="154">
        <v>5</v>
      </c>
      <c r="C185" s="155" t="s">
        <v>128</v>
      </c>
      <c r="D185" s="162">
        <f>10000+20000+15000-15000</f>
        <v>30000</v>
      </c>
      <c r="H185" s="157"/>
      <c r="I185" s="157"/>
      <c r="J185" s="158"/>
      <c r="K185" s="159"/>
    </row>
    <row r="186" spans="2:11" ht="23.25" x14ac:dyDescent="0.2">
      <c r="B186" s="154">
        <v>6</v>
      </c>
      <c r="C186" s="155" t="s">
        <v>129</v>
      </c>
      <c r="D186" s="162">
        <f>2000+5000+2000-2000+1000+3000-3000+10000-6500</f>
        <v>11500</v>
      </c>
      <c r="H186" s="157"/>
      <c r="I186" s="157"/>
      <c r="J186" s="158"/>
      <c r="K186" s="159"/>
    </row>
    <row r="187" spans="2:11" ht="23.25" x14ac:dyDescent="0.2">
      <c r="B187" s="154">
        <v>7</v>
      </c>
      <c r="C187" s="155" t="s">
        <v>130</v>
      </c>
      <c r="D187" s="160">
        <f>-6700+100+10000-3450-1720-700-1950+4000+1000+5000-1270+1000</f>
        <v>5310</v>
      </c>
      <c r="H187" s="157"/>
      <c r="I187" s="157"/>
      <c r="J187" s="158"/>
      <c r="K187" s="159"/>
    </row>
    <row r="188" spans="2:11" ht="23.25" x14ac:dyDescent="0.2">
      <c r="B188" s="154">
        <v>8</v>
      </c>
      <c r="C188" s="163" t="s">
        <v>343</v>
      </c>
      <c r="D188" s="164">
        <f>3300+4300</f>
        <v>7600</v>
      </c>
      <c r="H188" s="157"/>
      <c r="I188" s="157"/>
      <c r="J188" s="158"/>
      <c r="K188" s="159"/>
    </row>
    <row r="189" spans="2:11" ht="23.25" x14ac:dyDescent="0.2">
      <c r="B189" s="154">
        <v>9</v>
      </c>
      <c r="C189" s="163"/>
      <c r="D189" s="165"/>
      <c r="H189" s="166"/>
      <c r="I189" s="158"/>
      <c r="J189" s="158"/>
      <c r="K189" s="159"/>
    </row>
    <row r="190" spans="2:11" ht="23.25" x14ac:dyDescent="0.2">
      <c r="B190" s="154">
        <v>10</v>
      </c>
      <c r="C190" s="155" t="s">
        <v>133</v>
      </c>
      <c r="D190" s="160">
        <f>-13080-14170</f>
        <v>-27250</v>
      </c>
      <c r="H190" s="167"/>
      <c r="I190" s="158"/>
      <c r="J190" s="158"/>
      <c r="K190" s="159"/>
    </row>
    <row r="191" spans="2:11" ht="23.25" x14ac:dyDescent="0.3">
      <c r="B191" s="154">
        <v>11</v>
      </c>
      <c r="C191" s="155" t="s">
        <v>264</v>
      </c>
      <c r="D191" s="160" t="s">
        <v>103</v>
      </c>
      <c r="E191" s="168"/>
      <c r="G191" s="150" t="s">
        <v>121</v>
      </c>
      <c r="H191" s="169"/>
      <c r="I191" s="158"/>
      <c r="J191" s="158"/>
      <c r="K191" s="159"/>
    </row>
    <row r="192" spans="2:11" ht="23.25" x14ac:dyDescent="0.2">
      <c r="B192" s="154"/>
      <c r="C192" s="170" t="s">
        <v>135</v>
      </c>
      <c r="D192" s="171">
        <f>SUM(D181:D191)</f>
        <v>32160</v>
      </c>
      <c r="F192" s="172"/>
      <c r="H192" s="167"/>
      <c r="I192" s="158"/>
      <c r="J192" s="158"/>
      <c r="K192" s="159"/>
    </row>
    <row r="193" spans="2:11" ht="23.25" x14ac:dyDescent="0.2">
      <c r="D193" s="186">
        <f>80000+7000</f>
        <v>87000</v>
      </c>
      <c r="E193" s="174" t="s">
        <v>736</v>
      </c>
      <c r="H193" s="167"/>
      <c r="I193" s="175"/>
      <c r="J193" s="158"/>
      <c r="K193" s="159"/>
    </row>
    <row r="194" spans="2:11" ht="23.25" x14ac:dyDescent="0.25">
      <c r="D194" s="176"/>
      <c r="F194" s="177"/>
      <c r="H194" s="178"/>
      <c r="I194" s="175"/>
      <c r="J194" s="175"/>
      <c r="K194" s="159"/>
    </row>
    <row r="195" spans="2:11" ht="23.25" x14ac:dyDescent="0.2">
      <c r="D195" s="176"/>
      <c r="H195" s="179"/>
      <c r="I195" s="180"/>
      <c r="J195" s="158"/>
      <c r="K195" s="159"/>
    </row>
    <row r="196" spans="2:11" ht="23.25" x14ac:dyDescent="0.25">
      <c r="B196" s="5"/>
      <c r="D196" s="181">
        <v>11800</v>
      </c>
      <c r="E196" s="178" t="s">
        <v>253</v>
      </c>
      <c r="G196" s="178"/>
      <c r="H196" s="167"/>
      <c r="I196" s="5"/>
      <c r="J196" s="158"/>
      <c r="K196" s="159"/>
    </row>
    <row r="197" spans="2:11" ht="15.75" x14ac:dyDescent="0.25">
      <c r="B197" s="5"/>
      <c r="D197" s="181"/>
      <c r="E197" s="178"/>
      <c r="G197" s="178"/>
      <c r="H197" s="167"/>
      <c r="I197" s="5"/>
      <c r="J197" s="175"/>
    </row>
    <row r="198" spans="2:11" ht="15.75" x14ac:dyDescent="0.25">
      <c r="D198" s="181"/>
      <c r="E198" s="178"/>
      <c r="H198" s="182"/>
    </row>
    <row r="199" spans="2:11" x14ac:dyDescent="0.2">
      <c r="B199" s="5"/>
      <c r="D199" s="176"/>
      <c r="F199" s="5"/>
      <c r="G199" s="5"/>
      <c r="H199" s="183"/>
      <c r="I199" s="5"/>
    </row>
    <row r="200" spans="2:11" x14ac:dyDescent="0.2">
      <c r="D200" s="184">
        <f>SUM(D193:D199)+D192</f>
        <v>130960</v>
      </c>
      <c r="H200" s="182"/>
    </row>
    <row r="201" spans="2:11" x14ac:dyDescent="0.2">
      <c r="B201" s="5"/>
      <c r="D201" s="185">
        <f>D200-H169</f>
        <v>-999296</v>
      </c>
      <c r="F201" s="5"/>
      <c r="G201" s="5"/>
      <c r="H201" s="178"/>
      <c r="I201" s="5"/>
    </row>
    <row r="202" spans="2:11" x14ac:dyDescent="0.2">
      <c r="H202" s="182"/>
    </row>
    <row r="203" spans="2:11" x14ac:dyDescent="0.2">
      <c r="H203" s="182"/>
    </row>
    <row r="204" spans="2:11" x14ac:dyDescent="0.2">
      <c r="H204" s="182"/>
    </row>
    <row r="205" spans="2:11" x14ac:dyDescent="0.2">
      <c r="H205" s="182"/>
    </row>
    <row r="206" spans="2:11" x14ac:dyDescent="0.2">
      <c r="B206" s="5"/>
      <c r="D206" s="5"/>
      <c r="F206" s="5"/>
      <c r="G206" s="5"/>
      <c r="H206" s="182"/>
      <c r="I206" s="5"/>
    </row>
    <row r="207" spans="2:11" ht="15.75" x14ac:dyDescent="0.25">
      <c r="B207" s="5"/>
      <c r="D207" s="5"/>
      <c r="F207" s="5"/>
      <c r="G207" s="5"/>
      <c r="H207" s="145"/>
      <c r="I207" s="5"/>
    </row>
    <row r="208" spans="2:11" x14ac:dyDescent="0.2">
      <c r="B208" s="5"/>
      <c r="D208" s="5"/>
      <c r="F208" s="5"/>
      <c r="G208" s="5"/>
      <c r="H208" s="182"/>
      <c r="I208" s="5"/>
    </row>
    <row r="209" spans="8:8" s="5" customFormat="1" x14ac:dyDescent="0.2">
      <c r="H209" s="182"/>
    </row>
    <row r="210" spans="8:8" s="5" customFormat="1" x14ac:dyDescent="0.2">
      <c r="H210" s="182"/>
    </row>
    <row r="212" spans="8:8" s="5" customFormat="1" x14ac:dyDescent="0.2">
      <c r="H212" s="182"/>
    </row>
    <row r="213" spans="8:8" s="5" customFormat="1" x14ac:dyDescent="0.2">
      <c r="H213" s="182"/>
    </row>
    <row r="214" spans="8:8" s="5" customFormat="1" x14ac:dyDescent="0.2">
      <c r="H214" s="182"/>
    </row>
    <row r="215" spans="8:8" s="5" customFormat="1" x14ac:dyDescent="0.2">
      <c r="H215" s="182"/>
    </row>
    <row r="216" spans="8:8" s="5" customFormat="1" x14ac:dyDescent="0.2">
      <c r="H216" s="182"/>
    </row>
    <row r="217" spans="8:8" s="5" customFormat="1" x14ac:dyDescent="0.2">
      <c r="H217" s="182"/>
    </row>
    <row r="218" spans="8:8" s="5" customFormat="1" x14ac:dyDescent="0.2">
      <c r="H218" s="182"/>
    </row>
    <row r="219" spans="8:8" s="5" customFormat="1" x14ac:dyDescent="0.2">
      <c r="H219" s="182"/>
    </row>
    <row r="220" spans="8:8" s="5" customFormat="1" x14ac:dyDescent="0.2">
      <c r="H220" s="182"/>
    </row>
    <row r="221" spans="8:8" s="5" customFormat="1" x14ac:dyDescent="0.2">
      <c r="H221" s="182"/>
    </row>
    <row r="222" spans="8:8" s="5" customFormat="1" x14ac:dyDescent="0.2">
      <c r="H222" s="182"/>
    </row>
    <row r="223" spans="8:8" s="5" customFormat="1" x14ac:dyDescent="0.2">
      <c r="H223" s="182"/>
    </row>
    <row r="224" spans="8:8" s="5" customFormat="1" x14ac:dyDescent="0.2">
      <c r="H224" s="182"/>
    </row>
    <row r="225" spans="8:8" s="5" customFormat="1" x14ac:dyDescent="0.2">
      <c r="H225" s="182"/>
    </row>
    <row r="226" spans="8:8" s="5" customFormat="1" x14ac:dyDescent="0.2">
      <c r="H226" s="182"/>
    </row>
    <row r="227" spans="8:8" s="5" customFormat="1" x14ac:dyDescent="0.2">
      <c r="H227" s="182"/>
    </row>
    <row r="228" spans="8:8" s="5" customFormat="1" x14ac:dyDescent="0.2">
      <c r="H228" s="182"/>
    </row>
    <row r="229" spans="8:8" s="5" customFormat="1" x14ac:dyDescent="0.2">
      <c r="H229" s="182"/>
    </row>
    <row r="230" spans="8:8" s="5" customFormat="1" x14ac:dyDescent="0.2">
      <c r="H230" s="182"/>
    </row>
    <row r="231" spans="8:8" s="5" customFormat="1" x14ac:dyDescent="0.2">
      <c r="H231" s="182"/>
    </row>
    <row r="232" spans="8:8" s="5" customFormat="1" x14ac:dyDescent="0.2">
      <c r="H232" s="182"/>
    </row>
    <row r="233" spans="8:8" s="5" customFormat="1" x14ac:dyDescent="0.2">
      <c r="H233" s="182"/>
    </row>
    <row r="234" spans="8:8" s="5" customFormat="1" x14ac:dyDescent="0.2">
      <c r="H234" s="182"/>
    </row>
    <row r="235" spans="8:8" s="5" customFormat="1" x14ac:dyDescent="0.2">
      <c r="H235" s="182"/>
    </row>
    <row r="236" spans="8:8" s="5" customFormat="1" x14ac:dyDescent="0.2">
      <c r="H236" s="182"/>
    </row>
    <row r="237" spans="8:8" s="5" customFormat="1" x14ac:dyDescent="0.2">
      <c r="H237" s="182"/>
    </row>
    <row r="238" spans="8:8" s="5" customFormat="1" x14ac:dyDescent="0.2">
      <c r="H238" s="182"/>
    </row>
    <row r="239" spans="8:8" s="5" customFormat="1" x14ac:dyDescent="0.2">
      <c r="H239" s="182"/>
    </row>
    <row r="240" spans="8:8" s="5" customFormat="1" x14ac:dyDescent="0.2">
      <c r="H240" s="182"/>
    </row>
    <row r="241" spans="8:8" s="5" customFormat="1" x14ac:dyDescent="0.2">
      <c r="H241" s="182"/>
    </row>
    <row r="242" spans="8:8" s="5" customFormat="1" x14ac:dyDescent="0.2">
      <c r="H242" s="182"/>
    </row>
    <row r="243" spans="8:8" s="5" customFormat="1" x14ac:dyDescent="0.2">
      <c r="H243" s="182"/>
    </row>
    <row r="244" spans="8:8" s="5" customFormat="1" x14ac:dyDescent="0.2">
      <c r="H244" s="182"/>
    </row>
    <row r="245" spans="8:8" s="5" customFormat="1" x14ac:dyDescent="0.2">
      <c r="H245" s="182"/>
    </row>
    <row r="246" spans="8:8" s="5" customFormat="1" x14ac:dyDescent="0.2">
      <c r="H246" s="182"/>
    </row>
    <row r="247" spans="8:8" s="5" customFormat="1" x14ac:dyDescent="0.2">
      <c r="H247" s="182"/>
    </row>
    <row r="248" spans="8:8" s="5" customFormat="1" x14ac:dyDescent="0.2">
      <c r="H248" s="182"/>
    </row>
    <row r="249" spans="8:8" s="5" customFormat="1" x14ac:dyDescent="0.2">
      <c r="H249" s="182"/>
    </row>
    <row r="250" spans="8:8" s="5" customFormat="1" x14ac:dyDescent="0.2">
      <c r="H250" s="182"/>
    </row>
    <row r="251" spans="8:8" s="5" customFormat="1" x14ac:dyDescent="0.2">
      <c r="H251" s="182"/>
    </row>
    <row r="252" spans="8:8" s="5" customFormat="1" x14ac:dyDescent="0.2">
      <c r="H252" s="182"/>
    </row>
    <row r="253" spans="8:8" s="5" customFormat="1" x14ac:dyDescent="0.2">
      <c r="H253" s="182"/>
    </row>
    <row r="254" spans="8:8" s="5" customFormat="1" x14ac:dyDescent="0.2">
      <c r="H254" s="182"/>
    </row>
    <row r="255" spans="8:8" s="5" customFormat="1" x14ac:dyDescent="0.2">
      <c r="H255" s="182"/>
    </row>
    <row r="256" spans="8:8" s="5" customFormat="1" x14ac:dyDescent="0.2">
      <c r="H256" s="182"/>
    </row>
    <row r="257" spans="8:8" s="5" customFormat="1" x14ac:dyDescent="0.2">
      <c r="H257" s="182"/>
    </row>
    <row r="258" spans="8:8" s="5" customFormat="1" x14ac:dyDescent="0.2">
      <c r="H258" s="182"/>
    </row>
    <row r="259" spans="8:8" s="5" customFormat="1" x14ac:dyDescent="0.2">
      <c r="H259" s="182"/>
    </row>
    <row r="260" spans="8:8" s="5" customFormat="1" x14ac:dyDescent="0.2">
      <c r="H260" s="182"/>
    </row>
    <row r="261" spans="8:8" s="5" customFormat="1" x14ac:dyDescent="0.2">
      <c r="H261" s="182"/>
    </row>
    <row r="262" spans="8:8" s="5" customFormat="1" x14ac:dyDescent="0.2">
      <c r="H262" s="182"/>
    </row>
    <row r="263" spans="8:8" s="5" customFormat="1" x14ac:dyDescent="0.2">
      <c r="H263" s="182"/>
    </row>
    <row r="264" spans="8:8" s="5" customFormat="1" x14ac:dyDescent="0.2">
      <c r="H264" s="182"/>
    </row>
    <row r="265" spans="8:8" s="5" customFormat="1" x14ac:dyDescent="0.2">
      <c r="H265" s="182"/>
    </row>
    <row r="266" spans="8:8" s="5" customFormat="1" x14ac:dyDescent="0.2">
      <c r="H266" s="182"/>
    </row>
    <row r="267" spans="8:8" s="5" customFormat="1" x14ac:dyDescent="0.2">
      <c r="H267" s="182"/>
    </row>
    <row r="268" spans="8:8" s="5" customFormat="1" x14ac:dyDescent="0.2">
      <c r="H268" s="182"/>
    </row>
    <row r="269" spans="8:8" s="5" customFormat="1" x14ac:dyDescent="0.2">
      <c r="H269" s="182"/>
    </row>
    <row r="270" spans="8:8" s="5" customFormat="1" x14ac:dyDescent="0.2">
      <c r="H270" s="182"/>
    </row>
    <row r="271" spans="8:8" s="5" customFormat="1" x14ac:dyDescent="0.2">
      <c r="H271" s="182"/>
    </row>
    <row r="272" spans="8:8" s="5" customFormat="1" x14ac:dyDescent="0.2">
      <c r="H272" s="182"/>
    </row>
    <row r="273" spans="8:8" s="5" customFormat="1" x14ac:dyDescent="0.2">
      <c r="H273" s="182"/>
    </row>
    <row r="274" spans="8:8" s="5" customFormat="1" x14ac:dyDescent="0.2">
      <c r="H274" s="182"/>
    </row>
    <row r="275" spans="8:8" s="5" customFormat="1" x14ac:dyDescent="0.2">
      <c r="H275" s="182"/>
    </row>
    <row r="276" spans="8:8" s="5" customFormat="1" x14ac:dyDescent="0.2">
      <c r="H276" s="182"/>
    </row>
    <row r="277" spans="8:8" s="5" customFormat="1" x14ac:dyDescent="0.2">
      <c r="H277" s="182"/>
    </row>
    <row r="278" spans="8:8" s="5" customFormat="1" x14ac:dyDescent="0.2">
      <c r="H278" s="182"/>
    </row>
    <row r="279" spans="8:8" s="5" customFormat="1" x14ac:dyDescent="0.2">
      <c r="H279" s="182"/>
    </row>
    <row r="280" spans="8:8" s="5" customFormat="1" x14ac:dyDescent="0.2">
      <c r="H280" s="182"/>
    </row>
    <row r="281" spans="8:8" s="5" customFormat="1" x14ac:dyDescent="0.2">
      <c r="H281" s="182"/>
    </row>
    <row r="282" spans="8:8" s="5" customFormat="1" x14ac:dyDescent="0.2">
      <c r="H282" s="182"/>
    </row>
    <row r="283" spans="8:8" s="5" customFormat="1" x14ac:dyDescent="0.2">
      <c r="H283" s="182"/>
    </row>
    <row r="284" spans="8:8" s="5" customFormat="1" x14ac:dyDescent="0.2">
      <c r="H284" s="182"/>
    </row>
    <row r="285" spans="8:8" s="5" customFormat="1" x14ac:dyDescent="0.2">
      <c r="H285" s="182"/>
    </row>
    <row r="286" spans="8:8" s="5" customFormat="1" x14ac:dyDescent="0.2">
      <c r="H286" s="182"/>
    </row>
    <row r="287" spans="8:8" s="5" customFormat="1" x14ac:dyDescent="0.2">
      <c r="H287" s="182"/>
    </row>
    <row r="288" spans="8:8" s="5" customFormat="1" x14ac:dyDescent="0.2">
      <c r="H288" s="182"/>
    </row>
    <row r="289" spans="8:8" s="5" customFormat="1" x14ac:dyDescent="0.2">
      <c r="H289" s="182"/>
    </row>
    <row r="290" spans="8:8" s="5" customFormat="1" x14ac:dyDescent="0.2">
      <c r="H290" s="182"/>
    </row>
    <row r="291" spans="8:8" s="5" customFormat="1" x14ac:dyDescent="0.2">
      <c r="H291" s="182"/>
    </row>
    <row r="292" spans="8:8" s="5" customFormat="1" x14ac:dyDescent="0.2">
      <c r="H292" s="182"/>
    </row>
    <row r="293" spans="8:8" s="5" customFormat="1" x14ac:dyDescent="0.2">
      <c r="H293" s="182"/>
    </row>
    <row r="294" spans="8:8" s="5" customFormat="1" x14ac:dyDescent="0.2">
      <c r="H294" s="182"/>
    </row>
    <row r="295" spans="8:8" s="5" customFormat="1" x14ac:dyDescent="0.2">
      <c r="H295" s="182"/>
    </row>
    <row r="296" spans="8:8" s="5" customFormat="1" x14ac:dyDescent="0.2">
      <c r="H296" s="182"/>
    </row>
    <row r="297" spans="8:8" s="5" customFormat="1" x14ac:dyDescent="0.2">
      <c r="H297" s="182"/>
    </row>
    <row r="298" spans="8:8" s="5" customFormat="1" x14ac:dyDescent="0.2">
      <c r="H298" s="182"/>
    </row>
    <row r="299" spans="8:8" s="5" customFormat="1" x14ac:dyDescent="0.2">
      <c r="H299" s="182"/>
    </row>
    <row r="300" spans="8:8" s="5" customFormat="1" x14ac:dyDescent="0.2">
      <c r="H300" s="182"/>
    </row>
    <row r="301" spans="8:8" s="5" customFormat="1" x14ac:dyDescent="0.2">
      <c r="H301" s="182"/>
    </row>
    <row r="302" spans="8:8" s="5" customFormat="1" x14ac:dyDescent="0.2">
      <c r="H302" s="182"/>
    </row>
    <row r="303" spans="8:8" s="5" customFormat="1" x14ac:dyDescent="0.2">
      <c r="H303" s="182"/>
    </row>
    <row r="304" spans="8:8" s="5" customFormat="1" x14ac:dyDescent="0.2">
      <c r="H304" s="182"/>
    </row>
    <row r="305" spans="8:8" s="5" customFormat="1" x14ac:dyDescent="0.2">
      <c r="H305" s="182"/>
    </row>
    <row r="306" spans="8:8" s="5" customFormat="1" x14ac:dyDescent="0.2">
      <c r="H306" s="182"/>
    </row>
    <row r="307" spans="8:8" s="5" customFormat="1" x14ac:dyDescent="0.2">
      <c r="H307" s="182"/>
    </row>
    <row r="308" spans="8:8" s="5" customFormat="1" x14ac:dyDescent="0.2">
      <c r="H308" s="182"/>
    </row>
    <row r="309" spans="8:8" s="5" customFormat="1" x14ac:dyDescent="0.2">
      <c r="H309" s="182"/>
    </row>
    <row r="310" spans="8:8" s="5" customFormat="1" x14ac:dyDescent="0.2">
      <c r="H310" s="182"/>
    </row>
    <row r="311" spans="8:8" s="5" customFormat="1" x14ac:dyDescent="0.2">
      <c r="H311" s="182"/>
    </row>
    <row r="312" spans="8:8" s="5" customFormat="1" x14ac:dyDescent="0.2">
      <c r="H312" s="182"/>
    </row>
    <row r="313" spans="8:8" s="5" customFormat="1" x14ac:dyDescent="0.2">
      <c r="H313" s="182"/>
    </row>
    <row r="314" spans="8:8" s="5" customFormat="1" x14ac:dyDescent="0.2">
      <c r="H314" s="182"/>
    </row>
    <row r="315" spans="8:8" s="5" customFormat="1" x14ac:dyDescent="0.2">
      <c r="H315" s="182"/>
    </row>
    <row r="316" spans="8:8" s="5" customFormat="1" x14ac:dyDescent="0.2">
      <c r="H316" s="182"/>
    </row>
    <row r="317" spans="8:8" s="5" customFormat="1" x14ac:dyDescent="0.2">
      <c r="H317" s="182"/>
    </row>
    <row r="318" spans="8:8" s="5" customFormat="1" x14ac:dyDescent="0.2">
      <c r="H318" s="182"/>
    </row>
    <row r="319" spans="8:8" s="5" customFormat="1" x14ac:dyDescent="0.2">
      <c r="H319" s="182"/>
    </row>
    <row r="320" spans="8:8" s="5" customFormat="1" x14ac:dyDescent="0.2">
      <c r="H320" s="182"/>
    </row>
    <row r="321" spans="8:8" s="5" customFormat="1" x14ac:dyDescent="0.2">
      <c r="H321" s="182"/>
    </row>
  </sheetData>
  <mergeCells count="24">
    <mergeCell ref="E129:G129"/>
    <mergeCell ref="E132:G132"/>
    <mergeCell ref="E138:G138"/>
    <mergeCell ref="B175:C175"/>
    <mergeCell ref="D175:F175"/>
    <mergeCell ref="H179:J179"/>
    <mergeCell ref="H7:H8"/>
    <mergeCell ref="B9:C9"/>
    <mergeCell ref="F9:G9"/>
    <mergeCell ref="F10:G10"/>
    <mergeCell ref="E123:G123"/>
    <mergeCell ref="E126:G126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2023-03-03T13:00:35Z</dcterms:created>
  <dcterms:modified xsi:type="dcterms:W3CDTF">2023-03-11T09:52:42Z</dcterms:modified>
</cp:coreProperties>
</file>