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ables/table6.xml" ContentType="application/vnd.openxmlformats-officedocument.spreadsheetml.table+xml"/>
  <Override PartName="/xl/comments1.xml" ContentType="application/vnd.openxmlformats-officedocument.spreadsheetml.comments+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autoCompressPictures="0"/>
  <mc:AlternateContent xmlns:mc="http://schemas.openxmlformats.org/markup-compatibility/2006">
    <mc:Choice Requires="x15">
      <x15ac:absPath xmlns:x15ac="http://schemas.microsoft.com/office/spreadsheetml/2010/11/ac" url="F:\Mahmoud Tareq\كتب و دراسات\"/>
    </mc:Choice>
  </mc:AlternateContent>
  <xr:revisionPtr revIDLastSave="0" documentId="13_ncr:1_{0C234693-FF43-4FF8-928E-3575787718F3}" xr6:coauthVersionLast="47" xr6:coauthVersionMax="47" xr10:uidLastSave="{00000000-0000-0000-0000-000000000000}"/>
  <bookViews>
    <workbookView xWindow="-120" yWindow="-120" windowWidth="20730" windowHeight="11160" tabRatio="486" firstSheet="3" activeTab="3" xr2:uid="{00000000-000D-0000-FFFF-FFFF00000000}"/>
  </bookViews>
  <sheets>
    <sheet name="Banks" sheetId="2" r:id="rId1"/>
    <sheet name="CLIENTSNAME" sheetId="6" r:id="rId2"/>
    <sheet name="AMERICAN" sheetId="3" r:id="rId3"/>
    <sheet name="BANKS BALANCE" sheetId="10" r:id="rId4"/>
    <sheet name="BANK GENEREAL LEDGER" sheetId="1" r:id="rId5"/>
    <sheet name="DOWN-PAYMENTS GENERAL LEDGER" sheetId="4" r:id="rId6"/>
    <sheet name="Diversified revenue" sheetId="9" r:id="rId7"/>
  </sheets>
  <externalReferences>
    <externalReference r:id="rId8"/>
  </externalReferences>
  <definedNames>
    <definedName name="_xlnm.Print_Area" localSheetId="4">'BANK GENEREAL LEDGER'!$A$1:$L$35</definedName>
    <definedName name="_xlnm.Print_Area" localSheetId="6">'Diversified revenue'!$B$2:$J$25</definedName>
    <definedName name="_xlnm.Print_Area" localSheetId="5">'DOWN-PAYMENTS GENERAL LEDGER'!$B$2:$J$23</definedName>
    <definedName name="Slicer_ACCOUNT_NAME">#N/A</definedName>
    <definedName name="Slicer_ACCOUNT_TYPE">#N/A</definedName>
    <definedName name="Slicer_DATE">#N/A</definedName>
    <definedName name="Slicer_PROJECT">#N/A</definedName>
    <definedName name="Slicer_VENDOR_CLIENT">#N/A</definedName>
    <definedName name="Slicer_حـــ___دائن">#N/A</definedName>
    <definedName name="STARTING_BALANCE" localSheetId="6">'Diversified revenue'!$G$3</definedName>
    <definedName name="STARTING_BALANCE" localSheetId="5">'DOWN-PAYMENTS GENERAL LEDGER'!$I$3</definedName>
    <definedName name="STARTING_BALANCE">'BANK GENEREAL LEDGER'!$K$2</definedName>
    <definedName name="Type">'[1]Maintenance Work Order'!#REF!</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5:slicerCaches>
    </ext>
    <ext xmlns:mx="http://schemas.microsoft.com/office/mac/excel/2008/main" uri="{7523E5D3-25F3-A5E0-1632-64F254C22452}">
      <mx:ArchID Flags="2"/>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M32" i="1" l="1"/>
  <c r="N32" i="1"/>
  <c r="D20" i="4"/>
  <c r="K19" i="10"/>
  <c r="I19" i="10"/>
  <c r="H19" i="10"/>
  <c r="G19" i="10"/>
  <c r="L19" i="10" l="1"/>
  <c r="J19" i="10"/>
  <c r="K20" i="10" l="1"/>
  <c r="K18" i="10"/>
  <c r="K17" i="10"/>
  <c r="K16" i="10"/>
  <c r="K15" i="10"/>
  <c r="K14" i="10"/>
  <c r="K13" i="10"/>
  <c r="K12" i="10"/>
  <c r="K11" i="10"/>
  <c r="K10" i="10"/>
  <c r="K9" i="10"/>
  <c r="K8" i="10"/>
  <c r="K6" i="10"/>
  <c r="K7" i="10"/>
  <c r="I20" i="10"/>
  <c r="I18" i="10"/>
  <c r="I17" i="10"/>
  <c r="I16" i="10"/>
  <c r="I15" i="10"/>
  <c r="I14" i="10"/>
  <c r="I13" i="10"/>
  <c r="I12" i="10"/>
  <c r="I11" i="10"/>
  <c r="I9" i="10"/>
  <c r="I8" i="10"/>
  <c r="I7" i="10"/>
  <c r="I6" i="10"/>
  <c r="I10" i="10"/>
  <c r="K21" i="10" l="1"/>
  <c r="I21" i="10"/>
  <c r="N31" i="1" l="1"/>
  <c r="N6" i="1" l="1"/>
  <c r="N7" i="1"/>
  <c r="N8" i="1"/>
  <c r="N9" i="1"/>
  <c r="N10" i="1"/>
  <c r="N11" i="1"/>
  <c r="N12" i="1"/>
  <c r="N13" i="1"/>
  <c r="N14" i="1"/>
  <c r="N15" i="1"/>
  <c r="N16" i="1"/>
  <c r="N17" i="1"/>
  <c r="N18" i="1"/>
  <c r="N19" i="1"/>
  <c r="N20" i="1"/>
  <c r="N21" i="1"/>
  <c r="N22" i="1"/>
  <c r="N23" i="1"/>
  <c r="N24" i="1"/>
  <c r="N25" i="1"/>
  <c r="N26" i="1"/>
  <c r="N27" i="1"/>
  <c r="N28" i="1"/>
  <c r="N29" i="1"/>
  <c r="N30" i="1"/>
  <c r="N33" i="1"/>
  <c r="M6" i="1"/>
  <c r="M7" i="1"/>
  <c r="M8" i="1"/>
  <c r="M9" i="1"/>
  <c r="M10" i="1"/>
  <c r="M11" i="1"/>
  <c r="M12" i="1"/>
  <c r="M13" i="1"/>
  <c r="M14" i="1"/>
  <c r="M15" i="1"/>
  <c r="M16" i="1"/>
  <c r="M17" i="1"/>
  <c r="M18" i="1"/>
  <c r="M19" i="1"/>
  <c r="M20" i="1"/>
  <c r="M21" i="1"/>
  <c r="M22" i="1"/>
  <c r="M23" i="1"/>
  <c r="M24" i="1"/>
  <c r="M25" i="1"/>
  <c r="M26" i="1"/>
  <c r="M27" i="1"/>
  <c r="M28" i="1"/>
  <c r="M29" i="1"/>
  <c r="M30" i="1"/>
  <c r="M31" i="1"/>
  <c r="M33" i="1"/>
  <c r="F21" i="10"/>
  <c r="E21" i="10"/>
  <c r="D21" i="10"/>
  <c r="C21" i="10"/>
  <c r="B21" i="10"/>
  <c r="G20" i="10"/>
  <c r="L20" i="10" s="1"/>
  <c r="G18" i="10"/>
  <c r="L18" i="10" s="1"/>
  <c r="G17" i="10"/>
  <c r="L17" i="10" s="1"/>
  <c r="G16" i="10"/>
  <c r="L16" i="10" s="1"/>
  <c r="G12" i="10"/>
  <c r="L12" i="10" s="1"/>
  <c r="G11" i="10"/>
  <c r="L11" i="10" s="1"/>
  <c r="G10" i="10"/>
  <c r="L10" i="10" s="1"/>
  <c r="G15" i="10"/>
  <c r="L15" i="10" s="1"/>
  <c r="G14" i="10"/>
  <c r="L14" i="10" s="1"/>
  <c r="G13" i="10"/>
  <c r="L13" i="10" s="1"/>
  <c r="G9" i="10"/>
  <c r="L9" i="10" s="1"/>
  <c r="G8" i="10"/>
  <c r="L8" i="10" s="1"/>
  <c r="G7" i="10"/>
  <c r="L7" i="10" s="1"/>
  <c r="G6" i="10"/>
  <c r="L6" i="10" s="1"/>
  <c r="H6" i="10"/>
  <c r="J6" i="10" s="1"/>
  <c r="H7" i="10"/>
  <c r="J7" i="10" s="1"/>
  <c r="H8" i="10"/>
  <c r="J8" i="10" s="1"/>
  <c r="H9" i="10"/>
  <c r="J9" i="10" s="1"/>
  <c r="H10" i="10"/>
  <c r="J10" i="10" s="1"/>
  <c r="H11" i="10"/>
  <c r="J11" i="10" s="1"/>
  <c r="H12" i="10"/>
  <c r="J12" i="10" s="1"/>
  <c r="H13" i="10"/>
  <c r="J13" i="10" s="1"/>
  <c r="H14" i="10"/>
  <c r="J14" i="10" s="1"/>
  <c r="H15" i="10"/>
  <c r="J15" i="10" s="1"/>
  <c r="H16" i="10"/>
  <c r="J16" i="10" s="1"/>
  <c r="H17" i="10"/>
  <c r="J17" i="10" s="1"/>
  <c r="H18" i="10"/>
  <c r="J18" i="10" s="1"/>
  <c r="H20" i="10"/>
  <c r="J20" i="10" s="1"/>
  <c r="H24" i="9"/>
  <c r="H2" i="9" s="1"/>
  <c r="G24" i="9"/>
  <c r="G2" i="9" s="1"/>
  <c r="D9" i="4"/>
  <c r="D10" i="4"/>
  <c r="D11" i="4"/>
  <c r="D12" i="4"/>
  <c r="D13" i="4"/>
  <c r="D14" i="4"/>
  <c r="D15" i="4"/>
  <c r="D16" i="4"/>
  <c r="D17" i="4"/>
  <c r="D18" i="4"/>
  <c r="D19" i="4"/>
  <c r="D21" i="4"/>
  <c r="D8" i="4"/>
  <c r="D7" i="4"/>
  <c r="C14" i="6"/>
  <c r="J22" i="4"/>
  <c r="J2" i="4" s="1"/>
  <c r="I22" i="4"/>
  <c r="I2" i="4" s="1"/>
  <c r="G22" i="4"/>
  <c r="H22" i="4"/>
  <c r="J21" i="10" l="1"/>
  <c r="L21" i="10"/>
  <c r="M34" i="1"/>
  <c r="K22" i="10" s="1"/>
  <c r="N34" i="1"/>
  <c r="I22" i="10" s="1"/>
  <c r="H21" i="10"/>
  <c r="G21" i="10"/>
  <c r="E39" i="3"/>
  <c r="F39" i="3"/>
  <c r="G39" i="3"/>
  <c r="H39" i="3"/>
  <c r="I39" i="3"/>
  <c r="J39" i="3"/>
  <c r="K39" i="3"/>
  <c r="L39" i="3"/>
  <c r="M39" i="3"/>
  <c r="N39" i="3"/>
  <c r="O39" i="3"/>
  <c r="P39" i="3"/>
  <c r="Q39" i="3"/>
  <c r="R39" i="3"/>
  <c r="S39" i="3"/>
  <c r="T39" i="3"/>
  <c r="U39" i="3"/>
  <c r="Q3" i="1" s="1"/>
  <c r="V39" i="3"/>
  <c r="R3" i="1" s="1"/>
  <c r="W39" i="3"/>
  <c r="I3" i="4" s="1"/>
  <c r="I4" i="4" s="1"/>
  <c r="X39" i="3"/>
  <c r="J3" i="4" s="1"/>
  <c r="J4" i="4" s="1"/>
  <c r="Y39" i="3"/>
  <c r="G3" i="9" s="1"/>
  <c r="G4" i="9" s="1"/>
  <c r="Z39" i="3"/>
  <c r="H3" i="9" s="1"/>
  <c r="H4" i="9" s="1"/>
  <c r="AA39" i="3"/>
  <c r="AB39" i="3"/>
  <c r="AC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C5" i="3"/>
  <c r="C38"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L22" i="10" l="1"/>
  <c r="L38" i="1"/>
  <c r="J22" i="10"/>
  <c r="H22" i="10"/>
  <c r="K38" i="1"/>
  <c r="D39" i="3"/>
  <c r="C39" i="3"/>
  <c r="J34" i="1" l="1"/>
  <c r="I34" i="1"/>
  <c r="K34" i="1"/>
  <c r="L34" i="1"/>
  <c r="K4" i="1" l="1"/>
  <c r="L39" i="1"/>
  <c r="R4" i="1"/>
  <c r="Q4" i="1"/>
  <c r="K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mahmoud tarek</author>
  </authors>
  <commentList>
    <comment ref="E7" authorId="0" shapeId="0" xr:uid="{174A778B-B12E-4513-95E0-64180AA5EBA4}">
      <text>
        <r>
          <rPr>
            <b/>
            <sz val="9"/>
            <color indexed="81"/>
            <rFont val="Tahoma"/>
            <family val="2"/>
          </rPr>
          <t xml:space="preserve">mahmoud tarek:
INSERT HERE YOUR UNIT NO.
</t>
        </r>
      </text>
    </comment>
  </commentList>
</comments>
</file>

<file path=xl/sharedStrings.xml><?xml version="1.0" encoding="utf-8"?>
<sst xmlns="http://schemas.openxmlformats.org/spreadsheetml/2006/main" count="304" uniqueCount="152">
  <si>
    <t>DATE</t>
  </si>
  <si>
    <t>TOTAL ADJUSTED BALANCE</t>
  </si>
  <si>
    <t>STARTING BALANCE</t>
  </si>
  <si>
    <t>ACCOUNT TYPE</t>
  </si>
  <si>
    <t>ACCOUNT NAME</t>
  </si>
  <si>
    <t xml:space="preserve">ACCOUNT NO. </t>
  </si>
  <si>
    <t>COMPANY NAME</t>
  </si>
  <si>
    <t>LEDGER NAME</t>
  </si>
  <si>
    <t>BANK</t>
  </si>
  <si>
    <t>ACCOUNTANT</t>
  </si>
  <si>
    <t>PROJECT</t>
  </si>
  <si>
    <t xml:space="preserve">&lt; --------- enter starting bank balance here   </t>
  </si>
  <si>
    <t>Document NO.</t>
  </si>
  <si>
    <t>MO. STARTS</t>
  </si>
  <si>
    <t>CLIENT</t>
  </si>
  <si>
    <t>Total</t>
  </si>
  <si>
    <t>مدين / Debit</t>
  </si>
  <si>
    <t xml:space="preserve">Debit </t>
  </si>
  <si>
    <t>Credit</t>
  </si>
  <si>
    <t>Credit / دائن</t>
  </si>
  <si>
    <t>1</t>
  </si>
  <si>
    <t>12</t>
  </si>
  <si>
    <t>2</t>
  </si>
  <si>
    <t>3</t>
  </si>
  <si>
    <t>4</t>
  </si>
  <si>
    <t>5</t>
  </si>
  <si>
    <t>6</t>
  </si>
  <si>
    <t>7</t>
  </si>
  <si>
    <t>8</t>
  </si>
  <si>
    <t>9</t>
  </si>
  <si>
    <t>10</t>
  </si>
  <si>
    <t>11</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</si>
  <si>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</si>
  <si>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</si>
  <si>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</si>
  <si>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</si>
  <si>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</si>
  <si>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</si>
  <si>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</si>
  <si>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</si>
  <si>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</si>
  <si>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</si>
  <si>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</si>
  <si>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</si>
  <si>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</si>
  <si>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</si>
  <si>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</si>
  <si>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</si>
  <si>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</si>
  <si>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</si>
  <si>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</si>
  <si>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</si>
  <si>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</si>
  <si>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</si>
  <si>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</si>
  <si>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</si>
  <si>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</si>
  <si>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</si>
  <si>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</si>
  <si>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</si>
  <si>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</si>
  <si>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</si>
  <si>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</si>
  <si>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</si>
  <si>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</si>
  <si>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</si>
  <si>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</si>
  <si>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</si>
  <si>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</si>
  <si>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</si>
  <si>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DEBIT</t>
  </si>
  <si>
    <t>CREDIT</t>
  </si>
  <si>
    <t>CLIENT NAME</t>
  </si>
  <si>
    <t>APPARTMENT NO.</t>
  </si>
  <si>
    <t>CIB</t>
  </si>
  <si>
    <t>BANK NO.</t>
  </si>
  <si>
    <t>NBE</t>
  </si>
  <si>
    <t>BANQUE MISR</t>
  </si>
  <si>
    <t>ADIB EGYPT</t>
  </si>
  <si>
    <t>ADIB EGYPT / DOLLAR ACCOUNT</t>
  </si>
  <si>
    <t>ADIB EGYPT / STERLING POUND ACCOUNT</t>
  </si>
  <si>
    <t>ADIB EGYPT / EURO ACCOUNT</t>
  </si>
  <si>
    <t>CIB / EURO</t>
  </si>
  <si>
    <t>CIB / EURO 2</t>
  </si>
  <si>
    <t>CIB / DOLLAR</t>
  </si>
  <si>
    <t>CIB / STERLING POUND</t>
  </si>
  <si>
    <t xml:space="preserve">ADIB EGYPT / 2 </t>
  </si>
  <si>
    <t>BANQUE DE CAIRE / 2</t>
  </si>
  <si>
    <t>BANQUE DE CAIRE / DOLLAR ACCOUNT</t>
  </si>
  <si>
    <t xml:space="preserve">BANQUE DE CAIRE </t>
  </si>
  <si>
    <t>0000 - 0000 - **** - ####</t>
  </si>
  <si>
    <t>0000-****-0000-##-0000-00</t>
  </si>
  <si>
    <t xml:space="preserve">INSERT BANK NUMBER HERE </t>
  </si>
  <si>
    <t>CHANGE BANK NAME AT WELL</t>
  </si>
  <si>
    <t>INSERT CLIENT NAME HERE TO COLLECT LATER IN LEDGER</t>
  </si>
  <si>
    <t xml:space="preserve">INSERT UNIT NUMBER </t>
  </si>
  <si>
    <t>UNIT</t>
  </si>
  <si>
    <t>B007</t>
  </si>
  <si>
    <t>JAMES BOND</t>
  </si>
  <si>
    <t>TOTAL</t>
  </si>
  <si>
    <t>ACCOUNT1</t>
  </si>
  <si>
    <t>ACCOUNT2</t>
  </si>
  <si>
    <t>ACCOUNT3</t>
  </si>
  <si>
    <t>ACCOUNT4</t>
  </si>
  <si>
    <t>ACCOUNT5</t>
  </si>
  <si>
    <t>ACCOUNT6</t>
  </si>
  <si>
    <t>ACCOUNT7</t>
  </si>
  <si>
    <t>ACCOUNT8</t>
  </si>
  <si>
    <t>ACCOUNT9</t>
  </si>
  <si>
    <t>ACCOUNT10</t>
  </si>
  <si>
    <t>ACCOUNT11</t>
  </si>
  <si>
    <t>ACCOUNT12</t>
  </si>
  <si>
    <t>ACCOUNT13</t>
  </si>
  <si>
    <t>ACCOUNT14</t>
  </si>
  <si>
    <t>ACCOUNT15</t>
  </si>
  <si>
    <t>ACCOUNT16</t>
  </si>
  <si>
    <t>ACCOUNT17</t>
  </si>
  <si>
    <t>ACCOUNT18</t>
  </si>
  <si>
    <t>ACCOUNT19</t>
  </si>
  <si>
    <t>ACCOUNT20</t>
  </si>
  <si>
    <t>ACCOUNT21</t>
  </si>
  <si>
    <t>ACCOUNT22</t>
  </si>
  <si>
    <t>ACCOUNT23</t>
  </si>
  <si>
    <t>ACCOUNT24</t>
  </si>
  <si>
    <t>ACCOUNT25</t>
  </si>
  <si>
    <t>BOND007</t>
  </si>
  <si>
    <t>YOUR NAME</t>
  </si>
  <si>
    <t>SUB ACCOUNT</t>
  </si>
  <si>
    <t>MI6</t>
  </si>
  <si>
    <t>MI5</t>
  </si>
  <si>
    <t>B001</t>
  </si>
  <si>
    <t>DEBIT CURRENCY</t>
  </si>
  <si>
    <t>CREDIT CURRENCY</t>
  </si>
  <si>
    <t xml:space="preserve">DEBIT </t>
  </si>
  <si>
    <t>CURRENCY BALANCE</t>
  </si>
  <si>
    <t xml:space="preserve">BALANCE </t>
  </si>
  <si>
    <t>DIFFERENCE</t>
  </si>
  <si>
    <t xml:space="preserve">CHECK HERE </t>
  </si>
  <si>
    <t>SLICERS</t>
  </si>
  <si>
    <t>DOWN-PAYMENTS</t>
  </si>
  <si>
    <t>LEDGER BALANCE</t>
  </si>
  <si>
    <t>AMERICAN BALANCE</t>
  </si>
  <si>
    <t>ACCOUNT NUMBER</t>
  </si>
  <si>
    <t>STARTING BALANCE OF CURRENCY</t>
  </si>
  <si>
    <t>CURRENT BALANCE</t>
  </si>
  <si>
    <t>TOTAL BALANCE</t>
  </si>
  <si>
    <t>CURRENT BALANCE OF CURRENCY</t>
  </si>
  <si>
    <t>TOTAL BALANCE OF CURRENCY</t>
  </si>
  <si>
    <t>BANK BALANCE</t>
  </si>
  <si>
    <t xml:space="preserve"> DIVERSIFIED REVENUE</t>
  </si>
  <si>
    <t>CONTRACT FEE</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</si>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</sst>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mm/dd/yyyy"/>
    <numFmt numFmtId="165" formatCode="_-* #,##0.00\ [$ج.م.‏-C01]_-;\-* #,##0.00\ [$ج.م.‏-C01]_-;_-* &quot;-&quot;??\ [$ج.م.‏-C01]_-;_-@_-"/>
    <numFmt numFmtId="167" formatCode="_([$€-2]\ * #,##0.00_);_([$€-2]\ * \(#,##0.00\);_([$€-2]\ * &quot;-&quot;??_);_(@_)"/>
    <numFmt numFmtId="168" formatCode="_-* #,##0\ [$ج.م.‏-C01]_-;\-* #,##0\ [$ج.م.‏-C01]_-;_-* &quot;-&quot;??\ [$ج.م.‏-C01]_-;_-@_-"/>
  </numFmts>
  <fonts count="46" x14ac:knownFonts="1">
    <font>
      <sz val="12"/>
      <color theme="1"/>
      <name val="Calibri"/>
      <family val="2"/>
      <scheme val="minor"/>
    </font>
    <font>
      <sz val="12"/>
      <color theme="1"/>
      <name val="Century Gothic"/>
      <family val="1"/>
    </font>
    <font>
      <sz val="11"/>
      <color theme="1"/>
      <name val="Calibri"/>
      <family val="2"/>
      <scheme val="minor"/>
    </font>
    <font>
      <sz val="12"/>
      <color theme="1"/>
      <name val="Arial"/>
      <family val="2"/>
    </font>
    <font>
      <sz val="10"/>
      <color theme="1"/>
      <name val="Century Gothic"/>
      <family val="1"/>
    </font>
    <font>
      <sz val="10"/>
      <name val="Arial"/>
      <family val="2"/>
    </font>
    <font>
      <sz val="10"/>
      <name val="Arial"/>
      <family val="2"/>
    </font>
    <font>
      <sz val="12"/>
      <color theme="1"/>
      <name val="Calibri"/>
      <family val="2"/>
      <scheme val="minor"/>
    </font>
    <font>
      <b/>
      <sz val="10"/>
      <color theme="1"/>
      <name val="Century Gothic"/>
      <family val="2"/>
    </font>
    <font>
      <b/>
      <sz val="11"/>
      <color theme="1"/>
      <name val="Century Gothic"/>
      <family val="2"/>
    </font>
    <font>
      <b/>
      <sz val="10"/>
      <color theme="1"/>
      <name val="Century Gothic"/>
      <family val="1"/>
    </font>
    <font>
      <b/>
      <sz val="12"/>
      <color theme="1"/>
      <name val="Century Gothic"/>
      <family val="2"/>
    </font>
    <font>
      <b/>
      <sz val="14"/>
      <color theme="1"/>
      <name val="Calibri"/>
      <family val="2"/>
      <scheme val="minor"/>
    </font>
    <font>
      <sz val="18"/>
      <color theme="1"/>
      <name val="Century Gothic"/>
      <family val="2"/>
    </font>
    <font>
      <b/>
      <sz val="11"/>
      <name val="Century Gothic"/>
      <family val="2"/>
    </font>
    <font>
      <b/>
      <sz val="11"/>
      <color theme="0"/>
      <name val="Century Gothic"/>
      <family val="2"/>
    </font>
    <font>
      <b/>
      <sz val="11"/>
      <color rgb="FFFFFFFF"/>
      <name val="Century Gothic"/>
      <family val="2"/>
    </font>
    <font>
      <b/>
      <sz val="12"/>
      <color theme="0"/>
      <name val="Century Gothic"/>
      <family val="1"/>
    </font>
    <font>
      <b/>
      <sz val="18"/>
      <color theme="1"/>
      <name val="Century Gothic"/>
      <family val="1"/>
    </font>
    <font>
      <sz val="11"/>
      <color theme="1"/>
      <name val="Century Gothic"/>
      <family val="2"/>
    </font>
    <font>
      <b/>
      <sz val="14"/>
      <color theme="1"/>
      <name val="Century Gothic"/>
      <family val="2"/>
    </font>
    <font>
      <sz val="16"/>
      <color theme="1"/>
      <name val="Century Gothic"/>
      <family val="2"/>
    </font>
    <font>
      <b/>
      <sz val="20"/>
      <name val="Arabic Typesetting"/>
      <family val="4"/>
    </font>
    <font>
      <b/>
      <sz val="14"/>
      <color theme="0"/>
      <name val="Century Gothic"/>
      <family val="2"/>
    </font>
    <font>
      <b/>
      <sz val="20"/>
      <color theme="1"/>
      <name val="Arabic Typesetting"/>
      <family val="4"/>
    </font>
    <font>
      <b/>
      <sz val="14"/>
      <color theme="1" tint="4.9989318521683403E-2"/>
      <name val="Calibri"/>
      <family val="2"/>
      <scheme val="minor"/>
    </font>
    <font>
      <sz val="12"/>
      <color theme="1" tint="4.9989318521683403E-2"/>
      <name val="Calibri"/>
      <family val="2"/>
      <scheme val="minor"/>
    </font>
    <font>
      <sz val="8"/>
      <name val="Calibri"/>
      <family val="2"/>
      <scheme val="minor"/>
    </font>
    <font>
      <b/>
      <sz val="20"/>
      <color theme="1"/>
      <name val="Century Gothic"/>
      <family val="2"/>
    </font>
    <font>
      <b/>
      <sz val="11"/>
      <color theme="1"/>
      <name val="Century Gothic"/>
      <family val="1"/>
    </font>
    <font>
      <b/>
      <sz val="16"/>
      <color theme="0"/>
      <name val="Century Gothic"/>
      <family val="1"/>
    </font>
    <font>
      <b/>
      <sz val="10"/>
      <color theme="0"/>
      <name val="Century Gothic"/>
      <family val="1"/>
    </font>
    <font>
      <b/>
      <sz val="14"/>
      <color theme="0"/>
      <name val="Century Gothic"/>
      <family val="1"/>
    </font>
    <font>
      <sz val="14"/>
      <color theme="1"/>
      <name val="Century Gothic"/>
      <family val="1"/>
    </font>
    <font>
      <b/>
      <sz val="14"/>
      <color theme="1"/>
      <name val="Century Gothic"/>
      <family val="1"/>
    </font>
    <font>
      <b/>
      <sz val="14"/>
      <name val="Century Gothic"/>
      <family val="2"/>
    </font>
    <font>
      <sz val="14"/>
      <color theme="1"/>
      <name val="Century Gothic"/>
      <family val="2"/>
    </font>
    <font>
      <sz val="15"/>
      <color theme="1"/>
      <name val="Calibri"/>
      <family val="2"/>
      <scheme val="minor"/>
    </font>
    <font>
      <sz val="15"/>
      <color theme="1" tint="4.9989318521683403E-2"/>
      <name val="Calibri"/>
      <family val="2"/>
      <scheme val="minor"/>
    </font>
    <font>
      <sz val="18"/>
      <color theme="1"/>
      <name val="Calibri"/>
      <family val="2"/>
      <scheme val="minor"/>
    </font>
    <font>
      <b/>
      <sz val="14"/>
      <color theme="0" tint="-4.9989318521683403E-2"/>
      <name val="Calibri"/>
      <family val="2"/>
      <scheme val="minor"/>
    </font>
    <font>
      <b/>
      <sz val="14"/>
      <color rgb="FFFFFFFF"/>
      <name val="Century Gothic"/>
      <family val="2"/>
    </font>
    <font>
      <b/>
      <sz val="14"/>
      <color theme="0"/>
      <name val="Calibri"/>
      <family val="2"/>
      <scheme val="minor"/>
    </font>
    <font>
      <sz val="12"/>
      <color theme="1"/>
      <name val="Century Gothic"/>
      <family val="2"/>
    </font>
    <font>
      <b/>
      <sz val="20"/>
      <color theme="0"/>
      <name val="Calibri"/>
      <family val="2"/>
      <scheme val="minor"/>
    </font>
    <font>
      <b/>
      <sz val="9"/>
      <color indexed="81"/>
      <name val="Tahoma"/>
      <family val="2"/>
    </font>
  </fonts>
  <fills count="23">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theme="0"/>
        <bgColor indexed="64"/>
      </patternFill>
    </fill>
    <fill>
      <patternFill patternType="solid">
        <fgColor theme="3" tint="-0.249977111117893"/>
        <bgColor indexed="64"/>
      </patternFill>
    </fill>
    <fill>
      <patternFill patternType="solid">
        <fgColor theme="3" tint="-0.249977111117893"/>
        <bgColor rgb="FF000000"/>
      </patternFill>
    </fill>
    <fill>
      <patternFill patternType="solid">
        <fgColor rgb="FFEAEEF3"/>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1" tint="0.14999847407452621"/>
        <bgColor indexed="64"/>
      </patternFill>
    </fill>
    <fill>
      <patternFill patternType="solid">
        <fgColor theme="4" tint="0.59999389629810485"/>
        <bgColor indexed="64"/>
      </patternFill>
    </fill>
    <fill>
      <patternFill patternType="solid">
        <fgColor theme="9"/>
        <bgColor indexed="64"/>
      </patternFill>
    </fill>
    <fill>
      <patternFill patternType="solid">
        <fgColor theme="2" tint="-0.499984740745262"/>
        <bgColor indexed="64"/>
      </patternFill>
    </fill>
  </fills>
  <borders count="2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2B2B2"/>
      </left>
      <right style="thin">
        <color rgb="FFB2B2B2"/>
      </right>
      <top style="thin">
        <color rgb="FFB2B2B2"/>
      </top>
      <bottom style="thin">
        <color rgb="FFB2B2B2"/>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249977111117893"/>
      </left>
      <right style="thin">
        <color theme="0" tint="-0.249977111117893"/>
      </right>
      <top/>
      <bottom style="thin">
        <color theme="0" tint="-0.249977111117893"/>
      </bottom>
      <diagonal/>
    </border>
    <border>
      <left style="hair">
        <color theme="0" tint="-0.249977111117893"/>
      </left>
      <right/>
      <top/>
      <bottom style="hair">
        <color theme="0" tint="-0.249977111117893"/>
      </bottom>
      <diagonal/>
    </border>
    <border>
      <left/>
      <right/>
      <top/>
      <bottom style="hair">
        <color theme="0" tint="-0.249977111117893"/>
      </bottom>
      <diagonal/>
    </border>
    <border>
      <left style="hair">
        <color theme="0" tint="-0.249977111117893"/>
      </left>
      <right/>
      <top style="hair">
        <color theme="0" tint="-0.249977111117893"/>
      </top>
      <bottom style="hair">
        <color theme="0" tint="-0.249977111117893"/>
      </bottom>
      <diagonal/>
    </border>
    <border>
      <left/>
      <right/>
      <top style="hair">
        <color theme="0" tint="-0.249977111117893"/>
      </top>
      <bottom style="hair">
        <color theme="0" tint="-0.249977111117893"/>
      </bottom>
      <diagonal/>
    </border>
    <border>
      <left/>
      <right style="thin">
        <color theme="0" tint="-0.249977111117893"/>
      </right>
      <top/>
      <bottom/>
      <diagonal/>
    </border>
    <border>
      <left/>
      <right style="hair">
        <color theme="0" tint="-0.249977111117893"/>
      </right>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indexed="64"/>
      </left>
      <right style="thin">
        <color indexed="64"/>
      </right>
      <top style="thin">
        <color indexed="64"/>
      </top>
      <bottom style="thin">
        <color indexed="64"/>
      </bottom>
      <diagonal/>
    </border>
    <border>
      <left/>
      <right style="thin">
        <color theme="0" tint="-0.249977111117893"/>
      </right>
      <top style="hair">
        <color theme="0" tint="-0.249977111117893"/>
      </top>
      <bottom style="hair">
        <color theme="0" tint="-0.249977111117893"/>
      </bottom>
      <diagonal/>
    </border>
    <border>
      <left/>
      <right style="thin">
        <color theme="0" tint="-0.249977111117893"/>
      </right>
      <top style="thin">
        <color rgb="FFBFBFBF"/>
      </top>
      <bottom/>
      <diagonal/>
    </border>
    <border>
      <left style="thin">
        <color theme="0" tint="-0.249977111117893"/>
      </left>
      <right style="thin">
        <color theme="0" tint="-0.249977111117893"/>
      </right>
      <top style="thin">
        <color rgb="FFBFBFBF"/>
      </top>
      <bottom/>
      <diagonal/>
    </border>
    <border>
      <left style="thin">
        <color theme="0" tint="-0.249977111117893"/>
      </left>
      <right/>
      <top style="thin">
        <color rgb="FFBFBFBF"/>
      </top>
      <bottom/>
      <diagonal/>
    </border>
    <border>
      <left style="thin">
        <color theme="0" tint="-0.249977111117893"/>
      </left>
      <right/>
      <top/>
      <bottom/>
      <diagonal/>
    </border>
    <border>
      <left/>
      <right/>
      <top style="thin">
        <color theme="0" tint="-0.249977111117893"/>
      </top>
      <bottom/>
      <diagonal/>
    </border>
    <border>
      <left/>
      <right/>
      <top/>
      <bottom style="thin">
        <color theme="0" tint="-0.249977111117893"/>
      </bottom>
      <diagonal/>
    </border>
  </borders>
  <cellStyleXfs count="7">
    <xf numFmtId="0" fontId="0" fillId="0" borderId="0"/>
    <xf numFmtId="0" fontId="2" fillId="0" borderId="0"/>
    <xf numFmtId="0" fontId="5" fillId="0" borderId="0"/>
    <xf numFmtId="0" fontId="6" fillId="3" borderId="2" applyNumberFormat="0" applyFont="0" applyAlignment="0" applyProtection="0"/>
    <xf numFmtId="4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cellStyleXfs>
  <cellXfs count="170">
    <xf numFmtId="0" fontId="0" fillId="0" borderId="0" xfId="0"/>
    <xf numFmtId="0" fontId="1" fillId="0" borderId="0" xfId="0" applyFont="1"/>
    <xf numFmtId="0" fontId="1" fillId="0" borderId="0" xfId="0" applyFont="1" applyAlignment="1">
      <alignment horizontal="center"/>
    </xf>
    <xf numFmtId="0" fontId="3" fillId="0" borderId="0" xfId="0" applyFont="1"/>
    <xf numFmtId="0" fontId="4" fillId="0" borderId="4" xfId="0" applyFont="1" applyBorder="1" applyAlignment="1">
      <alignment horizontal="left" vertical="center" wrapText="1" indent="1"/>
    </xf>
    <xf numFmtId="0" fontId="4" fillId="4" borderId="3" xfId="0" applyFont="1" applyFill="1" applyBorder="1" applyAlignment="1">
      <alignment horizontal="left" vertical="center" wrapText="1" indent="1"/>
    </xf>
    <xf numFmtId="164" fontId="4" fillId="7" borderId="1" xfId="0" applyNumberFormat="1" applyFont="1" applyFill="1" applyBorder="1" applyAlignment="1">
      <alignment horizontal="left" vertical="center" wrapText="1" indent="1"/>
    </xf>
    <xf numFmtId="0" fontId="4" fillId="7" borderId="1" xfId="0" applyFont="1" applyFill="1" applyBorder="1" applyAlignment="1">
      <alignment horizontal="left" vertical="center" wrapText="1" indent="1"/>
    </xf>
    <xf numFmtId="44" fontId="4" fillId="7" borderId="1" xfId="0" applyNumberFormat="1" applyFont="1" applyFill="1" applyBorder="1" applyAlignment="1">
      <alignment horizontal="left" vertical="center" wrapText="1" indent="1"/>
    </xf>
    <xf numFmtId="0" fontId="4" fillId="7" borderId="1" xfId="4" applyNumberFormat="1" applyFont="1" applyFill="1" applyBorder="1" applyAlignment="1">
      <alignment horizontal="left" vertical="center" wrapText="1"/>
    </xf>
    <xf numFmtId="0" fontId="4" fillId="2" borderId="1" xfId="4" applyNumberFormat="1" applyFont="1" applyFill="1" applyBorder="1" applyAlignment="1">
      <alignment horizontal="left" vertical="center" wrapText="1"/>
    </xf>
    <xf numFmtId="0" fontId="8" fillId="10" borderId="1" xfId="4"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11" fillId="10" borderId="1" xfId="4" applyNumberFormat="1" applyFont="1" applyFill="1" applyBorder="1" applyAlignment="1">
      <alignment horizontal="center" vertical="center" wrapText="1"/>
    </xf>
    <xf numFmtId="0" fontId="9"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44" fontId="11" fillId="9" borderId="1" xfId="0" applyNumberFormat="1" applyFont="1" applyFill="1" applyBorder="1" applyAlignment="1">
      <alignment vertical="center" wrapText="1"/>
    </xf>
    <xf numFmtId="44" fontId="4" fillId="7" borderId="17" xfId="0" applyNumberFormat="1" applyFont="1" applyFill="1" applyBorder="1" applyAlignment="1">
      <alignment horizontal="center" vertical="center" wrapText="1"/>
    </xf>
    <xf numFmtId="0" fontId="4" fillId="7" borderId="17" xfId="0" applyFont="1" applyFill="1" applyBorder="1" applyAlignment="1">
      <alignment horizontal="center" vertical="center" wrapText="1"/>
    </xf>
    <xf numFmtId="44" fontId="14" fillId="11" borderId="17" xfId="0" applyNumberFormat="1" applyFont="1" applyFill="1" applyBorder="1" applyAlignment="1">
      <alignment horizontal="center" vertical="center" wrapText="1"/>
    </xf>
    <xf numFmtId="0" fontId="11" fillId="0" borderId="0" xfId="0" applyFont="1" applyAlignment="1">
      <alignment horizontal="center" vertical="center"/>
    </xf>
    <xf numFmtId="0" fontId="15" fillId="5" borderId="14"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12" fillId="7" borderId="1" xfId="0" applyFont="1" applyFill="1" applyBorder="1" applyAlignment="1">
      <alignment horizontal="center" vertical="center" wrapText="1"/>
    </xf>
    <xf numFmtId="14" fontId="19" fillId="7" borderId="16" xfId="0" applyNumberFormat="1" applyFont="1" applyFill="1" applyBorder="1" applyAlignment="1">
      <alignment horizontal="left" vertical="center" wrapText="1"/>
    </xf>
    <xf numFmtId="0" fontId="11"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7" borderId="17" xfId="0" applyFont="1" applyFill="1" applyBorder="1" applyAlignment="1">
      <alignment horizontal="center" vertical="center" wrapText="1"/>
    </xf>
    <xf numFmtId="14" fontId="9" fillId="7" borderId="13" xfId="5" applyNumberFormat="1" applyFont="1" applyFill="1" applyBorder="1" applyAlignment="1">
      <alignment horizontal="center" vertical="center" wrapText="1"/>
    </xf>
    <xf numFmtId="165" fontId="0" fillId="0" borderId="0" xfId="0" applyNumberFormat="1"/>
    <xf numFmtId="0" fontId="12" fillId="7" borderId="1" xfId="0" applyFont="1" applyFill="1" applyBorder="1" applyAlignment="1">
      <alignment horizontal="center" vertical="center"/>
    </xf>
    <xf numFmtId="167" fontId="8" fillId="0" borderId="1" xfId="4" applyNumberFormat="1" applyFont="1" applyFill="1" applyBorder="1" applyAlignment="1">
      <alignment horizontal="center" vertical="center" wrapText="1"/>
    </xf>
    <xf numFmtId="0" fontId="1" fillId="0" borderId="0" xfId="0" applyFont="1" applyAlignment="1">
      <alignment horizontal="left" vertical="center"/>
    </xf>
    <xf numFmtId="0" fontId="4" fillId="2" borderId="17"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11" fillId="2" borderId="1" xfId="4" applyNumberFormat="1" applyFont="1" applyFill="1" applyBorder="1" applyAlignment="1">
      <alignment horizontal="left" vertical="center"/>
    </xf>
    <xf numFmtId="0" fontId="20" fillId="2" borderId="1" xfId="4" applyNumberFormat="1" applyFont="1" applyFill="1" applyBorder="1" applyAlignment="1">
      <alignment horizontal="left" vertical="center"/>
    </xf>
    <xf numFmtId="0" fontId="21" fillId="7" borderId="1" xfId="0" applyFont="1" applyFill="1" applyBorder="1" applyAlignment="1">
      <alignment horizontal="center" vertical="center"/>
    </xf>
    <xf numFmtId="0" fontId="12" fillId="7" borderId="18" xfId="0" applyFont="1" applyFill="1" applyBorder="1" applyAlignment="1">
      <alignment horizontal="center" vertical="center"/>
    </xf>
    <xf numFmtId="0" fontId="20" fillId="2" borderId="18" xfId="4" applyNumberFormat="1" applyFont="1" applyFill="1" applyBorder="1" applyAlignment="1">
      <alignment horizontal="left" vertical="center"/>
    </xf>
    <xf numFmtId="0" fontId="22" fillId="4" borderId="0" xfId="0" applyFont="1" applyFill="1" applyAlignment="1">
      <alignment horizontal="right" vertical="center" shrinkToFit="1"/>
    </xf>
    <xf numFmtId="0" fontId="0" fillId="0" borderId="0" xfId="0" applyAlignment="1">
      <alignment horizontal="center" vertical="center"/>
    </xf>
    <xf numFmtId="0" fontId="12" fillId="0" borderId="0" xfId="0" applyFont="1" applyAlignment="1">
      <alignment horizontal="center" vertical="center"/>
    </xf>
    <xf numFmtId="165" fontId="4" fillId="0" borderId="3" xfId="0" applyNumberFormat="1" applyFont="1" applyBorder="1" applyAlignment="1">
      <alignment horizontal="left" vertical="center" wrapText="1" indent="1"/>
    </xf>
    <xf numFmtId="165" fontId="4" fillId="0" borderId="5" xfId="0" applyNumberFormat="1" applyFont="1" applyBorder="1" applyAlignment="1">
      <alignment horizontal="left" vertical="center" wrapText="1" indent="1"/>
    </xf>
    <xf numFmtId="165" fontId="0" fillId="0" borderId="0" xfId="0" applyNumberFormat="1" applyAlignment="1">
      <alignment horizontal="center" vertical="center"/>
    </xf>
    <xf numFmtId="168" fontId="0" fillId="0" borderId="0" xfId="0" applyNumberFormat="1" applyAlignment="1">
      <alignment horizontal="center" vertical="center"/>
    </xf>
    <xf numFmtId="14" fontId="26" fillId="0" borderId="0" xfId="0" applyNumberFormat="1" applyFont="1" applyAlignment="1">
      <alignment horizontal="center" vertical="center"/>
    </xf>
    <xf numFmtId="0" fontId="26" fillId="0" borderId="0" xfId="0" applyFont="1" applyAlignment="1">
      <alignment horizontal="center" vertical="center"/>
    </xf>
    <xf numFmtId="0" fontId="24" fillId="0" borderId="19" xfId="0" applyFont="1" applyBorder="1" applyAlignment="1">
      <alignment horizontal="center" vertical="center"/>
    </xf>
    <xf numFmtId="0" fontId="24" fillId="0" borderId="0" xfId="0" applyFont="1" applyAlignment="1">
      <alignment horizontal="center" vertical="center"/>
    </xf>
    <xf numFmtId="14" fontId="25" fillId="0" borderId="0" xfId="0" applyNumberFormat="1" applyFont="1" applyAlignment="1">
      <alignment horizontal="center" vertical="center"/>
    </xf>
    <xf numFmtId="0" fontId="25" fillId="0" borderId="0" xfId="0" applyFont="1" applyAlignment="1">
      <alignment horizontal="center" vertical="center"/>
    </xf>
    <xf numFmtId="0" fontId="25" fillId="0" borderId="19" xfId="0" applyFont="1" applyBorder="1" applyAlignment="1">
      <alignment horizontal="center" vertical="center"/>
    </xf>
    <xf numFmtId="44" fontId="25" fillId="0" borderId="19" xfId="0" applyNumberFormat="1" applyFont="1" applyBorder="1" applyAlignment="1">
      <alignment horizontal="center" vertical="center"/>
    </xf>
    <xf numFmtId="168" fontId="25" fillId="15" borderId="19" xfId="0" applyNumberFormat="1" applyFont="1" applyFill="1" applyBorder="1" applyAlignment="1">
      <alignment horizontal="center" vertical="center"/>
    </xf>
    <xf numFmtId="168" fontId="25" fillId="16" borderId="19" xfId="0" applyNumberFormat="1" applyFont="1" applyFill="1" applyBorder="1" applyAlignment="1">
      <alignment horizontal="center" vertical="center"/>
    </xf>
    <xf numFmtId="43" fontId="0" fillId="0" borderId="0" xfId="6" applyFont="1" applyAlignment="1">
      <alignment horizontal="center" vertical="center"/>
    </xf>
    <xf numFmtId="0" fontId="23" fillId="5" borderId="6" xfId="0" applyFont="1" applyFill="1" applyBorder="1" applyAlignment="1">
      <alignment horizontal="center" vertical="center" wrapText="1"/>
    </xf>
    <xf numFmtId="0" fontId="28" fillId="0" borderId="3" xfId="0" applyFont="1" applyBorder="1" applyAlignment="1">
      <alignment horizontal="center" vertical="center"/>
    </xf>
    <xf numFmtId="165" fontId="29" fillId="0" borderId="0" xfId="0" applyNumberFormat="1" applyFont="1" applyAlignment="1">
      <alignment horizontal="center" vertical="center"/>
    </xf>
    <xf numFmtId="165" fontId="11" fillId="0" borderId="0" xfId="0" applyNumberFormat="1" applyFont="1" applyAlignment="1">
      <alignment horizontal="center" vertical="center"/>
    </xf>
    <xf numFmtId="0" fontId="20" fillId="0" borderId="8" xfId="0" applyFont="1" applyBorder="1" applyAlignment="1">
      <alignment vertical="center"/>
    </xf>
    <xf numFmtId="0" fontId="11" fillId="0" borderId="10" xfId="0" applyFont="1" applyBorder="1" applyAlignment="1">
      <alignment vertical="center"/>
    </xf>
    <xf numFmtId="14" fontId="11" fillId="0" borderId="9" xfId="0" applyNumberFormat="1" applyFont="1" applyBorder="1" applyAlignment="1">
      <alignment vertical="center"/>
    </xf>
    <xf numFmtId="14" fontId="11" fillId="0" borderId="10" xfId="0" applyNumberFormat="1" applyFont="1" applyBorder="1" applyAlignment="1">
      <alignment vertical="center"/>
    </xf>
    <xf numFmtId="14" fontId="11" fillId="0" borderId="20" xfId="0" applyNumberFormat="1" applyFont="1" applyBorder="1" applyAlignment="1">
      <alignment vertical="center"/>
    </xf>
    <xf numFmtId="0" fontId="20" fillId="4" borderId="7" xfId="0" applyFont="1" applyFill="1" applyBorder="1" applyAlignment="1">
      <alignment horizontal="center" vertical="center"/>
    </xf>
    <xf numFmtId="0" fontId="11" fillId="4" borderId="7" xfId="0" applyFont="1" applyFill="1" applyBorder="1" applyAlignment="1">
      <alignment horizontal="center" vertical="center"/>
    </xf>
    <xf numFmtId="14" fontId="20" fillId="4" borderId="7" xfId="0" applyNumberFormat="1" applyFont="1" applyFill="1" applyBorder="1" applyAlignment="1">
      <alignment horizontal="center" vertical="center"/>
    </xf>
    <xf numFmtId="0" fontId="0" fillId="0" borderId="0" xfId="0" applyAlignment="1">
      <alignment vertical="center"/>
    </xf>
    <xf numFmtId="0" fontId="20" fillId="7" borderId="22" xfId="0" applyFont="1" applyFill="1" applyBorder="1" applyAlignment="1">
      <alignment horizontal="center" vertical="center" wrapText="1"/>
    </xf>
    <xf numFmtId="0" fontId="34" fillId="7" borderId="22" xfId="0" applyFont="1" applyFill="1" applyBorder="1" applyAlignment="1">
      <alignment horizontal="center" vertical="center" wrapText="1"/>
    </xf>
    <xf numFmtId="44" fontId="35" fillId="11" borderId="22" xfId="0" applyNumberFormat="1" applyFont="1" applyFill="1" applyBorder="1" applyAlignment="1">
      <alignment horizontal="center" vertical="center" wrapText="1"/>
    </xf>
    <xf numFmtId="0" fontId="34" fillId="0" borderId="0" xfId="0" applyFont="1" applyAlignment="1">
      <alignment horizontal="center" vertical="center"/>
    </xf>
    <xf numFmtId="0" fontId="34" fillId="7" borderId="21" xfId="0" applyFont="1" applyFill="1" applyBorder="1" applyAlignment="1">
      <alignment horizontal="center" vertical="center" wrapText="1"/>
    </xf>
    <xf numFmtId="44" fontId="35" fillId="11" borderId="23" xfId="0" applyNumberFormat="1" applyFont="1" applyFill="1" applyBorder="1" applyAlignment="1">
      <alignment horizontal="center" vertical="center" wrapText="1"/>
    </xf>
    <xf numFmtId="0" fontId="38" fillId="18" borderId="19" xfId="0" applyFont="1" applyFill="1" applyBorder="1" applyAlignment="1">
      <alignment horizontal="center" vertical="center"/>
    </xf>
    <xf numFmtId="0" fontId="37" fillId="0" borderId="19" xfId="0" applyFont="1" applyBorder="1" applyAlignment="1">
      <alignment horizontal="center" vertical="center"/>
    </xf>
    <xf numFmtId="0" fontId="11" fillId="2" borderId="1" xfId="4" applyNumberFormat="1" applyFont="1" applyFill="1" applyBorder="1" applyAlignment="1">
      <alignment horizontal="center" vertical="center"/>
    </xf>
    <xf numFmtId="0" fontId="11" fillId="4" borderId="9" xfId="0" applyFont="1" applyFill="1" applyBorder="1" applyAlignment="1">
      <alignment horizontal="center" vertical="center"/>
    </xf>
    <xf numFmtId="14" fontId="20" fillId="4" borderId="9" xfId="0" applyNumberFormat="1" applyFont="1" applyFill="1" applyBorder="1" applyAlignment="1">
      <alignment horizontal="center" vertical="center"/>
    </xf>
    <xf numFmtId="0" fontId="39" fillId="2" borderId="1" xfId="4" applyNumberFormat="1" applyFont="1" applyFill="1" applyBorder="1" applyAlignment="1">
      <alignment horizontal="center" vertical="center"/>
    </xf>
    <xf numFmtId="165" fontId="18" fillId="0" borderId="0" xfId="0" applyNumberFormat="1" applyFont="1" applyAlignment="1">
      <alignment horizontal="center" vertical="center"/>
    </xf>
    <xf numFmtId="0" fontId="40" fillId="8" borderId="0" xfId="0" applyFont="1" applyFill="1" applyAlignment="1">
      <alignment horizontal="center" vertical="center"/>
    </xf>
    <xf numFmtId="0" fontId="40" fillId="5" borderId="0" xfId="0" applyFont="1" applyFill="1" applyAlignment="1">
      <alignment horizontal="center" vertical="center"/>
    </xf>
    <xf numFmtId="0" fontId="20" fillId="2" borderId="18" xfId="0" applyFont="1" applyFill="1" applyBorder="1" applyAlignment="1">
      <alignment horizontal="center" vertical="center"/>
    </xf>
    <xf numFmtId="165" fontId="1" fillId="0" borderId="0" xfId="0" applyNumberFormat="1" applyFont="1"/>
    <xf numFmtId="44" fontId="11" fillId="9" borderId="0" xfId="0" applyNumberFormat="1" applyFont="1" applyFill="1" applyAlignment="1">
      <alignment vertical="center" wrapText="1"/>
    </xf>
    <xf numFmtId="165" fontId="4" fillId="0" borderId="0" xfId="0" applyNumberFormat="1" applyFont="1" applyAlignment="1">
      <alignment horizontal="left" vertical="center" wrapText="1" indent="1"/>
    </xf>
    <xf numFmtId="0" fontId="28" fillId="0" borderId="0" xfId="0" applyFont="1" applyAlignment="1">
      <alignment horizontal="center" vertical="center"/>
    </xf>
    <xf numFmtId="0" fontId="41" fillId="6" borderId="26" xfId="0" applyFont="1" applyFill="1" applyBorder="1" applyAlignment="1">
      <alignment horizontal="center" vertical="center" wrapText="1"/>
    </xf>
    <xf numFmtId="0" fontId="17" fillId="0" borderId="0" xfId="0" applyFont="1" applyAlignment="1">
      <alignment horizontal="center" vertical="center"/>
    </xf>
    <xf numFmtId="167" fontId="0" fillId="0" borderId="0" xfId="0" applyNumberFormat="1"/>
    <xf numFmtId="0" fontId="12" fillId="10" borderId="1" xfId="0" applyFont="1" applyFill="1" applyBorder="1" applyAlignment="1">
      <alignment horizontal="center" vertical="center"/>
    </xf>
    <xf numFmtId="0" fontId="20" fillId="10" borderId="1" xfId="4" applyNumberFormat="1" applyFont="1" applyFill="1" applyBorder="1" applyAlignment="1">
      <alignment horizontal="left" vertical="center"/>
    </xf>
    <xf numFmtId="167" fontId="0" fillId="10" borderId="0" xfId="0" applyNumberFormat="1" applyFill="1"/>
    <xf numFmtId="44" fontId="0" fillId="0" borderId="0" xfId="4" applyFont="1"/>
    <xf numFmtId="0" fontId="42" fillId="19" borderId="0" xfId="0" applyFont="1" applyFill="1" applyAlignment="1">
      <alignment horizontal="center" vertical="center"/>
    </xf>
    <xf numFmtId="167" fontId="36" fillId="0" borderId="1" xfId="4" applyNumberFormat="1" applyFont="1" applyFill="1" applyBorder="1" applyAlignment="1">
      <alignment horizontal="center" vertical="center"/>
    </xf>
    <xf numFmtId="44" fontId="7" fillId="11" borderId="0" xfId="0" applyNumberFormat="1" applyFont="1" applyFill="1"/>
    <xf numFmtId="164" fontId="4" fillId="7" borderId="16" xfId="0" applyNumberFormat="1" applyFont="1" applyFill="1" applyBorder="1" applyAlignment="1">
      <alignment horizontal="center" vertical="center" wrapText="1"/>
    </xf>
    <xf numFmtId="44" fontId="14" fillId="11" borderId="16" xfId="0" applyNumberFormat="1" applyFont="1" applyFill="1" applyBorder="1" applyAlignment="1">
      <alignment horizontal="center" vertical="center" wrapText="1"/>
    </xf>
    <xf numFmtId="168" fontId="24" fillId="13" borderId="19" xfId="0" applyNumberFormat="1" applyFont="1" applyFill="1" applyBorder="1" applyAlignment="1">
      <alignment horizontal="center" vertical="center"/>
    </xf>
    <xf numFmtId="0" fontId="24" fillId="14" borderId="19" xfId="0" applyFont="1" applyFill="1" applyBorder="1" applyAlignment="1">
      <alignment horizontal="center" vertical="center"/>
    </xf>
    <xf numFmtId="0" fontId="24" fillId="0" borderId="19" xfId="0" applyFont="1" applyBorder="1" applyAlignment="1">
      <alignment horizontal="center" vertical="center"/>
    </xf>
    <xf numFmtId="0" fontId="30" fillId="8" borderId="0" xfId="0" applyFont="1" applyFill="1" applyAlignment="1">
      <alignment horizontal="center" vertical="center"/>
    </xf>
    <xf numFmtId="0" fontId="30" fillId="8" borderId="11" xfId="0" applyFont="1" applyFill="1" applyBorder="1" applyAlignment="1">
      <alignment horizontal="center" vertical="center"/>
    </xf>
    <xf numFmtId="0" fontId="17" fillId="8" borderId="0" xfId="0" applyFont="1" applyFill="1" applyAlignment="1">
      <alignment horizontal="center" vertical="center"/>
    </xf>
    <xf numFmtId="0" fontId="17" fillId="8" borderId="11" xfId="0" applyFont="1" applyFill="1" applyBorder="1" applyAlignment="1">
      <alignment horizontal="center" vertical="center"/>
    </xf>
    <xf numFmtId="0" fontId="10" fillId="0" borderId="0" xfId="0" applyFont="1" applyAlignment="1">
      <alignment horizontal="center" vertical="center"/>
    </xf>
    <xf numFmtId="0" fontId="10" fillId="0" borderId="12"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14" fontId="11" fillId="0" borderId="9" xfId="0" applyNumberFormat="1" applyFont="1" applyBorder="1" applyAlignment="1">
      <alignment horizontal="center" vertical="center"/>
    </xf>
    <xf numFmtId="14" fontId="11" fillId="0" borderId="10" xfId="0" applyNumberFormat="1" applyFont="1" applyBorder="1" applyAlignment="1">
      <alignment horizontal="center" vertical="center"/>
    </xf>
    <xf numFmtId="0" fontId="11" fillId="0" borderId="10" xfId="0" applyFont="1" applyBorder="1" applyAlignment="1">
      <alignment horizontal="center" vertical="center"/>
    </xf>
    <xf numFmtId="0" fontId="1" fillId="0" borderId="0" xfId="0" applyFont="1" applyAlignment="1">
      <alignment horizontal="center" vertical="center"/>
    </xf>
    <xf numFmtId="0" fontId="32" fillId="8" borderId="0" xfId="0" applyFont="1" applyFill="1" applyAlignment="1">
      <alignment horizontal="center" vertical="center"/>
    </xf>
    <xf numFmtId="0" fontId="32" fillId="8" borderId="12" xfId="0" applyFont="1" applyFill="1" applyBorder="1" applyAlignment="1">
      <alignment horizontal="center" vertical="center"/>
    </xf>
    <xf numFmtId="0" fontId="31" fillId="8" borderId="0" xfId="0" applyFont="1" applyFill="1" applyAlignment="1">
      <alignment horizontal="center" vertical="center"/>
    </xf>
    <xf numFmtId="0" fontId="31" fillId="8" borderId="12" xfId="0" applyFont="1" applyFill="1" applyBorder="1" applyAlignment="1">
      <alignment horizontal="center" vertical="center"/>
    </xf>
    <xf numFmtId="0" fontId="10" fillId="0" borderId="24" xfId="0" applyFont="1" applyBorder="1" applyAlignment="1">
      <alignment horizontal="center" vertical="center"/>
    </xf>
    <xf numFmtId="0" fontId="0" fillId="0" borderId="0" xfId="0" applyAlignment="1">
      <alignment horizontal="center"/>
    </xf>
    <xf numFmtId="44" fontId="0" fillId="20" borderId="0" xfId="4" applyFont="1" applyFill="1" applyAlignment="1">
      <alignment horizontal="center" vertical="center"/>
    </xf>
    <xf numFmtId="44" fontId="0" fillId="0" borderId="0" xfId="4" applyFont="1" applyAlignment="1">
      <alignment horizontal="center" vertical="center"/>
    </xf>
    <xf numFmtId="14" fontId="26" fillId="0" borderId="0" xfId="4" applyNumberFormat="1" applyFont="1" applyAlignment="1">
      <alignment horizontal="center" vertical="center"/>
    </xf>
    <xf numFmtId="0" fontId="26" fillId="0" borderId="0" xfId="4" applyNumberFormat="1" applyFont="1" applyAlignment="1">
      <alignment horizontal="center" vertical="center"/>
    </xf>
    <xf numFmtId="44" fontId="0" fillId="10" borderId="0" xfId="4" applyFont="1" applyFill="1"/>
    <xf numFmtId="44" fontId="0" fillId="14" borderId="0" xfId="4" applyFont="1" applyFill="1"/>
    <xf numFmtId="44" fontId="18" fillId="7" borderId="0" xfId="4" applyFont="1" applyFill="1" applyAlignment="1">
      <alignment horizontal="center" vertical="center"/>
    </xf>
    <xf numFmtId="44" fontId="18" fillId="7" borderId="11" xfId="4" applyFont="1" applyFill="1" applyBorder="1" applyAlignment="1">
      <alignment horizontal="center" vertical="center"/>
    </xf>
    <xf numFmtId="44" fontId="43" fillId="9" borderId="1" xfId="4" applyFont="1" applyFill="1" applyBorder="1" applyAlignment="1">
      <alignment horizontal="center" vertical="center" wrapText="1"/>
    </xf>
    <xf numFmtId="44" fontId="4" fillId="9" borderId="0" xfId="4" applyFont="1" applyFill="1" applyAlignment="1">
      <alignment horizontal="center" vertical="center" wrapText="1"/>
    </xf>
    <xf numFmtId="44" fontId="18" fillId="0" borderId="0" xfId="4" applyFont="1" applyAlignment="1">
      <alignment horizontal="center" vertical="center"/>
    </xf>
    <xf numFmtId="44" fontId="18" fillId="0" borderId="11" xfId="4" applyFont="1" applyBorder="1" applyAlignment="1">
      <alignment horizontal="center" vertical="center"/>
    </xf>
    <xf numFmtId="167" fontId="4" fillId="9" borderId="0" xfId="4" applyNumberFormat="1" applyFont="1" applyFill="1" applyBorder="1" applyAlignment="1">
      <alignment horizontal="center" vertical="center" wrapText="1"/>
    </xf>
    <xf numFmtId="44" fontId="1" fillId="9" borderId="1" xfId="4" applyFont="1" applyFill="1" applyBorder="1" applyAlignment="1">
      <alignment horizontal="center" vertical="center" wrapText="1"/>
    </xf>
    <xf numFmtId="167" fontId="14" fillId="11" borderId="17" xfId="0" applyNumberFormat="1" applyFont="1" applyFill="1" applyBorder="1" applyAlignment="1">
      <alignment horizontal="center" vertical="center" wrapText="1"/>
    </xf>
    <xf numFmtId="167" fontId="14" fillId="11" borderId="16" xfId="0" applyNumberFormat="1" applyFont="1" applyFill="1" applyBorder="1" applyAlignment="1">
      <alignment horizontal="center" vertical="center" wrapText="1"/>
    </xf>
    <xf numFmtId="167" fontId="0" fillId="12" borderId="25" xfId="0" applyNumberFormat="1" applyFill="1" applyBorder="1" applyAlignment="1">
      <alignment horizontal="center" vertical="center"/>
    </xf>
    <xf numFmtId="44" fontId="29" fillId="0" borderId="0" xfId="4" applyFont="1" applyAlignment="1">
      <alignment horizontal="center" vertical="center"/>
    </xf>
    <xf numFmtId="44" fontId="29" fillId="0" borderId="11" xfId="4" applyFont="1" applyBorder="1" applyAlignment="1">
      <alignment horizontal="center" vertical="center"/>
    </xf>
    <xf numFmtId="44" fontId="11" fillId="0" borderId="0" xfId="4" applyFont="1" applyAlignment="1">
      <alignment horizontal="center" vertical="center"/>
    </xf>
    <xf numFmtId="0" fontId="17" fillId="22" borderId="24" xfId="0" applyFont="1" applyFill="1" applyBorder="1" applyAlignment="1">
      <alignment horizontal="center" vertical="center"/>
    </xf>
    <xf numFmtId="0" fontId="17" fillId="22" borderId="0" xfId="0" applyFont="1" applyFill="1" applyAlignment="1">
      <alignment horizontal="center" vertical="center"/>
    </xf>
    <xf numFmtId="165" fontId="18" fillId="22" borderId="0" xfId="0" applyNumberFormat="1" applyFont="1" applyFill="1" applyAlignment="1">
      <alignment horizontal="center" vertical="center"/>
    </xf>
    <xf numFmtId="165" fontId="18" fillId="22" borderId="24" xfId="0" applyNumberFormat="1" applyFont="1" applyFill="1" applyBorder="1" applyAlignment="1">
      <alignment horizontal="center" vertical="center"/>
    </xf>
    <xf numFmtId="44" fontId="7" fillId="0" borderId="0" xfId="0" applyNumberFormat="1" applyFont="1"/>
    <xf numFmtId="44" fontId="7" fillId="21" borderId="0" xfId="0" applyNumberFormat="1" applyFont="1" applyFill="1"/>
    <xf numFmtId="167" fontId="0" fillId="0" borderId="0" xfId="4" applyNumberFormat="1" applyFont="1"/>
    <xf numFmtId="0" fontId="40" fillId="5" borderId="0" xfId="0" applyFont="1" applyFill="1" applyAlignment="1">
      <alignment horizontal="center" vertical="center" wrapText="1"/>
    </xf>
    <xf numFmtId="0" fontId="12" fillId="0" borderId="0" xfId="0" applyFont="1" applyAlignment="1">
      <alignment horizontal="center" vertical="center" wrapText="1"/>
    </xf>
    <xf numFmtId="0" fontId="42" fillId="19" borderId="0" xfId="0" applyFont="1" applyFill="1" applyAlignment="1">
      <alignment horizontal="center" vertical="center" wrapText="1"/>
    </xf>
    <xf numFmtId="167" fontId="0" fillId="21" borderId="0" xfId="0" applyNumberFormat="1" applyFill="1"/>
    <xf numFmtId="167" fontId="0" fillId="11" borderId="0" xfId="0" applyNumberFormat="1" applyFont="1" applyFill="1"/>
    <xf numFmtId="0" fontId="44" fillId="22" borderId="0" xfId="0" applyFont="1" applyFill="1" applyAlignment="1">
      <alignment horizontal="center" vertical="center"/>
    </xf>
    <xf numFmtId="44" fontId="7" fillId="12" borderId="25" xfId="0" applyNumberFormat="1" applyFont="1" applyFill="1" applyBorder="1" applyAlignment="1">
      <alignment horizontal="center" vertical="center"/>
    </xf>
    <xf numFmtId="44" fontId="11" fillId="17" borderId="7" xfId="4" applyFont="1" applyFill="1" applyBorder="1" applyAlignment="1">
      <alignment horizontal="center" vertical="center"/>
    </xf>
    <xf numFmtId="44" fontId="11" fillId="17" borderId="8" xfId="4" applyFont="1" applyFill="1" applyBorder="1" applyAlignment="1">
      <alignment horizontal="center" vertical="center"/>
    </xf>
    <xf numFmtId="44" fontId="11" fillId="0" borderId="9" xfId="4" applyFont="1" applyBorder="1" applyAlignment="1">
      <alignment horizontal="center" vertical="center"/>
    </xf>
    <xf numFmtId="44" fontId="11" fillId="0" borderId="10" xfId="4" applyFont="1" applyBorder="1" applyAlignment="1">
      <alignment horizontal="center" vertical="center"/>
    </xf>
    <xf numFmtId="44" fontId="33" fillId="9" borderId="1" xfId="4" applyFont="1" applyFill="1" applyBorder="1" applyAlignment="1">
      <alignment horizontal="center" vertical="center" wrapText="1"/>
    </xf>
    <xf numFmtId="167" fontId="35" fillId="11" borderId="22" xfId="0" applyNumberFormat="1" applyFont="1" applyFill="1" applyBorder="1" applyAlignment="1">
      <alignment horizontal="center" vertical="center" wrapText="1"/>
    </xf>
    <xf numFmtId="167" fontId="35" fillId="11" borderId="23" xfId="0" applyNumberFormat="1" applyFont="1" applyFill="1" applyBorder="1" applyAlignment="1">
      <alignment horizontal="center" vertical="center" wrapText="1"/>
    </xf>
    <xf numFmtId="44" fontId="35" fillId="11" borderId="22" xfId="4" applyFont="1" applyFill="1" applyBorder="1" applyAlignment="1">
      <alignment horizontal="center" vertical="center" wrapText="1"/>
    </xf>
    <xf numFmtId="44" fontId="35" fillId="11" borderId="23" xfId="4" applyFont="1" applyFill="1" applyBorder="1" applyAlignment="1">
      <alignment horizontal="center" vertical="center" wrapText="1"/>
    </xf>
  </cellXfs>
  <cellStyles count="7">
    <cellStyle name="Comma" xfId="6" builtinId="3"/>
    <cellStyle name="Currency" xfId="4" builtinId="4"/>
    <cellStyle name="Normal" xfId="0" builtinId="0"/>
    <cellStyle name="Normal 2" xfId="1" xr:uid="{910D60DD-7F60-3F45-9874-57B77E167907}"/>
    <cellStyle name="Normal 3" xfId="2" xr:uid="{392F3034-B0C2-5F41-9088-F521379720EF}"/>
    <cellStyle name="Note 2" xfId="3" xr:uid="{4B642108-E574-F94E-8C32-53D7C5A4FF78}"/>
    <cellStyle name="Percent" xfId="5" builtinId="5"/>
  </cellStyles>
  <dxfs count="220">
    <dxf>
      <font>
        <b/>
        <i val="0"/>
        <strike val="0"/>
        <condense val="0"/>
        <extend val="0"/>
        <outline val="0"/>
        <shadow val="0"/>
        <u val="none"/>
        <vertAlign val="baseline"/>
        <sz val="14"/>
        <color auto="1"/>
        <name val="Century Gothic"/>
        <family val="2"/>
        <scheme val="none"/>
      </font>
      <numFmt numFmtId="34" formatCode="_(&quot;$&quot;* #,##0.00_);_(&quot;$&quot;* \(#,##0.00\);_(&quot;$&quot;* &quot;-&quot;??_);_(@_)"/>
      <fill>
        <patternFill patternType="solid">
          <fgColor indexed="64"/>
          <bgColor theme="5"/>
        </patternFill>
      </fill>
      <alignment horizontal="center" vertical="center" textRotation="0" wrapText="1" indent="0" justifyLastLine="0" shrinkToFit="0" readingOrder="0"/>
      <border diagonalUp="0" diagonalDown="0" outline="0">
        <left style="thin">
          <color theme="0" tint="-0.249977111117893"/>
        </left>
        <right/>
        <top style="thin">
          <color rgb="FFBFBFBF"/>
        </top>
        <bottom/>
      </border>
    </dxf>
    <dxf>
      <font>
        <b/>
        <i val="0"/>
        <strike val="0"/>
        <condense val="0"/>
        <extend val="0"/>
        <outline val="0"/>
        <shadow val="0"/>
        <u val="none"/>
        <vertAlign val="baseline"/>
        <sz val="14"/>
        <color auto="1"/>
        <name val="Century Gothic"/>
        <family val="2"/>
        <scheme val="none"/>
      </font>
      <numFmt numFmtId="34" formatCode="_(&quot;$&quot;* #,##0.00_);_(&quot;$&quot;* \(#,##0.00\);_(&quot;$&quot;* &quot;-&quot;??_);_(@_)"/>
      <fill>
        <patternFill patternType="solid">
          <fgColor indexed="64"/>
          <bgColor theme="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auto="1"/>
        <name val="Century Gothic"/>
        <family val="2"/>
        <scheme val="none"/>
      </font>
      <numFmt numFmtId="167" formatCode="_([$€-2]\ * #,##0.00_);_([$€-2]\ * \(#,##0.00\);_([$€-2]\ * &quot;-&quot;??_);_(@_)"/>
      <fill>
        <patternFill patternType="solid">
          <fgColor indexed="64"/>
          <bgColor theme="5"/>
        </patternFill>
      </fill>
      <alignment horizontal="center" vertical="center" textRotation="0" wrapText="1" indent="0" justifyLastLine="0" shrinkToFit="0" readingOrder="0"/>
      <border diagonalUp="0" diagonalDown="0" outline="0">
        <left style="thin">
          <color theme="0" tint="-0.249977111117893"/>
        </left>
        <right/>
        <top style="thin">
          <color rgb="FFBFBFBF"/>
        </top>
        <bottom/>
      </border>
    </dxf>
    <dxf>
      <font>
        <b/>
        <i val="0"/>
        <strike val="0"/>
        <condense val="0"/>
        <extend val="0"/>
        <outline val="0"/>
        <shadow val="0"/>
        <u val="none"/>
        <vertAlign val="baseline"/>
        <sz val="14"/>
        <color auto="1"/>
        <name val="Century Gothic"/>
        <family val="2"/>
        <scheme val="none"/>
      </font>
      <numFmt numFmtId="167" formatCode="_([$€-2]\ * #,##0.00_);_([$€-2]\ * \(#,##0.00\);_([$€-2]\ * &quot;-&quot;??_);_(@_)"/>
      <fill>
        <patternFill patternType="solid">
          <fgColor indexed="64"/>
          <bgColor theme="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right style="thin">
          <color theme="0" tint="-0.249977111117893"/>
        </right>
        <top style="thin">
          <color rgb="FFBFBFBF"/>
        </top>
        <bottom/>
      </border>
    </dxf>
    <dxf>
      <alignment horizontal="general" vertical="center" textRotation="0" wrapText="0" indent="0" justifyLastLine="0" shrinkToFit="0" readingOrder="0"/>
    </dxf>
    <dxf>
      <font>
        <b val="0"/>
        <i val="0"/>
        <strike val="0"/>
        <condense val="0"/>
        <extend val="0"/>
        <outline val="0"/>
        <shadow val="0"/>
        <u val="none"/>
        <vertAlign val="baseline"/>
        <sz val="12"/>
        <color theme="1" tint="4.9989318521683403E-2"/>
        <name val="Calibri"/>
        <family val="2"/>
        <scheme val="minor"/>
      </font>
      <alignment horizontal="center" vertical="center" textRotation="0" wrapText="0" indent="0" justifyLastLine="0" shrinkToFit="0" readingOrder="0"/>
    </dxf>
    <dxf>
      <font>
        <color rgb="FF9C0006"/>
      </font>
    </dxf>
    <dxf>
      <font>
        <color rgb="FF9C0006"/>
      </font>
    </dxf>
    <dxf>
      <font>
        <color rgb="FF9C0006"/>
      </font>
    </dxf>
    <dxf>
      <font>
        <color rgb="FF9C0006"/>
      </font>
    </dxf>
    <dxf>
      <font>
        <color rgb="FF9C0006"/>
      </font>
    </dxf>
    <dxf>
      <font>
        <b/>
        <i val="0"/>
        <strike val="0"/>
        <condense val="0"/>
        <extend val="0"/>
        <outline val="0"/>
        <shadow val="0"/>
        <u val="none"/>
        <vertAlign val="baseline"/>
        <sz val="14"/>
        <color auto="1"/>
        <name val="Century Gothic"/>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theme="0" tint="-0.249977111117893"/>
        </left>
        <right/>
        <top style="thin">
          <color rgb="FFBFBFBF"/>
        </top>
        <bottom/>
      </border>
    </dxf>
    <dxf>
      <font>
        <b/>
        <i val="0"/>
        <strike val="0"/>
        <condense val="0"/>
        <extend val="0"/>
        <outline val="0"/>
        <shadow val="0"/>
        <u val="none"/>
        <vertAlign val="baseline"/>
        <sz val="14"/>
        <color auto="1"/>
        <name val="Century Gothic"/>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rgb="FFBFBFBF"/>
        </top>
        <bottom/>
      </border>
    </dxf>
    <dxf>
      <font>
        <b/>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right style="thin">
          <color theme="0" tint="-0.249977111117893"/>
        </right>
        <top style="thin">
          <color rgb="FFBFBFBF"/>
        </top>
        <bottom/>
      </border>
    </dxf>
    <dxf>
      <font>
        <b val="0"/>
        <i val="0"/>
        <strike val="0"/>
        <condense val="0"/>
        <extend val="0"/>
        <outline val="0"/>
        <shadow val="0"/>
        <u val="none"/>
        <vertAlign val="baseline"/>
        <sz val="14"/>
        <color theme="1"/>
        <name val="Century Gothic"/>
        <family val="2"/>
        <scheme val="none"/>
      </font>
      <numFmt numFmtId="167" formatCode="_([$€-2]\ * #,##0.00_);_([$€-2]\ * \(#,##0.00\);_([$€-2]\ *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entury Gothic"/>
        <family val="1"/>
        <scheme val="none"/>
      </font>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entury Gothic"/>
        <family val="2"/>
        <scheme val="none"/>
      </font>
      <numFmt numFmtId="167" formatCode="_([$€-2]\ * #,##0.00_);_([$€-2]\ * \(#,##0.00\);_([$€-2]\ *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rgb="FFEAEEF3"/>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right/>
        <top style="thin">
          <color theme="0" tint="-0.249977111117893"/>
        </top>
        <bottom/>
      </border>
    </dxf>
    <dxf>
      <numFmt numFmtId="167" formatCode="_([$€-2]\ * #,##0.00_);_([$€-2]\ * \(#,##0.00\);_([$€-2]\ * &quot;-&quot;??_);_(@_)"/>
      <fill>
        <patternFill patternType="solid">
          <fgColor indexed="64"/>
          <bgColor theme="5" tint="0.59999389629810485"/>
        </patternFill>
      </fill>
      <alignment horizontal="center" vertical="center" textRotation="0" wrapText="0" indent="0" justifyLastLine="0" shrinkToFit="0" readingOrder="0"/>
      <border diagonalUp="0" diagonalDown="0" outline="0">
        <left/>
        <right/>
        <top style="thin">
          <color theme="0" tint="-0.249977111117893"/>
        </top>
        <bottom/>
      </border>
    </dxf>
    <dxf>
      <font>
        <b/>
        <i val="0"/>
        <strike val="0"/>
        <condense val="0"/>
        <extend val="0"/>
        <outline val="0"/>
        <shadow val="0"/>
        <u val="none"/>
        <vertAlign val="baseline"/>
        <sz val="11"/>
        <color auto="1"/>
        <name val="Century Gothic"/>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right style="thin">
          <color theme="0" tint="-0.249977111117893"/>
        </right>
        <top style="thin">
          <color theme="0" tint="-0.249977111117893"/>
        </top>
        <bottom/>
      </border>
    </dxf>
    <dxf>
      <font>
        <b/>
        <i val="0"/>
        <strike val="0"/>
        <condense val="0"/>
        <extend val="0"/>
        <outline val="0"/>
        <shadow val="0"/>
        <u val="none"/>
        <vertAlign val="baseline"/>
        <sz val="11"/>
        <color auto="1"/>
        <name val="Century Gothic"/>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i val="0"/>
        <strike val="0"/>
        <condense val="0"/>
        <extend val="0"/>
        <outline val="0"/>
        <shadow val="0"/>
        <u val="none"/>
        <vertAlign val="baseline"/>
        <sz val="11"/>
        <color auto="1"/>
        <name val="Century Gothic"/>
        <family val="2"/>
        <scheme val="none"/>
      </font>
      <numFmt numFmtId="167" formatCode="_([$€-2]\ * #,##0.00_);_([$€-2]\ * \(#,##0.00\);_([$€-2]\ * &quot;-&quot;??_);_(@_)"/>
      <fill>
        <patternFill patternType="solid">
          <fgColor indexed="64"/>
          <bgColor theme="5"/>
        </patternFill>
      </fill>
      <alignment horizontal="center" vertical="center" textRotation="0" wrapText="1" indent="0" justifyLastLine="0" shrinkToFit="0" readingOrder="0"/>
      <border diagonalUp="0" diagonalDown="0" outline="0">
        <left/>
        <right style="thin">
          <color theme="0" tint="-0.249977111117893"/>
        </right>
        <top style="thin">
          <color theme="0" tint="-0.249977111117893"/>
        </top>
        <bottom/>
      </border>
    </dxf>
    <dxf>
      <font>
        <b/>
        <i val="0"/>
        <strike val="0"/>
        <condense val="0"/>
        <extend val="0"/>
        <outline val="0"/>
        <shadow val="0"/>
        <u val="none"/>
        <vertAlign val="baseline"/>
        <sz val="11"/>
        <color auto="1"/>
        <name val="Century Gothic"/>
        <family val="2"/>
        <scheme val="none"/>
      </font>
      <numFmt numFmtId="167" formatCode="_([$€-2]\ * #,##0.00_);_([$€-2]\ * \(#,##0.00\);_([$€-2]\ * &quot;-&quot;??_);_(@_)"/>
      <fill>
        <patternFill patternType="solid">
          <fgColor indexed="64"/>
          <bgColor theme="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0"/>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0"/>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0"/>
        <color theme="1"/>
        <name val="Century Gothic"/>
        <family val="1"/>
        <scheme val="none"/>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0"/>
        <color theme="1"/>
        <name val="Century Gothic"/>
        <family val="1"/>
        <scheme val="none"/>
      </font>
      <numFmt numFmtId="34" formatCode="_(&quot;$&quot;* #,##0.00_);_(&quot;$&quot;* \(#,##0.00\);_(&quot;$&quot;* &quot;-&quot;??_);_(@_)"/>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8"/>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8"/>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i val="0"/>
        <strike val="0"/>
        <condense val="0"/>
        <extend val="0"/>
        <outline val="0"/>
        <shadow val="0"/>
        <u val="none"/>
        <vertAlign val="baseline"/>
        <sz val="11"/>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0"/>
        <color theme="1"/>
        <name val="Century Gothic"/>
        <family val="1"/>
        <scheme val="none"/>
      </font>
      <numFmt numFmtId="164" formatCode="mm/dd/yyyy"/>
      <fill>
        <patternFill patternType="solid">
          <fgColor indexed="64"/>
          <bgColor rgb="FFEAEEF3"/>
        </patternFill>
      </fill>
      <alignment horizontal="center" vertical="center" textRotation="0" wrapText="1" indent="0" justifyLastLine="0" shrinkToFit="0" readingOrder="0"/>
      <border diagonalUp="0" diagonalDown="0" outline="0">
        <left/>
        <right style="thin">
          <color theme="0" tint="-0.249977111117893"/>
        </right>
        <top style="thin">
          <color theme="0" tint="-0.249977111117893"/>
        </top>
        <bottom/>
      </border>
    </dxf>
    <dxf>
      <font>
        <b val="0"/>
        <i val="0"/>
        <strike val="0"/>
        <condense val="0"/>
        <extend val="0"/>
        <outline val="0"/>
        <shadow val="0"/>
        <u val="none"/>
        <vertAlign val="baseline"/>
        <sz val="12"/>
        <color theme="1"/>
        <name val="Calibri"/>
        <family val="2"/>
        <scheme val="minor"/>
      </font>
      <numFmt numFmtId="167" formatCode="_([$€-2]\ * #,##0.00_);_([$€-2]\ * \(#,##0.00\);_([$€-2]\ * &quot;-&quot;??_);_(@_)"/>
      <fill>
        <patternFill patternType="solid">
          <fgColor indexed="64"/>
          <bgColor theme="5"/>
        </patternFill>
      </fill>
    </dxf>
    <dxf>
      <numFmt numFmtId="167" formatCode="_([$€-2]\ * #,##0.00_);_([$€-2]\ * \(#,##0.00\);_([$€-2]\ * &quot;-&quot;??_);_(@_)"/>
      <fill>
        <patternFill patternType="solid">
          <fgColor indexed="64"/>
          <bgColor theme="9"/>
        </patternFill>
      </fill>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solid">
          <fgColor indexed="64"/>
          <bgColor theme="5"/>
        </patternFill>
      </fill>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solid">
          <fgColor indexed="64"/>
          <bgColor theme="9"/>
        </patternFill>
      </fill>
    </dxf>
    <dxf>
      <font>
        <b val="0"/>
        <i val="0"/>
        <strike val="0"/>
        <condense val="0"/>
        <extend val="0"/>
        <outline val="0"/>
        <shadow val="0"/>
        <u val="none"/>
        <vertAlign val="baseline"/>
        <sz val="12"/>
        <color theme="1"/>
        <name val="Calibri"/>
        <family val="2"/>
        <scheme val="minor"/>
      </font>
      <numFmt numFmtId="34" formatCode="_(&quot;$&quot;* #,##0.00_);_(&quot;$&quot;* \(#,##0.00\);_(&quot;$&quot;* &quot;-&quot;??_);_(@_)"/>
    </dxf>
    <dxf>
      <numFmt numFmtId="167" formatCode="_([$€-2]\ * #,##0.00_);_([$€-2]\ * \(#,##0.00\);_([$€-2]\ * &quot;-&quot;??_);_(@_)"/>
    </dxf>
    <dxf>
      <font>
        <b val="0"/>
        <i val="0"/>
        <strike val="0"/>
        <condense val="0"/>
        <extend val="0"/>
        <outline val="0"/>
        <shadow val="0"/>
        <u val="none"/>
        <vertAlign val="baseline"/>
        <sz val="12"/>
        <color theme="1"/>
        <name val="Calibri"/>
        <family val="2"/>
        <scheme val="minor"/>
      </font>
    </dxf>
    <dxf>
      <numFmt numFmtId="167" formatCode="_([$€-2]\ * #,##0.00_);_([$€-2]\ * \(#,##0.00\);_([$€-2]\ * &quot;-&quot;??_);_(@_)"/>
    </dxf>
    <dxf>
      <font>
        <b val="0"/>
        <i val="0"/>
        <strike val="0"/>
        <condense val="0"/>
        <extend val="0"/>
        <outline val="0"/>
        <shadow val="0"/>
        <u val="none"/>
        <vertAlign val="baseline"/>
        <sz val="12"/>
        <color theme="1"/>
        <name val="Calibri"/>
        <family val="2"/>
        <scheme val="minor"/>
      </font>
      <numFmt numFmtId="34" formatCode="_(&quot;$&quot;* #,##0.00_);_(&quot;$&quot;* \(#,##0.00\);_(&quot;$&quot;* &quot;-&quot;??_);_(@_)"/>
    </dxf>
    <dxf>
      <numFmt numFmtId="167" formatCode="_([$€-2]\ * #,##0.00_);_([$€-2]\ * \(#,##0.00\);_([$€-2]\ * &quot;-&quot;??_);_(@_)"/>
    </dxf>
    <dxf>
      <font>
        <b/>
        <i val="0"/>
        <strike val="0"/>
        <condense val="0"/>
        <extend val="0"/>
        <outline val="0"/>
        <shadow val="0"/>
        <u val="none"/>
        <vertAlign val="baseline"/>
        <sz val="14"/>
        <color theme="1"/>
        <name val="Century Gothic"/>
        <family val="2"/>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theme="1"/>
        <name val="Calibri"/>
        <family val="2"/>
        <scheme val="minor"/>
      </font>
      <fill>
        <patternFill patternType="solid">
          <fgColor indexed="64"/>
          <bgColor rgb="FFEAEEF3"/>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numFmt numFmtId="167" formatCode="_([$€-2]\ * #,##0.00_);_([$€-2]\ * \(#,##0.00\);_([$€-2]\ * &quot;-&quot;??_);_(@_)"/>
    </dxf>
    <dxf>
      <numFmt numFmtId="167" formatCode="_([$€-2]\ * #,##0.00_);_([$€-2]\ * \(#,##0.00\);_([$€-2]\ * &quot;-&quot;??_);_(@_)"/>
    </dxf>
    <dxf>
      <numFmt numFmtId="167" formatCode="_([$€-2]\ * #,##0.00_);_([$€-2]\ * \(#,##0.00\);_([$€-2]\ * &quot;-&quot;??_);_(@_)"/>
    </dxf>
    <dxf>
      <numFmt numFmtId="167" formatCode="_([$€-2]\ * #,##0.00_);_([$€-2]\ * \(#,##0.00\);_([$€-2]\ * &quot;-&quot;??_);_(@_)"/>
    </dxf>
    <dxf>
      <numFmt numFmtId="167" formatCode="_([$€-2]\ * #,##0.00_);_([$€-2]\ * \(#,##0.00\);_([$€-2]\ * &quot;-&quot;??_);_(@_)"/>
    </dxf>
    <dxf>
      <font>
        <b/>
        <i val="0"/>
        <strike val="0"/>
        <condense val="0"/>
        <extend val="0"/>
        <outline val="0"/>
        <shadow val="0"/>
        <u val="none"/>
        <vertAlign val="baseline"/>
        <sz val="14"/>
        <color theme="1"/>
        <name val="Century Gothic"/>
        <family val="2"/>
        <scheme val="none"/>
      </font>
      <numFmt numFmtId="0" formatCode="General"/>
      <fill>
        <patternFill patternType="solid">
          <fgColor indexed="64"/>
          <bgColor theme="0" tint="-4.9989318521683403E-2"/>
        </patternFill>
      </fill>
      <alignment horizontal="left"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i val="0"/>
        <strike val="0"/>
        <condense val="0"/>
        <extend val="0"/>
        <outline val="0"/>
        <shadow val="0"/>
        <u val="none"/>
        <vertAlign val="baseline"/>
        <sz val="14"/>
        <color theme="1"/>
        <name val="Calibri"/>
        <family val="2"/>
        <scheme val="minor"/>
      </font>
      <fill>
        <patternFill patternType="solid">
          <fgColor indexed="64"/>
          <bgColor rgb="FFEAEEF3"/>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bottom/>
        <vertical/>
        <horizontal/>
      </border>
    </dxf>
    <dxf>
      <font>
        <b val="0"/>
        <i val="0"/>
        <strike val="0"/>
        <condense val="0"/>
        <extend val="0"/>
        <outline val="0"/>
        <shadow val="0"/>
        <u val="none"/>
        <vertAlign val="baseline"/>
        <sz val="10"/>
        <color theme="1"/>
        <name val="Century Gothic"/>
        <family val="1"/>
        <scheme val="none"/>
      </font>
      <numFmt numFmtId="167" formatCode="_([$€-2]\ * #,##0.00_);_([$€-2]\ * \(#,##0.00\);_([$€-2]\ * &quot;-&quot;??_);_(@_)"/>
      <fill>
        <patternFill patternType="solid">
          <fgColor indexed="64"/>
          <bgColor theme="0" tint="-0.14999847407452621"/>
        </patternFill>
      </fill>
      <alignment horizontal="center" vertical="center" textRotation="0" wrapText="1" indent="0" justifyLastLine="0" shrinkToFit="0" readingOrder="0"/>
      <border outline="0">
        <left style="thin">
          <color theme="0" tint="-0.249977111117893"/>
        </left>
      </border>
    </dxf>
    <dxf>
      <font>
        <b val="0"/>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border>
    </dxf>
    <dxf>
      <font>
        <b/>
        <i val="0"/>
        <strike val="0"/>
        <condense val="0"/>
        <extend val="0"/>
        <outline val="0"/>
        <shadow val="0"/>
        <u val="none"/>
        <vertAlign val="baseline"/>
        <sz val="10"/>
        <color theme="1"/>
        <name val="Century Gothic"/>
        <family val="2"/>
        <scheme val="none"/>
      </font>
      <numFmt numFmtId="167" formatCode="_([$€-2]\ * #,##0.00_);_([$€-2]\ * \(#,##0.00\);_([$€-2]\ *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2"/>
        <color theme="1"/>
        <name val="Century Gothic"/>
        <family val="2"/>
        <scheme val="none"/>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0"/>
        <color theme="1"/>
        <name val="Century Gothic"/>
        <family val="2"/>
        <scheme val="none"/>
      </font>
      <numFmt numFmtId="167" formatCode="_([$€-2]\ * #,##0.00_);_([$€-2]\ * \(#,##0.00\);_([$€-2]\ *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2"/>
        <color theme="1"/>
        <name val="Century Gothic"/>
        <family val="2"/>
        <scheme val="none"/>
      </font>
      <numFmt numFmtId="0" formatCode="General"/>
      <fill>
        <patternFill patternType="solid">
          <fgColor indexed="64"/>
          <bgColor rgb="FFEAEEF3"/>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rgb="FFEAEEF3"/>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theme="0" tint="-4.9989318521683403E-2"/>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rgb="FFEAEEF3"/>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8"/>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8"/>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1"/>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entury Gothic"/>
        <scheme val="none"/>
      </font>
      <numFmt numFmtId="19" formatCode="m/d/yyyy"/>
      <fill>
        <patternFill patternType="solid">
          <fgColor indexed="64"/>
          <bgColor rgb="FFEAEEF3"/>
        </patternFill>
      </fill>
      <alignment horizontal="left"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color theme="1" tint="4.9989318521683403E-2"/>
        <name val="Calibri"/>
        <family val="2"/>
        <scheme val="minor"/>
      </font>
      <numFmt numFmtId="19" formatCode="m/d/yyyy"/>
      <alignment horizontal="center" vertical="center" textRotation="0" wrapText="0" indent="0" justifyLastLine="0" shrinkToFit="0" readingOrder="0"/>
    </dxf>
    <dxf>
      <fill>
        <patternFill patternType="solid">
          <fgColor indexed="64"/>
          <bgColor theme="4" tint="0.5999938962981048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4"/>
        <color theme="1"/>
        <name val="Century Gothic"/>
        <family val="1"/>
        <scheme val="none"/>
      </font>
      <fill>
        <patternFill patternType="solid">
          <fgColor indexed="64"/>
          <bgColor theme="0" tint="-4.9989318521683403E-2"/>
        </patternFill>
      </fill>
      <alignment horizontal="center" vertical="center" textRotation="0" wrapText="1" indent="0" justifyLastLine="0" shrinkToFit="0" readingOrder="0"/>
      <border diagonalUp="0" diagonalDown="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rgb="FFEAEEF3"/>
        </patternFill>
      </fill>
      <alignment horizontal="left"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rgb="FFEAEEF3"/>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8"/>
        <color theme="1"/>
        <name val="Calibri"/>
        <family val="2"/>
        <scheme val="minor"/>
      </font>
      <numFmt numFmtId="0" formatCode="General"/>
      <fill>
        <patternFill patternType="solid">
          <fgColor indexed="64"/>
          <bgColor rgb="FFEAEEF3"/>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1"/>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entury Gothic"/>
        <scheme val="none"/>
      </font>
      <numFmt numFmtId="19" formatCode="m/d/yyyy"/>
      <fill>
        <patternFill patternType="solid">
          <fgColor indexed="64"/>
          <bgColor rgb="FFEAEEF3"/>
        </patternFill>
      </fill>
      <alignment horizontal="left"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outline="0">
        <top style="thin">
          <color rgb="FFBFBFBF"/>
        </top>
      </border>
    </dxf>
    <dxf>
      <font>
        <b/>
        <strike val="0"/>
        <outline val="0"/>
        <shadow val="0"/>
        <u val="none"/>
        <vertAlign val="baseline"/>
        <sz val="14"/>
      </font>
      <alignment horizontal="center" vertical="center" textRotation="0" indent="0" justifyLastLine="0" shrinkToFit="0" readingOrder="0"/>
    </dxf>
    <dxf>
      <border outline="0">
        <left style="thin">
          <color rgb="FFBFBFBF"/>
        </left>
        <right style="thin">
          <color rgb="FFBFBFBF"/>
        </right>
        <top style="thin">
          <color rgb="FFBFBFBF"/>
        </top>
        <bottom style="thin">
          <color rgb="FFBFBFBF"/>
        </bottom>
      </border>
    </dxf>
    <dxf>
      <border outline="0">
        <bottom style="thin">
          <color rgb="FFBFBFBF"/>
        </bottom>
      </border>
    </dxf>
    <dxf>
      <font>
        <b/>
        <strike val="0"/>
        <outline val="0"/>
        <shadow val="0"/>
        <u val="none"/>
        <vertAlign val="baseline"/>
        <sz val="11"/>
        <name val="Century Gothic"/>
        <family val="2"/>
        <scheme val="none"/>
      </font>
      <alignment horizontal="center" vertical="center" textRotation="0" indent="0" justifyLastLine="0" shrinkToFit="0" readingOrder="0"/>
    </dxf>
    <dxf>
      <font>
        <b val="0"/>
        <i val="0"/>
        <strike val="0"/>
        <condense val="0"/>
        <extend val="0"/>
        <outline val="0"/>
        <shadow val="0"/>
        <u val="none"/>
        <vertAlign val="baseline"/>
        <sz val="14"/>
        <color theme="1"/>
        <name val="Century Gothic"/>
        <family val="1"/>
        <scheme val="none"/>
      </font>
      <fill>
        <patternFill patternType="solid">
          <fgColor indexed="64"/>
          <bgColor rgb="FFEAEEF3"/>
        </patternFill>
      </fill>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rgb="FFEAEEF3"/>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rgb="FFEAEEF3"/>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1"/>
        <color theme="1"/>
        <name val="Century Gothic"/>
        <family val="2"/>
        <scheme val="none"/>
      </font>
      <fill>
        <patternFill patternType="solid">
          <fgColor indexed="64"/>
          <bgColor rgb="FFEAEEF3"/>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1"/>
        <name val="Century Gothic"/>
        <scheme val="none"/>
      </font>
      <numFmt numFmtId="19" formatCode="m/d/yyyy"/>
      <fill>
        <patternFill patternType="solid">
          <fgColor indexed="64"/>
          <bgColor rgb="FFEAEEF3"/>
        </patternFill>
      </fill>
      <alignment horizontal="left"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outline="0">
        <top style="thin">
          <color rgb="FFBFBFBF"/>
        </top>
      </border>
    </dxf>
    <dxf>
      <font>
        <b/>
        <strike val="0"/>
        <outline val="0"/>
        <shadow val="0"/>
        <u val="none"/>
        <vertAlign val="baseline"/>
        <sz val="14"/>
      </font>
      <alignment horizontal="center" vertical="center" textRotation="0" indent="0" justifyLastLine="0" shrinkToFit="0" readingOrder="0"/>
    </dxf>
    <dxf>
      <border outline="0">
        <left style="thin">
          <color rgb="FFBFBFBF"/>
        </left>
        <right style="thin">
          <color rgb="FFBFBFBF"/>
        </right>
        <top style="thin">
          <color rgb="FFBFBFBF"/>
        </top>
        <bottom style="thin">
          <color rgb="FFBFBFBF"/>
        </bottom>
      </border>
    </dxf>
    <dxf>
      <border outline="0">
        <bottom style="thin">
          <color rgb="FFBFBFBF"/>
        </bottom>
      </border>
    </dxf>
    <dxf>
      <font>
        <b/>
        <strike val="0"/>
        <outline val="0"/>
        <shadow val="0"/>
        <u val="none"/>
        <vertAlign val="baseline"/>
        <sz val="11"/>
        <name val="Century Gothic"/>
        <family val="2"/>
        <scheme val="none"/>
      </font>
      <alignment horizontal="center" vertical="center" textRotation="0" indent="0" justifyLastLine="0" shrinkToFit="0" readingOrder="0"/>
    </dxf>
    <dxf>
      <border outline="0">
        <top style="thin">
          <color theme="0" tint="-0.249977111117893"/>
        </top>
      </border>
    </dxf>
    <dxf>
      <alignment horizontal="center" vertical="center" textRotation="0" indent="0" justifyLastLine="0" shrinkToFit="0" readingOrder="0"/>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strike val="0"/>
        <outline val="0"/>
        <shadow val="0"/>
        <u val="none"/>
        <vertAlign val="baseline"/>
        <sz val="11"/>
        <name val="Century Gothic"/>
        <family val="2"/>
        <scheme val="none"/>
      </font>
      <alignment horizontal="center" vertical="center" textRotation="0" indent="0" justifyLastLine="0" shrinkToFit="0" readingOrder="0"/>
    </dxf>
    <dxf>
      <font>
        <b/>
        <strike val="0"/>
        <outline val="0"/>
        <shadow val="0"/>
        <u val="none"/>
        <vertAlign val="baseline"/>
        <sz val="14"/>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4"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theme="1" tint="4.9989318521683403E-2"/>
        <name val="Calibri"/>
        <family val="2"/>
        <scheme val="minor"/>
      </font>
      <numFmt numFmtId="0" formatCode="General"/>
      <alignment horizontal="center" vertical="center" textRotation="0" wrapText="0" indent="0" justifyLastLine="0" shrinkToFit="0" readingOrder="0"/>
    </dxf>
    <dxf>
      <font>
        <b val="0"/>
        <strike val="0"/>
        <outline val="0"/>
        <shadow val="0"/>
        <u val="none"/>
        <vertAlign val="baseline"/>
        <sz val="15"/>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5"/>
        <color theme="1" tint="4.9989318521683403E-2"/>
        <name val="Calibri"/>
        <family val="2"/>
        <scheme val="minor"/>
      </font>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1"/>
        <name val="Century Gothic"/>
        <family val="2"/>
        <scheme val="none"/>
      </font>
      <numFmt numFmtId="0" formatCode="General"/>
      <fill>
        <patternFill patternType="solid">
          <fgColor indexed="64"/>
          <bgColor theme="0" tint="-4.9989318521683403E-2"/>
        </patternFill>
      </fill>
      <alignment horizontal="left"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theme="1"/>
        <name val="Century Gothic"/>
        <family val="2"/>
        <scheme val="none"/>
      </font>
      <numFmt numFmtId="0" formatCode="General"/>
      <fill>
        <patternFill patternType="solid">
          <fgColor indexed="64"/>
          <bgColor theme="0" tint="-4.9989318521683403E-2"/>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4"/>
        <color theme="1"/>
        <name val="Calibri"/>
        <family val="2"/>
        <scheme val="minor"/>
      </font>
      <fill>
        <patternFill patternType="solid">
          <fgColor indexed="64"/>
          <bgColor rgb="FFEAEEF3"/>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theme="1"/>
        <name val="Calibri"/>
        <family val="2"/>
        <scheme val="minor"/>
      </font>
      <fill>
        <patternFill patternType="solid">
          <fgColor indexed="64"/>
          <bgColor rgb="FFEAEEF3"/>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dxf>
    <dxf>
      <fill>
        <patternFill>
          <bgColor theme="5" tint="0.59996337778862885"/>
        </patternFill>
      </fill>
    </dxf>
  </dxfs>
  <tableStyles count="1" defaultTableStyle="TableStyleMedium9" defaultPivotStyle="PivotStyleMedium7">
    <tableStyle name="Table Style 1" pivot="0" count="1" xr9:uid="{C017EDD9-5B09-48A5-8191-00554118C1AE}">
      <tableStyleElement type="firstColumn" dxfId="219"/>
    </tableStyle>
  </tableStyles>
  <colors>
    <mruColors>
      <color rgb="FF0000FF"/>
      <color rgb="FFEAEEF3"/>
      <color rgb="FF00BD32"/>
      <color rgb="FFEEA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absolute">
    <xdr:from>
      <xdr:col>28</xdr:col>
      <xdr:colOff>68916</xdr:colOff>
      <xdr:row>0</xdr:row>
      <xdr:rowOff>0</xdr:rowOff>
    </xdr:from>
    <xdr:to>
      <xdr:col>30</xdr:col>
      <xdr:colOff>268941</xdr:colOff>
      <xdr:row>5</xdr:row>
      <xdr:rowOff>22411</xdr:rowOff>
    </xdr:to>
    <mc:AlternateContent xmlns:mc="http://schemas.openxmlformats.org/markup-compatibility/2006" xmlns:sle15="http://schemas.microsoft.com/office/drawing/2012/slicer">
      <mc:Choice Requires="sle15">
        <xdr:graphicFrame macro="">
          <xdr:nvGraphicFramePr>
            <xdr:cNvPr id="20" name="VENDOR/CLIENT 1">
              <a:extLst>
                <a:ext uri="{FF2B5EF4-FFF2-40B4-BE49-F238E27FC236}">
                  <a16:creationId xmlns:a16="http://schemas.microsoft.com/office/drawing/2014/main" id="{538B37CB-03A4-D944-FFEC-AD1033F8F1CA}"/>
                </a:ext>
              </a:extLst>
            </xdr:cNvPr>
            <xdr:cNvGraphicFramePr/>
          </xdr:nvGraphicFramePr>
          <xdr:xfrm>
            <a:off x="0" y="0"/>
            <a:ext cx="0" cy="0"/>
          </xdr:xfrm>
          <a:graphic>
            <a:graphicData uri="http://schemas.microsoft.com/office/drawing/2010/slicer">
              <sle:slicer xmlns:sle="http://schemas.microsoft.com/office/drawing/2010/slicer" name="VENDOR/CLIENT 1"/>
            </a:graphicData>
          </a:graphic>
        </xdr:graphicFrame>
      </mc:Choice>
      <mc:Fallback xmlns="">
        <xdr:sp macro="" textlink="">
          <xdr:nvSpPr>
            <xdr:cNvPr id="0" name=""/>
            <xdr:cNvSpPr>
              <a:spLocks noTextEdit="1"/>
            </xdr:cNvSpPr>
          </xdr:nvSpPr>
          <xdr:spPr>
            <a:xfrm>
              <a:off x="13561145912" y="0"/>
              <a:ext cx="1858495" cy="1848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26</xdr:col>
      <xdr:colOff>212914</xdr:colOff>
      <xdr:row>0</xdr:row>
      <xdr:rowOff>0</xdr:rowOff>
    </xdr:from>
    <xdr:to>
      <xdr:col>28</xdr:col>
      <xdr:colOff>78443</xdr:colOff>
      <xdr:row>5</xdr:row>
      <xdr:rowOff>0</xdr:rowOff>
    </xdr:to>
    <mc:AlternateContent xmlns:mc="http://schemas.openxmlformats.org/markup-compatibility/2006" xmlns:sle15="http://schemas.microsoft.com/office/drawing/2012/slicer">
      <mc:Choice Requires="sle15">
        <xdr:graphicFrame macro="">
          <xdr:nvGraphicFramePr>
            <xdr:cNvPr id="21" name="PROJECT 1">
              <a:extLst>
                <a:ext uri="{FF2B5EF4-FFF2-40B4-BE49-F238E27FC236}">
                  <a16:creationId xmlns:a16="http://schemas.microsoft.com/office/drawing/2014/main" id="{44AE21A8-A6C5-507A-75D5-984F1EFABB78}"/>
                </a:ext>
              </a:extLst>
            </xdr:cNvPr>
            <xdr:cNvGraphicFramePr/>
          </xdr:nvGraphicFramePr>
          <xdr:xfrm>
            <a:off x="0" y="0"/>
            <a:ext cx="0" cy="0"/>
          </xdr:xfrm>
          <a:graphic>
            <a:graphicData uri="http://schemas.microsoft.com/office/drawing/2010/slicer">
              <sle:slicer xmlns:sle="http://schemas.microsoft.com/office/drawing/2010/slicer" name="PROJECT 1"/>
            </a:graphicData>
          </a:graphic>
        </xdr:graphicFrame>
      </mc:Choice>
      <mc:Fallback xmlns="">
        <xdr:sp macro="" textlink="">
          <xdr:nvSpPr>
            <xdr:cNvPr id="0" name=""/>
            <xdr:cNvSpPr>
              <a:spLocks noTextEdit="1"/>
            </xdr:cNvSpPr>
          </xdr:nvSpPr>
          <xdr:spPr>
            <a:xfrm>
              <a:off x="13562994880" y="0"/>
              <a:ext cx="1524000" cy="18265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30</xdr:col>
      <xdr:colOff>291353</xdr:colOff>
      <xdr:row>0</xdr:row>
      <xdr:rowOff>0</xdr:rowOff>
    </xdr:from>
    <xdr:to>
      <xdr:col>33</xdr:col>
      <xdr:colOff>33618</xdr:colOff>
      <xdr:row>4</xdr:row>
      <xdr:rowOff>549087</xdr:rowOff>
    </xdr:to>
    <mc:AlternateContent xmlns:mc="http://schemas.openxmlformats.org/markup-compatibility/2006" xmlns:sle15="http://schemas.microsoft.com/office/drawing/2012/slicer">
      <mc:Choice Requires="sle15">
        <xdr:graphicFrame macro="">
          <xdr:nvGraphicFramePr>
            <xdr:cNvPr id="22" name="ACCOUNT NAME 1">
              <a:extLst>
                <a:ext uri="{FF2B5EF4-FFF2-40B4-BE49-F238E27FC236}">
                  <a16:creationId xmlns:a16="http://schemas.microsoft.com/office/drawing/2014/main" id="{75CDCF14-C764-E4F2-B4A3-6D1B51300907}"/>
                </a:ext>
              </a:extLst>
            </xdr:cNvPr>
            <xdr:cNvGraphicFramePr/>
          </xdr:nvGraphicFramePr>
          <xdr:xfrm>
            <a:off x="0" y="0"/>
            <a:ext cx="0" cy="0"/>
          </xdr:xfrm>
          <a:graphic>
            <a:graphicData uri="http://schemas.microsoft.com/office/drawing/2010/slicer">
              <sle:slicer xmlns:sle="http://schemas.microsoft.com/office/drawing/2010/slicer" name="ACCOUNT NAME 1"/>
            </a:graphicData>
          </a:graphic>
        </xdr:graphicFrame>
      </mc:Choice>
      <mc:Fallback xmlns="">
        <xdr:sp macro="" textlink="">
          <xdr:nvSpPr>
            <xdr:cNvPr id="0" name=""/>
            <xdr:cNvSpPr>
              <a:spLocks noTextEdit="1"/>
            </xdr:cNvSpPr>
          </xdr:nvSpPr>
          <xdr:spPr>
            <a:xfrm>
              <a:off x="13558893529" y="0"/>
              <a:ext cx="2229971" cy="180414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2241181</xdr:colOff>
      <xdr:row>0</xdr:row>
      <xdr:rowOff>0</xdr:rowOff>
    </xdr:from>
    <xdr:to>
      <xdr:col>21</xdr:col>
      <xdr:colOff>730628</xdr:colOff>
      <xdr:row>4</xdr:row>
      <xdr:rowOff>539561</xdr:rowOff>
    </xdr:to>
    <mc:AlternateContent xmlns:mc="http://schemas.openxmlformats.org/markup-compatibility/2006" xmlns:sle15="http://schemas.microsoft.com/office/drawing/2012/slicer">
      <mc:Choice Requires="sle15">
        <xdr:graphicFrame macro="">
          <xdr:nvGraphicFramePr>
            <xdr:cNvPr id="23" name="DATE 2">
              <a:extLst>
                <a:ext uri="{FF2B5EF4-FFF2-40B4-BE49-F238E27FC236}">
                  <a16:creationId xmlns:a16="http://schemas.microsoft.com/office/drawing/2014/main" id="{ECDD3CA8-70AD-8463-A476-5E4B79DFB253}"/>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13568147342" y="0"/>
              <a:ext cx="1828800" cy="17946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730067</xdr:colOff>
      <xdr:row>0</xdr:row>
      <xdr:rowOff>0</xdr:rowOff>
    </xdr:from>
    <xdr:to>
      <xdr:col>24</xdr:col>
      <xdr:colOff>71161</xdr:colOff>
      <xdr:row>4</xdr:row>
      <xdr:rowOff>545726</xdr:rowOff>
    </xdr:to>
    <mc:AlternateContent xmlns:mc="http://schemas.openxmlformats.org/markup-compatibility/2006" xmlns:sle15="http://schemas.microsoft.com/office/drawing/2012/slicer">
      <mc:Choice Requires="sle15">
        <xdr:graphicFrame macro="">
          <xdr:nvGraphicFramePr>
            <xdr:cNvPr id="24" name="ACCOUNT TYPE 2">
              <a:extLst>
                <a:ext uri="{FF2B5EF4-FFF2-40B4-BE49-F238E27FC236}">
                  <a16:creationId xmlns:a16="http://schemas.microsoft.com/office/drawing/2014/main" id="{AFAE7DC7-5F32-BB04-5C5B-66C93B3CC9B5}"/>
                </a:ext>
              </a:extLst>
            </xdr:cNvPr>
            <xdr:cNvGraphicFramePr/>
          </xdr:nvGraphicFramePr>
          <xdr:xfrm>
            <a:off x="0" y="0"/>
            <a:ext cx="0" cy="0"/>
          </xdr:xfrm>
          <a:graphic>
            <a:graphicData uri="http://schemas.microsoft.com/office/drawing/2010/slicer">
              <sle:slicer xmlns:sle="http://schemas.microsoft.com/office/drawing/2010/slicer" name="ACCOUNT TYPE 2"/>
            </a:graphicData>
          </a:graphic>
        </xdr:graphicFrame>
      </mc:Choice>
      <mc:Fallback xmlns="">
        <xdr:sp macro="" textlink="">
          <xdr:nvSpPr>
            <xdr:cNvPr id="0" name=""/>
            <xdr:cNvSpPr>
              <a:spLocks noTextEdit="1"/>
            </xdr:cNvSpPr>
          </xdr:nvSpPr>
          <xdr:spPr>
            <a:xfrm>
              <a:off x="13566319103" y="0"/>
              <a:ext cx="1828800" cy="180078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43145</xdr:colOff>
      <xdr:row>0</xdr:row>
      <xdr:rowOff>0</xdr:rowOff>
    </xdr:from>
    <xdr:to>
      <xdr:col>26</xdr:col>
      <xdr:colOff>213475</xdr:colOff>
      <xdr:row>4</xdr:row>
      <xdr:rowOff>571499</xdr:rowOff>
    </xdr:to>
    <mc:AlternateContent xmlns:mc="http://schemas.openxmlformats.org/markup-compatibility/2006" xmlns:sle15="http://schemas.microsoft.com/office/drawing/2012/slicer">
      <mc:Choice Requires="sle15">
        <xdr:graphicFrame macro="">
          <xdr:nvGraphicFramePr>
            <xdr:cNvPr id="2" name="حـــ / دائن">
              <a:extLst>
                <a:ext uri="{FF2B5EF4-FFF2-40B4-BE49-F238E27FC236}">
                  <a16:creationId xmlns:a16="http://schemas.microsoft.com/office/drawing/2014/main" id="{6E9C75D4-99B6-269C-F54F-8BB80C4D2475}"/>
                </a:ext>
              </a:extLst>
            </xdr:cNvPr>
            <xdr:cNvGraphicFramePr/>
          </xdr:nvGraphicFramePr>
          <xdr:xfrm>
            <a:off x="0" y="0"/>
            <a:ext cx="0" cy="0"/>
          </xdr:xfrm>
          <a:graphic>
            <a:graphicData uri="http://schemas.microsoft.com/office/drawing/2010/slicer">
              <sle:slicer xmlns:sle="http://schemas.microsoft.com/office/drawing/2010/slicer" name="حـــ / دائن"/>
            </a:graphicData>
          </a:graphic>
        </xdr:graphicFrame>
      </mc:Choice>
      <mc:Fallback xmlns="">
        <xdr:sp macro="" textlink="">
          <xdr:nvSpPr>
            <xdr:cNvPr id="0" name=""/>
            <xdr:cNvSpPr>
              <a:spLocks noTextEdit="1"/>
            </xdr:cNvSpPr>
          </xdr:nvSpPr>
          <xdr:spPr>
            <a:xfrm>
              <a:off x="13564518319" y="0"/>
              <a:ext cx="1828800" cy="182655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12</xdr:col>
      <xdr:colOff>549088</xdr:colOff>
      <xdr:row>0</xdr:row>
      <xdr:rowOff>257736</xdr:rowOff>
    </xdr:from>
    <xdr:to>
      <xdr:col>13</xdr:col>
      <xdr:colOff>1042147</xdr:colOff>
      <xdr:row>2</xdr:row>
      <xdr:rowOff>123266</xdr:rowOff>
    </xdr:to>
    <xdr:sp macro="" textlink="">
      <xdr:nvSpPr>
        <xdr:cNvPr id="3" name="Arrow: Right 2">
          <a:extLst>
            <a:ext uri="{FF2B5EF4-FFF2-40B4-BE49-F238E27FC236}">
              <a16:creationId xmlns:a16="http://schemas.microsoft.com/office/drawing/2014/main" id="{443C07E3-2844-5CFC-5B5C-F074E41EB6E6}"/>
            </a:ext>
          </a:extLst>
        </xdr:cNvPr>
        <xdr:cNvSpPr/>
      </xdr:nvSpPr>
      <xdr:spPr>
        <a:xfrm rot="10800000">
          <a:off x="13582280206" y="257736"/>
          <a:ext cx="2017059" cy="49305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18</xdr:col>
      <xdr:colOff>549088</xdr:colOff>
      <xdr:row>0</xdr:row>
      <xdr:rowOff>257736</xdr:rowOff>
    </xdr:from>
    <xdr:to>
      <xdr:col>19</xdr:col>
      <xdr:colOff>1042147</xdr:colOff>
      <xdr:row>2</xdr:row>
      <xdr:rowOff>123266</xdr:rowOff>
    </xdr:to>
    <xdr:sp macro="" textlink="">
      <xdr:nvSpPr>
        <xdr:cNvPr id="4" name="Arrow: Right 3">
          <a:extLst>
            <a:ext uri="{FF2B5EF4-FFF2-40B4-BE49-F238E27FC236}">
              <a16:creationId xmlns:a16="http://schemas.microsoft.com/office/drawing/2014/main" id="{4ECED816-4C0A-4BF4-9BB6-E398D630B043}"/>
            </a:ext>
          </a:extLst>
        </xdr:cNvPr>
        <xdr:cNvSpPr/>
      </xdr:nvSpPr>
      <xdr:spPr>
        <a:xfrm rot="10800000">
          <a:off x="13582280206" y="257736"/>
          <a:ext cx="2017059" cy="49305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B33F4E0-B6BE-4DCE-939B-388A212B21BC}" sourceName="DATE">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FE3BAFB6-1A0A-4040-B52C-C115A282C1B3}" sourceName="ACCOUNT TYPE">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7BA333C5-B76E-4A64-BF99-911D0EE6D5B9}" sourceName="ACCOUNT NAME">
  <extLst>
    <x:ext xmlns:x15="http://schemas.microsoft.com/office/spreadsheetml/2010/11/main" uri="{2F2917AC-EB37-4324-AD4E-5DD8C200BD13}">
      <x15:tableSlicerCache tableId="2"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CLIENT" xr10:uid="{649BB7D3-F9F3-4136-AB11-4ADC80EE3C9E}" sourceName="CLIENT">
  <extLst>
    <x:ext xmlns:x15="http://schemas.microsoft.com/office/spreadsheetml/2010/11/main" uri="{2F2917AC-EB37-4324-AD4E-5DD8C200BD13}">
      <x15:tableSlicerCache tableId="2"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27165CF6-62BC-45FC-843A-2520DC2C231C}" sourceName="PROJECT">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حـــ___دائن" xr10:uid="{93321BC8-7DAF-457D-AA9C-796C7B4A0226}" sourceName="SUB ACCOUNT">
  <extLst>
    <x:ext xmlns:x15="http://schemas.microsoft.com/office/spreadsheetml/2010/11/main" uri="{2F2917AC-EB37-4324-AD4E-5DD8C200BD13}">
      <x15:tableSlicerCache tableId="2"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C48EA5AE-94FF-47B9-9F14-00795669E960}" cache="Slicer_DATE" caption="DATE" rowHeight="257175"/>
  <slicer name="ACCOUNT TYPE 2" xr10:uid="{6B983F6D-2954-48BB-965D-27CDCAA7E977}" cache="Slicer_ACCOUNT_TYPE" caption="ACCOUNT TYPE" rowHeight="257175"/>
  <slicer name="ACCOUNT NAME 1" xr10:uid="{3174DC28-7FAE-4B36-8239-6815289D64C3}" cache="Slicer_ACCOUNT_NAME" caption="ACCOUNT NAME" rowHeight="257175"/>
  <slicer name="VENDOR/CLIENT 1" xr10:uid="{3E294117-268C-4E4C-82B6-182DBDD85987}" cache="Slicer_VENDOR_CLIENT" caption="CLIENT" rowHeight="257175"/>
  <slicer name="PROJECT 1" xr10:uid="{8DA511CB-A9BD-4145-BCEB-B837964D2180}" cache="Slicer_PROJECT" caption="PROJECT" style="SlicerStyleOther2" rowHeight="257175"/>
  <slicer name="حـــ / دائن" xr10:uid="{A4FED15C-4912-4713-900E-AF06E4C08C6F}" cache="Slicer_حـــ___دائن" caption="SUB ACCOUN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1BB1A8-2412-42AE-BA59-16DA36BFBBB4}" name="banks" displayName="banks" ref="B4:C19" headerRowDxfId="218">
  <autoFilter ref="B4:C19" xr:uid="{CB1BB1A8-2412-42AE-BA59-16DA36BFBBB4}"/>
  <tableColumns count="2">
    <tableColumn id="1" xr3:uid="{192BBB66-6E9B-48F6-BAED-75D8891C0BA6}" name="BANK" totalsRowLabel="Total" dataDxfId="217" totalsRowDxfId="216"/>
    <tableColumn id="2" xr3:uid="{884EDF66-5C2F-43A5-A5BE-7669D1111E93}" name="BANK NO." totalsRowFunction="count" dataDxfId="215" totalsRowDxfId="214" dataCellStyle="Currency"/>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41A58D-E481-4EEA-8188-74CB38D60151}" name="CLIENTS" displayName="CLIENTS" ref="B4:C14" totalsRowCount="1" headerRowDxfId="213" dataDxfId="212">
  <autoFilter ref="B4:C13" xr:uid="{2A41A58D-E481-4EEA-8188-74CB38D60151}"/>
  <tableColumns count="2">
    <tableColumn id="1" xr3:uid="{B8DCAFC5-A5C3-4C89-9156-1185D6C772EE}" name="UNIT" totalsRowLabel="Total" dataDxfId="211" totalsRowDxfId="10"/>
    <tableColumn id="2" xr3:uid="{2A0E9CD1-DF0D-4AC5-A6C4-2EA476E72A51}" name="CLIENT NAME" totalsRowFunction="count" dataDxfId="210" totalsRowDxfId="9"/>
  </tableColumns>
  <tableStyleInfo name="TableStyleMedium18"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1C0FD7-E5ED-4FA3-812C-10C137832FB3}" name="أمريكية" displayName="أمريكية" ref="B4:BB39" totalsRowCount="1" headerRowDxfId="209" dataDxfId="208" dataCellStyle="Currency" totalsRowCellStyle="Currency">
  <autoFilter ref="B4:BB38" xr:uid="{3C1C0FD7-E5ED-4FA3-812C-10C137832FB3}"/>
  <tableColumns count="53">
    <tableColumn id="1" xr3:uid="{D4313695-0E3F-4576-8222-C8E24A613665}" name="DATE" totalsRowLabel="TOTAL" dataDxfId="127" totalsRowDxfId="126" dataCellStyle="Currency" totalsRowCellStyle="Currency"/>
    <tableColumn id="2" xr3:uid="{9CE992CD-9B17-4E2B-9069-655312877D3D}" name="Debit " totalsRowFunction="sum" dataDxfId="128" totalsRowDxfId="125" dataCellStyle="Currency" totalsRowCellStyle="Currency">
      <calculatedColumnFormula>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calculatedColumnFormula>
    </tableColumn>
    <tableColumn id="3" xr3:uid="{A09BD442-873B-402B-B1D8-3591B0DCE264}" name="Credit" totalsRowFunction="sum" dataDxfId="207" totalsRowDxfId="124" dataCellStyle="Currency" totalsRowCellStyle="Currency">
      <calculatedColumnFormula>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calculatedColumnFormula>
    </tableColumn>
    <tableColumn id="4" xr3:uid="{D7A3092B-576D-4062-B8C0-F00F538FC38E}" name="1" totalsRowFunction="sum" dataDxfId="206" totalsRowDxfId="123" dataCellStyle="Currency" totalsRowCellStyle="Currency"/>
    <tableColumn id="5" xr3:uid="{757A34D0-1162-4792-A5F3-A6EB0D879038}" name="2" totalsRowFunction="sum" dataDxfId="205" totalsRowDxfId="122" dataCellStyle="Currency" totalsRowCellStyle="Currency"/>
    <tableColumn id="6" xr3:uid="{69961D71-A3DD-41D7-A10E-8BFE74407B71}" name="3" totalsRowFunction="sum" dataDxfId="204" totalsRowDxfId="121" dataCellStyle="Currency" totalsRowCellStyle="Currency"/>
    <tableColumn id="7" xr3:uid="{9EDAA289-6BD2-4621-8AAE-0AE5CEEAAFC5}" name="4" totalsRowFunction="sum" dataDxfId="203" totalsRowDxfId="120" dataCellStyle="Currency" totalsRowCellStyle="Currency"/>
    <tableColumn id="8" xr3:uid="{F450E2DA-5359-48B7-B14E-E5C27D43AE68}" name="5" totalsRowFunction="sum" dataDxfId="202" totalsRowDxfId="119" dataCellStyle="Currency" totalsRowCellStyle="Currency"/>
    <tableColumn id="9" xr3:uid="{FF0B9199-AE0F-4499-B66C-E1F850B116CB}" name="6" totalsRowFunction="sum" dataDxfId="201" totalsRowDxfId="118" dataCellStyle="Currency" totalsRowCellStyle="Currency"/>
    <tableColumn id="10" xr3:uid="{EDBAD0F5-8848-4493-AE16-66E6C6E3E955}" name="7" totalsRowFunction="sum" dataDxfId="200" totalsRowDxfId="117" dataCellStyle="Currency" totalsRowCellStyle="Currency"/>
    <tableColumn id="11" xr3:uid="{86A7CF83-422D-4C7A-82C8-E1B8A3999DEB}" name="8" totalsRowFunction="sum" dataDxfId="199" totalsRowDxfId="116" dataCellStyle="Currency" totalsRowCellStyle="Currency"/>
    <tableColumn id="12" xr3:uid="{5CFAEBFB-A5B6-4FB9-BAC9-6FF974917362}" name="9" totalsRowFunction="sum" dataDxfId="198" totalsRowDxfId="115" dataCellStyle="Currency" totalsRowCellStyle="Currency"/>
    <tableColumn id="13" xr3:uid="{A7346897-DC5E-4412-B76B-19E487F0EA50}" name="10" totalsRowFunction="sum" dataDxfId="197" totalsRowDxfId="114" dataCellStyle="Currency" totalsRowCellStyle="Currency"/>
    <tableColumn id="14" xr3:uid="{AF70666E-0222-48CE-ABD7-38C0DAC3EB65}" name="11" totalsRowFunction="sum" dataDxfId="196" totalsRowDxfId="113" dataCellStyle="Currency" totalsRowCellStyle="Currency"/>
    <tableColumn id="15" xr3:uid="{C5710C35-633E-495C-AFAD-73E549AADE72}" name="12" totalsRowFunction="sum" dataDxfId="195" totalsRowDxfId="112" dataCellStyle="Currency" totalsRowCellStyle="Currency"/>
    <tableColumn id="16" xr3:uid="{C9345886-EE1B-42A3-ABE4-52179FAA08BD}" name="13" totalsRowFunction="sum" dataDxfId="194" totalsRowDxfId="111" dataCellStyle="Currency" totalsRowCellStyle="Currency"/>
    <tableColumn id="17" xr3:uid="{B4849A6A-DDA8-4AF4-87FD-00CA22AEC9E9}" name="14" totalsRowFunction="sum" dataDxfId="193" totalsRowDxfId="110" dataCellStyle="Currency" totalsRowCellStyle="Currency"/>
    <tableColumn id="18" xr3:uid="{D2DE2397-12D3-4F65-9A13-2EC51C8C182A}" name="15" totalsRowFunction="sum" dataDxfId="192" totalsRowDxfId="109" dataCellStyle="Currency" totalsRowCellStyle="Currency"/>
    <tableColumn id="19" xr3:uid="{47CB8CBA-581C-4A97-AF2F-910947C3F443}" name="16" totalsRowFunction="sum" dataDxfId="191" totalsRowDxfId="108" dataCellStyle="Currency" totalsRowCellStyle="Currency"/>
    <tableColumn id="20" xr3:uid="{E98ADF27-AC4A-4D00-BA29-778062430E16}" name="17" totalsRowFunction="sum" dataDxfId="190" totalsRowDxfId="107" dataCellStyle="Currency" totalsRowCellStyle="Currency"/>
    <tableColumn id="21" xr3:uid="{3F198C19-114E-43BE-8B64-754D5238AC68}" name="18" totalsRowFunction="sum" dataDxfId="189" totalsRowDxfId="106" dataCellStyle="Currency" totalsRowCellStyle="Currency"/>
    <tableColumn id="22" xr3:uid="{ADA3A1ED-F9FE-49A3-82A5-8B62310C4C6D}" name="19" totalsRowFunction="sum" dataDxfId="188" totalsRowDxfId="105" dataCellStyle="Currency" totalsRowCellStyle="Currency"/>
    <tableColumn id="23" xr3:uid="{C86B55FE-94DC-464F-8510-EBEA82D69C7F}" name="20" totalsRowFunction="sum" dataDxfId="187" totalsRowDxfId="104" dataCellStyle="Currency" totalsRowCellStyle="Currency"/>
    <tableColumn id="24" xr3:uid="{9C8395DC-E19C-4820-8D65-DA503EBD9B95}" name="21" totalsRowFunction="sum" dataDxfId="186" totalsRowDxfId="103" dataCellStyle="Currency" totalsRowCellStyle="Currency"/>
    <tableColumn id="25" xr3:uid="{5083B3E6-87B9-4AC6-94D6-B6CE7740063B}" name="22" totalsRowFunction="sum" dataDxfId="185" totalsRowDxfId="102" dataCellStyle="Currency" totalsRowCellStyle="Currency"/>
    <tableColumn id="26" xr3:uid="{2D8CF6C0-22D4-4E57-961E-2EF285A2E79F}" name="23" totalsRowFunction="sum" dataDxfId="184" totalsRowDxfId="101" dataCellStyle="Currency" totalsRowCellStyle="Currency"/>
    <tableColumn id="27" xr3:uid="{64D1860C-B071-4EF3-AB74-99BD45FD7D08}" name="24" totalsRowFunction="sum" dataDxfId="183" totalsRowDxfId="100" dataCellStyle="Currency" totalsRowCellStyle="Currency"/>
    <tableColumn id="28" xr3:uid="{2C3CBC8D-8CD7-4A91-8A0D-19E474BA97ED}" name="25" totalsRowFunction="sum" dataDxfId="182" totalsRowDxfId="99" dataCellStyle="Currency" totalsRowCellStyle="Currency"/>
    <tableColumn id="29" xr3:uid="{E945C6C3-0370-47AF-9C65-77ACBBC365C2}" name="26" totalsRowFunction="sum" dataDxfId="181" totalsRowDxfId="98" dataCellStyle="Currency" totalsRowCellStyle="Currency"/>
    <tableColumn id="30" xr3:uid="{C4C1D1B5-0DFD-4BF5-A4B9-25696DC28CBC}" name="27" totalsRowFunction="sum" dataDxfId="180" totalsRowDxfId="97" dataCellStyle="Currency" totalsRowCellStyle="Currency"/>
    <tableColumn id="31" xr3:uid="{3533AC5E-47AE-452E-8780-F6BF87746A0B}" name="28" totalsRowFunction="sum" dataDxfId="179" totalsRowDxfId="96" dataCellStyle="Currency" totalsRowCellStyle="Currency"/>
    <tableColumn id="32" xr3:uid="{60F867B6-7F3A-44B9-99FB-99503465F9F3}" name="29" totalsRowFunction="sum" dataDxfId="178" totalsRowDxfId="95" dataCellStyle="Currency" totalsRowCellStyle="Currency"/>
    <tableColumn id="33" xr3:uid="{04E4A361-E821-483E-81F7-0BA55DD9ABAD}" name="30" totalsRowFunction="sum" dataDxfId="177" totalsRowDxfId="94" dataCellStyle="Currency" totalsRowCellStyle="Currency"/>
    <tableColumn id="34" xr3:uid="{9522D560-4801-42DB-8491-F3F1E410F709}" name="31" totalsRowFunction="sum" dataDxfId="176" totalsRowDxfId="93" dataCellStyle="Currency" totalsRowCellStyle="Currency"/>
    <tableColumn id="35" xr3:uid="{E0E2170D-4C14-4324-912F-CDB31CC9B022}" name="32" totalsRowFunction="sum" dataDxfId="175" totalsRowDxfId="92" dataCellStyle="Currency" totalsRowCellStyle="Currency"/>
    <tableColumn id="36" xr3:uid="{FC47A4D1-D216-4792-B5C7-E13DDA3B5F6B}" name="33" totalsRowFunction="sum" dataDxfId="174" totalsRowDxfId="91" dataCellStyle="Currency" totalsRowCellStyle="Currency"/>
    <tableColumn id="37" xr3:uid="{147465FD-ED50-4A80-BF4F-322831BCB981}" name="34" totalsRowFunction="sum" dataDxfId="173" totalsRowDxfId="90" dataCellStyle="Currency" totalsRowCellStyle="Currency"/>
    <tableColumn id="38" xr3:uid="{FE80076E-12F8-40C4-B561-F36D76DF3B49}" name="35" totalsRowFunction="sum" dataDxfId="172" totalsRowDxfId="89" dataCellStyle="Currency" totalsRowCellStyle="Currency"/>
    <tableColumn id="39" xr3:uid="{32B3E907-AFA0-421A-B0BC-6901E55B7BE6}" name="36" totalsRowFunction="sum" dataDxfId="171" totalsRowDxfId="88" dataCellStyle="Currency" totalsRowCellStyle="Currency"/>
    <tableColumn id="40" xr3:uid="{D8524986-6027-4C07-866D-EC6EAB5A25AD}" name="37" totalsRowFunction="sum" dataDxfId="170" totalsRowDxfId="87" dataCellStyle="Currency" totalsRowCellStyle="Currency"/>
    <tableColumn id="41" xr3:uid="{F143ADCD-5EFA-4A7D-98AF-C39BEA98E812}" name="38" totalsRowFunction="sum" dataDxfId="169" totalsRowDxfId="86" dataCellStyle="Currency" totalsRowCellStyle="Currency"/>
    <tableColumn id="42" xr3:uid="{74399BD6-D196-4CBC-84A6-76EAA5252431}" name="39" totalsRowFunction="sum" dataDxfId="168" totalsRowDxfId="85" dataCellStyle="Currency" totalsRowCellStyle="Currency"/>
    <tableColumn id="43" xr3:uid="{2D0E2F05-453D-4E30-BB96-2E41FDEC758C}" name="40" totalsRowFunction="sum" dataDxfId="167" totalsRowDxfId="84" dataCellStyle="Currency" totalsRowCellStyle="Currency"/>
    <tableColumn id="44" xr3:uid="{F6AA968E-6BBD-425C-A10B-10DFD44D8BD6}" name="41" totalsRowFunction="sum" dataDxfId="166" totalsRowDxfId="83" dataCellStyle="Currency" totalsRowCellStyle="Currency"/>
    <tableColumn id="45" xr3:uid="{6C89FB48-6E59-4879-9C9F-84590A3225B2}" name="42" totalsRowFunction="sum" dataDxfId="165" totalsRowDxfId="82" dataCellStyle="Currency" totalsRowCellStyle="Currency"/>
    <tableColumn id="46" xr3:uid="{A370CECF-0F26-48F3-9F11-364EBF6D5502}" name="43" totalsRowFunction="sum" dataDxfId="164" totalsRowDxfId="81" dataCellStyle="Currency" totalsRowCellStyle="Currency"/>
    <tableColumn id="47" xr3:uid="{E44AC049-B7F2-46AF-8E22-1600A8EE0D88}" name="44" totalsRowFunction="sum" dataDxfId="163" totalsRowDxfId="80" dataCellStyle="Currency" totalsRowCellStyle="Currency"/>
    <tableColumn id="48" xr3:uid="{78C46CC2-9CFF-4D6E-8564-DF5E0AA44FC5}" name="45" totalsRowFunction="sum" dataDxfId="162" totalsRowDxfId="79" dataCellStyle="Currency" totalsRowCellStyle="Currency"/>
    <tableColumn id="49" xr3:uid="{D18C1136-8833-4395-98E0-BB928A277C54}" name="46" totalsRowFunction="sum" dataDxfId="161" totalsRowDxfId="78" dataCellStyle="Currency" totalsRowCellStyle="Currency"/>
    <tableColumn id="50" xr3:uid="{638161E7-A4F1-4149-ACA1-7F40C027221D}" name="47" totalsRowFunction="sum" dataDxfId="160" totalsRowDxfId="77" dataCellStyle="Currency" totalsRowCellStyle="Currency"/>
    <tableColumn id="51" xr3:uid="{F1518E56-2698-4770-8CE1-D93B99F4382C}" name="48" totalsRowFunction="sum" dataDxfId="159" totalsRowDxfId="76" dataCellStyle="Currency" totalsRowCellStyle="Currency"/>
    <tableColumn id="52" xr3:uid="{ED8E7239-C435-4367-98BB-DDF09A2A2302}" name="49" totalsRowFunction="sum" dataDxfId="158" totalsRowDxfId="75" dataCellStyle="Currency" totalsRowCellStyle="Currency"/>
    <tableColumn id="53" xr3:uid="{83F5243C-778F-4638-886A-89285C3AA33A}" name="50" totalsRowFunction="sum" dataDxfId="157" totalsRowDxfId="74" dataCellStyle="Currency" totalsRowCellStyle="Currency"/>
  </tableColumns>
  <tableStyleInfo name="TableStyleMedium10" showFirstColumn="1"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4DBBA1-2C71-4640-B254-CFFD972542B2}" name="banks10" displayName="banks10" ref="A5:L21" totalsRowCount="1" headerRowDxfId="156">
  <autoFilter ref="A5:L20" xr:uid="{CB1BB1A8-2412-42AE-BA59-16DA36BFBBB4}"/>
  <tableColumns count="12">
    <tableColumn id="1" xr3:uid="{EB08BAC5-4CF6-4984-924E-E74D1E838D35}" name="BANK" totalsRowLabel="Total" dataDxfId="59" totalsRowDxfId="52"/>
    <tableColumn id="2" xr3:uid="{BCC18CAF-DF49-4A8E-8A22-617D5F26D26C}" name="ACCOUNT NUMBER" totalsRowFunction="count" dataDxfId="58" totalsRowDxfId="51" dataCellStyle="Currency"/>
    <tableColumn id="3" xr3:uid="{5C295AAF-FD81-4A2C-92D5-63D3789F23FA}" name="DEBIT CURRENCY" totalsRowFunction="sum" dataDxfId="57" totalsRowDxfId="50"/>
    <tableColumn id="4" xr3:uid="{9EBB8DEF-0AF1-4CBB-AC5F-C63800AD1ECC}" name="DEBIT" totalsRowFunction="sum" totalsRowDxfId="49" dataCellStyle="Currency"/>
    <tableColumn id="5" xr3:uid="{051E169B-2F95-4FD1-A9C4-C588D00388DF}" name="CREDIT CURRENCY" totalsRowFunction="sum" dataDxfId="55" totalsRowDxfId="48"/>
    <tableColumn id="6" xr3:uid="{8A0E7E6C-B52D-4335-A340-7FE68A7C2E7C}" name="CREDIT" totalsRowFunction="sum" totalsRowDxfId="47" dataCellStyle="Currency" totalsRowCellStyle="Currency"/>
    <tableColumn id="7" xr3:uid="{2BE91764-BD24-4020-B108-516BA1127C44}" name="STARTING BALANCE OF CURRENCY" totalsRowFunction="sum" dataDxfId="56" totalsRowDxfId="46"/>
    <tableColumn id="8" xr3:uid="{54C9AE76-34F3-4F6B-825D-10F22EA8E08A}" name="STARTING BALANCE" totalsRowFunction="sum" totalsRowDxfId="45" dataCellStyle="Currency">
      <calculatedColumnFormula>banks10[[#This Row],[DEBIT]]-banks10[[#This Row],[CREDIT]]</calculatedColumnFormula>
    </tableColumn>
    <tableColumn id="9" xr3:uid="{AC8C1F96-EF2A-49E2-A29F-186760B2870A}" name="CURRENT BALANCE" totalsRowFunction="sum" totalsRowDxfId="44" dataCellStyle="Currency">
      <calculatedColumnFormula>SUBTOTAL(109,ledger[[BALANCE ]])</calculatedColumnFormula>
    </tableColumn>
    <tableColumn id="10" xr3:uid="{BBB759D1-6050-408F-9ABF-C572896C4BA2}" name="TOTAL BALANCE" totalsRowFunction="sum" totalsRowDxfId="43" dataCellStyle="Currency">
      <calculatedColumnFormula>banks10[[#This Row],[STARTING BALANCE]]+banks10[[#This Row],[CURRENT BALANCE]]</calculatedColumnFormula>
    </tableColumn>
    <tableColumn id="11" xr3:uid="{E372E09A-17E5-48AB-B41A-2B6755BA9F50}" name="CURRENT BALANCE OF CURRENCY" totalsRowFunction="sum" dataDxfId="54" totalsRowDxfId="42">
      <calculatedColumnFormula>SUMIFS(ledger[DEBIT CURRENCY],ledger[ACCOUNT NAME],"البنك الأهلي المصري")-SUMIFS(ledger[CREDIT CURRENCY],ledger[ACCOUNT NAME],"البنك الأهلي المصري")</calculatedColumnFormula>
    </tableColumn>
    <tableColumn id="12" xr3:uid="{726A8155-FFB9-46B7-B63D-EAFDBCF9CC95}" name="TOTAL BALANCE OF CURRENCY" totalsRowFunction="sum" dataDxfId="53" totalsRowDxfId="41"/>
  </tableColumns>
  <tableStyleInfo name="TableStyleMedium22" showFirstColumn="0" showLastColumn="0" showRowStripes="0"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2E6F84-AB9D-45E3-9803-4EBF73529F87}" name="ledger" displayName="ledger" ref="A5:N34" totalsRowCount="1" headerRowDxfId="155" totalsRowDxfId="152" headerRowBorderDxfId="154" tableBorderDxfId="153" totalsRowBorderDxfId="151">
  <autoFilter ref="A5:N33" xr:uid="{F02E6F84-AB9D-45E3-9803-4EBF73529F87}"/>
  <tableColumns count="14">
    <tableColumn id="1" xr3:uid="{C64AE59D-630B-4207-903F-5324382749CB}" name="DATE" dataDxfId="73" totalsRowDxfId="40"/>
    <tableColumn id="2" xr3:uid="{C2B18FD7-8345-41F2-B57D-C2DF1D196562}" name="Document NO." dataDxfId="72" totalsRowDxfId="39"/>
    <tableColumn id="3" xr3:uid="{97D493FC-078E-46DD-BE31-419D1DE0B8E3}" name="ACCOUNT TYPE" dataDxfId="71" totalsRowDxfId="38"/>
    <tableColumn id="13" xr3:uid="{EE9A6904-469D-490C-A451-F39AEFA1C05A}" name="SUB ACCOUNT" dataDxfId="70" totalsRowDxfId="37"/>
    <tableColumn id="4" xr3:uid="{E46FF20A-F338-431A-98DB-E5DD68B66DC1}" name="ACCOUNT NAME" dataDxfId="69" totalsRowDxfId="36"/>
    <tableColumn id="5" xr3:uid="{D22EE078-B304-46A6-9EFF-91A520F85F00}" name="ACCOUNT NO. " dataDxfId="68" totalsRowDxfId="35" dataCellStyle="Currency"/>
    <tableColumn id="6" xr3:uid="{65043863-E56D-4D97-A8E9-4A6331F58679}" name="CLIENT" dataDxfId="67" totalsRowDxfId="34" dataCellStyle="Currency"/>
    <tableColumn id="7" xr3:uid="{F00B73D2-0FC4-4665-8D59-608E20AD96D6}" name="PROJECT" dataDxfId="66" totalsRowDxfId="33" dataCellStyle="Currency"/>
    <tableColumn id="11" xr3:uid="{5692BDA2-8425-4F97-A04F-BC716FCDE793}" name="DEBIT CURRENCY" totalsRowFunction="sum" dataDxfId="65" totalsRowDxfId="32" dataCellStyle="Currency"/>
    <tableColumn id="10" xr3:uid="{00DF9EA3-0864-4575-883E-60E409871C80}" name="CREDIT CURRENCY" totalsRowFunction="sum" dataDxfId="63" totalsRowDxfId="31" dataCellStyle="Currency"/>
    <tableColumn id="8" xr3:uid="{2E556186-80DB-460A-826C-84CCD37651CF}" name="DEBIT " totalsRowFunction="sum" dataDxfId="64" totalsRowDxfId="30" dataCellStyle="Currency" totalsRowCellStyle="Currency"/>
    <tableColumn id="9" xr3:uid="{4B767762-EC05-4748-AD18-E2259DA8EC7A}" name="CREDIT" totalsRowFunction="sum" dataDxfId="62" totalsRowDxfId="29" dataCellStyle="Currency" totalsRowCellStyle="Currency"/>
    <tableColumn id="12" xr3:uid="{87026AFB-D55E-4DC9-B73A-FAC300DAA4B1}" name="CURRENCY BALANCE" totalsRowFunction="sum" dataDxfId="60" totalsRowDxfId="28" dataCellStyle="Currency">
      <calculatedColumnFormula>ledger[[#This Row],[DEBIT CURRENCY]]-ledger[[#This Row],[CREDIT CURRENCY]]</calculatedColumnFormula>
    </tableColumn>
    <tableColumn id="14" xr3:uid="{ECB939FC-78B9-4A7D-939F-C64A1B9A184B}" name="BALANCE " totalsRowFunction="sum" dataDxfId="61" totalsRowDxfId="27" dataCellStyle="Currency" totalsRowCellStyle="Currency">
      <calculatedColumnFormula>ledger[[#This Row],[DEBIT ]]-ledger[[#This Row],[CREDIT]]</calculatedColumnFormula>
    </tableColumn>
  </tableColumns>
  <tableStyleInfo name="TableStyleLight14" showFirstColumn="0" showLastColumn="0"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0BAC58-FF4E-42F2-A6FD-C066EBFA103E}" name="ledger4" displayName="ledger4" ref="B6:J22" totalsRowCount="1" headerRowDxfId="150" totalsRowDxfId="147" headerRowBorderDxfId="149" tableBorderDxfId="148" totalsRowBorderDxfId="146">
  <autoFilter ref="B6:J21" xr:uid="{F02E6F84-AB9D-45E3-9803-4EBF73529F87}"/>
  <tableColumns count="9">
    <tableColumn id="1" xr3:uid="{0B080D2F-AEE9-4128-8C4D-834D57B007C0}" name="DATE" dataDxfId="145" totalsRowDxfId="8"/>
    <tableColumn id="2" xr3:uid="{ABA1A075-EF5F-45C9-A91D-086ACC5AC28B}" name="Document NO." dataDxfId="144" totalsRowDxfId="7"/>
    <tableColumn id="4" xr3:uid="{E9561F09-9048-4C62-B31E-039F3C7ADB07}" name="CLIENT NAME" dataDxfId="143" totalsRowDxfId="6">
      <calculatedColumnFormula>VLOOKUP(ledger4[[#This Row],[APPARTMENT NO.]],CLIENTSNAME!B:C,2,0)</calculatedColumnFormula>
    </tableColumn>
    <tableColumn id="6" xr3:uid="{17B4487F-E105-4F9B-97E7-6FD5A5701F6A}" name="APPARTMENT NO." dataDxfId="142" totalsRowDxfId="5" dataCellStyle="Currency"/>
    <tableColumn id="7" xr3:uid="{7D668320-6493-486F-A023-AEF0820B0F2A}" name="PROJECT" dataDxfId="26" totalsRowDxfId="4" dataCellStyle="Currency"/>
    <tableColumn id="11" xr3:uid="{29B0C973-0728-4B5F-96C0-549852E1FD53}" name="DEBIT CURRENCY" totalsRowFunction="sum" dataDxfId="25" totalsRowDxfId="3" dataCellStyle="Currency"/>
    <tableColumn id="10" xr3:uid="{07231B32-E80C-4DF9-99CA-DA787C8E261D}" name="CREDIT CURRENCY" totalsRowFunction="sum" dataDxfId="23" totalsRowDxfId="2" dataCellStyle="Currency"/>
    <tableColumn id="8" xr3:uid="{80D46CB6-86B7-4B6C-B983-4C68C7AB2F29}" name="DEBIT" totalsRowFunction="sum" dataDxfId="24" totalsRowDxfId="1" dataCellStyle="Currency"/>
    <tableColumn id="9" xr3:uid="{39267BE1-F688-4C0E-8213-AB5A4F253EF1}" name="CREDIT" totalsRowFunction="sum" dataDxfId="141" totalsRowDxfId="0" dataCellStyle="Currency"/>
  </tableColumns>
  <tableStyleInfo name="TableStyleLight14" showFirstColumn="0" showLastColumn="0" showRowStripes="1"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963C4AB-C50C-417F-AC9B-9348459C2EC0}" name="ledger469" displayName="ledger469" ref="B6:H24" totalsRowCount="1" headerRowDxfId="140" totalsRowDxfId="137" headerRowBorderDxfId="139" tableBorderDxfId="138" totalsRowBorderDxfId="136">
  <autoFilter ref="B6:H23" xr:uid="{F02E6F84-AB9D-45E3-9803-4EBF73529F87}"/>
  <tableColumns count="7">
    <tableColumn id="1" xr3:uid="{34E461BF-B77D-4824-A330-ED4B366D9885}" name="DATE" dataDxfId="135" totalsRowDxfId="22"/>
    <tableColumn id="2" xr3:uid="{6B58791C-7914-473B-B566-A5CCF2619CF1}" name="Document NO." dataDxfId="134" totalsRowDxfId="21"/>
    <tableColumn id="4" xr3:uid="{E7302317-6CA8-4659-A279-BF95E542328A}" name=" DIVERSIFIED REVENUE" dataDxfId="133" totalsRowDxfId="20"/>
    <tableColumn id="6" xr3:uid="{397ED015-AF10-4A74-A85C-7321FD678C6A}" name="APPARTMENT NO." dataDxfId="132" totalsRowDxfId="19" dataCellStyle="Currency"/>
    <tableColumn id="7" xr3:uid="{2CFE2D15-54C2-4AED-82CE-47C92477DABA}" name="PROJECT" dataDxfId="131" totalsRowDxfId="18" dataCellStyle="Currency"/>
    <tableColumn id="8" xr3:uid="{649F8BF7-DCA8-40E7-A57E-11381507FFAA}" name="DEBIT" totalsRowFunction="sum" dataDxfId="130" totalsRowDxfId="17" dataCellStyle="Currency" totalsRowCellStyle="Currency"/>
    <tableColumn id="9" xr3:uid="{CB8284DC-FE53-440F-9B63-62642081217B}" name="CREDIT" totalsRowFunction="sum" dataDxfId="129" totalsRowDxfId="16" dataCellStyle="Currency" totalsRowCellStyle="Currency"/>
  </tableColumns>
  <tableStyleInfo name="TableStyleLight14"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1A849-4AE0-4F43-AED9-E66A7978D954}">
  <dimension ref="B2:F19"/>
  <sheetViews>
    <sheetView rightToLeft="1" workbookViewId="0">
      <selection activeCell="C5" sqref="C5:C6"/>
    </sheetView>
  </sheetViews>
  <sheetFormatPr defaultRowHeight="15.75" x14ac:dyDescent="0.25"/>
  <cols>
    <col min="2" max="2" width="46.125" customWidth="1"/>
    <col min="3" max="3" width="28.5" customWidth="1"/>
    <col min="6" max="6" width="41.125" customWidth="1"/>
  </cols>
  <sheetData>
    <row r="2" spans="2:6" ht="34.5" customHeight="1" x14ac:dyDescent="0.25">
      <c r="B2" s="126" t="s">
        <v>93</v>
      </c>
      <c r="C2" s="126" t="s">
        <v>92</v>
      </c>
    </row>
    <row r="4" spans="2:6" s="43" customFormat="1" ht="29.25" customHeight="1" x14ac:dyDescent="0.25">
      <c r="B4" s="43" t="s">
        <v>8</v>
      </c>
      <c r="C4" s="43" t="s">
        <v>75</v>
      </c>
    </row>
    <row r="5" spans="2:6" ht="20.25" customHeight="1" x14ac:dyDescent="0.25">
      <c r="B5" s="24" t="s">
        <v>74</v>
      </c>
      <c r="C5" s="37" t="s">
        <v>90</v>
      </c>
      <c r="F5" s="41"/>
    </row>
    <row r="6" spans="2:6" ht="20.25" customHeight="1" x14ac:dyDescent="0.25">
      <c r="B6" s="24" t="s">
        <v>76</v>
      </c>
      <c r="C6" s="36" t="s">
        <v>91</v>
      </c>
      <c r="F6" s="41"/>
    </row>
    <row r="7" spans="2:6" ht="20.25" customHeight="1" x14ac:dyDescent="0.25">
      <c r="B7" s="24" t="s">
        <v>77</v>
      </c>
      <c r="C7" s="37"/>
      <c r="F7" s="41"/>
    </row>
    <row r="8" spans="2:6" ht="20.25" customHeight="1" x14ac:dyDescent="0.25">
      <c r="B8" s="24" t="s">
        <v>78</v>
      </c>
      <c r="C8" s="37"/>
      <c r="F8" s="41"/>
    </row>
    <row r="9" spans="2:6" ht="20.25" customHeight="1" x14ac:dyDescent="0.25">
      <c r="B9" s="31" t="s">
        <v>79</v>
      </c>
      <c r="C9" s="37"/>
      <c r="F9" s="41"/>
    </row>
    <row r="10" spans="2:6" ht="20.25" customHeight="1" x14ac:dyDescent="0.25">
      <c r="B10" s="31" t="s">
        <v>80</v>
      </c>
      <c r="C10" s="37"/>
      <c r="F10" s="41"/>
    </row>
    <row r="11" spans="2:6" ht="20.25" customHeight="1" x14ac:dyDescent="0.25">
      <c r="B11" s="31" t="s">
        <v>81</v>
      </c>
      <c r="C11" s="37"/>
      <c r="F11" s="41"/>
    </row>
    <row r="12" spans="2:6" ht="20.25" customHeight="1" x14ac:dyDescent="0.25">
      <c r="B12" s="95" t="s">
        <v>82</v>
      </c>
      <c r="C12" s="96"/>
      <c r="F12" s="41"/>
    </row>
    <row r="13" spans="2:6" ht="20.25" customHeight="1" x14ac:dyDescent="0.25">
      <c r="B13" s="95" t="s">
        <v>83</v>
      </c>
      <c r="C13" s="96"/>
      <c r="F13" s="41"/>
    </row>
    <row r="14" spans="2:6" ht="20.25" customHeight="1" x14ac:dyDescent="0.25">
      <c r="B14" s="95" t="s">
        <v>84</v>
      </c>
      <c r="C14" s="96"/>
    </row>
    <row r="15" spans="2:6" ht="20.25" customHeight="1" x14ac:dyDescent="0.25">
      <c r="B15" s="95" t="s">
        <v>85</v>
      </c>
      <c r="C15" s="96"/>
    </row>
    <row r="16" spans="2:6" ht="20.25" customHeight="1" x14ac:dyDescent="0.25">
      <c r="B16" s="95" t="s">
        <v>86</v>
      </c>
      <c r="C16" s="96"/>
    </row>
    <row r="17" spans="2:3" ht="20.25" customHeight="1" x14ac:dyDescent="0.25">
      <c r="B17" s="39" t="s">
        <v>88</v>
      </c>
      <c r="C17" s="40"/>
    </row>
    <row r="18" spans="2:3" ht="18.75" x14ac:dyDescent="0.25">
      <c r="B18" s="39" t="s">
        <v>89</v>
      </c>
      <c r="C18" s="40"/>
    </row>
    <row r="19" spans="2:3" ht="18.75" x14ac:dyDescent="0.25">
      <c r="B19" s="39" t="s">
        <v>87</v>
      </c>
      <c r="C19" s="4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B40F1-961D-41EF-97D8-66D403BB97EE}">
  <dimension ref="B2:C14"/>
  <sheetViews>
    <sheetView rightToLeft="1" workbookViewId="0">
      <pane ySplit="4" topLeftCell="A5" activePane="bottomLeft" state="frozen"/>
      <selection pane="bottomLeft" activeCell="C7" sqref="C7"/>
    </sheetView>
  </sheetViews>
  <sheetFormatPr defaultRowHeight="20.25" customHeight="1" x14ac:dyDescent="0.25"/>
  <cols>
    <col min="1" max="1" width="5.625" style="71" customWidth="1"/>
    <col min="2" max="2" width="21.875" style="49" customWidth="1"/>
    <col min="3" max="3" width="76.375" style="71" customWidth="1"/>
    <col min="4" max="16384" width="9" style="71"/>
  </cols>
  <sheetData>
    <row r="2" spans="2:3" ht="36.75" customHeight="1" x14ac:dyDescent="0.25">
      <c r="B2" s="49" t="s">
        <v>95</v>
      </c>
      <c r="C2" s="71" t="s">
        <v>94</v>
      </c>
    </row>
    <row r="4" spans="2:3" ht="30" customHeight="1" x14ac:dyDescent="0.25">
      <c r="B4" s="53" t="s">
        <v>96</v>
      </c>
      <c r="C4" s="53" t="s">
        <v>72</v>
      </c>
    </row>
    <row r="5" spans="2:3" ht="20.25" customHeight="1" x14ac:dyDescent="0.25">
      <c r="B5" s="78" t="s">
        <v>97</v>
      </c>
      <c r="C5" s="79" t="s">
        <v>98</v>
      </c>
    </row>
    <row r="6" spans="2:3" ht="20.25" customHeight="1" x14ac:dyDescent="0.25">
      <c r="B6" s="78" t="s">
        <v>130</v>
      </c>
      <c r="C6" s="79" t="s">
        <v>151</v>
      </c>
    </row>
    <row r="7" spans="2:3" ht="20.25" customHeight="1" x14ac:dyDescent="0.25">
      <c r="B7" s="78"/>
      <c r="C7" s="79"/>
    </row>
    <row r="8" spans="2:3" ht="20.25" customHeight="1" x14ac:dyDescent="0.25">
      <c r="B8" s="78"/>
      <c r="C8" s="79"/>
    </row>
    <row r="9" spans="2:3" ht="20.25" customHeight="1" x14ac:dyDescent="0.25">
      <c r="B9" s="78"/>
      <c r="C9" s="79"/>
    </row>
    <row r="10" spans="2:3" ht="20.25" customHeight="1" x14ac:dyDescent="0.25">
      <c r="B10" s="78"/>
      <c r="C10" s="79"/>
    </row>
    <row r="11" spans="2:3" ht="20.25" customHeight="1" x14ac:dyDescent="0.25">
      <c r="B11" s="78"/>
      <c r="C11" s="79"/>
    </row>
    <row r="12" spans="2:3" ht="20.25" customHeight="1" x14ac:dyDescent="0.25">
      <c r="B12" s="78"/>
      <c r="C12" s="79"/>
    </row>
    <row r="13" spans="2:3" ht="20.25" customHeight="1" x14ac:dyDescent="0.25">
      <c r="B13" s="78"/>
      <c r="C13" s="79"/>
    </row>
    <row r="14" spans="2:3" ht="20.25" customHeight="1" x14ac:dyDescent="0.25">
      <c r="B14" s="49" t="s">
        <v>15</v>
      </c>
      <c r="C14" s="71">
        <f>SUBTOTAL(103,CLIENTS[CLIENT NAME])</f>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DADBA-640E-40F3-AB6B-4E2C02F05358}">
  <sheetPr>
    <tabColor theme="5" tint="0.59999389629810485"/>
  </sheetPr>
  <dimension ref="A2:BF41"/>
  <sheetViews>
    <sheetView rightToLeft="1" workbookViewId="0">
      <pane xSplit="4" ySplit="4" topLeftCell="E30" activePane="bottomRight" state="frozen"/>
      <selection pane="topRight" activeCell="E1" sqref="E1"/>
      <selection pane="bottomLeft" activeCell="A4" sqref="A4"/>
      <selection pane="bottomRight" activeCell="C9" sqref="C9"/>
    </sheetView>
  </sheetViews>
  <sheetFormatPr defaultColWidth="16.5" defaultRowHeight="18.75" customHeight="1" x14ac:dyDescent="0.25"/>
  <cols>
    <col min="1" max="1" width="3.875" style="42" customWidth="1"/>
    <col min="2" max="2" width="15.625" style="48" customWidth="1"/>
    <col min="3" max="4" width="17.5" style="47" bestFit="1" customWidth="1"/>
    <col min="5" max="5" width="17.25" style="47" customWidth="1"/>
    <col min="6" max="6" width="17.125" style="47" customWidth="1"/>
    <col min="7" max="7" width="17.25" style="47" customWidth="1"/>
    <col min="8" max="8" width="17.125" style="47" customWidth="1"/>
    <col min="9" max="9" width="17.25" style="47" customWidth="1"/>
    <col min="10" max="10" width="17.125" style="47" customWidth="1"/>
    <col min="11" max="11" width="17.25" style="47" customWidth="1"/>
    <col min="12" max="12" width="17.125" style="47" customWidth="1"/>
    <col min="13" max="13" width="18.5" style="47" customWidth="1"/>
    <col min="14" max="14" width="18.375" style="47" customWidth="1"/>
    <col min="15" max="15" width="18.5" style="47" customWidth="1"/>
    <col min="16" max="16" width="18.375" style="47" customWidth="1"/>
    <col min="17" max="17" width="18.5" style="47" customWidth="1"/>
    <col min="18" max="18" width="18.375" style="47" customWidth="1"/>
    <col min="19" max="19" width="18.5" style="47" customWidth="1"/>
    <col min="20" max="20" width="18.375" style="47" customWidth="1"/>
    <col min="21" max="21" width="18.5" style="47" customWidth="1"/>
    <col min="22" max="22" width="18.375" style="47" customWidth="1"/>
    <col min="23" max="23" width="18.5" style="47" customWidth="1"/>
    <col min="24" max="24" width="18.375" style="47" customWidth="1"/>
    <col min="25" max="25" width="18.5" style="47" customWidth="1"/>
    <col min="26" max="26" width="18.375" style="47" customWidth="1"/>
    <col min="27" max="27" width="18.5" style="47" customWidth="1"/>
    <col min="28" max="28" width="18.375" style="47" customWidth="1"/>
    <col min="29" max="29" width="18.5" style="47" customWidth="1"/>
    <col min="30" max="30" width="18.375" style="47" customWidth="1"/>
    <col min="31" max="31" width="18.5" style="47" customWidth="1"/>
    <col min="32" max="32" width="18.375" style="47" customWidth="1"/>
    <col min="33" max="33" width="18.5" style="47" customWidth="1"/>
    <col min="34" max="34" width="18.375" style="47" customWidth="1"/>
    <col min="35" max="35" width="18.5" style="47" customWidth="1"/>
    <col min="36" max="36" width="18.375" style="47" customWidth="1"/>
    <col min="37" max="37" width="18.5" style="47" customWidth="1"/>
    <col min="38" max="38" width="18.375" style="47" customWidth="1"/>
    <col min="39" max="39" width="18.5" style="47" customWidth="1"/>
    <col min="40" max="40" width="18.375" style="47" customWidth="1"/>
    <col min="41" max="41" width="18.5" style="47" customWidth="1"/>
    <col min="42" max="42" width="18.375" style="47" customWidth="1"/>
    <col min="43" max="43" width="18.5" style="47" customWidth="1"/>
    <col min="44" max="44" width="18.375" style="47" customWidth="1"/>
    <col min="45" max="45" width="18.5" style="47" customWidth="1"/>
    <col min="46" max="46" width="18.375" style="47" customWidth="1"/>
    <col min="47" max="47" width="18.5" style="47" customWidth="1"/>
    <col min="48" max="48" width="18.375" style="47" customWidth="1"/>
    <col min="49" max="49" width="18.5" style="47" customWidth="1"/>
    <col min="50" max="50" width="18.375" style="47" customWidth="1"/>
    <col min="51" max="51" width="18.5" style="47" customWidth="1"/>
    <col min="52" max="52" width="18.375" style="47" customWidth="1"/>
    <col min="53" max="53" width="18.5" style="47" customWidth="1"/>
    <col min="54" max="54" width="18.375" style="47" customWidth="1"/>
    <col min="55" max="58" width="16.5" style="47"/>
    <col min="59" max="16384" width="16.5" style="42"/>
  </cols>
  <sheetData>
    <row r="2" spans="1:58" s="50" customFormat="1" ht="26.25" customHeight="1" x14ac:dyDescent="0.25">
      <c r="A2" s="51"/>
      <c r="B2" s="53"/>
      <c r="C2" s="104" t="s">
        <v>99</v>
      </c>
      <c r="D2" s="104"/>
      <c r="E2" s="105" t="s">
        <v>100</v>
      </c>
      <c r="F2" s="105"/>
      <c r="G2" s="105" t="s">
        <v>101</v>
      </c>
      <c r="H2" s="105"/>
      <c r="I2" s="105" t="s">
        <v>102</v>
      </c>
      <c r="J2" s="105"/>
      <c r="K2" s="105" t="s">
        <v>103</v>
      </c>
      <c r="L2" s="105"/>
      <c r="M2" s="105" t="s">
        <v>104</v>
      </c>
      <c r="N2" s="105"/>
      <c r="O2" s="105" t="s">
        <v>105</v>
      </c>
      <c r="P2" s="105"/>
      <c r="Q2" s="105" t="s">
        <v>106</v>
      </c>
      <c r="R2" s="105"/>
      <c r="S2" s="105" t="s">
        <v>107</v>
      </c>
      <c r="T2" s="105"/>
      <c r="U2" s="105" t="s">
        <v>108</v>
      </c>
      <c r="V2" s="105"/>
      <c r="W2" s="105" t="s">
        <v>109</v>
      </c>
      <c r="X2" s="105"/>
      <c r="Y2" s="105" t="s">
        <v>110</v>
      </c>
      <c r="Z2" s="105"/>
      <c r="AA2" s="105" t="s">
        <v>111</v>
      </c>
      <c r="AB2" s="105"/>
      <c r="AC2" s="105" t="s">
        <v>112</v>
      </c>
      <c r="AD2" s="105"/>
      <c r="AE2" s="105" t="s">
        <v>113</v>
      </c>
      <c r="AF2" s="105"/>
      <c r="AG2" s="105" t="s">
        <v>114</v>
      </c>
      <c r="AH2" s="105"/>
      <c r="AI2" s="105" t="s">
        <v>115</v>
      </c>
      <c r="AJ2" s="105"/>
      <c r="AK2" s="105" t="s">
        <v>116</v>
      </c>
      <c r="AL2" s="105"/>
      <c r="AM2" s="105" t="s">
        <v>117</v>
      </c>
      <c r="AN2" s="105"/>
      <c r="AO2" s="105" t="s">
        <v>118</v>
      </c>
      <c r="AP2" s="105"/>
      <c r="AQ2" s="105" t="s">
        <v>119</v>
      </c>
      <c r="AR2" s="105"/>
      <c r="AS2" s="105" t="s">
        <v>120</v>
      </c>
      <c r="AT2" s="105"/>
      <c r="AU2" s="105" t="s">
        <v>121</v>
      </c>
      <c r="AV2" s="105"/>
      <c r="AW2" s="105" t="s">
        <v>122</v>
      </c>
      <c r="AX2" s="105"/>
      <c r="AY2" s="105" t="s">
        <v>123</v>
      </c>
      <c r="AZ2" s="105"/>
      <c r="BA2" s="105" t="s">
        <v>124</v>
      </c>
      <c r="BB2" s="105"/>
      <c r="BC2" s="106"/>
      <c r="BD2" s="106"/>
      <c r="BE2" s="106"/>
      <c r="BF2" s="106"/>
    </row>
    <row r="3" spans="1:58" s="54" customFormat="1" ht="24.75" customHeight="1" x14ac:dyDescent="0.25">
      <c r="A3" s="53"/>
      <c r="B3" s="52"/>
      <c r="C3" s="57" t="s">
        <v>16</v>
      </c>
      <c r="D3" s="56" t="s">
        <v>19</v>
      </c>
      <c r="E3" s="57" t="s">
        <v>16</v>
      </c>
      <c r="F3" s="56" t="s">
        <v>19</v>
      </c>
      <c r="G3" s="57" t="s">
        <v>16</v>
      </c>
      <c r="H3" s="56" t="s">
        <v>19</v>
      </c>
      <c r="I3" s="57" t="s">
        <v>16</v>
      </c>
      <c r="J3" s="56" t="s">
        <v>19</v>
      </c>
      <c r="K3" s="57" t="s">
        <v>16</v>
      </c>
      <c r="L3" s="56" t="s">
        <v>19</v>
      </c>
      <c r="M3" s="57" t="s">
        <v>16</v>
      </c>
      <c r="N3" s="56" t="s">
        <v>19</v>
      </c>
      <c r="O3" s="57" t="s">
        <v>16</v>
      </c>
      <c r="P3" s="56" t="s">
        <v>19</v>
      </c>
      <c r="Q3" s="57" t="s">
        <v>16</v>
      </c>
      <c r="R3" s="56" t="s">
        <v>19</v>
      </c>
      <c r="S3" s="57" t="s">
        <v>16</v>
      </c>
      <c r="T3" s="56" t="s">
        <v>19</v>
      </c>
      <c r="U3" s="57" t="s">
        <v>16</v>
      </c>
      <c r="V3" s="56" t="s">
        <v>19</v>
      </c>
      <c r="W3" s="57" t="s">
        <v>16</v>
      </c>
      <c r="X3" s="56" t="s">
        <v>19</v>
      </c>
      <c r="Y3" s="57" t="s">
        <v>16</v>
      </c>
      <c r="Z3" s="56" t="s">
        <v>19</v>
      </c>
      <c r="AA3" s="57" t="s">
        <v>16</v>
      </c>
      <c r="AB3" s="56" t="s">
        <v>19</v>
      </c>
      <c r="AC3" s="57" t="s">
        <v>16</v>
      </c>
      <c r="AD3" s="56" t="s">
        <v>19</v>
      </c>
      <c r="AE3" s="57" t="s">
        <v>16</v>
      </c>
      <c r="AF3" s="56" t="s">
        <v>19</v>
      </c>
      <c r="AG3" s="57" t="s">
        <v>16</v>
      </c>
      <c r="AH3" s="56" t="s">
        <v>19</v>
      </c>
      <c r="AI3" s="57" t="s">
        <v>16</v>
      </c>
      <c r="AJ3" s="56" t="s">
        <v>19</v>
      </c>
      <c r="AK3" s="57" t="s">
        <v>16</v>
      </c>
      <c r="AL3" s="56" t="s">
        <v>19</v>
      </c>
      <c r="AM3" s="57" t="s">
        <v>16</v>
      </c>
      <c r="AN3" s="56" t="s">
        <v>19</v>
      </c>
      <c r="AO3" s="57" t="s">
        <v>16</v>
      </c>
      <c r="AP3" s="56" t="s">
        <v>19</v>
      </c>
      <c r="AQ3" s="57" t="s">
        <v>16</v>
      </c>
      <c r="AR3" s="56" t="s">
        <v>19</v>
      </c>
      <c r="AS3" s="57" t="s">
        <v>16</v>
      </c>
      <c r="AT3" s="56" t="s">
        <v>19</v>
      </c>
      <c r="AU3" s="57" t="s">
        <v>16</v>
      </c>
      <c r="AV3" s="56" t="s">
        <v>19</v>
      </c>
      <c r="AW3" s="57" t="s">
        <v>16</v>
      </c>
      <c r="AX3" s="56" t="s">
        <v>19</v>
      </c>
      <c r="AY3" s="57" t="s">
        <v>16</v>
      </c>
      <c r="AZ3" s="56" t="s">
        <v>19</v>
      </c>
      <c r="BA3" s="57" t="s">
        <v>16</v>
      </c>
      <c r="BB3" s="56" t="s">
        <v>19</v>
      </c>
      <c r="BC3" s="55"/>
      <c r="BD3" s="55"/>
      <c r="BE3" s="55"/>
      <c r="BF3" s="55"/>
    </row>
    <row r="4" spans="1:58" s="53" customFormat="1" ht="24.75" customHeight="1" x14ac:dyDescent="0.25">
      <c r="B4" s="53" t="s">
        <v>0</v>
      </c>
      <c r="C4" s="53" t="s">
        <v>17</v>
      </c>
      <c r="D4" s="53" t="s">
        <v>18</v>
      </c>
      <c r="E4" s="53" t="s">
        <v>20</v>
      </c>
      <c r="F4" s="53" t="s">
        <v>22</v>
      </c>
      <c r="G4" s="53" t="s">
        <v>23</v>
      </c>
      <c r="H4" s="53" t="s">
        <v>24</v>
      </c>
      <c r="I4" s="53" t="s">
        <v>25</v>
      </c>
      <c r="J4" s="53" t="s">
        <v>26</v>
      </c>
      <c r="K4" s="53" t="s">
        <v>27</v>
      </c>
      <c r="L4" s="53" t="s">
        <v>28</v>
      </c>
      <c r="M4" s="53" t="s">
        <v>29</v>
      </c>
      <c r="N4" s="53" t="s">
        <v>30</v>
      </c>
      <c r="O4" s="53" t="s">
        <v>31</v>
      </c>
      <c r="P4" s="53" t="s">
        <v>21</v>
      </c>
      <c r="Q4" s="53" t="s">
        <v>32</v>
      </c>
      <c r="R4" s="53" t="s">
        <v>33</v>
      </c>
      <c r="S4" s="53" t="s">
        <v>34</v>
      </c>
      <c r="T4" s="53" t="s">
        <v>35</v>
      </c>
      <c r="U4" s="53" t="s">
        <v>36</v>
      </c>
      <c r="V4" s="53" t="s">
        <v>37</v>
      </c>
      <c r="W4" s="53" t="s">
        <v>38</v>
      </c>
      <c r="X4" s="53" t="s">
        <v>39</v>
      </c>
      <c r="Y4" s="53" t="s">
        <v>40</v>
      </c>
      <c r="Z4" s="53" t="s">
        <v>41</v>
      </c>
      <c r="AA4" s="53" t="s">
        <v>42</v>
      </c>
      <c r="AB4" s="53" t="s">
        <v>43</v>
      </c>
      <c r="AC4" s="53" t="s">
        <v>44</v>
      </c>
      <c r="AD4" s="53" t="s">
        <v>45</v>
      </c>
      <c r="AE4" s="53" t="s">
        <v>46</v>
      </c>
      <c r="AF4" s="53" t="s">
        <v>47</v>
      </c>
      <c r="AG4" s="53" t="s">
        <v>48</v>
      </c>
      <c r="AH4" s="53" t="s">
        <v>49</v>
      </c>
      <c r="AI4" s="53" t="s">
        <v>50</v>
      </c>
      <c r="AJ4" s="53" t="s">
        <v>51</v>
      </c>
      <c r="AK4" s="53" t="s">
        <v>52</v>
      </c>
      <c r="AL4" s="53" t="s">
        <v>53</v>
      </c>
      <c r="AM4" s="53" t="s">
        <v>54</v>
      </c>
      <c r="AN4" s="53" t="s">
        <v>55</v>
      </c>
      <c r="AO4" s="53" t="s">
        <v>56</v>
      </c>
      <c r="AP4" s="53" t="s">
        <v>57</v>
      </c>
      <c r="AQ4" s="53" t="s">
        <v>58</v>
      </c>
      <c r="AR4" s="53" t="s">
        <v>59</v>
      </c>
      <c r="AS4" s="53" t="s">
        <v>60</v>
      </c>
      <c r="AT4" s="53" t="s">
        <v>61</v>
      </c>
      <c r="AU4" s="53" t="s">
        <v>62</v>
      </c>
      <c r="AV4" s="53" t="s">
        <v>63</v>
      </c>
      <c r="AW4" s="53" t="s">
        <v>64</v>
      </c>
      <c r="AX4" s="53" t="s">
        <v>65</v>
      </c>
      <c r="AY4" s="53" t="s">
        <v>66</v>
      </c>
      <c r="AZ4" s="53" t="s">
        <v>67</v>
      </c>
      <c r="BA4" s="53" t="s">
        <v>68</v>
      </c>
      <c r="BB4" s="53" t="s">
        <v>69</v>
      </c>
    </row>
    <row r="5" spans="1:58" ht="18.75" customHeight="1" x14ac:dyDescent="0.25">
      <c r="B5" s="129">
        <v>45658</v>
      </c>
      <c r="C5"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5"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5" s="128">
        <v>0</v>
      </c>
      <c r="F5" s="128">
        <v>0</v>
      </c>
      <c r="G5" s="128">
        <v>0</v>
      </c>
      <c r="H5" s="128">
        <v>0</v>
      </c>
      <c r="I5" s="128">
        <v>0</v>
      </c>
      <c r="J5" s="128">
        <v>0</v>
      </c>
      <c r="K5" s="128">
        <v>0</v>
      </c>
      <c r="L5" s="128">
        <v>0</v>
      </c>
      <c r="M5" s="128">
        <v>0</v>
      </c>
      <c r="N5" s="128">
        <v>0</v>
      </c>
      <c r="O5" s="128">
        <v>0</v>
      </c>
      <c r="P5" s="128">
        <v>0</v>
      </c>
      <c r="Q5" s="128">
        <v>0</v>
      </c>
      <c r="R5" s="128">
        <v>0</v>
      </c>
      <c r="S5" s="128">
        <v>0</v>
      </c>
      <c r="T5" s="128">
        <v>0</v>
      </c>
      <c r="U5" s="128">
        <v>0</v>
      </c>
      <c r="V5" s="128">
        <v>0</v>
      </c>
      <c r="W5" s="128">
        <v>0</v>
      </c>
      <c r="X5" s="128">
        <v>0</v>
      </c>
      <c r="Y5" s="128">
        <v>0</v>
      </c>
      <c r="Z5" s="128">
        <v>0</v>
      </c>
      <c r="AA5" s="128">
        <v>0</v>
      </c>
      <c r="AB5" s="128">
        <v>0</v>
      </c>
      <c r="AC5" s="128">
        <v>0</v>
      </c>
      <c r="AD5" s="128">
        <v>0</v>
      </c>
      <c r="AE5" s="128">
        <v>0</v>
      </c>
      <c r="AF5" s="128">
        <v>0</v>
      </c>
      <c r="AG5" s="128">
        <v>0</v>
      </c>
      <c r="AH5" s="128">
        <v>0</v>
      </c>
      <c r="AI5" s="128">
        <v>0</v>
      </c>
      <c r="AJ5" s="128">
        <v>0</v>
      </c>
      <c r="AK5" s="128">
        <v>0</v>
      </c>
      <c r="AL5" s="128">
        <v>0</v>
      </c>
      <c r="AM5" s="128">
        <v>0</v>
      </c>
      <c r="AN5" s="128">
        <v>0</v>
      </c>
      <c r="AO5" s="128">
        <v>0</v>
      </c>
      <c r="AP5" s="128">
        <v>0</v>
      </c>
      <c r="AQ5" s="128">
        <v>0</v>
      </c>
      <c r="AR5" s="128">
        <v>0</v>
      </c>
      <c r="AS5" s="128">
        <v>0</v>
      </c>
      <c r="AT5" s="128">
        <v>0</v>
      </c>
      <c r="AU5" s="128">
        <v>0</v>
      </c>
      <c r="AV5" s="128">
        <v>0</v>
      </c>
      <c r="AW5" s="128">
        <v>0</v>
      </c>
      <c r="AX5" s="128">
        <v>0</v>
      </c>
      <c r="AY5" s="128">
        <v>0</v>
      </c>
      <c r="AZ5" s="128">
        <v>0</v>
      </c>
      <c r="BA5" s="128">
        <v>0</v>
      </c>
      <c r="BB5" s="128">
        <v>0</v>
      </c>
    </row>
    <row r="6" spans="1:58" ht="18.75" customHeight="1" x14ac:dyDescent="0.25">
      <c r="B6" s="129">
        <v>45660</v>
      </c>
      <c r="C6"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6"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6" s="128">
        <v>0</v>
      </c>
      <c r="F6" s="128">
        <v>0</v>
      </c>
      <c r="G6" s="128">
        <v>0</v>
      </c>
      <c r="H6" s="128">
        <v>0</v>
      </c>
      <c r="I6" s="128">
        <v>0</v>
      </c>
      <c r="J6" s="128">
        <v>0</v>
      </c>
      <c r="K6" s="128">
        <v>0</v>
      </c>
      <c r="L6" s="128">
        <v>0</v>
      </c>
      <c r="M6" s="128">
        <v>0</v>
      </c>
      <c r="N6" s="128">
        <v>0</v>
      </c>
      <c r="O6" s="128">
        <v>0</v>
      </c>
      <c r="P6" s="128">
        <v>0</v>
      </c>
      <c r="Q6" s="128">
        <v>0</v>
      </c>
      <c r="R6" s="128">
        <v>0</v>
      </c>
      <c r="S6" s="128">
        <v>0</v>
      </c>
      <c r="T6" s="128">
        <v>0</v>
      </c>
      <c r="U6" s="128">
        <v>0</v>
      </c>
      <c r="V6" s="128">
        <v>0</v>
      </c>
      <c r="W6" s="128">
        <v>0</v>
      </c>
      <c r="X6" s="128">
        <v>0</v>
      </c>
      <c r="Y6" s="128">
        <v>0</v>
      </c>
      <c r="Z6" s="128">
        <v>0</v>
      </c>
      <c r="AA6" s="128">
        <v>0</v>
      </c>
      <c r="AB6" s="128">
        <v>0</v>
      </c>
      <c r="AC6" s="128">
        <v>0</v>
      </c>
      <c r="AD6" s="128">
        <v>0</v>
      </c>
      <c r="AE6" s="128">
        <v>0</v>
      </c>
      <c r="AF6" s="128">
        <v>0</v>
      </c>
      <c r="AG6" s="128">
        <v>0</v>
      </c>
      <c r="AH6" s="128">
        <v>0</v>
      </c>
      <c r="AI6" s="128">
        <v>0</v>
      </c>
      <c r="AJ6" s="128">
        <v>0</v>
      </c>
      <c r="AK6" s="128">
        <v>0</v>
      </c>
      <c r="AL6" s="128">
        <v>0</v>
      </c>
      <c r="AM6" s="128">
        <v>0</v>
      </c>
      <c r="AN6" s="128">
        <v>0</v>
      </c>
      <c r="AO6" s="128">
        <v>0</v>
      </c>
      <c r="AP6" s="128">
        <v>0</v>
      </c>
      <c r="AQ6" s="128">
        <v>0</v>
      </c>
      <c r="AR6" s="128">
        <v>0</v>
      </c>
      <c r="AS6" s="128">
        <v>0</v>
      </c>
      <c r="AT6" s="128">
        <v>0</v>
      </c>
      <c r="AU6" s="128">
        <v>0</v>
      </c>
      <c r="AV6" s="128">
        <v>0</v>
      </c>
      <c r="AW6" s="128">
        <v>0</v>
      </c>
      <c r="AX6" s="128">
        <v>0</v>
      </c>
      <c r="AY6" s="128">
        <v>0</v>
      </c>
      <c r="AZ6" s="128">
        <v>0</v>
      </c>
      <c r="BA6" s="128">
        <v>0</v>
      </c>
      <c r="BB6" s="128">
        <v>0</v>
      </c>
    </row>
    <row r="7" spans="1:58" ht="18.75" customHeight="1" x14ac:dyDescent="0.25">
      <c r="B7" s="129">
        <v>45667</v>
      </c>
      <c r="C7"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7"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7" s="128">
        <v>0</v>
      </c>
      <c r="F7" s="128">
        <v>0</v>
      </c>
      <c r="G7" s="128">
        <v>0</v>
      </c>
      <c r="H7" s="128">
        <v>0</v>
      </c>
      <c r="I7" s="128">
        <v>0</v>
      </c>
      <c r="J7" s="128">
        <v>0</v>
      </c>
      <c r="K7" s="128">
        <v>0</v>
      </c>
      <c r="L7" s="128">
        <v>0</v>
      </c>
      <c r="M7" s="128">
        <v>0</v>
      </c>
      <c r="N7" s="128">
        <v>0</v>
      </c>
      <c r="O7" s="128">
        <v>0</v>
      </c>
      <c r="P7" s="128">
        <v>0</v>
      </c>
      <c r="Q7" s="128">
        <v>0</v>
      </c>
      <c r="R7" s="128">
        <v>0</v>
      </c>
      <c r="S7" s="128">
        <v>0</v>
      </c>
      <c r="T7" s="128">
        <v>0</v>
      </c>
      <c r="U7" s="128">
        <v>0</v>
      </c>
      <c r="V7" s="128">
        <v>0</v>
      </c>
      <c r="W7" s="128">
        <v>0</v>
      </c>
      <c r="X7" s="128">
        <v>0</v>
      </c>
      <c r="Y7" s="128">
        <v>0</v>
      </c>
      <c r="Z7" s="128">
        <v>0</v>
      </c>
      <c r="AA7" s="128">
        <v>0</v>
      </c>
      <c r="AB7" s="128">
        <v>0</v>
      </c>
      <c r="AC7" s="128">
        <v>0</v>
      </c>
      <c r="AD7" s="128">
        <v>0</v>
      </c>
      <c r="AE7" s="128">
        <v>0</v>
      </c>
      <c r="AF7" s="128">
        <v>0</v>
      </c>
      <c r="AG7" s="128">
        <v>0</v>
      </c>
      <c r="AH7" s="128">
        <v>0</v>
      </c>
      <c r="AI7" s="128">
        <v>0</v>
      </c>
      <c r="AJ7" s="128">
        <v>0</v>
      </c>
      <c r="AK7" s="128">
        <v>0</v>
      </c>
      <c r="AL7" s="128">
        <v>0</v>
      </c>
      <c r="AM7" s="128">
        <v>0</v>
      </c>
      <c r="AN7" s="128">
        <v>0</v>
      </c>
      <c r="AO7" s="128">
        <v>0</v>
      </c>
      <c r="AP7" s="128">
        <v>0</v>
      </c>
      <c r="AQ7" s="128">
        <v>0</v>
      </c>
      <c r="AR7" s="128">
        <v>0</v>
      </c>
      <c r="AS7" s="128">
        <v>0</v>
      </c>
      <c r="AT7" s="128">
        <v>0</v>
      </c>
      <c r="AU7" s="128">
        <v>0</v>
      </c>
      <c r="AV7" s="128">
        <v>0</v>
      </c>
      <c r="AW7" s="128">
        <v>0</v>
      </c>
      <c r="AX7" s="128">
        <v>0</v>
      </c>
      <c r="AY7" s="128">
        <v>0</v>
      </c>
      <c r="AZ7" s="128">
        <v>0</v>
      </c>
      <c r="BA7" s="128">
        <v>0</v>
      </c>
      <c r="BB7" s="128">
        <v>0</v>
      </c>
    </row>
    <row r="8" spans="1:58" ht="18.75" customHeight="1" x14ac:dyDescent="0.25">
      <c r="B8" s="129">
        <v>45674</v>
      </c>
      <c r="C8"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8"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8" s="128">
        <v>0</v>
      </c>
      <c r="F8" s="128">
        <v>0</v>
      </c>
      <c r="G8" s="128">
        <v>0</v>
      </c>
      <c r="H8" s="128">
        <v>0</v>
      </c>
      <c r="I8" s="128">
        <v>0</v>
      </c>
      <c r="J8" s="128">
        <v>0</v>
      </c>
      <c r="K8" s="128">
        <v>0</v>
      </c>
      <c r="L8" s="128">
        <v>0</v>
      </c>
      <c r="M8" s="128">
        <v>0</v>
      </c>
      <c r="N8" s="128">
        <v>0</v>
      </c>
      <c r="O8" s="128">
        <v>0</v>
      </c>
      <c r="P8" s="128">
        <v>0</v>
      </c>
      <c r="Q8" s="128">
        <v>0</v>
      </c>
      <c r="R8" s="128">
        <v>0</v>
      </c>
      <c r="S8" s="128">
        <v>0</v>
      </c>
      <c r="T8" s="128">
        <v>0</v>
      </c>
      <c r="U8" s="128">
        <v>0</v>
      </c>
      <c r="V8" s="128">
        <v>0</v>
      </c>
      <c r="W8" s="128">
        <v>0</v>
      </c>
      <c r="X8" s="128">
        <v>0</v>
      </c>
      <c r="Y8" s="128">
        <v>0</v>
      </c>
      <c r="Z8" s="128">
        <v>0</v>
      </c>
      <c r="AA8" s="128">
        <v>0</v>
      </c>
      <c r="AB8" s="128">
        <v>0</v>
      </c>
      <c r="AC8" s="128">
        <v>0</v>
      </c>
      <c r="AD8" s="128">
        <v>0</v>
      </c>
      <c r="AE8" s="128">
        <v>0</v>
      </c>
      <c r="AF8" s="128">
        <v>0</v>
      </c>
      <c r="AG8" s="128">
        <v>0</v>
      </c>
      <c r="AH8" s="128">
        <v>0</v>
      </c>
      <c r="AI8" s="128">
        <v>0</v>
      </c>
      <c r="AJ8" s="128">
        <v>0</v>
      </c>
      <c r="AK8" s="128">
        <v>0</v>
      </c>
      <c r="AL8" s="128">
        <v>0</v>
      </c>
      <c r="AM8" s="128">
        <v>0</v>
      </c>
      <c r="AN8" s="128">
        <v>0</v>
      </c>
      <c r="AO8" s="128">
        <v>0</v>
      </c>
      <c r="AP8" s="128">
        <v>0</v>
      </c>
      <c r="AQ8" s="128">
        <v>0</v>
      </c>
      <c r="AR8" s="128">
        <v>0</v>
      </c>
      <c r="AS8" s="128">
        <v>0</v>
      </c>
      <c r="AT8" s="128">
        <v>0</v>
      </c>
      <c r="AU8" s="128">
        <v>0</v>
      </c>
      <c r="AV8" s="128">
        <v>0</v>
      </c>
      <c r="AW8" s="128">
        <v>0</v>
      </c>
      <c r="AX8" s="128">
        <v>0</v>
      </c>
      <c r="AY8" s="128">
        <v>0</v>
      </c>
      <c r="AZ8" s="128">
        <v>0</v>
      </c>
      <c r="BA8" s="128">
        <v>0</v>
      </c>
      <c r="BB8" s="128">
        <v>0</v>
      </c>
    </row>
    <row r="9" spans="1:58" ht="18.75" customHeight="1" x14ac:dyDescent="0.25">
      <c r="B9" s="129">
        <v>45681</v>
      </c>
      <c r="C9"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9"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9" s="128">
        <v>0</v>
      </c>
      <c r="F9" s="128">
        <v>0</v>
      </c>
      <c r="G9" s="128">
        <v>0</v>
      </c>
      <c r="H9" s="128">
        <v>0</v>
      </c>
      <c r="I9" s="128">
        <v>0</v>
      </c>
      <c r="J9" s="128">
        <v>0</v>
      </c>
      <c r="K9" s="128">
        <v>0</v>
      </c>
      <c r="L9" s="128">
        <v>0</v>
      </c>
      <c r="M9" s="128">
        <v>0</v>
      </c>
      <c r="N9" s="128">
        <v>0</v>
      </c>
      <c r="O9" s="128">
        <v>0</v>
      </c>
      <c r="P9" s="128">
        <v>0</v>
      </c>
      <c r="Q9" s="128">
        <v>0</v>
      </c>
      <c r="R9" s="128">
        <v>0</v>
      </c>
      <c r="S9" s="128">
        <v>0</v>
      </c>
      <c r="T9" s="128">
        <v>0</v>
      </c>
      <c r="U9" s="128">
        <v>0</v>
      </c>
      <c r="V9" s="128">
        <v>0</v>
      </c>
      <c r="W9" s="128">
        <v>0</v>
      </c>
      <c r="X9" s="128">
        <v>0</v>
      </c>
      <c r="Y9" s="128">
        <v>0</v>
      </c>
      <c r="Z9" s="128">
        <v>0</v>
      </c>
      <c r="AA9" s="128">
        <v>0</v>
      </c>
      <c r="AB9" s="128">
        <v>0</v>
      </c>
      <c r="AC9" s="128">
        <v>0</v>
      </c>
      <c r="AD9" s="128">
        <v>0</v>
      </c>
      <c r="AE9" s="128">
        <v>0</v>
      </c>
      <c r="AF9" s="128">
        <v>0</v>
      </c>
      <c r="AG9" s="128">
        <v>0</v>
      </c>
      <c r="AH9" s="128">
        <v>0</v>
      </c>
      <c r="AI9" s="128">
        <v>0</v>
      </c>
      <c r="AJ9" s="128">
        <v>0</v>
      </c>
      <c r="AK9" s="128">
        <v>0</v>
      </c>
      <c r="AL9" s="128">
        <v>0</v>
      </c>
      <c r="AM9" s="128">
        <v>0</v>
      </c>
      <c r="AN9" s="128">
        <v>0</v>
      </c>
      <c r="AO9" s="128">
        <v>0</v>
      </c>
      <c r="AP9" s="128">
        <v>0</v>
      </c>
      <c r="AQ9" s="128">
        <v>0</v>
      </c>
      <c r="AR9" s="128">
        <v>0</v>
      </c>
      <c r="AS9" s="128">
        <v>0</v>
      </c>
      <c r="AT9" s="128">
        <v>0</v>
      </c>
      <c r="AU9" s="128">
        <v>0</v>
      </c>
      <c r="AV9" s="128">
        <v>0</v>
      </c>
      <c r="AW9" s="128">
        <v>0</v>
      </c>
      <c r="AX9" s="128">
        <v>0</v>
      </c>
      <c r="AY9" s="128">
        <v>0</v>
      </c>
      <c r="AZ9" s="128">
        <v>0</v>
      </c>
      <c r="BA9" s="128">
        <v>0</v>
      </c>
      <c r="BB9" s="128">
        <v>0</v>
      </c>
    </row>
    <row r="10" spans="1:58" ht="18.75" customHeight="1" x14ac:dyDescent="0.25">
      <c r="B10" s="129">
        <v>45682</v>
      </c>
      <c r="C10"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0"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c r="AG10" s="128">
        <v>0</v>
      </c>
      <c r="AH10" s="128">
        <v>0</v>
      </c>
      <c r="AI10" s="128">
        <v>0</v>
      </c>
      <c r="AJ10" s="128">
        <v>0</v>
      </c>
      <c r="AK10" s="128">
        <v>0</v>
      </c>
      <c r="AL10" s="128">
        <v>0</v>
      </c>
      <c r="AM10" s="128">
        <v>0</v>
      </c>
      <c r="AN10" s="128">
        <v>0</v>
      </c>
      <c r="AO10" s="128">
        <v>0</v>
      </c>
      <c r="AP10" s="128">
        <v>0</v>
      </c>
      <c r="AQ10" s="128">
        <v>0</v>
      </c>
      <c r="AR10" s="128">
        <v>0</v>
      </c>
      <c r="AS10" s="128">
        <v>0</v>
      </c>
      <c r="AT10" s="128">
        <v>0</v>
      </c>
      <c r="AU10" s="128">
        <v>0</v>
      </c>
      <c r="AV10" s="128">
        <v>0</v>
      </c>
      <c r="AW10" s="128">
        <v>0</v>
      </c>
      <c r="AX10" s="128">
        <v>0</v>
      </c>
      <c r="AY10" s="128">
        <v>0</v>
      </c>
      <c r="AZ10" s="128">
        <v>0</v>
      </c>
      <c r="BA10" s="128">
        <v>0</v>
      </c>
      <c r="BB10" s="128">
        <v>0</v>
      </c>
    </row>
    <row r="11" spans="1:58" ht="18.75" customHeight="1" x14ac:dyDescent="0.25">
      <c r="B11" s="129">
        <v>45688</v>
      </c>
      <c r="C11"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1"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1" s="128">
        <v>0</v>
      </c>
      <c r="F11" s="128">
        <v>0</v>
      </c>
      <c r="G11" s="128">
        <v>0</v>
      </c>
      <c r="H11" s="128">
        <v>0</v>
      </c>
      <c r="I11" s="128">
        <v>0</v>
      </c>
      <c r="J11" s="128">
        <v>0</v>
      </c>
      <c r="K11" s="128">
        <v>0</v>
      </c>
      <c r="L11" s="128">
        <v>0</v>
      </c>
      <c r="M11" s="128">
        <v>0</v>
      </c>
      <c r="N11" s="128">
        <v>0</v>
      </c>
      <c r="O11" s="128">
        <v>0</v>
      </c>
      <c r="P11" s="128">
        <v>0</v>
      </c>
      <c r="Q11" s="128">
        <v>0</v>
      </c>
      <c r="R11" s="128">
        <v>0</v>
      </c>
      <c r="S11" s="128">
        <v>0</v>
      </c>
      <c r="T11" s="128">
        <v>0</v>
      </c>
      <c r="U11" s="128">
        <v>0</v>
      </c>
      <c r="V11" s="128">
        <v>0</v>
      </c>
      <c r="W11" s="128">
        <v>0</v>
      </c>
      <c r="X11" s="128">
        <v>0</v>
      </c>
      <c r="Y11" s="128">
        <v>0</v>
      </c>
      <c r="Z11" s="128">
        <v>0</v>
      </c>
      <c r="AA11" s="128">
        <v>0</v>
      </c>
      <c r="AB11" s="128">
        <v>0</v>
      </c>
      <c r="AC11" s="128">
        <v>0</v>
      </c>
      <c r="AD11" s="128">
        <v>0</v>
      </c>
      <c r="AE11" s="128">
        <v>0</v>
      </c>
      <c r="AF11" s="128">
        <v>0</v>
      </c>
      <c r="AG11" s="128">
        <v>0</v>
      </c>
      <c r="AH11" s="128">
        <v>0</v>
      </c>
      <c r="AI11" s="128">
        <v>0</v>
      </c>
      <c r="AJ11" s="128">
        <v>0</v>
      </c>
      <c r="AK11" s="128">
        <v>0</v>
      </c>
      <c r="AL11" s="128">
        <v>0</v>
      </c>
      <c r="AM11" s="128">
        <v>0</v>
      </c>
      <c r="AN11" s="128">
        <v>0</v>
      </c>
      <c r="AO11" s="128">
        <v>0</v>
      </c>
      <c r="AP11" s="128">
        <v>0</v>
      </c>
      <c r="AQ11" s="128">
        <v>0</v>
      </c>
      <c r="AR11" s="128">
        <v>0</v>
      </c>
      <c r="AS11" s="128">
        <v>0</v>
      </c>
      <c r="AT11" s="128">
        <v>0</v>
      </c>
      <c r="AU11" s="128">
        <v>0</v>
      </c>
      <c r="AV11" s="128">
        <v>0</v>
      </c>
      <c r="AW11" s="128">
        <v>0</v>
      </c>
      <c r="AX11" s="128">
        <v>0</v>
      </c>
      <c r="AY11" s="128">
        <v>0</v>
      </c>
      <c r="AZ11" s="128">
        <v>0</v>
      </c>
      <c r="BA11" s="128">
        <v>0</v>
      </c>
      <c r="BB11" s="128">
        <v>0</v>
      </c>
    </row>
    <row r="12" spans="1:58" ht="18.75" customHeight="1" x14ac:dyDescent="0.25">
      <c r="B12" s="129"/>
      <c r="C12"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2"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c r="AG12" s="128">
        <v>0</v>
      </c>
      <c r="AH12" s="128">
        <v>0</v>
      </c>
      <c r="AI12" s="128">
        <v>0</v>
      </c>
      <c r="AJ12" s="128">
        <v>0</v>
      </c>
      <c r="AK12" s="128">
        <v>0</v>
      </c>
      <c r="AL12" s="128">
        <v>0</v>
      </c>
      <c r="AM12" s="128">
        <v>0</v>
      </c>
      <c r="AN12" s="128">
        <v>0</v>
      </c>
      <c r="AO12" s="128">
        <v>0</v>
      </c>
      <c r="AP12" s="128">
        <v>0</v>
      </c>
      <c r="AQ12" s="128">
        <v>0</v>
      </c>
      <c r="AR12" s="128">
        <v>0</v>
      </c>
      <c r="AS12" s="128">
        <v>0</v>
      </c>
      <c r="AT12" s="128">
        <v>0</v>
      </c>
      <c r="AU12" s="128">
        <v>0</v>
      </c>
      <c r="AV12" s="128">
        <v>0</v>
      </c>
      <c r="AW12" s="128">
        <v>0</v>
      </c>
      <c r="AX12" s="128">
        <v>0</v>
      </c>
      <c r="AY12" s="128">
        <v>0</v>
      </c>
      <c r="AZ12" s="128">
        <v>0</v>
      </c>
      <c r="BA12" s="128">
        <v>0</v>
      </c>
      <c r="BB12" s="128">
        <v>0</v>
      </c>
    </row>
    <row r="13" spans="1:58" ht="18.75" customHeight="1" x14ac:dyDescent="0.25">
      <c r="B13" s="129"/>
      <c r="C13"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3"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3" s="128">
        <v>0</v>
      </c>
      <c r="F13" s="128">
        <v>0</v>
      </c>
      <c r="G13" s="128">
        <v>0</v>
      </c>
      <c r="H13" s="128">
        <v>0</v>
      </c>
      <c r="I13" s="128">
        <v>0</v>
      </c>
      <c r="J13" s="128">
        <v>0</v>
      </c>
      <c r="K13" s="128">
        <v>0</v>
      </c>
      <c r="L13" s="128">
        <v>0</v>
      </c>
      <c r="M13" s="128">
        <v>0</v>
      </c>
      <c r="N13" s="128">
        <v>0</v>
      </c>
      <c r="O13" s="128">
        <v>0</v>
      </c>
      <c r="P13" s="128">
        <v>0</v>
      </c>
      <c r="Q13" s="128">
        <v>0</v>
      </c>
      <c r="R13" s="128">
        <v>0</v>
      </c>
      <c r="S13" s="128">
        <v>0</v>
      </c>
      <c r="T13" s="128">
        <v>0</v>
      </c>
      <c r="U13" s="128">
        <v>0</v>
      </c>
      <c r="V13" s="128">
        <v>0</v>
      </c>
      <c r="W13" s="128">
        <v>0</v>
      </c>
      <c r="X13" s="128">
        <v>0</v>
      </c>
      <c r="Y13" s="128">
        <v>0</v>
      </c>
      <c r="Z13" s="128">
        <v>0</v>
      </c>
      <c r="AA13" s="128">
        <v>0</v>
      </c>
      <c r="AB13" s="128">
        <v>0</v>
      </c>
      <c r="AC13" s="128">
        <v>0</v>
      </c>
      <c r="AD13" s="128">
        <v>0</v>
      </c>
      <c r="AE13" s="128">
        <v>0</v>
      </c>
      <c r="AF13" s="128">
        <v>0</v>
      </c>
      <c r="AG13" s="128">
        <v>0</v>
      </c>
      <c r="AH13" s="128">
        <v>0</v>
      </c>
      <c r="AI13" s="128">
        <v>0</v>
      </c>
      <c r="AJ13" s="128">
        <v>0</v>
      </c>
      <c r="AK13" s="128">
        <v>0</v>
      </c>
      <c r="AL13" s="128">
        <v>0</v>
      </c>
      <c r="AM13" s="128">
        <v>0</v>
      </c>
      <c r="AN13" s="128">
        <v>0</v>
      </c>
      <c r="AO13" s="128">
        <v>0</v>
      </c>
      <c r="AP13" s="128">
        <v>0</v>
      </c>
      <c r="AQ13" s="128">
        <v>0</v>
      </c>
      <c r="AR13" s="128">
        <v>0</v>
      </c>
      <c r="AS13" s="128">
        <v>0</v>
      </c>
      <c r="AT13" s="128">
        <v>0</v>
      </c>
      <c r="AU13" s="128">
        <v>0</v>
      </c>
      <c r="AV13" s="128">
        <v>0</v>
      </c>
      <c r="AW13" s="128">
        <v>0</v>
      </c>
      <c r="AX13" s="128">
        <v>0</v>
      </c>
      <c r="AY13" s="128">
        <v>0</v>
      </c>
      <c r="AZ13" s="128">
        <v>0</v>
      </c>
      <c r="BA13" s="128">
        <v>0</v>
      </c>
      <c r="BB13" s="128">
        <v>0</v>
      </c>
    </row>
    <row r="14" spans="1:58" ht="18.75" customHeight="1" x14ac:dyDescent="0.25">
      <c r="B14" s="129"/>
      <c r="C14"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4"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4" s="128">
        <v>0</v>
      </c>
      <c r="F14" s="128">
        <v>0</v>
      </c>
      <c r="G14" s="128">
        <v>0</v>
      </c>
      <c r="H14" s="128">
        <v>0</v>
      </c>
      <c r="I14" s="128">
        <v>0</v>
      </c>
      <c r="J14" s="128">
        <v>0</v>
      </c>
      <c r="K14" s="128">
        <v>0</v>
      </c>
      <c r="L14" s="128">
        <v>0</v>
      </c>
      <c r="M14" s="128">
        <v>0</v>
      </c>
      <c r="N14" s="128">
        <v>0</v>
      </c>
      <c r="O14" s="128">
        <v>0</v>
      </c>
      <c r="P14" s="128">
        <v>0</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c r="AG14" s="128">
        <v>0</v>
      </c>
      <c r="AH14" s="128">
        <v>0</v>
      </c>
      <c r="AI14" s="128">
        <v>0</v>
      </c>
      <c r="AJ14" s="128">
        <v>0</v>
      </c>
      <c r="AK14" s="128">
        <v>0</v>
      </c>
      <c r="AL14" s="128">
        <v>0</v>
      </c>
      <c r="AM14" s="128">
        <v>0</v>
      </c>
      <c r="AN14" s="128">
        <v>0</v>
      </c>
      <c r="AO14" s="128">
        <v>0</v>
      </c>
      <c r="AP14" s="128">
        <v>0</v>
      </c>
      <c r="AQ14" s="128">
        <v>0</v>
      </c>
      <c r="AR14" s="128">
        <v>0</v>
      </c>
      <c r="AS14" s="128">
        <v>0</v>
      </c>
      <c r="AT14" s="128">
        <v>0</v>
      </c>
      <c r="AU14" s="128">
        <v>0</v>
      </c>
      <c r="AV14" s="128">
        <v>0</v>
      </c>
      <c r="AW14" s="128">
        <v>0</v>
      </c>
      <c r="AX14" s="128">
        <v>0</v>
      </c>
      <c r="AY14" s="128">
        <v>0</v>
      </c>
      <c r="AZ14" s="128">
        <v>0</v>
      </c>
      <c r="BA14" s="128">
        <v>0</v>
      </c>
      <c r="BB14" s="128">
        <v>0</v>
      </c>
    </row>
    <row r="15" spans="1:58" ht="18.75" customHeight="1" x14ac:dyDescent="0.25">
      <c r="B15" s="129"/>
      <c r="C15"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5"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5" s="128">
        <v>0</v>
      </c>
      <c r="F15" s="128">
        <v>0</v>
      </c>
      <c r="G15" s="128">
        <v>0</v>
      </c>
      <c r="H15" s="128">
        <v>0</v>
      </c>
      <c r="I15" s="128">
        <v>0</v>
      </c>
      <c r="J15" s="128">
        <v>0</v>
      </c>
      <c r="K15" s="128">
        <v>0</v>
      </c>
      <c r="L15" s="128">
        <v>0</v>
      </c>
      <c r="M15" s="128">
        <v>0</v>
      </c>
      <c r="N15" s="128">
        <v>0</v>
      </c>
      <c r="O15" s="128">
        <v>0</v>
      </c>
      <c r="P15" s="128">
        <v>0</v>
      </c>
      <c r="Q15" s="128">
        <v>0</v>
      </c>
      <c r="R15" s="128">
        <v>0</v>
      </c>
      <c r="S15" s="128">
        <v>0</v>
      </c>
      <c r="T15" s="128">
        <v>0</v>
      </c>
      <c r="U15" s="128">
        <v>0</v>
      </c>
      <c r="V15" s="128">
        <v>0</v>
      </c>
      <c r="W15" s="128">
        <v>0</v>
      </c>
      <c r="X15" s="128">
        <v>0</v>
      </c>
      <c r="Y15" s="128">
        <v>0</v>
      </c>
      <c r="Z15" s="128">
        <v>0</v>
      </c>
      <c r="AA15" s="128">
        <v>0</v>
      </c>
      <c r="AB15" s="128">
        <v>0</v>
      </c>
      <c r="AC15" s="128">
        <v>0</v>
      </c>
      <c r="AD15" s="128">
        <v>0</v>
      </c>
      <c r="AE15" s="128">
        <v>0</v>
      </c>
      <c r="AF15" s="128">
        <v>0</v>
      </c>
      <c r="AG15" s="128">
        <v>0</v>
      </c>
      <c r="AH15" s="128">
        <v>0</v>
      </c>
      <c r="AI15" s="128">
        <v>0</v>
      </c>
      <c r="AJ15" s="128">
        <v>0</v>
      </c>
      <c r="AK15" s="128">
        <v>0</v>
      </c>
      <c r="AL15" s="128">
        <v>0</v>
      </c>
      <c r="AM15" s="128">
        <v>0</v>
      </c>
      <c r="AN15" s="128">
        <v>0</v>
      </c>
      <c r="AO15" s="128">
        <v>0</v>
      </c>
      <c r="AP15" s="128">
        <v>0</v>
      </c>
      <c r="AQ15" s="128">
        <v>0</v>
      </c>
      <c r="AR15" s="128">
        <v>0</v>
      </c>
      <c r="AS15" s="128">
        <v>0</v>
      </c>
      <c r="AT15" s="128">
        <v>0</v>
      </c>
      <c r="AU15" s="128">
        <v>0</v>
      </c>
      <c r="AV15" s="128">
        <v>0</v>
      </c>
      <c r="AW15" s="128">
        <v>0</v>
      </c>
      <c r="AX15" s="128">
        <v>0</v>
      </c>
      <c r="AY15" s="128">
        <v>0</v>
      </c>
      <c r="AZ15" s="128">
        <v>0</v>
      </c>
      <c r="BA15" s="128">
        <v>0</v>
      </c>
      <c r="BB15" s="128">
        <v>0</v>
      </c>
    </row>
    <row r="16" spans="1:58" ht="18.75" customHeight="1" x14ac:dyDescent="0.25">
      <c r="B16" s="129"/>
      <c r="C16"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6"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6" s="128">
        <v>0</v>
      </c>
      <c r="F16" s="128">
        <v>0</v>
      </c>
      <c r="G16" s="128">
        <v>0</v>
      </c>
      <c r="H16" s="128">
        <v>0</v>
      </c>
      <c r="I16" s="128">
        <v>0</v>
      </c>
      <c r="J16" s="128">
        <v>0</v>
      </c>
      <c r="K16" s="128">
        <v>0</v>
      </c>
      <c r="L16" s="128">
        <v>0</v>
      </c>
      <c r="M16" s="128">
        <v>0</v>
      </c>
      <c r="N16" s="128">
        <v>0</v>
      </c>
      <c r="O16" s="128">
        <v>0</v>
      </c>
      <c r="P16" s="128">
        <v>0</v>
      </c>
      <c r="Q16" s="128">
        <v>0</v>
      </c>
      <c r="R16" s="128">
        <v>0</v>
      </c>
      <c r="S16" s="128">
        <v>0</v>
      </c>
      <c r="T16" s="128">
        <v>0</v>
      </c>
      <c r="U16" s="128">
        <v>0</v>
      </c>
      <c r="V16" s="128">
        <v>0</v>
      </c>
      <c r="W16" s="128">
        <v>0</v>
      </c>
      <c r="X16" s="128">
        <v>0</v>
      </c>
      <c r="Y16" s="128">
        <v>0</v>
      </c>
      <c r="Z16" s="128">
        <v>0</v>
      </c>
      <c r="AA16" s="128">
        <v>0</v>
      </c>
      <c r="AB16" s="128">
        <v>0</v>
      </c>
      <c r="AC16" s="128">
        <v>0</v>
      </c>
      <c r="AD16" s="128">
        <v>0</v>
      </c>
      <c r="AE16" s="128">
        <v>0</v>
      </c>
      <c r="AF16" s="128">
        <v>0</v>
      </c>
      <c r="AG16" s="128">
        <v>0</v>
      </c>
      <c r="AH16" s="128">
        <v>0</v>
      </c>
      <c r="AI16" s="128">
        <v>0</v>
      </c>
      <c r="AJ16" s="128">
        <v>0</v>
      </c>
      <c r="AK16" s="128">
        <v>0</v>
      </c>
      <c r="AL16" s="128">
        <v>0</v>
      </c>
      <c r="AM16" s="128">
        <v>0</v>
      </c>
      <c r="AN16" s="128">
        <v>0</v>
      </c>
      <c r="AO16" s="128">
        <v>0</v>
      </c>
      <c r="AP16" s="128">
        <v>0</v>
      </c>
      <c r="AQ16" s="128">
        <v>0</v>
      </c>
      <c r="AR16" s="128">
        <v>0</v>
      </c>
      <c r="AS16" s="128">
        <v>0</v>
      </c>
      <c r="AT16" s="128">
        <v>0</v>
      </c>
      <c r="AU16" s="128">
        <v>0</v>
      </c>
      <c r="AV16" s="128">
        <v>0</v>
      </c>
      <c r="AW16" s="128">
        <v>0</v>
      </c>
      <c r="AX16" s="128">
        <v>0</v>
      </c>
      <c r="AY16" s="128">
        <v>0</v>
      </c>
      <c r="AZ16" s="128">
        <v>0</v>
      </c>
      <c r="BA16" s="128">
        <v>0</v>
      </c>
      <c r="BB16" s="128">
        <v>0</v>
      </c>
    </row>
    <row r="17" spans="2:54" ht="18.75" customHeight="1" x14ac:dyDescent="0.25">
      <c r="B17" s="129"/>
      <c r="C17"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7"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7" s="128">
        <v>0</v>
      </c>
      <c r="F17" s="128">
        <v>0</v>
      </c>
      <c r="G17" s="128">
        <v>0</v>
      </c>
      <c r="H17" s="128">
        <v>0</v>
      </c>
      <c r="I17" s="128">
        <v>0</v>
      </c>
      <c r="J17" s="128">
        <v>0</v>
      </c>
      <c r="K17" s="128">
        <v>0</v>
      </c>
      <c r="L17" s="128">
        <v>0</v>
      </c>
      <c r="M17" s="128">
        <v>0</v>
      </c>
      <c r="N17" s="128">
        <v>0</v>
      </c>
      <c r="O17" s="128">
        <v>0</v>
      </c>
      <c r="P17" s="128">
        <v>0</v>
      </c>
      <c r="Q17" s="128">
        <v>0</v>
      </c>
      <c r="R17" s="128">
        <v>0</v>
      </c>
      <c r="S17" s="128">
        <v>0</v>
      </c>
      <c r="T17" s="128">
        <v>0</v>
      </c>
      <c r="U17" s="128">
        <v>0</v>
      </c>
      <c r="V17" s="128">
        <v>0</v>
      </c>
      <c r="W17" s="128">
        <v>0</v>
      </c>
      <c r="X17" s="128">
        <v>0</v>
      </c>
      <c r="Y17" s="128">
        <v>0</v>
      </c>
      <c r="Z17" s="128">
        <v>0</v>
      </c>
      <c r="AA17" s="128">
        <v>0</v>
      </c>
      <c r="AB17" s="128">
        <v>0</v>
      </c>
      <c r="AC17" s="128">
        <v>0</v>
      </c>
      <c r="AD17" s="128">
        <v>0</v>
      </c>
      <c r="AE17" s="128">
        <v>0</v>
      </c>
      <c r="AF17" s="128">
        <v>0</v>
      </c>
      <c r="AG17" s="128">
        <v>0</v>
      </c>
      <c r="AH17" s="128">
        <v>0</v>
      </c>
      <c r="AI17" s="128">
        <v>0</v>
      </c>
      <c r="AJ17" s="128">
        <v>0</v>
      </c>
      <c r="AK17" s="128">
        <v>0</v>
      </c>
      <c r="AL17" s="128">
        <v>0</v>
      </c>
      <c r="AM17" s="128">
        <v>0</v>
      </c>
      <c r="AN17" s="128">
        <v>0</v>
      </c>
      <c r="AO17" s="128">
        <v>0</v>
      </c>
      <c r="AP17" s="128">
        <v>0</v>
      </c>
      <c r="AQ17" s="128">
        <v>0</v>
      </c>
      <c r="AR17" s="128">
        <v>0</v>
      </c>
      <c r="AS17" s="128">
        <v>0</v>
      </c>
      <c r="AT17" s="128">
        <v>0</v>
      </c>
      <c r="AU17" s="128">
        <v>0</v>
      </c>
      <c r="AV17" s="128">
        <v>0</v>
      </c>
      <c r="AW17" s="128">
        <v>0</v>
      </c>
      <c r="AX17" s="128">
        <v>0</v>
      </c>
      <c r="AY17" s="128">
        <v>0</v>
      </c>
      <c r="AZ17" s="128">
        <v>0</v>
      </c>
      <c r="BA17" s="128">
        <v>0</v>
      </c>
      <c r="BB17" s="128">
        <v>0</v>
      </c>
    </row>
    <row r="18" spans="2:54" ht="18.75" customHeight="1" x14ac:dyDescent="0.25">
      <c r="B18" s="129"/>
      <c r="C18"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8"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8" s="128">
        <v>0</v>
      </c>
      <c r="F18" s="128">
        <v>0</v>
      </c>
      <c r="G18" s="128">
        <v>0</v>
      </c>
      <c r="H18" s="128">
        <v>0</v>
      </c>
      <c r="I18" s="128">
        <v>0</v>
      </c>
      <c r="J18" s="128">
        <v>0</v>
      </c>
      <c r="K18" s="128">
        <v>0</v>
      </c>
      <c r="L18" s="128">
        <v>0</v>
      </c>
      <c r="M18" s="128">
        <v>0</v>
      </c>
      <c r="N18" s="128">
        <v>0</v>
      </c>
      <c r="O18" s="128">
        <v>0</v>
      </c>
      <c r="P18" s="128">
        <v>0</v>
      </c>
      <c r="Q18" s="128">
        <v>0</v>
      </c>
      <c r="R18" s="128">
        <v>0</v>
      </c>
      <c r="S18" s="128">
        <v>0</v>
      </c>
      <c r="T18" s="128">
        <v>0</v>
      </c>
      <c r="U18" s="128">
        <v>0</v>
      </c>
      <c r="V18" s="128">
        <v>0</v>
      </c>
      <c r="W18" s="128">
        <v>0</v>
      </c>
      <c r="X18" s="128">
        <v>0</v>
      </c>
      <c r="Y18" s="128">
        <v>0</v>
      </c>
      <c r="Z18" s="128">
        <v>0</v>
      </c>
      <c r="AA18" s="128">
        <v>0</v>
      </c>
      <c r="AB18" s="128">
        <v>0</v>
      </c>
      <c r="AC18" s="128">
        <v>0</v>
      </c>
      <c r="AD18" s="128">
        <v>0</v>
      </c>
      <c r="AE18" s="128">
        <v>0</v>
      </c>
      <c r="AF18" s="128">
        <v>0</v>
      </c>
      <c r="AG18" s="128">
        <v>0</v>
      </c>
      <c r="AH18" s="128">
        <v>0</v>
      </c>
      <c r="AI18" s="128">
        <v>0</v>
      </c>
      <c r="AJ18" s="128">
        <v>0</v>
      </c>
      <c r="AK18" s="128">
        <v>0</v>
      </c>
      <c r="AL18" s="128">
        <v>0</v>
      </c>
      <c r="AM18" s="128">
        <v>0</v>
      </c>
      <c r="AN18" s="128">
        <v>0</v>
      </c>
      <c r="AO18" s="128">
        <v>0</v>
      </c>
      <c r="AP18" s="128">
        <v>0</v>
      </c>
      <c r="AQ18" s="128">
        <v>0</v>
      </c>
      <c r="AR18" s="128">
        <v>0</v>
      </c>
      <c r="AS18" s="128">
        <v>0</v>
      </c>
      <c r="AT18" s="128">
        <v>0</v>
      </c>
      <c r="AU18" s="128">
        <v>0</v>
      </c>
      <c r="AV18" s="128">
        <v>0</v>
      </c>
      <c r="AW18" s="128">
        <v>0</v>
      </c>
      <c r="AX18" s="128">
        <v>0</v>
      </c>
      <c r="AY18" s="128">
        <v>0</v>
      </c>
      <c r="AZ18" s="128">
        <v>0</v>
      </c>
      <c r="BA18" s="128">
        <v>0</v>
      </c>
      <c r="BB18" s="128">
        <v>0</v>
      </c>
    </row>
    <row r="19" spans="2:54" ht="18.75" customHeight="1" x14ac:dyDescent="0.25">
      <c r="B19" s="129"/>
      <c r="C19"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19"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c r="AG19" s="128">
        <v>0</v>
      </c>
      <c r="AH19" s="128">
        <v>0</v>
      </c>
      <c r="AI19" s="128">
        <v>0</v>
      </c>
      <c r="AJ19" s="128">
        <v>0</v>
      </c>
      <c r="AK19" s="128">
        <v>0</v>
      </c>
      <c r="AL19" s="128">
        <v>0</v>
      </c>
      <c r="AM19" s="128">
        <v>0</v>
      </c>
      <c r="AN19" s="128">
        <v>0</v>
      </c>
      <c r="AO19" s="128">
        <v>0</v>
      </c>
      <c r="AP19" s="128">
        <v>0</v>
      </c>
      <c r="AQ19" s="128">
        <v>0</v>
      </c>
      <c r="AR19" s="128">
        <v>0</v>
      </c>
      <c r="AS19" s="128">
        <v>0</v>
      </c>
      <c r="AT19" s="128">
        <v>0</v>
      </c>
      <c r="AU19" s="128">
        <v>0</v>
      </c>
      <c r="AV19" s="128">
        <v>0</v>
      </c>
      <c r="AW19" s="128">
        <v>0</v>
      </c>
      <c r="AX19" s="128">
        <v>0</v>
      </c>
      <c r="AY19" s="128">
        <v>0</v>
      </c>
      <c r="AZ19" s="128">
        <v>0</v>
      </c>
      <c r="BA19" s="128">
        <v>0</v>
      </c>
      <c r="BB19" s="128">
        <v>0</v>
      </c>
    </row>
    <row r="20" spans="2:54" ht="18.75" customHeight="1" x14ac:dyDescent="0.25">
      <c r="B20" s="129"/>
      <c r="C20"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0"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0" s="128">
        <v>0</v>
      </c>
      <c r="F20" s="128">
        <v>0</v>
      </c>
      <c r="G20" s="128">
        <v>0</v>
      </c>
      <c r="H20" s="128">
        <v>0</v>
      </c>
      <c r="I20" s="128">
        <v>0</v>
      </c>
      <c r="J20" s="128">
        <v>0</v>
      </c>
      <c r="K20" s="128">
        <v>0</v>
      </c>
      <c r="L20" s="128">
        <v>0</v>
      </c>
      <c r="M20" s="128">
        <v>0</v>
      </c>
      <c r="N20" s="128">
        <v>0</v>
      </c>
      <c r="O20" s="128">
        <v>0</v>
      </c>
      <c r="P20" s="128">
        <v>0</v>
      </c>
      <c r="Q20" s="128">
        <v>0</v>
      </c>
      <c r="R20" s="128">
        <v>0</v>
      </c>
      <c r="S20" s="128">
        <v>0</v>
      </c>
      <c r="T20" s="128">
        <v>0</v>
      </c>
      <c r="U20" s="128">
        <v>0</v>
      </c>
      <c r="V20" s="128">
        <v>0</v>
      </c>
      <c r="W20" s="128">
        <v>0</v>
      </c>
      <c r="X20" s="128">
        <v>0</v>
      </c>
      <c r="Y20" s="128">
        <v>0</v>
      </c>
      <c r="Z20" s="128">
        <v>0</v>
      </c>
      <c r="AA20" s="128">
        <v>0</v>
      </c>
      <c r="AB20" s="128">
        <v>0</v>
      </c>
      <c r="AC20" s="128">
        <v>0</v>
      </c>
      <c r="AD20" s="128">
        <v>0</v>
      </c>
      <c r="AE20" s="128">
        <v>0</v>
      </c>
      <c r="AF20" s="128">
        <v>0</v>
      </c>
      <c r="AG20" s="128">
        <v>0</v>
      </c>
      <c r="AH20" s="128">
        <v>0</v>
      </c>
      <c r="AI20" s="128">
        <v>0</v>
      </c>
      <c r="AJ20" s="128">
        <v>0</v>
      </c>
      <c r="AK20" s="128">
        <v>0</v>
      </c>
      <c r="AL20" s="128">
        <v>0</v>
      </c>
      <c r="AM20" s="128">
        <v>0</v>
      </c>
      <c r="AN20" s="128">
        <v>0</v>
      </c>
      <c r="AO20" s="128">
        <v>0</v>
      </c>
      <c r="AP20" s="128">
        <v>0</v>
      </c>
      <c r="AQ20" s="128">
        <v>0</v>
      </c>
      <c r="AR20" s="128">
        <v>0</v>
      </c>
      <c r="AS20" s="128">
        <v>0</v>
      </c>
      <c r="AT20" s="128">
        <v>0</v>
      </c>
      <c r="AU20" s="128">
        <v>0</v>
      </c>
      <c r="AV20" s="128">
        <v>0</v>
      </c>
      <c r="AW20" s="128">
        <v>0</v>
      </c>
      <c r="AX20" s="128">
        <v>0</v>
      </c>
      <c r="AY20" s="128">
        <v>0</v>
      </c>
      <c r="AZ20" s="128">
        <v>0</v>
      </c>
      <c r="BA20" s="128">
        <v>0</v>
      </c>
      <c r="BB20" s="128">
        <v>0</v>
      </c>
    </row>
    <row r="21" spans="2:54" ht="18.75" customHeight="1" x14ac:dyDescent="0.25">
      <c r="B21" s="129"/>
      <c r="C21"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1"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1" s="128">
        <v>0</v>
      </c>
      <c r="F21" s="128">
        <v>0</v>
      </c>
      <c r="G21" s="128">
        <v>0</v>
      </c>
      <c r="H21" s="128">
        <v>0</v>
      </c>
      <c r="I21" s="128">
        <v>0</v>
      </c>
      <c r="J21" s="128">
        <v>0</v>
      </c>
      <c r="K21" s="128">
        <v>0</v>
      </c>
      <c r="L21" s="128">
        <v>0</v>
      </c>
      <c r="M21" s="128">
        <v>0</v>
      </c>
      <c r="N21" s="128">
        <v>0</v>
      </c>
      <c r="O21" s="128">
        <v>0</v>
      </c>
      <c r="P21" s="128">
        <v>0</v>
      </c>
      <c r="Q21" s="128">
        <v>0</v>
      </c>
      <c r="R21" s="128">
        <v>0</v>
      </c>
      <c r="S21" s="128">
        <v>0</v>
      </c>
      <c r="T21" s="128">
        <v>0</v>
      </c>
      <c r="U21" s="128">
        <v>0</v>
      </c>
      <c r="V21" s="128">
        <v>0</v>
      </c>
      <c r="W21" s="128">
        <v>0</v>
      </c>
      <c r="X21" s="128">
        <v>0</v>
      </c>
      <c r="Y21" s="128">
        <v>0</v>
      </c>
      <c r="Z21" s="128">
        <v>0</v>
      </c>
      <c r="AA21" s="128">
        <v>0</v>
      </c>
      <c r="AB21" s="128">
        <v>0</v>
      </c>
      <c r="AC21" s="128">
        <v>0</v>
      </c>
      <c r="AD21" s="128">
        <v>0</v>
      </c>
      <c r="AE21" s="128">
        <v>0</v>
      </c>
      <c r="AF21" s="128">
        <v>0</v>
      </c>
      <c r="AG21" s="128">
        <v>0</v>
      </c>
      <c r="AH21" s="128">
        <v>0</v>
      </c>
      <c r="AI21" s="128">
        <v>0</v>
      </c>
      <c r="AJ21" s="128">
        <v>0</v>
      </c>
      <c r="AK21" s="128">
        <v>0</v>
      </c>
      <c r="AL21" s="128">
        <v>0</v>
      </c>
      <c r="AM21" s="128">
        <v>0</v>
      </c>
      <c r="AN21" s="128">
        <v>0</v>
      </c>
      <c r="AO21" s="128">
        <v>0</v>
      </c>
      <c r="AP21" s="128">
        <v>0</v>
      </c>
      <c r="AQ21" s="128">
        <v>0</v>
      </c>
      <c r="AR21" s="128">
        <v>0</v>
      </c>
      <c r="AS21" s="128">
        <v>0</v>
      </c>
      <c r="AT21" s="128">
        <v>0</v>
      </c>
      <c r="AU21" s="128">
        <v>0</v>
      </c>
      <c r="AV21" s="128">
        <v>0</v>
      </c>
      <c r="AW21" s="128">
        <v>0</v>
      </c>
      <c r="AX21" s="128">
        <v>0</v>
      </c>
      <c r="AY21" s="128">
        <v>0</v>
      </c>
      <c r="AZ21" s="128">
        <v>0</v>
      </c>
      <c r="BA21" s="128">
        <v>0</v>
      </c>
      <c r="BB21" s="128">
        <v>0</v>
      </c>
    </row>
    <row r="22" spans="2:54" ht="18.75" customHeight="1" x14ac:dyDescent="0.25">
      <c r="B22" s="129"/>
      <c r="C22"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2"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2" s="128">
        <v>0</v>
      </c>
      <c r="F22" s="128">
        <v>0</v>
      </c>
      <c r="G22" s="128">
        <v>0</v>
      </c>
      <c r="H22" s="128">
        <v>0</v>
      </c>
      <c r="I22" s="128">
        <v>0</v>
      </c>
      <c r="J22" s="128">
        <v>0</v>
      </c>
      <c r="K22" s="128">
        <v>0</v>
      </c>
      <c r="L22" s="128">
        <v>0</v>
      </c>
      <c r="M22" s="128">
        <v>0</v>
      </c>
      <c r="N22" s="128">
        <v>0</v>
      </c>
      <c r="O22" s="128">
        <v>0</v>
      </c>
      <c r="P22" s="128">
        <v>0</v>
      </c>
      <c r="Q22" s="128">
        <v>0</v>
      </c>
      <c r="R22" s="128">
        <v>0</v>
      </c>
      <c r="S22" s="128">
        <v>0</v>
      </c>
      <c r="T22" s="128">
        <v>0</v>
      </c>
      <c r="U22" s="128">
        <v>0</v>
      </c>
      <c r="V22" s="128">
        <v>0</v>
      </c>
      <c r="W22" s="128">
        <v>0</v>
      </c>
      <c r="X22" s="128">
        <v>0</v>
      </c>
      <c r="Y22" s="128">
        <v>0</v>
      </c>
      <c r="Z22" s="128">
        <v>0</v>
      </c>
      <c r="AA22" s="128">
        <v>0</v>
      </c>
      <c r="AB22" s="128">
        <v>0</v>
      </c>
      <c r="AC22" s="128">
        <v>0</v>
      </c>
      <c r="AD22" s="128">
        <v>0</v>
      </c>
      <c r="AE22" s="128">
        <v>0</v>
      </c>
      <c r="AF22" s="128">
        <v>0</v>
      </c>
      <c r="AG22" s="128">
        <v>0</v>
      </c>
      <c r="AH22" s="128">
        <v>0</v>
      </c>
      <c r="AI22" s="128">
        <v>0</v>
      </c>
      <c r="AJ22" s="128">
        <v>0</v>
      </c>
      <c r="AK22" s="128">
        <v>0</v>
      </c>
      <c r="AL22" s="128">
        <v>0</v>
      </c>
      <c r="AM22" s="128">
        <v>0</v>
      </c>
      <c r="AN22" s="128">
        <v>0</v>
      </c>
      <c r="AO22" s="128">
        <v>0</v>
      </c>
      <c r="AP22" s="128">
        <v>0</v>
      </c>
      <c r="AQ22" s="128">
        <v>0</v>
      </c>
      <c r="AR22" s="128">
        <v>0</v>
      </c>
      <c r="AS22" s="128">
        <v>0</v>
      </c>
      <c r="AT22" s="128">
        <v>0</v>
      </c>
      <c r="AU22" s="128">
        <v>0</v>
      </c>
      <c r="AV22" s="128">
        <v>0</v>
      </c>
      <c r="AW22" s="128">
        <v>0</v>
      </c>
      <c r="AX22" s="128">
        <v>0</v>
      </c>
      <c r="AY22" s="128">
        <v>0</v>
      </c>
      <c r="AZ22" s="128">
        <v>0</v>
      </c>
      <c r="BA22" s="128">
        <v>0</v>
      </c>
      <c r="BB22" s="128">
        <v>0</v>
      </c>
    </row>
    <row r="23" spans="2:54" ht="18.75" customHeight="1" x14ac:dyDescent="0.25">
      <c r="B23" s="129"/>
      <c r="C23"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3"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3" s="128">
        <v>0</v>
      </c>
      <c r="F23" s="128">
        <v>0</v>
      </c>
      <c r="G23" s="128">
        <v>0</v>
      </c>
      <c r="H23" s="128">
        <v>0</v>
      </c>
      <c r="I23" s="128">
        <v>0</v>
      </c>
      <c r="J23" s="128">
        <v>0</v>
      </c>
      <c r="K23" s="128">
        <v>0</v>
      </c>
      <c r="L23" s="128">
        <v>0</v>
      </c>
      <c r="M23" s="128">
        <v>0</v>
      </c>
      <c r="N23" s="128">
        <v>0</v>
      </c>
      <c r="O23" s="128">
        <v>0</v>
      </c>
      <c r="P23" s="128">
        <v>0</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G23" s="128">
        <v>0</v>
      </c>
      <c r="AH23" s="128">
        <v>0</v>
      </c>
      <c r="AI23" s="128">
        <v>0</v>
      </c>
      <c r="AJ23" s="128">
        <v>0</v>
      </c>
      <c r="AK23" s="128">
        <v>0</v>
      </c>
      <c r="AL23" s="128">
        <v>0</v>
      </c>
      <c r="AM23" s="128">
        <v>0</v>
      </c>
      <c r="AN23" s="128">
        <v>0</v>
      </c>
      <c r="AO23" s="128">
        <v>0</v>
      </c>
      <c r="AP23" s="128">
        <v>0</v>
      </c>
      <c r="AQ23" s="128">
        <v>0</v>
      </c>
      <c r="AR23" s="128">
        <v>0</v>
      </c>
      <c r="AS23" s="128">
        <v>0</v>
      </c>
      <c r="AT23" s="128">
        <v>0</v>
      </c>
      <c r="AU23" s="128">
        <v>0</v>
      </c>
      <c r="AV23" s="128">
        <v>0</v>
      </c>
      <c r="AW23" s="128">
        <v>0</v>
      </c>
      <c r="AX23" s="128">
        <v>0</v>
      </c>
      <c r="AY23" s="128">
        <v>0</v>
      </c>
      <c r="AZ23" s="128">
        <v>0</v>
      </c>
      <c r="BA23" s="128">
        <v>0</v>
      </c>
      <c r="BB23" s="128">
        <v>0</v>
      </c>
    </row>
    <row r="24" spans="2:54" ht="18.75" customHeight="1" x14ac:dyDescent="0.25">
      <c r="B24" s="129"/>
      <c r="C24"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4"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4" s="128">
        <v>0</v>
      </c>
      <c r="F24" s="128">
        <v>0</v>
      </c>
      <c r="G24" s="128">
        <v>0</v>
      </c>
      <c r="H24" s="128">
        <v>0</v>
      </c>
      <c r="I24" s="128">
        <v>0</v>
      </c>
      <c r="J24" s="128">
        <v>0</v>
      </c>
      <c r="K24" s="128">
        <v>0</v>
      </c>
      <c r="L24" s="128">
        <v>0</v>
      </c>
      <c r="M24" s="128">
        <v>0</v>
      </c>
      <c r="N24" s="128">
        <v>0</v>
      </c>
      <c r="O24" s="128">
        <v>0</v>
      </c>
      <c r="P24" s="128">
        <v>0</v>
      </c>
      <c r="Q24" s="128">
        <v>0</v>
      </c>
      <c r="R24" s="128">
        <v>0</v>
      </c>
      <c r="S24" s="128">
        <v>0</v>
      </c>
      <c r="T24" s="128">
        <v>0</v>
      </c>
      <c r="U24" s="128">
        <v>0</v>
      </c>
      <c r="V24" s="128">
        <v>0</v>
      </c>
      <c r="W24" s="128">
        <v>0</v>
      </c>
      <c r="X24" s="128">
        <v>0</v>
      </c>
      <c r="Y24" s="128">
        <v>0</v>
      </c>
      <c r="Z24" s="128">
        <v>0</v>
      </c>
      <c r="AA24" s="128">
        <v>0</v>
      </c>
      <c r="AB24" s="128">
        <v>0</v>
      </c>
      <c r="AC24" s="128">
        <v>0</v>
      </c>
      <c r="AD24" s="128">
        <v>0</v>
      </c>
      <c r="AE24" s="128">
        <v>0</v>
      </c>
      <c r="AF24" s="128">
        <v>0</v>
      </c>
      <c r="AG24" s="128">
        <v>0</v>
      </c>
      <c r="AH24" s="128">
        <v>0</v>
      </c>
      <c r="AI24" s="128">
        <v>0</v>
      </c>
      <c r="AJ24" s="128">
        <v>0</v>
      </c>
      <c r="AK24" s="128">
        <v>0</v>
      </c>
      <c r="AL24" s="128">
        <v>0</v>
      </c>
      <c r="AM24" s="128">
        <v>0</v>
      </c>
      <c r="AN24" s="128">
        <v>0</v>
      </c>
      <c r="AO24" s="128">
        <v>0</v>
      </c>
      <c r="AP24" s="128">
        <v>0</v>
      </c>
      <c r="AQ24" s="128">
        <v>0</v>
      </c>
      <c r="AR24" s="128">
        <v>0</v>
      </c>
      <c r="AS24" s="128">
        <v>0</v>
      </c>
      <c r="AT24" s="128">
        <v>0</v>
      </c>
      <c r="AU24" s="128">
        <v>0</v>
      </c>
      <c r="AV24" s="128">
        <v>0</v>
      </c>
      <c r="AW24" s="128">
        <v>0</v>
      </c>
      <c r="AX24" s="128">
        <v>0</v>
      </c>
      <c r="AY24" s="128">
        <v>0</v>
      </c>
      <c r="AZ24" s="128">
        <v>0</v>
      </c>
      <c r="BA24" s="128">
        <v>0</v>
      </c>
      <c r="BB24" s="128">
        <v>0</v>
      </c>
    </row>
    <row r="25" spans="2:54" ht="18.75" customHeight="1" x14ac:dyDescent="0.25">
      <c r="B25" s="129"/>
      <c r="C25"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5"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5" s="128">
        <v>0</v>
      </c>
      <c r="F25" s="128">
        <v>0</v>
      </c>
      <c r="G25" s="128">
        <v>0</v>
      </c>
      <c r="H25" s="128">
        <v>0</v>
      </c>
      <c r="I25" s="128">
        <v>0</v>
      </c>
      <c r="J25" s="128">
        <v>0</v>
      </c>
      <c r="K25" s="128">
        <v>0</v>
      </c>
      <c r="L25" s="128">
        <v>0</v>
      </c>
      <c r="M25" s="128">
        <v>0</v>
      </c>
      <c r="N25" s="128">
        <v>0</v>
      </c>
      <c r="O25" s="128">
        <v>0</v>
      </c>
      <c r="P25" s="128">
        <v>0</v>
      </c>
      <c r="Q25" s="128">
        <v>0</v>
      </c>
      <c r="R25" s="128">
        <v>0</v>
      </c>
      <c r="S25" s="128">
        <v>0</v>
      </c>
      <c r="T25" s="128">
        <v>0</v>
      </c>
      <c r="U25" s="128">
        <v>0</v>
      </c>
      <c r="V25" s="128">
        <v>0</v>
      </c>
      <c r="W25" s="128">
        <v>0</v>
      </c>
      <c r="X25" s="128">
        <v>0</v>
      </c>
      <c r="Y25" s="128">
        <v>0</v>
      </c>
      <c r="Z25" s="128">
        <v>0</v>
      </c>
      <c r="AA25" s="128">
        <v>0</v>
      </c>
      <c r="AB25" s="128">
        <v>0</v>
      </c>
      <c r="AC25" s="128">
        <v>0</v>
      </c>
      <c r="AD25" s="128">
        <v>0</v>
      </c>
      <c r="AE25" s="128">
        <v>0</v>
      </c>
      <c r="AF25" s="128">
        <v>0</v>
      </c>
      <c r="AG25" s="128">
        <v>0</v>
      </c>
      <c r="AH25" s="128">
        <v>0</v>
      </c>
      <c r="AI25" s="128">
        <v>0</v>
      </c>
      <c r="AJ25" s="128">
        <v>0</v>
      </c>
      <c r="AK25" s="128">
        <v>0</v>
      </c>
      <c r="AL25" s="128">
        <v>0</v>
      </c>
      <c r="AM25" s="128">
        <v>0</v>
      </c>
      <c r="AN25" s="128">
        <v>0</v>
      </c>
      <c r="AO25" s="128">
        <v>0</v>
      </c>
      <c r="AP25" s="128">
        <v>0</v>
      </c>
      <c r="AQ25" s="128">
        <v>0</v>
      </c>
      <c r="AR25" s="128">
        <v>0</v>
      </c>
      <c r="AS25" s="128">
        <v>0</v>
      </c>
      <c r="AT25" s="128">
        <v>0</v>
      </c>
      <c r="AU25" s="128">
        <v>0</v>
      </c>
      <c r="AV25" s="128">
        <v>0</v>
      </c>
      <c r="AW25" s="128">
        <v>0</v>
      </c>
      <c r="AX25" s="128">
        <v>0</v>
      </c>
      <c r="AY25" s="128">
        <v>0</v>
      </c>
      <c r="AZ25" s="128">
        <v>0</v>
      </c>
      <c r="BA25" s="128">
        <v>0</v>
      </c>
      <c r="BB25" s="128">
        <v>0</v>
      </c>
    </row>
    <row r="26" spans="2:54" ht="18.75" customHeight="1" x14ac:dyDescent="0.25">
      <c r="B26" s="129"/>
      <c r="C26"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6"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6" s="128">
        <v>0</v>
      </c>
      <c r="F26" s="128">
        <v>0</v>
      </c>
      <c r="G26" s="128">
        <v>0</v>
      </c>
      <c r="H26" s="128">
        <v>0</v>
      </c>
      <c r="I26" s="128">
        <v>0</v>
      </c>
      <c r="J26" s="128">
        <v>0</v>
      </c>
      <c r="K26" s="128">
        <v>0</v>
      </c>
      <c r="L26" s="128">
        <v>0</v>
      </c>
      <c r="M26" s="128">
        <v>0</v>
      </c>
      <c r="N26" s="128">
        <v>0</v>
      </c>
      <c r="O26" s="128">
        <v>0</v>
      </c>
      <c r="P26" s="128">
        <v>0</v>
      </c>
      <c r="Q26" s="128">
        <v>0</v>
      </c>
      <c r="R26" s="128">
        <v>0</v>
      </c>
      <c r="S26" s="128">
        <v>0</v>
      </c>
      <c r="T26" s="128">
        <v>0</v>
      </c>
      <c r="U26" s="128">
        <v>0</v>
      </c>
      <c r="V26" s="128">
        <v>0</v>
      </c>
      <c r="W26" s="128">
        <v>0</v>
      </c>
      <c r="X26" s="128">
        <v>0</v>
      </c>
      <c r="Y26" s="128">
        <v>0</v>
      </c>
      <c r="Z26" s="128">
        <v>0</v>
      </c>
      <c r="AA26" s="128">
        <v>0</v>
      </c>
      <c r="AB26" s="128">
        <v>0</v>
      </c>
      <c r="AC26" s="128">
        <v>0</v>
      </c>
      <c r="AD26" s="128">
        <v>0</v>
      </c>
      <c r="AE26" s="128">
        <v>0</v>
      </c>
      <c r="AF26" s="128">
        <v>0</v>
      </c>
      <c r="AG26" s="128">
        <v>0</v>
      </c>
      <c r="AH26" s="128">
        <v>0</v>
      </c>
      <c r="AI26" s="128">
        <v>0</v>
      </c>
      <c r="AJ26" s="128">
        <v>0</v>
      </c>
      <c r="AK26" s="128">
        <v>0</v>
      </c>
      <c r="AL26" s="128">
        <v>0</v>
      </c>
      <c r="AM26" s="128">
        <v>0</v>
      </c>
      <c r="AN26" s="128">
        <v>0</v>
      </c>
      <c r="AO26" s="128">
        <v>0</v>
      </c>
      <c r="AP26" s="128">
        <v>0</v>
      </c>
      <c r="AQ26" s="128">
        <v>0</v>
      </c>
      <c r="AR26" s="128">
        <v>0</v>
      </c>
      <c r="AS26" s="128">
        <v>0</v>
      </c>
      <c r="AT26" s="128">
        <v>0</v>
      </c>
      <c r="AU26" s="128">
        <v>0</v>
      </c>
      <c r="AV26" s="128">
        <v>0</v>
      </c>
      <c r="AW26" s="128">
        <v>0</v>
      </c>
      <c r="AX26" s="128">
        <v>0</v>
      </c>
      <c r="AY26" s="128">
        <v>0</v>
      </c>
      <c r="AZ26" s="128">
        <v>0</v>
      </c>
      <c r="BA26" s="128">
        <v>0</v>
      </c>
      <c r="BB26" s="128">
        <v>0</v>
      </c>
    </row>
    <row r="27" spans="2:54" ht="18.75" customHeight="1" x14ac:dyDescent="0.25">
      <c r="B27" s="129"/>
      <c r="C27"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7"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7" s="128">
        <v>0</v>
      </c>
      <c r="F27" s="128">
        <v>0</v>
      </c>
      <c r="G27" s="128">
        <v>0</v>
      </c>
      <c r="H27" s="128">
        <v>0</v>
      </c>
      <c r="I27" s="128">
        <v>0</v>
      </c>
      <c r="J27" s="128">
        <v>0</v>
      </c>
      <c r="K27" s="128">
        <v>0</v>
      </c>
      <c r="L27" s="128">
        <v>0</v>
      </c>
      <c r="M27" s="128">
        <v>0</v>
      </c>
      <c r="N27" s="128">
        <v>0</v>
      </c>
      <c r="O27" s="128">
        <v>0</v>
      </c>
      <c r="P27" s="128">
        <v>0</v>
      </c>
      <c r="Q27" s="128">
        <v>0</v>
      </c>
      <c r="R27" s="128">
        <v>0</v>
      </c>
      <c r="S27" s="128">
        <v>0</v>
      </c>
      <c r="T27" s="128">
        <v>0</v>
      </c>
      <c r="U27" s="128">
        <v>0</v>
      </c>
      <c r="V27" s="128">
        <v>0</v>
      </c>
      <c r="W27" s="128">
        <v>0</v>
      </c>
      <c r="X27" s="128">
        <v>0</v>
      </c>
      <c r="Y27" s="128">
        <v>0</v>
      </c>
      <c r="Z27" s="128">
        <v>0</v>
      </c>
      <c r="AA27" s="128">
        <v>0</v>
      </c>
      <c r="AB27" s="128">
        <v>0</v>
      </c>
      <c r="AC27" s="128">
        <v>0</v>
      </c>
      <c r="AD27" s="128">
        <v>0</v>
      </c>
      <c r="AE27" s="128">
        <v>0</v>
      </c>
      <c r="AF27" s="128">
        <v>0</v>
      </c>
      <c r="AG27" s="128">
        <v>0</v>
      </c>
      <c r="AH27" s="128">
        <v>0</v>
      </c>
      <c r="AI27" s="128">
        <v>0</v>
      </c>
      <c r="AJ27" s="128">
        <v>0</v>
      </c>
      <c r="AK27" s="128">
        <v>0</v>
      </c>
      <c r="AL27" s="128">
        <v>0</v>
      </c>
      <c r="AM27" s="128">
        <v>0</v>
      </c>
      <c r="AN27" s="128">
        <v>0</v>
      </c>
      <c r="AO27" s="128">
        <v>0</v>
      </c>
      <c r="AP27" s="128">
        <v>0</v>
      </c>
      <c r="AQ27" s="128">
        <v>0</v>
      </c>
      <c r="AR27" s="128">
        <v>0</v>
      </c>
      <c r="AS27" s="128">
        <v>0</v>
      </c>
      <c r="AT27" s="128">
        <v>0</v>
      </c>
      <c r="AU27" s="128">
        <v>0</v>
      </c>
      <c r="AV27" s="128">
        <v>0</v>
      </c>
      <c r="AW27" s="128">
        <v>0</v>
      </c>
      <c r="AX27" s="128">
        <v>0</v>
      </c>
      <c r="AY27" s="128">
        <v>0</v>
      </c>
      <c r="AZ27" s="128">
        <v>0</v>
      </c>
      <c r="BA27" s="128">
        <v>0</v>
      </c>
      <c r="BB27" s="128">
        <v>0</v>
      </c>
    </row>
    <row r="28" spans="2:54" ht="18.75" customHeight="1" x14ac:dyDescent="0.25">
      <c r="B28" s="129"/>
      <c r="C28"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8"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8" s="128">
        <v>0</v>
      </c>
      <c r="F28" s="128">
        <v>0</v>
      </c>
      <c r="G28" s="128">
        <v>0</v>
      </c>
      <c r="H28" s="128">
        <v>0</v>
      </c>
      <c r="I28" s="128">
        <v>0</v>
      </c>
      <c r="J28" s="128">
        <v>0</v>
      </c>
      <c r="K28" s="128">
        <v>0</v>
      </c>
      <c r="L28" s="128">
        <v>0</v>
      </c>
      <c r="M28" s="128">
        <v>0</v>
      </c>
      <c r="N28" s="128">
        <v>0</v>
      </c>
      <c r="O28" s="128">
        <v>0</v>
      </c>
      <c r="P28" s="128">
        <v>0</v>
      </c>
      <c r="Q28" s="128">
        <v>0</v>
      </c>
      <c r="R28" s="128">
        <v>0</v>
      </c>
      <c r="S28" s="128">
        <v>0</v>
      </c>
      <c r="T28" s="128">
        <v>0</v>
      </c>
      <c r="U28" s="128">
        <v>0</v>
      </c>
      <c r="V28" s="128">
        <v>0</v>
      </c>
      <c r="W28" s="128">
        <v>0</v>
      </c>
      <c r="X28" s="128">
        <v>0</v>
      </c>
      <c r="Y28" s="128">
        <v>0</v>
      </c>
      <c r="Z28" s="128">
        <v>0</v>
      </c>
      <c r="AA28" s="128">
        <v>0</v>
      </c>
      <c r="AB28" s="128">
        <v>0</v>
      </c>
      <c r="AC28" s="128">
        <v>0</v>
      </c>
      <c r="AD28" s="128">
        <v>0</v>
      </c>
      <c r="AE28" s="128">
        <v>0</v>
      </c>
      <c r="AF28" s="128">
        <v>0</v>
      </c>
      <c r="AG28" s="128">
        <v>0</v>
      </c>
      <c r="AH28" s="128">
        <v>0</v>
      </c>
      <c r="AI28" s="128">
        <v>0</v>
      </c>
      <c r="AJ28" s="128">
        <v>0</v>
      </c>
      <c r="AK28" s="128">
        <v>0</v>
      </c>
      <c r="AL28" s="128">
        <v>0</v>
      </c>
      <c r="AM28" s="128">
        <v>0</v>
      </c>
      <c r="AN28" s="128">
        <v>0</v>
      </c>
      <c r="AO28" s="128">
        <v>0</v>
      </c>
      <c r="AP28" s="128">
        <v>0</v>
      </c>
      <c r="AQ28" s="128">
        <v>0</v>
      </c>
      <c r="AR28" s="128">
        <v>0</v>
      </c>
      <c r="AS28" s="128">
        <v>0</v>
      </c>
      <c r="AT28" s="128">
        <v>0</v>
      </c>
      <c r="AU28" s="128">
        <v>0</v>
      </c>
      <c r="AV28" s="128">
        <v>0</v>
      </c>
      <c r="AW28" s="128">
        <v>0</v>
      </c>
      <c r="AX28" s="128">
        <v>0</v>
      </c>
      <c r="AY28" s="128">
        <v>0</v>
      </c>
      <c r="AZ28" s="128">
        <v>0</v>
      </c>
      <c r="BA28" s="128">
        <v>0</v>
      </c>
      <c r="BB28" s="128">
        <v>0</v>
      </c>
    </row>
    <row r="29" spans="2:54" ht="18.75" customHeight="1" x14ac:dyDescent="0.25">
      <c r="B29" s="129"/>
      <c r="C29"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29"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29" s="128">
        <v>0</v>
      </c>
      <c r="F29" s="128">
        <v>0</v>
      </c>
      <c r="G29" s="128">
        <v>0</v>
      </c>
      <c r="H29" s="128">
        <v>0</v>
      </c>
      <c r="I29" s="128">
        <v>0</v>
      </c>
      <c r="J29" s="128">
        <v>0</v>
      </c>
      <c r="K29" s="128">
        <v>0</v>
      </c>
      <c r="L29" s="128">
        <v>0</v>
      </c>
      <c r="M29" s="128">
        <v>0</v>
      </c>
      <c r="N29" s="128">
        <v>0</v>
      </c>
      <c r="O29" s="128">
        <v>0</v>
      </c>
      <c r="P29" s="128">
        <v>0</v>
      </c>
      <c r="Q29" s="128">
        <v>0</v>
      </c>
      <c r="R29" s="128">
        <v>0</v>
      </c>
      <c r="S29" s="128">
        <v>0</v>
      </c>
      <c r="T29" s="128">
        <v>0</v>
      </c>
      <c r="U29" s="128">
        <v>0</v>
      </c>
      <c r="V29" s="128">
        <v>0</v>
      </c>
      <c r="W29" s="128">
        <v>0</v>
      </c>
      <c r="X29" s="128">
        <v>0</v>
      </c>
      <c r="Y29" s="128">
        <v>0</v>
      </c>
      <c r="Z29" s="128">
        <v>0</v>
      </c>
      <c r="AA29" s="128">
        <v>0</v>
      </c>
      <c r="AB29" s="128">
        <v>0</v>
      </c>
      <c r="AC29" s="128">
        <v>0</v>
      </c>
      <c r="AD29" s="128">
        <v>0</v>
      </c>
      <c r="AE29" s="128">
        <v>0</v>
      </c>
      <c r="AF29" s="128">
        <v>0</v>
      </c>
      <c r="AG29" s="128">
        <v>0</v>
      </c>
      <c r="AH29" s="128">
        <v>0</v>
      </c>
      <c r="AI29" s="128">
        <v>0</v>
      </c>
      <c r="AJ29" s="128">
        <v>0</v>
      </c>
      <c r="AK29" s="128">
        <v>0</v>
      </c>
      <c r="AL29" s="128">
        <v>0</v>
      </c>
      <c r="AM29" s="128">
        <v>0</v>
      </c>
      <c r="AN29" s="128">
        <v>0</v>
      </c>
      <c r="AO29" s="128">
        <v>0</v>
      </c>
      <c r="AP29" s="128">
        <v>0</v>
      </c>
      <c r="AQ29" s="128">
        <v>0</v>
      </c>
      <c r="AR29" s="128">
        <v>0</v>
      </c>
      <c r="AS29" s="128">
        <v>0</v>
      </c>
      <c r="AT29" s="128">
        <v>0</v>
      </c>
      <c r="AU29" s="128">
        <v>0</v>
      </c>
      <c r="AV29" s="128">
        <v>0</v>
      </c>
      <c r="AW29" s="128">
        <v>0</v>
      </c>
      <c r="AX29" s="128">
        <v>0</v>
      </c>
      <c r="AY29" s="128">
        <v>0</v>
      </c>
      <c r="AZ29" s="128">
        <v>0</v>
      </c>
      <c r="BA29" s="128">
        <v>0</v>
      </c>
      <c r="BB29" s="128">
        <v>0</v>
      </c>
    </row>
    <row r="30" spans="2:54" ht="18.75" customHeight="1" x14ac:dyDescent="0.25">
      <c r="B30" s="129"/>
      <c r="C30"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0"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0" s="128">
        <v>0</v>
      </c>
      <c r="F30" s="128">
        <v>0</v>
      </c>
      <c r="G30" s="128">
        <v>0</v>
      </c>
      <c r="H30" s="128">
        <v>0</v>
      </c>
      <c r="I30" s="128">
        <v>0</v>
      </c>
      <c r="J30" s="128">
        <v>0</v>
      </c>
      <c r="K30" s="128">
        <v>0</v>
      </c>
      <c r="L30" s="128">
        <v>0</v>
      </c>
      <c r="M30" s="128">
        <v>0</v>
      </c>
      <c r="N30" s="128">
        <v>0</v>
      </c>
      <c r="O30" s="128">
        <v>0</v>
      </c>
      <c r="P30" s="128">
        <v>0</v>
      </c>
      <c r="Q30" s="128">
        <v>0</v>
      </c>
      <c r="R30" s="128">
        <v>0</v>
      </c>
      <c r="S30" s="128">
        <v>0</v>
      </c>
      <c r="T30" s="128">
        <v>0</v>
      </c>
      <c r="U30" s="128">
        <v>0</v>
      </c>
      <c r="V30" s="128">
        <v>0</v>
      </c>
      <c r="W30" s="128">
        <v>0</v>
      </c>
      <c r="X30" s="128">
        <v>0</v>
      </c>
      <c r="Y30" s="128">
        <v>0</v>
      </c>
      <c r="Z30" s="128">
        <v>0</v>
      </c>
      <c r="AA30" s="128">
        <v>0</v>
      </c>
      <c r="AB30" s="128">
        <v>0</v>
      </c>
      <c r="AC30" s="128">
        <v>0</v>
      </c>
      <c r="AD30" s="128">
        <v>0</v>
      </c>
      <c r="AE30" s="128">
        <v>0</v>
      </c>
      <c r="AF30" s="128">
        <v>0</v>
      </c>
      <c r="AG30" s="128">
        <v>0</v>
      </c>
      <c r="AH30" s="128">
        <v>0</v>
      </c>
      <c r="AI30" s="128">
        <v>0</v>
      </c>
      <c r="AJ30" s="128">
        <v>0</v>
      </c>
      <c r="AK30" s="128">
        <v>0</v>
      </c>
      <c r="AL30" s="128">
        <v>0</v>
      </c>
      <c r="AM30" s="128">
        <v>0</v>
      </c>
      <c r="AN30" s="128">
        <v>0</v>
      </c>
      <c r="AO30" s="128">
        <v>0</v>
      </c>
      <c r="AP30" s="128">
        <v>0</v>
      </c>
      <c r="AQ30" s="128">
        <v>0</v>
      </c>
      <c r="AR30" s="128">
        <v>0</v>
      </c>
      <c r="AS30" s="128">
        <v>0</v>
      </c>
      <c r="AT30" s="128">
        <v>0</v>
      </c>
      <c r="AU30" s="128">
        <v>0</v>
      </c>
      <c r="AV30" s="128">
        <v>0</v>
      </c>
      <c r="AW30" s="128">
        <v>0</v>
      </c>
      <c r="AX30" s="128">
        <v>0</v>
      </c>
      <c r="AY30" s="128">
        <v>0</v>
      </c>
      <c r="AZ30" s="128">
        <v>0</v>
      </c>
      <c r="BA30" s="128">
        <v>0</v>
      </c>
      <c r="BB30" s="128">
        <v>0</v>
      </c>
    </row>
    <row r="31" spans="2:54" ht="18.75" customHeight="1" x14ac:dyDescent="0.25">
      <c r="B31" s="129"/>
      <c r="C31"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1"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1" s="128">
        <v>0</v>
      </c>
      <c r="F31" s="128">
        <v>0</v>
      </c>
      <c r="G31" s="128">
        <v>0</v>
      </c>
      <c r="H31" s="128">
        <v>0</v>
      </c>
      <c r="I31" s="128">
        <v>0</v>
      </c>
      <c r="J31" s="128">
        <v>0</v>
      </c>
      <c r="K31" s="128">
        <v>0</v>
      </c>
      <c r="L31" s="128">
        <v>0</v>
      </c>
      <c r="M31" s="128">
        <v>0</v>
      </c>
      <c r="N31" s="128">
        <v>0</v>
      </c>
      <c r="O31" s="128">
        <v>0</v>
      </c>
      <c r="P31" s="128">
        <v>0</v>
      </c>
      <c r="Q31" s="128">
        <v>0</v>
      </c>
      <c r="R31" s="128">
        <v>0</v>
      </c>
      <c r="S31" s="128">
        <v>0</v>
      </c>
      <c r="T31" s="128">
        <v>0</v>
      </c>
      <c r="U31" s="128">
        <v>0</v>
      </c>
      <c r="V31" s="128">
        <v>0</v>
      </c>
      <c r="W31" s="128">
        <v>0</v>
      </c>
      <c r="X31" s="128">
        <v>0</v>
      </c>
      <c r="Y31" s="128">
        <v>0</v>
      </c>
      <c r="Z31" s="128">
        <v>0</v>
      </c>
      <c r="AA31" s="128">
        <v>0</v>
      </c>
      <c r="AB31" s="128">
        <v>0</v>
      </c>
      <c r="AC31" s="128">
        <v>0</v>
      </c>
      <c r="AD31" s="128">
        <v>0</v>
      </c>
      <c r="AE31" s="128">
        <v>0</v>
      </c>
      <c r="AF31" s="128">
        <v>0</v>
      </c>
      <c r="AG31" s="128">
        <v>0</v>
      </c>
      <c r="AH31" s="128">
        <v>0</v>
      </c>
      <c r="AI31" s="128">
        <v>0</v>
      </c>
      <c r="AJ31" s="128">
        <v>0</v>
      </c>
      <c r="AK31" s="128">
        <v>0</v>
      </c>
      <c r="AL31" s="128">
        <v>0</v>
      </c>
      <c r="AM31" s="128">
        <v>0</v>
      </c>
      <c r="AN31" s="128">
        <v>0</v>
      </c>
      <c r="AO31" s="128">
        <v>0</v>
      </c>
      <c r="AP31" s="128">
        <v>0</v>
      </c>
      <c r="AQ31" s="128">
        <v>0</v>
      </c>
      <c r="AR31" s="128">
        <v>0</v>
      </c>
      <c r="AS31" s="128">
        <v>0</v>
      </c>
      <c r="AT31" s="128">
        <v>0</v>
      </c>
      <c r="AU31" s="128">
        <v>0</v>
      </c>
      <c r="AV31" s="128">
        <v>0</v>
      </c>
      <c r="AW31" s="128">
        <v>0</v>
      </c>
      <c r="AX31" s="128">
        <v>0</v>
      </c>
      <c r="AY31" s="128">
        <v>0</v>
      </c>
      <c r="AZ31" s="128">
        <v>0</v>
      </c>
      <c r="BA31" s="128">
        <v>0</v>
      </c>
      <c r="BB31" s="128">
        <v>0</v>
      </c>
    </row>
    <row r="32" spans="2:54" ht="18.75" customHeight="1" x14ac:dyDescent="0.25">
      <c r="B32" s="129"/>
      <c r="C32"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2"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2" s="128">
        <v>0</v>
      </c>
      <c r="F32" s="128">
        <v>0</v>
      </c>
      <c r="G32" s="128">
        <v>0</v>
      </c>
      <c r="H32" s="128">
        <v>0</v>
      </c>
      <c r="I32" s="128">
        <v>0</v>
      </c>
      <c r="J32" s="128">
        <v>0</v>
      </c>
      <c r="K32" s="128">
        <v>0</v>
      </c>
      <c r="L32" s="128">
        <v>0</v>
      </c>
      <c r="M32" s="128">
        <v>0</v>
      </c>
      <c r="N32" s="128">
        <v>0</v>
      </c>
      <c r="O32" s="128">
        <v>0</v>
      </c>
      <c r="P32" s="128">
        <v>0</v>
      </c>
      <c r="Q32" s="128">
        <v>0</v>
      </c>
      <c r="R32" s="128">
        <v>0</v>
      </c>
      <c r="S32" s="128">
        <v>0</v>
      </c>
      <c r="T32" s="128">
        <v>0</v>
      </c>
      <c r="U32" s="128">
        <v>0</v>
      </c>
      <c r="V32" s="128">
        <v>0</v>
      </c>
      <c r="W32" s="128">
        <v>0</v>
      </c>
      <c r="X32" s="128">
        <v>0</v>
      </c>
      <c r="Y32" s="128">
        <v>0</v>
      </c>
      <c r="Z32" s="128">
        <v>0</v>
      </c>
      <c r="AA32" s="128">
        <v>0</v>
      </c>
      <c r="AB32" s="128">
        <v>0</v>
      </c>
      <c r="AC32" s="128">
        <v>0</v>
      </c>
      <c r="AD32" s="128">
        <v>0</v>
      </c>
      <c r="AE32" s="128">
        <v>0</v>
      </c>
      <c r="AF32" s="128">
        <v>0</v>
      </c>
      <c r="AG32" s="128">
        <v>0</v>
      </c>
      <c r="AH32" s="128">
        <v>0</v>
      </c>
      <c r="AI32" s="128">
        <v>0</v>
      </c>
      <c r="AJ32" s="128">
        <v>0</v>
      </c>
      <c r="AK32" s="128">
        <v>0</v>
      </c>
      <c r="AL32" s="128">
        <v>0</v>
      </c>
      <c r="AM32" s="128">
        <v>0</v>
      </c>
      <c r="AN32" s="128">
        <v>0</v>
      </c>
      <c r="AO32" s="128">
        <v>0</v>
      </c>
      <c r="AP32" s="128">
        <v>0</v>
      </c>
      <c r="AQ32" s="128">
        <v>0</v>
      </c>
      <c r="AR32" s="128">
        <v>0</v>
      </c>
      <c r="AS32" s="128">
        <v>0</v>
      </c>
      <c r="AT32" s="128">
        <v>0</v>
      </c>
      <c r="AU32" s="128">
        <v>0</v>
      </c>
      <c r="AV32" s="128">
        <v>0</v>
      </c>
      <c r="AW32" s="128">
        <v>0</v>
      </c>
      <c r="AX32" s="128">
        <v>0</v>
      </c>
      <c r="AY32" s="128">
        <v>0</v>
      </c>
      <c r="AZ32" s="128">
        <v>0</v>
      </c>
      <c r="BA32" s="128">
        <v>0</v>
      </c>
      <c r="BB32" s="128">
        <v>0</v>
      </c>
    </row>
    <row r="33" spans="2:54" ht="18.75" customHeight="1" x14ac:dyDescent="0.25">
      <c r="B33" s="129"/>
      <c r="C33"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3"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3" s="128">
        <v>0</v>
      </c>
      <c r="F33" s="128">
        <v>0</v>
      </c>
      <c r="G33" s="128">
        <v>0</v>
      </c>
      <c r="H33" s="128">
        <v>0</v>
      </c>
      <c r="I33" s="128">
        <v>0</v>
      </c>
      <c r="J33" s="128">
        <v>0</v>
      </c>
      <c r="K33" s="128">
        <v>0</v>
      </c>
      <c r="L33" s="128">
        <v>0</v>
      </c>
      <c r="M33" s="128">
        <v>0</v>
      </c>
      <c r="N33" s="128">
        <v>0</v>
      </c>
      <c r="O33" s="128">
        <v>0</v>
      </c>
      <c r="P33" s="128">
        <v>0</v>
      </c>
      <c r="Q33" s="128">
        <v>0</v>
      </c>
      <c r="R33" s="128">
        <v>0</v>
      </c>
      <c r="S33" s="128">
        <v>0</v>
      </c>
      <c r="T33" s="128">
        <v>0</v>
      </c>
      <c r="U33" s="128">
        <v>0</v>
      </c>
      <c r="V33" s="128">
        <v>0</v>
      </c>
      <c r="W33" s="128">
        <v>0</v>
      </c>
      <c r="X33" s="128">
        <v>0</v>
      </c>
      <c r="Y33" s="128">
        <v>0</v>
      </c>
      <c r="Z33" s="128">
        <v>0</v>
      </c>
      <c r="AA33" s="128">
        <v>0</v>
      </c>
      <c r="AB33" s="128">
        <v>0</v>
      </c>
      <c r="AC33" s="128">
        <v>0</v>
      </c>
      <c r="AD33" s="128">
        <v>0</v>
      </c>
      <c r="AE33" s="128">
        <v>0</v>
      </c>
      <c r="AF33" s="128">
        <v>0</v>
      </c>
      <c r="AG33" s="128">
        <v>0</v>
      </c>
      <c r="AH33" s="128">
        <v>0</v>
      </c>
      <c r="AI33" s="128">
        <v>0</v>
      </c>
      <c r="AJ33" s="128">
        <v>0</v>
      </c>
      <c r="AK33" s="128">
        <v>0</v>
      </c>
      <c r="AL33" s="128">
        <v>0</v>
      </c>
      <c r="AM33" s="128">
        <v>0</v>
      </c>
      <c r="AN33" s="128">
        <v>0</v>
      </c>
      <c r="AO33" s="128">
        <v>0</v>
      </c>
      <c r="AP33" s="128">
        <v>0</v>
      </c>
      <c r="AQ33" s="128">
        <v>0</v>
      </c>
      <c r="AR33" s="128">
        <v>0</v>
      </c>
      <c r="AS33" s="128">
        <v>0</v>
      </c>
      <c r="AT33" s="128">
        <v>0</v>
      </c>
      <c r="AU33" s="128">
        <v>0</v>
      </c>
      <c r="AV33" s="128">
        <v>0</v>
      </c>
      <c r="AW33" s="128">
        <v>0</v>
      </c>
      <c r="AX33" s="128">
        <v>0</v>
      </c>
      <c r="AY33" s="128">
        <v>0</v>
      </c>
      <c r="AZ33" s="128">
        <v>0</v>
      </c>
      <c r="BA33" s="128">
        <v>0</v>
      </c>
      <c r="BB33" s="128">
        <v>0</v>
      </c>
    </row>
    <row r="34" spans="2:54" ht="18.75" customHeight="1" x14ac:dyDescent="0.25">
      <c r="B34" s="129"/>
      <c r="C34"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4"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4" s="128">
        <v>0</v>
      </c>
      <c r="F34" s="128">
        <v>0</v>
      </c>
      <c r="G34" s="128">
        <v>0</v>
      </c>
      <c r="H34" s="128">
        <v>0</v>
      </c>
      <c r="I34" s="128">
        <v>0</v>
      </c>
      <c r="J34" s="128">
        <v>0</v>
      </c>
      <c r="K34" s="128">
        <v>0</v>
      </c>
      <c r="L34" s="128">
        <v>0</v>
      </c>
      <c r="M34" s="128">
        <v>0</v>
      </c>
      <c r="N34" s="128">
        <v>0</v>
      </c>
      <c r="O34" s="128">
        <v>0</v>
      </c>
      <c r="P34" s="128">
        <v>0</v>
      </c>
      <c r="Q34" s="128">
        <v>0</v>
      </c>
      <c r="R34" s="128">
        <v>0</v>
      </c>
      <c r="S34" s="128">
        <v>0</v>
      </c>
      <c r="T34" s="128">
        <v>0</v>
      </c>
      <c r="U34" s="128">
        <v>0</v>
      </c>
      <c r="V34" s="128">
        <v>0</v>
      </c>
      <c r="W34" s="128">
        <v>0</v>
      </c>
      <c r="X34" s="128">
        <v>0</v>
      </c>
      <c r="Y34" s="128">
        <v>0</v>
      </c>
      <c r="Z34" s="128">
        <v>0</v>
      </c>
      <c r="AA34" s="128">
        <v>0</v>
      </c>
      <c r="AB34" s="128">
        <v>0</v>
      </c>
      <c r="AC34" s="128">
        <v>0</v>
      </c>
      <c r="AD34" s="128">
        <v>0</v>
      </c>
      <c r="AE34" s="128">
        <v>0</v>
      </c>
      <c r="AF34" s="128">
        <v>0</v>
      </c>
      <c r="AG34" s="128">
        <v>0</v>
      </c>
      <c r="AH34" s="128">
        <v>0</v>
      </c>
      <c r="AI34" s="128">
        <v>0</v>
      </c>
      <c r="AJ34" s="128">
        <v>0</v>
      </c>
      <c r="AK34" s="128">
        <v>0</v>
      </c>
      <c r="AL34" s="128">
        <v>0</v>
      </c>
      <c r="AM34" s="128">
        <v>0</v>
      </c>
      <c r="AN34" s="128">
        <v>0</v>
      </c>
      <c r="AO34" s="128">
        <v>0</v>
      </c>
      <c r="AP34" s="128">
        <v>0</v>
      </c>
      <c r="AQ34" s="128">
        <v>0</v>
      </c>
      <c r="AR34" s="128">
        <v>0</v>
      </c>
      <c r="AS34" s="128">
        <v>0</v>
      </c>
      <c r="AT34" s="128">
        <v>0</v>
      </c>
      <c r="AU34" s="128">
        <v>0</v>
      </c>
      <c r="AV34" s="128">
        <v>0</v>
      </c>
      <c r="AW34" s="128">
        <v>0</v>
      </c>
      <c r="AX34" s="128">
        <v>0</v>
      </c>
      <c r="AY34" s="128">
        <v>0</v>
      </c>
      <c r="AZ34" s="128">
        <v>0</v>
      </c>
      <c r="BA34" s="128">
        <v>0</v>
      </c>
      <c r="BB34" s="128">
        <v>0</v>
      </c>
    </row>
    <row r="35" spans="2:54" ht="18.75" customHeight="1" x14ac:dyDescent="0.25">
      <c r="B35" s="129"/>
      <c r="C35"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5"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5" s="128">
        <v>0</v>
      </c>
      <c r="F35" s="128">
        <v>0</v>
      </c>
      <c r="G35" s="128">
        <v>0</v>
      </c>
      <c r="H35" s="128">
        <v>0</v>
      </c>
      <c r="I35" s="128">
        <v>0</v>
      </c>
      <c r="J35" s="128">
        <v>0</v>
      </c>
      <c r="K35" s="128">
        <v>0</v>
      </c>
      <c r="L35" s="128">
        <v>0</v>
      </c>
      <c r="M35" s="128">
        <v>0</v>
      </c>
      <c r="N35" s="128">
        <v>0</v>
      </c>
      <c r="O35" s="128">
        <v>0</v>
      </c>
      <c r="P35" s="128">
        <v>0</v>
      </c>
      <c r="Q35" s="128">
        <v>0</v>
      </c>
      <c r="R35" s="128">
        <v>0</v>
      </c>
      <c r="S35" s="128">
        <v>0</v>
      </c>
      <c r="T35" s="128">
        <v>0</v>
      </c>
      <c r="U35" s="128">
        <v>0</v>
      </c>
      <c r="V35" s="128">
        <v>0</v>
      </c>
      <c r="W35" s="128">
        <v>0</v>
      </c>
      <c r="X35" s="128">
        <v>0</v>
      </c>
      <c r="Y35" s="128">
        <v>0</v>
      </c>
      <c r="Z35" s="128">
        <v>0</v>
      </c>
      <c r="AA35" s="128">
        <v>0</v>
      </c>
      <c r="AB35" s="128">
        <v>0</v>
      </c>
      <c r="AC35" s="128">
        <v>0</v>
      </c>
      <c r="AD35" s="128">
        <v>0</v>
      </c>
      <c r="AE35" s="128">
        <v>0</v>
      </c>
      <c r="AF35" s="128">
        <v>0</v>
      </c>
      <c r="AG35" s="128">
        <v>0</v>
      </c>
      <c r="AH35" s="128">
        <v>0</v>
      </c>
      <c r="AI35" s="128">
        <v>0</v>
      </c>
      <c r="AJ35" s="128">
        <v>0</v>
      </c>
      <c r="AK35" s="128">
        <v>0</v>
      </c>
      <c r="AL35" s="128">
        <v>0</v>
      </c>
      <c r="AM35" s="128">
        <v>0</v>
      </c>
      <c r="AN35" s="128">
        <v>0</v>
      </c>
      <c r="AO35" s="128">
        <v>0</v>
      </c>
      <c r="AP35" s="128">
        <v>0</v>
      </c>
      <c r="AQ35" s="128">
        <v>0</v>
      </c>
      <c r="AR35" s="128">
        <v>0</v>
      </c>
      <c r="AS35" s="128">
        <v>0</v>
      </c>
      <c r="AT35" s="128">
        <v>0</v>
      </c>
      <c r="AU35" s="128">
        <v>0</v>
      </c>
      <c r="AV35" s="128">
        <v>0</v>
      </c>
      <c r="AW35" s="128">
        <v>0</v>
      </c>
      <c r="AX35" s="128">
        <v>0</v>
      </c>
      <c r="AY35" s="128">
        <v>0</v>
      </c>
      <c r="AZ35" s="128">
        <v>0</v>
      </c>
      <c r="BA35" s="128">
        <v>0</v>
      </c>
      <c r="BB35" s="128">
        <v>0</v>
      </c>
    </row>
    <row r="36" spans="2:54" ht="18.75" customHeight="1" x14ac:dyDescent="0.25">
      <c r="B36" s="129"/>
      <c r="C36"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6"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6" s="128">
        <v>0</v>
      </c>
      <c r="F36" s="128">
        <v>0</v>
      </c>
      <c r="G36" s="128">
        <v>0</v>
      </c>
      <c r="H36" s="128">
        <v>0</v>
      </c>
      <c r="I36" s="128">
        <v>0</v>
      </c>
      <c r="J36" s="128">
        <v>0</v>
      </c>
      <c r="K36" s="128">
        <v>0</v>
      </c>
      <c r="L36" s="128">
        <v>0</v>
      </c>
      <c r="M36" s="128">
        <v>0</v>
      </c>
      <c r="N36" s="128">
        <v>0</v>
      </c>
      <c r="O36" s="128">
        <v>0</v>
      </c>
      <c r="P36" s="128">
        <v>0</v>
      </c>
      <c r="Q36" s="128">
        <v>0</v>
      </c>
      <c r="R36" s="128">
        <v>0</v>
      </c>
      <c r="S36" s="128">
        <v>0</v>
      </c>
      <c r="T36" s="128">
        <v>0</v>
      </c>
      <c r="U36" s="128">
        <v>0</v>
      </c>
      <c r="V36" s="128">
        <v>0</v>
      </c>
      <c r="W36" s="128">
        <v>0</v>
      </c>
      <c r="X36" s="128">
        <v>0</v>
      </c>
      <c r="Y36" s="128">
        <v>0</v>
      </c>
      <c r="Z36" s="128">
        <v>0</v>
      </c>
      <c r="AA36" s="128">
        <v>0</v>
      </c>
      <c r="AB36" s="128">
        <v>0</v>
      </c>
      <c r="AC36" s="128">
        <v>0</v>
      </c>
      <c r="AD36" s="128">
        <v>0</v>
      </c>
      <c r="AE36" s="128">
        <v>0</v>
      </c>
      <c r="AF36" s="128">
        <v>0</v>
      </c>
      <c r="AG36" s="128">
        <v>0</v>
      </c>
      <c r="AH36" s="128">
        <v>0</v>
      </c>
      <c r="AI36" s="128">
        <v>0</v>
      </c>
      <c r="AJ36" s="128">
        <v>0</v>
      </c>
      <c r="AK36" s="128">
        <v>0</v>
      </c>
      <c r="AL36" s="128">
        <v>0</v>
      </c>
      <c r="AM36" s="128">
        <v>0</v>
      </c>
      <c r="AN36" s="128">
        <v>0</v>
      </c>
      <c r="AO36" s="128">
        <v>0</v>
      </c>
      <c r="AP36" s="128">
        <v>0</v>
      </c>
      <c r="AQ36" s="128">
        <v>0</v>
      </c>
      <c r="AR36" s="128">
        <v>0</v>
      </c>
      <c r="AS36" s="128">
        <v>0</v>
      </c>
      <c r="AT36" s="128">
        <v>0</v>
      </c>
      <c r="AU36" s="128">
        <v>0</v>
      </c>
      <c r="AV36" s="128">
        <v>0</v>
      </c>
      <c r="AW36" s="128">
        <v>0</v>
      </c>
      <c r="AX36" s="128">
        <v>0</v>
      </c>
      <c r="AY36" s="128">
        <v>0</v>
      </c>
      <c r="AZ36" s="128">
        <v>0</v>
      </c>
      <c r="BA36" s="128">
        <v>0</v>
      </c>
      <c r="BB36" s="128">
        <v>0</v>
      </c>
    </row>
    <row r="37" spans="2:54" ht="18.75" customHeight="1" x14ac:dyDescent="0.25">
      <c r="B37" s="129"/>
      <c r="C37"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7"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7" s="128">
        <v>0</v>
      </c>
      <c r="F37" s="128">
        <v>0</v>
      </c>
      <c r="G37" s="128">
        <v>0</v>
      </c>
      <c r="H37" s="128">
        <v>0</v>
      </c>
      <c r="I37" s="128">
        <v>0</v>
      </c>
      <c r="J37" s="128">
        <v>0</v>
      </c>
      <c r="K37" s="128">
        <v>0</v>
      </c>
      <c r="L37" s="128">
        <v>0</v>
      </c>
      <c r="M37" s="128">
        <v>0</v>
      </c>
      <c r="N37" s="128">
        <v>0</v>
      </c>
      <c r="O37" s="128">
        <v>0</v>
      </c>
      <c r="P37" s="128">
        <v>0</v>
      </c>
      <c r="Q37" s="128">
        <v>0</v>
      </c>
      <c r="R37" s="128">
        <v>0</v>
      </c>
      <c r="S37" s="128">
        <v>0</v>
      </c>
      <c r="T37" s="128">
        <v>0</v>
      </c>
      <c r="U37" s="128">
        <v>0</v>
      </c>
      <c r="V37" s="128">
        <v>0</v>
      </c>
      <c r="W37" s="128">
        <v>0</v>
      </c>
      <c r="X37" s="128">
        <v>0</v>
      </c>
      <c r="Y37" s="128">
        <v>0</v>
      </c>
      <c r="Z37" s="128">
        <v>0</v>
      </c>
      <c r="AA37" s="128">
        <v>0</v>
      </c>
      <c r="AB37" s="128">
        <v>0</v>
      </c>
      <c r="AC37" s="128">
        <v>0</v>
      </c>
      <c r="AD37" s="128">
        <v>0</v>
      </c>
      <c r="AE37" s="128">
        <v>0</v>
      </c>
      <c r="AF37" s="128">
        <v>0</v>
      </c>
      <c r="AG37" s="128">
        <v>0</v>
      </c>
      <c r="AH37" s="128">
        <v>0</v>
      </c>
      <c r="AI37" s="128">
        <v>0</v>
      </c>
      <c r="AJ37" s="128">
        <v>0</v>
      </c>
      <c r="AK37" s="128">
        <v>0</v>
      </c>
      <c r="AL37" s="128">
        <v>0</v>
      </c>
      <c r="AM37" s="128">
        <v>0</v>
      </c>
      <c r="AN37" s="128">
        <v>0</v>
      </c>
      <c r="AO37" s="128">
        <v>0</v>
      </c>
      <c r="AP37" s="128">
        <v>0</v>
      </c>
      <c r="AQ37" s="128">
        <v>0</v>
      </c>
      <c r="AR37" s="128">
        <v>0</v>
      </c>
      <c r="AS37" s="128">
        <v>0</v>
      </c>
      <c r="AT37" s="128">
        <v>0</v>
      </c>
      <c r="AU37" s="128">
        <v>0</v>
      </c>
      <c r="AV37" s="128">
        <v>0</v>
      </c>
      <c r="AW37" s="128">
        <v>0</v>
      </c>
      <c r="AX37" s="128">
        <v>0</v>
      </c>
      <c r="AY37" s="128">
        <v>0</v>
      </c>
      <c r="AZ37" s="128">
        <v>0</v>
      </c>
      <c r="BA37" s="128">
        <v>0</v>
      </c>
      <c r="BB37" s="128">
        <v>0</v>
      </c>
    </row>
    <row r="38" spans="2:54" s="46" customFormat="1" ht="18.75" customHeight="1" x14ac:dyDescent="0.25">
      <c r="B38" s="129"/>
      <c r="C38" s="127">
        <f>SUM(أمريكية[[#This Row],[1]]+أمريكية[[#This Row],[3]]+أمريكية[[#This Row],[5]]+أمريكية[[#This Row],[7]]+أمريكية[[#This Row],[9]]+أمريكية[[#This Row],[11]]+أمريكية[[#This Row],[13]]+أمريكية[[#This Row],[15]]+أمريكية[[#This Row],[17]]+أمريكية[[#This Row],[19]]+أمريكية[[#This Row],[21]]+أمريكية[[#This Row],[23]]+أمريكية[[#This Row],[25]]+أمريكية[[#This Row],[27]]+أمريكية[[#This Row],[29]]+أمريكية[[#This Row],[31]]+أمريكية[[#This Row],[33]]+أمريكية[[#This Row],[35]]+أمريكية[[#This Row],[37]]+أمريكية[[#This Row],[39]]+أمريكية[[#This Row],[41]]+أمريكية[[#This Row],[43]]+أمريكية[[#This Row],[45]]+أمريكية[[#This Row],[47]]+أمريكية[[#This Row],[49]])</f>
        <v>0</v>
      </c>
      <c r="D38" s="127">
        <f>SUM(أمريكية[[#This Row],[2]]+أمريكية[[#This Row],[4]]+أمريكية[[#This Row],[6]]+أمريكية[[#This Row],[8]]+أمريكية[[#This Row],[10]]+أمريكية[[#This Row],[12]]+أمريكية[[#This Row],[14]]+أمريكية[[#This Row],[16]]+أمريكية[[#This Row],[18]]+أمريكية[[#This Row],[20]]+أمريكية[[#This Row],[22]]+أمريكية[[#This Row],[24]]+أمريكية[[#This Row],[26]]+أمريكية[[#This Row],[28]]+أمريكية[[#This Row],[30]]+أمريكية[[#This Row],[32]]+أمريكية[[#This Row],[34]]+أمريكية[[#This Row],[36]]+أمريكية[[#This Row],[38]]+أمريكية[[#This Row],[40]]+أمريكية[[#This Row],[42]]+أمريكية[[#This Row],[44]]+أمريكية[[#This Row],[46]]+أمريكية[[#This Row],[48]]+أمريكية[[#This Row],[50]])</f>
        <v>0</v>
      </c>
      <c r="E38" s="128">
        <v>0</v>
      </c>
      <c r="F38" s="128">
        <v>0</v>
      </c>
      <c r="G38" s="128">
        <v>0</v>
      </c>
      <c r="H38" s="128">
        <v>0</v>
      </c>
      <c r="I38" s="128">
        <v>0</v>
      </c>
      <c r="J38" s="128">
        <v>0</v>
      </c>
      <c r="K38" s="128">
        <v>0</v>
      </c>
      <c r="L38" s="128">
        <v>0</v>
      </c>
      <c r="M38" s="128">
        <v>0</v>
      </c>
      <c r="N38" s="128">
        <v>0</v>
      </c>
      <c r="O38" s="128">
        <v>0</v>
      </c>
      <c r="P38" s="128">
        <v>0</v>
      </c>
      <c r="Q38" s="128">
        <v>0</v>
      </c>
      <c r="R38" s="128">
        <v>0</v>
      </c>
      <c r="S38" s="128">
        <v>0</v>
      </c>
      <c r="T38" s="128">
        <v>0</v>
      </c>
      <c r="U38" s="128">
        <v>0</v>
      </c>
      <c r="V38" s="128">
        <v>0</v>
      </c>
      <c r="W38" s="128">
        <v>0</v>
      </c>
      <c r="X38" s="128">
        <v>0</v>
      </c>
      <c r="Y38" s="128">
        <v>0</v>
      </c>
      <c r="Z38" s="128">
        <v>0</v>
      </c>
      <c r="AA38" s="128">
        <v>0</v>
      </c>
      <c r="AB38" s="128">
        <v>0</v>
      </c>
      <c r="AC38" s="128">
        <v>0</v>
      </c>
      <c r="AD38" s="128">
        <v>0</v>
      </c>
      <c r="AE38" s="128">
        <v>0</v>
      </c>
      <c r="AF38" s="128">
        <v>0</v>
      </c>
      <c r="AG38" s="128">
        <v>0</v>
      </c>
      <c r="AH38" s="128">
        <v>0</v>
      </c>
      <c r="AI38" s="128">
        <v>0</v>
      </c>
      <c r="AJ38" s="128">
        <v>0</v>
      </c>
      <c r="AK38" s="128">
        <v>0</v>
      </c>
      <c r="AL38" s="128">
        <v>0</v>
      </c>
      <c r="AM38" s="128">
        <v>0</v>
      </c>
      <c r="AN38" s="128">
        <v>0</v>
      </c>
      <c r="AO38" s="128">
        <v>0</v>
      </c>
      <c r="AP38" s="128">
        <v>0</v>
      </c>
      <c r="AQ38" s="128">
        <v>0</v>
      </c>
      <c r="AR38" s="128">
        <v>0</v>
      </c>
      <c r="AS38" s="128">
        <v>0</v>
      </c>
      <c r="AT38" s="128">
        <v>0</v>
      </c>
      <c r="AU38" s="128">
        <v>0</v>
      </c>
      <c r="AV38" s="128">
        <v>0</v>
      </c>
      <c r="AW38" s="128">
        <v>0</v>
      </c>
      <c r="AX38" s="128">
        <v>0</v>
      </c>
      <c r="AY38" s="128">
        <v>0</v>
      </c>
      <c r="AZ38" s="128">
        <v>0</v>
      </c>
      <c r="BA38" s="128">
        <v>0</v>
      </c>
      <c r="BB38" s="128">
        <v>0</v>
      </c>
    </row>
    <row r="39" spans="2:54" ht="18.75" customHeight="1" x14ac:dyDescent="0.25">
      <c r="B39" s="130" t="s">
        <v>99</v>
      </c>
      <c r="C39" s="128">
        <f>SUBTOTAL(109,أمريكية[[Debit ]])</f>
        <v>0</v>
      </c>
      <c r="D39" s="128">
        <f>SUBTOTAL(109,أمريكية[Credit])</f>
        <v>0</v>
      </c>
      <c r="E39" s="128">
        <f>SUBTOTAL(109,أمريكية[1])</f>
        <v>0</v>
      </c>
      <c r="F39" s="128">
        <f>SUBTOTAL(109,أمريكية[2])</f>
        <v>0</v>
      </c>
      <c r="G39" s="128">
        <f>SUBTOTAL(109,أمريكية[3])</f>
        <v>0</v>
      </c>
      <c r="H39" s="128">
        <f>SUBTOTAL(109,أمريكية[4])</f>
        <v>0</v>
      </c>
      <c r="I39" s="128">
        <f>SUBTOTAL(109,أمريكية[5])</f>
        <v>0</v>
      </c>
      <c r="J39" s="128">
        <f>SUBTOTAL(109,أمريكية[6])</f>
        <v>0</v>
      </c>
      <c r="K39" s="128">
        <f>SUBTOTAL(109,أمريكية[7])</f>
        <v>0</v>
      </c>
      <c r="L39" s="128">
        <f>SUBTOTAL(109,أمريكية[8])</f>
        <v>0</v>
      </c>
      <c r="M39" s="128">
        <f>SUBTOTAL(109,أمريكية[9])</f>
        <v>0</v>
      </c>
      <c r="N39" s="128">
        <f>SUBTOTAL(109,أمريكية[10])</f>
        <v>0</v>
      </c>
      <c r="O39" s="128">
        <f>SUBTOTAL(109,أمريكية[11])</f>
        <v>0</v>
      </c>
      <c r="P39" s="128">
        <f>SUBTOTAL(109,أمريكية[12])</f>
        <v>0</v>
      </c>
      <c r="Q39" s="128">
        <f>SUBTOTAL(109,أمريكية[13])</f>
        <v>0</v>
      </c>
      <c r="R39" s="128">
        <f>SUBTOTAL(109,أمريكية[14])</f>
        <v>0</v>
      </c>
      <c r="S39" s="128">
        <f>SUBTOTAL(109,أمريكية[15])</f>
        <v>0</v>
      </c>
      <c r="T39" s="128">
        <f>SUBTOTAL(109,أمريكية[16])</f>
        <v>0</v>
      </c>
      <c r="U39" s="128">
        <f>SUBTOTAL(109,أمريكية[17])</f>
        <v>0</v>
      </c>
      <c r="V39" s="128">
        <f>SUBTOTAL(109,أمريكية[18])</f>
        <v>0</v>
      </c>
      <c r="W39" s="128">
        <f>SUBTOTAL(109,أمريكية[19])</f>
        <v>0</v>
      </c>
      <c r="X39" s="128">
        <f>SUBTOTAL(109,أمريكية[20])</f>
        <v>0</v>
      </c>
      <c r="Y39" s="128">
        <f>SUBTOTAL(109,أمريكية[21])</f>
        <v>0</v>
      </c>
      <c r="Z39" s="128">
        <f>SUBTOTAL(109,أمريكية[22])</f>
        <v>0</v>
      </c>
      <c r="AA39" s="128">
        <f>SUBTOTAL(109,أمريكية[23])</f>
        <v>0</v>
      </c>
      <c r="AB39" s="128">
        <f>SUBTOTAL(109,أمريكية[24])</f>
        <v>0</v>
      </c>
      <c r="AC39" s="128">
        <f>SUBTOTAL(109,أمريكية[25])</f>
        <v>0</v>
      </c>
      <c r="AD39" s="128">
        <f>SUBTOTAL(109,أمريكية[26])</f>
        <v>0</v>
      </c>
      <c r="AE39" s="128">
        <f>SUBTOTAL(109,أمريكية[27])</f>
        <v>0</v>
      </c>
      <c r="AF39" s="128">
        <f>SUBTOTAL(109,أمريكية[28])</f>
        <v>0</v>
      </c>
      <c r="AG39" s="128">
        <f>SUBTOTAL(109,أمريكية[29])</f>
        <v>0</v>
      </c>
      <c r="AH39" s="128">
        <f>SUBTOTAL(109,أمريكية[30])</f>
        <v>0</v>
      </c>
      <c r="AI39" s="128">
        <f>SUBTOTAL(109,أمريكية[31])</f>
        <v>0</v>
      </c>
      <c r="AJ39" s="128">
        <f>SUBTOTAL(109,أمريكية[32])</f>
        <v>0</v>
      </c>
      <c r="AK39" s="128">
        <f>SUBTOTAL(109,أمريكية[33])</f>
        <v>0</v>
      </c>
      <c r="AL39" s="128">
        <f>SUBTOTAL(109,أمريكية[34])</f>
        <v>0</v>
      </c>
      <c r="AM39" s="128">
        <f>SUBTOTAL(109,أمريكية[35])</f>
        <v>0</v>
      </c>
      <c r="AN39" s="128">
        <f>SUBTOTAL(109,أمريكية[36])</f>
        <v>0</v>
      </c>
      <c r="AO39" s="128">
        <f>SUBTOTAL(109,أمريكية[37])</f>
        <v>0</v>
      </c>
      <c r="AP39" s="128">
        <f>SUBTOTAL(109,أمريكية[38])</f>
        <v>0</v>
      </c>
      <c r="AQ39" s="128">
        <f>SUBTOTAL(109,أمريكية[39])</f>
        <v>0</v>
      </c>
      <c r="AR39" s="128">
        <f>SUBTOTAL(109,أمريكية[40])</f>
        <v>0</v>
      </c>
      <c r="AS39" s="128">
        <f>SUBTOTAL(109,أمريكية[41])</f>
        <v>0</v>
      </c>
      <c r="AT39" s="128">
        <f>SUBTOTAL(109,أمريكية[42])</f>
        <v>0</v>
      </c>
      <c r="AU39" s="128">
        <f>SUBTOTAL(109,أمريكية[43])</f>
        <v>0</v>
      </c>
      <c r="AV39" s="128">
        <f>SUBTOTAL(109,أمريكية[44])</f>
        <v>0</v>
      </c>
      <c r="AW39" s="128">
        <f>SUBTOTAL(109,أمريكية[45])</f>
        <v>0</v>
      </c>
      <c r="AX39" s="128">
        <f>SUBTOTAL(109,أمريكية[46])</f>
        <v>0</v>
      </c>
      <c r="AY39" s="128">
        <f>SUBTOTAL(109,أمريكية[47])</f>
        <v>0</v>
      </c>
      <c r="AZ39" s="128">
        <f>SUBTOTAL(109,أمريكية[48])</f>
        <v>0</v>
      </c>
      <c r="BA39" s="128">
        <f>SUBTOTAL(109,أمريكية[49])</f>
        <v>0</v>
      </c>
      <c r="BB39" s="128">
        <f>SUBTOTAL(109,أمريكية[50])</f>
        <v>0</v>
      </c>
    </row>
    <row r="41" spans="2:54" ht="18.75" customHeight="1" x14ac:dyDescent="0.25">
      <c r="C41" s="58"/>
      <c r="D41" s="46"/>
    </row>
  </sheetData>
  <mergeCells count="28">
    <mergeCell ref="AW2:AX2"/>
    <mergeCell ref="AY2:AZ2"/>
    <mergeCell ref="BA2:BB2"/>
    <mergeCell ref="BC2:BD2"/>
    <mergeCell ref="BE2:BF2"/>
    <mergeCell ref="AU2:AV2"/>
    <mergeCell ref="Y2:Z2"/>
    <mergeCell ref="AA2:AB2"/>
    <mergeCell ref="AC2:AD2"/>
    <mergeCell ref="AE2:AF2"/>
    <mergeCell ref="AG2:AH2"/>
    <mergeCell ref="AI2:AJ2"/>
    <mergeCell ref="AK2:AL2"/>
    <mergeCell ref="AM2:AN2"/>
    <mergeCell ref="AO2:AP2"/>
    <mergeCell ref="AQ2:AR2"/>
    <mergeCell ref="AS2:AT2"/>
    <mergeCell ref="W2:X2"/>
    <mergeCell ref="C2:D2"/>
    <mergeCell ref="E2:F2"/>
    <mergeCell ref="G2:H2"/>
    <mergeCell ref="I2:J2"/>
    <mergeCell ref="K2:L2"/>
    <mergeCell ref="M2:N2"/>
    <mergeCell ref="O2:P2"/>
    <mergeCell ref="Q2:R2"/>
    <mergeCell ref="S2:T2"/>
    <mergeCell ref="U2:V2"/>
  </mergeCells>
  <phoneticPr fontId="2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B91FF-2F2E-49FB-9C2C-879A337AEA6D}">
  <dimension ref="A2:L25"/>
  <sheetViews>
    <sheetView rightToLeft="1" tabSelected="1" zoomScale="85" zoomScaleNormal="85" workbookViewId="0">
      <pane xSplit="1" ySplit="5" topLeftCell="B6" activePane="bottomRight" state="frozen"/>
      <selection pane="topRight" activeCell="B1" sqref="B1"/>
      <selection pane="bottomLeft" activeCell="A4" sqref="A4"/>
      <selection pane="bottomRight" activeCell="C14" sqref="C14"/>
    </sheetView>
  </sheetViews>
  <sheetFormatPr defaultRowHeight="15.75" x14ac:dyDescent="0.25"/>
  <cols>
    <col min="1" max="1" width="45.5" customWidth="1"/>
    <col min="2" max="2" width="28.5" customWidth="1"/>
    <col min="3" max="3" width="20.5" customWidth="1"/>
    <col min="4" max="4" width="20.125" customWidth="1"/>
    <col min="5" max="5" width="22.75" customWidth="1"/>
    <col min="6" max="6" width="20.125" customWidth="1"/>
    <col min="7" max="7" width="25.625" customWidth="1"/>
    <col min="8" max="8" width="27.625" customWidth="1"/>
    <col min="9" max="9" width="20.125" customWidth="1"/>
    <col min="10" max="10" width="22.875" customWidth="1"/>
    <col min="11" max="11" width="21.5" customWidth="1"/>
    <col min="12" max="12" width="22.625" customWidth="1"/>
  </cols>
  <sheetData>
    <row r="2" spans="1:12" ht="42" customHeight="1" x14ac:dyDescent="0.25">
      <c r="B2" s="159" t="s">
        <v>148</v>
      </c>
      <c r="C2" s="159"/>
      <c r="D2" s="159"/>
      <c r="E2" s="159"/>
    </row>
    <row r="5" spans="1:12" s="43" customFormat="1" ht="48" customHeight="1" x14ac:dyDescent="0.25">
      <c r="A5" s="43" t="s">
        <v>8</v>
      </c>
      <c r="B5" s="43" t="s">
        <v>142</v>
      </c>
      <c r="C5" s="86" t="s">
        <v>131</v>
      </c>
      <c r="D5" s="43" t="s">
        <v>70</v>
      </c>
      <c r="E5" s="86" t="s">
        <v>132</v>
      </c>
      <c r="F5" s="43" t="s">
        <v>71</v>
      </c>
      <c r="G5" s="154" t="s">
        <v>143</v>
      </c>
      <c r="H5" s="85" t="s">
        <v>2</v>
      </c>
      <c r="I5" s="43" t="s">
        <v>144</v>
      </c>
      <c r="J5" s="99" t="s">
        <v>145</v>
      </c>
      <c r="K5" s="155" t="s">
        <v>146</v>
      </c>
      <c r="L5" s="156" t="s">
        <v>147</v>
      </c>
    </row>
    <row r="6" spans="1:12" ht="20.25" customHeight="1" x14ac:dyDescent="0.25">
      <c r="A6" s="24" t="s">
        <v>74</v>
      </c>
      <c r="B6" s="37" t="s">
        <v>90</v>
      </c>
      <c r="C6" s="94">
        <v>0</v>
      </c>
      <c r="D6" s="98">
        <v>0</v>
      </c>
      <c r="E6" s="94">
        <v>0</v>
      </c>
      <c r="F6" s="98">
        <v>0</v>
      </c>
      <c r="G6" s="94">
        <f>banks10[[#This Row],[DEBIT CURRENCY]]-banks10[[#This Row],[CREDIT CURRENCY]]</f>
        <v>0</v>
      </c>
      <c r="H6" s="98">
        <f>banks10[[#This Row],[DEBIT]]-banks10[[#This Row],[CREDIT]]</f>
        <v>0</v>
      </c>
      <c r="I6" s="98">
        <f>SUMIFS(ledger[[DEBIT ]],ledger[ACCOUNT NAME],"البنك التجاري الدولي")-SUMIFS(ledger[CREDIT],ledger[ACCOUNT NAME],"البنك التجاري الدولي")</f>
        <v>0</v>
      </c>
      <c r="J6" s="98">
        <f>banks10[[#This Row],[STARTING BALANCE]]+banks10[[#This Row],[CURRENT BALANCE]]</f>
        <v>0</v>
      </c>
      <c r="K6" s="94">
        <f>SUMIFS(ledger[DEBIT CURRENCY],ledger[ACCOUNT NAME],"البنك التجاري الدولي")-SUMIFS(ledger[CREDIT CURRENCY],ledger[ACCOUNT NAME],"البنك التجاري الدولي")</f>
        <v>0</v>
      </c>
      <c r="L6" s="94">
        <f>banks10[[#This Row],[STARTING BALANCE OF CURRENCY]]+banks10[[#This Row],[CURRENT BALANCE OF CURRENCY]]</f>
        <v>0</v>
      </c>
    </row>
    <row r="7" spans="1:12" ht="20.25" customHeight="1" x14ac:dyDescent="0.25">
      <c r="A7" s="24" t="s">
        <v>76</v>
      </c>
      <c r="B7" s="36" t="s">
        <v>91</v>
      </c>
      <c r="C7" s="94">
        <v>0</v>
      </c>
      <c r="D7" s="98">
        <v>0</v>
      </c>
      <c r="E7" s="94"/>
      <c r="F7" s="98">
        <v>0</v>
      </c>
      <c r="G7" s="94">
        <f>banks10[[#This Row],[DEBIT CURRENCY]]-banks10[[#This Row],[CREDIT CURRENCY]]</f>
        <v>0</v>
      </c>
      <c r="H7" s="98">
        <f>banks10[[#This Row],[DEBIT]]-banks10[[#This Row],[CREDIT]]</f>
        <v>0</v>
      </c>
      <c r="I7" s="98">
        <f>SUMIFS(ledger[[DEBIT ]],ledger[ACCOUNT NAME],"البنك الأهلي المصري")-SUMIFS(ledger[CREDIT],ledger[ACCOUNT NAME],"البنك الأهلي المصري")</f>
        <v>0</v>
      </c>
      <c r="J7" s="98">
        <f>banks10[[#This Row],[STARTING BALANCE]]+banks10[[#This Row],[CURRENT BALANCE]]</f>
        <v>0</v>
      </c>
      <c r="K7" s="94">
        <f>SUMIFS(ledger[DEBIT CURRENCY],ledger[ACCOUNT NAME],"البنك الأهلي المصري")-SUMIFS(ledger[CREDIT CURRENCY],ledger[ACCOUNT NAME],"البنك الأهلي المصري")</f>
        <v>0</v>
      </c>
      <c r="L7" s="94">
        <f>banks10[[#This Row],[STARTING BALANCE OF CURRENCY]]+banks10[[#This Row],[CURRENT BALANCE OF CURRENCY]]</f>
        <v>0</v>
      </c>
    </row>
    <row r="8" spans="1:12" ht="20.25" customHeight="1" x14ac:dyDescent="0.25">
      <c r="A8" s="24" t="s">
        <v>77</v>
      </c>
      <c r="B8" s="37"/>
      <c r="C8" s="94">
        <v>0</v>
      </c>
      <c r="D8" s="98">
        <v>0</v>
      </c>
      <c r="E8" s="94">
        <v>0</v>
      </c>
      <c r="F8" s="98">
        <v>0</v>
      </c>
      <c r="G8" s="94">
        <f>banks10[[#This Row],[DEBIT CURRENCY]]-banks10[[#This Row],[CREDIT CURRENCY]]</f>
        <v>0</v>
      </c>
      <c r="H8" s="98">
        <f>banks10[[#This Row],[DEBIT]]-banks10[[#This Row],[CREDIT]]</f>
        <v>0</v>
      </c>
      <c r="I8" s="98">
        <f>SUMIFS(ledger[[DEBIT ]],ledger[ACCOUNT NAME],"بنك مصر")-SUMIFS(ledger[CREDIT],ledger[ACCOUNT NAME],"بنك مصر")</f>
        <v>0</v>
      </c>
      <c r="J8" s="98">
        <f>banks10[[#This Row],[STARTING BALANCE]]+banks10[[#This Row],[CURRENT BALANCE]]</f>
        <v>0</v>
      </c>
      <c r="K8" s="94">
        <f>SUMIFS(ledger[DEBIT CURRENCY],ledger[ACCOUNT NAME],"بنك مصر")-SUMIFS(ledger[CREDIT CURRENCY],ledger[ACCOUNT NAME],"بنك مصر")</f>
        <v>0</v>
      </c>
      <c r="L8" s="94">
        <f>banks10[[#This Row],[STARTING BALANCE OF CURRENCY]]+banks10[[#This Row],[CURRENT BALANCE OF CURRENCY]]</f>
        <v>0</v>
      </c>
    </row>
    <row r="9" spans="1:12" ht="20.25" customHeight="1" x14ac:dyDescent="0.25">
      <c r="A9" s="24" t="s">
        <v>78</v>
      </c>
      <c r="B9" s="37"/>
      <c r="C9" s="94">
        <v>0</v>
      </c>
      <c r="D9" s="98">
        <v>0</v>
      </c>
      <c r="E9" s="94">
        <v>0</v>
      </c>
      <c r="F9" s="98">
        <v>0</v>
      </c>
      <c r="G9" s="94">
        <f>banks10[[#This Row],[DEBIT CURRENCY]]-banks10[[#This Row],[CREDIT CURRENCY]]</f>
        <v>0</v>
      </c>
      <c r="H9" s="98">
        <f>banks10[[#This Row],[DEBIT]]-banks10[[#This Row],[CREDIT]]</f>
        <v>0</v>
      </c>
      <c r="I9" s="98">
        <f>SUMIFS(ledger[[DEBIT ]],ledger[ACCOUNT NAME],"مصرف أبوظبي الإسلامي")-SUMIFS(ledger[CREDIT],ledger[ACCOUNT NAME],"مصرف أبوظبي الإسلامي")</f>
        <v>0</v>
      </c>
      <c r="J9" s="98">
        <f>banks10[[#This Row],[STARTING BALANCE]]+banks10[[#This Row],[CURRENT BALANCE]]</f>
        <v>0</v>
      </c>
      <c r="K9" s="94">
        <f>SUMIFS(ledger[DEBIT CURRENCY],ledger[ACCOUNT NAME],"مصرف أبوظبي الإسلامي")-SUMIFS(ledger[CREDIT CURRENCY],ledger[ACCOUNT NAME],"مصرف أبوظبي الإسلامي")</f>
        <v>0</v>
      </c>
      <c r="L9" s="94">
        <f>banks10[[#This Row],[STARTING BALANCE OF CURRENCY]]+banks10[[#This Row],[CURRENT BALANCE OF CURRENCY]]</f>
        <v>0</v>
      </c>
    </row>
    <row r="10" spans="1:12" ht="20.25" customHeight="1" x14ac:dyDescent="0.25">
      <c r="A10" s="31" t="s">
        <v>79</v>
      </c>
      <c r="B10" s="37"/>
      <c r="C10" s="94">
        <v>0</v>
      </c>
      <c r="D10" s="98">
        <v>0</v>
      </c>
      <c r="E10" s="94">
        <v>0</v>
      </c>
      <c r="F10" s="98">
        <v>0</v>
      </c>
      <c r="G10" s="94">
        <f>banks10[[#This Row],[DEBIT CURRENCY]]-banks10[[#This Row],[CREDIT CURRENCY]]</f>
        <v>0</v>
      </c>
      <c r="H10" s="98">
        <f>banks10[[#This Row],[DEBIT]]-banks10[[#This Row],[CREDIT]]</f>
        <v>0</v>
      </c>
      <c r="I10" s="98">
        <f>SUMIFS(ledger[[DEBIT ]],ledger[ACCOUNT NAME],"مصرف أبوظبي حــ/ الدولار")-SUMIFS(ledger[CREDIT],ledger[ACCOUNT NAME],"مصرف أبوظبي حــ/ الدولار")</f>
        <v>0</v>
      </c>
      <c r="J10" s="98">
        <f>banks10[[#This Row],[STARTING BALANCE]]+banks10[[#This Row],[CURRENT BALANCE]]</f>
        <v>0</v>
      </c>
      <c r="K10" s="153">
        <f>SUMIFS(ledger[DEBIT CURRENCY],ledger[ACCOUNT NAME],"مصرف أبوظبي حـ/ الدولار")-SUMIFS(ledger[CREDIT CURRENCY],ledger[ACCOUNT NAME],"مصرف أبوظبي حـ/ الدولار")</f>
        <v>0</v>
      </c>
      <c r="L10" s="153">
        <f>banks10[[#This Row],[STARTING BALANCE OF CURRENCY]]+banks10[[#This Row],[CURRENT BALANCE OF CURRENCY]]</f>
        <v>0</v>
      </c>
    </row>
    <row r="11" spans="1:12" ht="20.25" customHeight="1" x14ac:dyDescent="0.25">
      <c r="A11" s="31" t="s">
        <v>80</v>
      </c>
      <c r="B11" s="37"/>
      <c r="C11" s="94">
        <v>0</v>
      </c>
      <c r="D11" s="98">
        <v>0</v>
      </c>
      <c r="E11" s="94">
        <v>0</v>
      </c>
      <c r="F11" s="98">
        <v>0</v>
      </c>
      <c r="G11" s="94">
        <f>banks10[[#This Row],[DEBIT CURRENCY]]-banks10[[#This Row],[CREDIT CURRENCY]]</f>
        <v>0</v>
      </c>
      <c r="H11" s="98">
        <f>banks10[[#This Row],[DEBIT]]-banks10[[#This Row],[CREDIT]]</f>
        <v>0</v>
      </c>
      <c r="I11" s="98">
        <f>SUMIFS(ledger[[DEBIT ]],ledger[ACCOUNT NAME],"مصرف أبوظبي حــ/ الإسترليني")-SUMIFS(ledger[CREDIT],ledger[ACCOUNT NAME],"مصرف أبوظبي حــ/ الإسترليني")</f>
        <v>0</v>
      </c>
      <c r="J11" s="98">
        <f>banks10[[#This Row],[STARTING BALANCE]]+banks10[[#This Row],[CURRENT BALANCE]]</f>
        <v>0</v>
      </c>
      <c r="K11" s="94">
        <f>SUMIFS(ledger[DEBIT CURRENCY],ledger[ACCOUNT NAME],"مصرف أبوظبي حـ/ الإسترليني")-SUMIFS(ledger[CREDIT CURRENCY],ledger[ACCOUNT NAME],"مصرف أبوظبي حـ/ الإسترليني")</f>
        <v>0</v>
      </c>
      <c r="L11" s="94">
        <f>banks10[[#This Row],[STARTING BALANCE OF CURRENCY]]+banks10[[#This Row],[CURRENT BALANCE OF CURRENCY]]</f>
        <v>0</v>
      </c>
    </row>
    <row r="12" spans="1:12" ht="20.25" customHeight="1" x14ac:dyDescent="0.25">
      <c r="A12" s="31" t="s">
        <v>81</v>
      </c>
      <c r="B12" s="37"/>
      <c r="C12" s="94">
        <v>0</v>
      </c>
      <c r="D12" s="98">
        <v>0</v>
      </c>
      <c r="E12" s="94">
        <v>0</v>
      </c>
      <c r="F12" s="98">
        <v>0</v>
      </c>
      <c r="G12" s="94">
        <f>banks10[[#This Row],[DEBIT CURRENCY]]-banks10[[#This Row],[CREDIT CURRENCY]]</f>
        <v>0</v>
      </c>
      <c r="H12" s="98">
        <f>banks10[[#This Row],[DEBIT]]-banks10[[#This Row],[CREDIT]]</f>
        <v>0</v>
      </c>
      <c r="I12" s="98">
        <f>SUMIFS(ledger[[DEBIT ]],ledger[ACCOUNT NAME],"مصرف أبوظبي حــ/ اليورو")-SUMIFS(ledger[CREDIT],ledger[ACCOUNT NAME],"مصرف أبوظبي حــ/ اليورو")</f>
        <v>0</v>
      </c>
      <c r="J12" s="98">
        <f>banks10[[#This Row],[STARTING BALANCE]]+banks10[[#This Row],[CURRENT BALANCE]]</f>
        <v>0</v>
      </c>
      <c r="K12" s="94">
        <f>SUMIFS(ledger[DEBIT CURRENCY],ledger[ACCOUNT NAME],"مصرف أبوظبي حـ/ اليورو")-SUMIFS(ledger[CREDIT CURRENCY],ledger[ACCOUNT NAME],"مصرف أبوظبي حـ/اليورو")</f>
        <v>0</v>
      </c>
      <c r="L12" s="94">
        <f>banks10[[#This Row],[STARTING BALANCE OF CURRENCY]]+banks10[[#This Row],[CURRENT BALANCE OF CURRENCY]]</f>
        <v>0</v>
      </c>
    </row>
    <row r="13" spans="1:12" ht="20.25" customHeight="1" x14ac:dyDescent="0.25">
      <c r="A13" s="95" t="s">
        <v>82</v>
      </c>
      <c r="B13" s="96"/>
      <c r="C13" s="97">
        <v>0</v>
      </c>
      <c r="D13" s="131">
        <v>0</v>
      </c>
      <c r="E13" s="97">
        <v>0</v>
      </c>
      <c r="F13" s="131">
        <v>0</v>
      </c>
      <c r="G13" s="97">
        <f>banks10[[#This Row],[DEBIT CURRENCY]]-banks10[[#This Row],[CREDIT CURRENCY]]</f>
        <v>0</v>
      </c>
      <c r="H13" s="131">
        <f>banks10[[#This Row],[DEBIT]]-banks10[[#This Row],[CREDIT]]</f>
        <v>0</v>
      </c>
      <c r="I13" s="131">
        <f>SUMIFS(ledger[[DEBIT ]],ledger[ACCOUNT NAME],"البنك التجاري الدولي حـ/ اليورو")-SUMIFS(ledger[CREDIT],ledger[ACCOUNT NAME],"البنك التجاري الدولي حـ/ اليورو")</f>
        <v>0</v>
      </c>
      <c r="J13" s="131">
        <f>banks10[[#This Row],[STARTING BALANCE]]+banks10[[#This Row],[CURRENT BALANCE]]</f>
        <v>0</v>
      </c>
      <c r="K13" s="94">
        <f>SUMIFS(ledger[DEBIT CURRENCY],ledger[ACCOUNT NAME],"البنك التجاري الدولي حـ/ اليورو")-SUMIFS(ledger[CREDIT CURRENCY],ledger[ACCOUNT NAME],"البنك التجاري الدولي حـ/اليورو")</f>
        <v>0</v>
      </c>
      <c r="L13" s="94">
        <f>banks10[[#This Row],[STARTING BALANCE OF CURRENCY]]+banks10[[#This Row],[CURRENT BALANCE OF CURRENCY]]</f>
        <v>0</v>
      </c>
    </row>
    <row r="14" spans="1:12" ht="20.25" customHeight="1" x14ac:dyDescent="0.25">
      <c r="A14" s="95" t="s">
        <v>83</v>
      </c>
      <c r="B14" s="96"/>
      <c r="C14" s="97">
        <v>0</v>
      </c>
      <c r="D14" s="131">
        <v>0</v>
      </c>
      <c r="E14" s="97">
        <v>0</v>
      </c>
      <c r="F14" s="131">
        <v>0</v>
      </c>
      <c r="G14" s="97">
        <f>banks10[[#This Row],[DEBIT CURRENCY]]-banks10[[#This Row],[CREDIT CURRENCY]]</f>
        <v>0</v>
      </c>
      <c r="H14" s="131">
        <f>banks10[[#This Row],[DEBIT]]-banks10[[#This Row],[CREDIT]]</f>
        <v>0</v>
      </c>
      <c r="I14" s="131">
        <f>SUMIFS(ledger[[DEBIT ]],ledger[ACCOUNT NAME],"البنك التجاري الدولي حـ/ اليورو52")-SUMIFS(ledger[CREDIT],ledger[ACCOUNT NAME],"البنك التجاري الدولي حـ/ اليورو52")</f>
        <v>0</v>
      </c>
      <c r="J14" s="131">
        <f>banks10[[#This Row],[STARTING BALANCE]]+banks10[[#This Row],[CURRENT BALANCE]]</f>
        <v>0</v>
      </c>
      <c r="K14" s="94">
        <f>SUMIFS(ledger[DEBIT CURRENCY],ledger[ACCOUNT NAME],"البنك التجاري الدولي حـ/ اليورو52")-SUMIFS(ledger[CREDIT CURRENCY],ledger[ACCOUNT NAME],"البنك التجاري الدولي حـ/اليورو52")</f>
        <v>0</v>
      </c>
      <c r="L14" s="94">
        <f>banks10[[#This Row],[STARTING BALANCE OF CURRENCY]]+banks10[[#This Row],[CURRENT BALANCE OF CURRENCY]]</f>
        <v>0</v>
      </c>
    </row>
    <row r="15" spans="1:12" ht="20.25" customHeight="1" x14ac:dyDescent="0.25">
      <c r="A15" s="95" t="s">
        <v>84</v>
      </c>
      <c r="B15" s="96"/>
      <c r="C15" s="97">
        <v>0</v>
      </c>
      <c r="D15" s="131">
        <v>0</v>
      </c>
      <c r="E15" s="97">
        <v>0</v>
      </c>
      <c r="F15" s="131">
        <v>0</v>
      </c>
      <c r="G15" s="97">
        <f>banks10[[#This Row],[DEBIT CURRENCY]]-banks10[[#This Row],[CREDIT CURRENCY]]</f>
        <v>0</v>
      </c>
      <c r="H15" s="131">
        <f>banks10[[#This Row],[DEBIT]]-banks10[[#This Row],[CREDIT]]</f>
        <v>0</v>
      </c>
      <c r="I15" s="131">
        <f>SUMIFS(ledger[[DEBIT ]],ledger[ACCOUNT NAME],"البنك التجاري الدولي حـ/ الدولار")-SUMIFS(ledger[CREDIT],ledger[ACCOUNT NAME],"البنك التجاري الدولي حـ/ الدولار")</f>
        <v>0</v>
      </c>
      <c r="J15" s="131">
        <f>banks10[[#This Row],[STARTING BALANCE]]+banks10[[#This Row],[CURRENT BALANCE]]</f>
        <v>0</v>
      </c>
      <c r="K15" s="153">
        <f>SUMIFS(ledger[DEBIT CURRENCY],ledger[ACCOUNT NAME],"البنك التجاري الدولي حـ/ الدولار")-SUMIFS(ledger[CREDIT CURRENCY],ledger[ACCOUNT NAME],"البنك التجاري الدولي حـ/ الدولار")</f>
        <v>0</v>
      </c>
      <c r="L15" s="153">
        <f>banks10[[#This Row],[STARTING BALANCE OF CURRENCY]]+banks10[[#This Row],[CURRENT BALANCE OF CURRENCY]]</f>
        <v>0</v>
      </c>
    </row>
    <row r="16" spans="1:12" ht="20.25" customHeight="1" x14ac:dyDescent="0.25">
      <c r="A16" s="95" t="s">
        <v>85</v>
      </c>
      <c r="B16" s="96"/>
      <c r="C16" s="97">
        <v>0</v>
      </c>
      <c r="D16" s="131">
        <v>0</v>
      </c>
      <c r="E16" s="97">
        <v>0</v>
      </c>
      <c r="F16" s="131">
        <v>0</v>
      </c>
      <c r="G16" s="97">
        <f>banks10[[#This Row],[DEBIT CURRENCY]]-banks10[[#This Row],[CREDIT CURRENCY]]</f>
        <v>0</v>
      </c>
      <c r="H16" s="131">
        <f>banks10[[#This Row],[DEBIT]]-banks10[[#This Row],[CREDIT]]</f>
        <v>0</v>
      </c>
      <c r="I16" s="131">
        <f>SUMIFS(ledger[[DEBIT ]],ledger[ACCOUNT NAME],"البنك التجاري الدولي حـ/ الإسترليني")-SUMIFS(ledger[CREDIT],ledger[ACCOUNT NAME],"البنك التجاري الدولي حـ/ الإسترليني")</f>
        <v>0</v>
      </c>
      <c r="J16" s="131">
        <f>banks10[[#This Row],[STARTING BALANCE]]+banks10[[#This Row],[CURRENT BALANCE]]</f>
        <v>0</v>
      </c>
      <c r="K16" s="94">
        <f>SUMIFS(ledger[DEBIT CURRENCY],ledger[ACCOUNT NAME],"البنك التجاري الدولي حـ/ الإسترليني")-SUMIFS(ledger[CREDIT CURRENCY],ledger[ACCOUNT NAME],"البنك التجاري الدولي حـ/ الإسترليني")</f>
        <v>0</v>
      </c>
      <c r="L16" s="94">
        <f>banks10[[#This Row],[STARTING BALANCE OF CURRENCY]]+banks10[[#This Row],[CURRENT BALANCE OF CURRENCY]]</f>
        <v>0</v>
      </c>
    </row>
    <row r="17" spans="1:12" ht="20.25" customHeight="1" x14ac:dyDescent="0.25">
      <c r="A17" s="95" t="s">
        <v>86</v>
      </c>
      <c r="B17" s="96"/>
      <c r="C17" s="97">
        <v>0</v>
      </c>
      <c r="D17" s="131">
        <v>0</v>
      </c>
      <c r="E17" s="97">
        <v>0</v>
      </c>
      <c r="F17" s="131">
        <v>0</v>
      </c>
      <c r="G17" s="97">
        <f>banks10[[#This Row],[DEBIT CURRENCY]]-banks10[[#This Row],[CREDIT CURRENCY]]</f>
        <v>0</v>
      </c>
      <c r="H17" s="131">
        <f>banks10[[#This Row],[DEBIT]]-banks10[[#This Row],[CREDIT]]</f>
        <v>0</v>
      </c>
      <c r="I17" s="131">
        <f>SUMIFS(ledger[[DEBIT ]],ledger[ACCOUNT NAME],"مصرف أبوظبي الإسلامي 303")-SUMIFS(ledger[CREDIT],ledger[ACCOUNT NAME],"مصرف أبوظبي الإسلامي 303")</f>
        <v>0</v>
      </c>
      <c r="J17" s="131">
        <f>banks10[[#This Row],[STARTING BALANCE]]+banks10[[#This Row],[CURRENT BALANCE]]</f>
        <v>0</v>
      </c>
      <c r="K17" s="94">
        <f>SUMIFS(ledger[DEBIT CURRENCY],ledger[ACCOUNT NAME]," 303مصرف أبوظبي الإسلامي")-SUMIFS(ledger[CREDIT CURRENCY],ledger[ACCOUNT NAME],"مصرف  303أبوظبي الإسلامي")</f>
        <v>0</v>
      </c>
      <c r="L17" s="94">
        <f>banks10[[#This Row],[STARTING BALANCE OF CURRENCY]]+banks10[[#This Row],[CURRENT BALANCE OF CURRENCY]]</f>
        <v>0</v>
      </c>
    </row>
    <row r="18" spans="1:12" ht="20.25" customHeight="1" x14ac:dyDescent="0.25">
      <c r="A18" s="39" t="s">
        <v>88</v>
      </c>
      <c r="B18" s="40"/>
      <c r="C18" s="94">
        <v>0</v>
      </c>
      <c r="D18" s="98">
        <v>0</v>
      </c>
      <c r="E18" s="94">
        <v>0</v>
      </c>
      <c r="F18" s="98">
        <v>0</v>
      </c>
      <c r="G18" s="94">
        <f>banks10[[#This Row],[DEBIT CURRENCY]]-banks10[[#This Row],[CREDIT CURRENCY]]</f>
        <v>0</v>
      </c>
      <c r="H18" s="98">
        <f>banks10[[#This Row],[DEBIT]]-banks10[[#This Row],[CREDIT]]</f>
        <v>0</v>
      </c>
      <c r="I18" s="132">
        <f>SUMIFS(ledger[[DEBIT ]],ledger[ACCOUNT NAME],"بنك القاهرة حــ/ الدولار")-SUMIFS(ledger[CREDIT],ledger[ACCOUNT NAME],"بنك القاهرة حــ/ الدولار")</f>
        <v>0</v>
      </c>
      <c r="J18" s="98">
        <f>banks10[[#This Row],[STARTING BALANCE]]+banks10[[#This Row],[CURRENT BALANCE]]</f>
        <v>0</v>
      </c>
      <c r="K18" s="153">
        <f>SUMIFS(ledger[DEBIT CURRENCY],ledger[ACCOUNT NAME],"بنك القاهرة حـ/ الدولار")-SUMIFS(ledger[CREDIT CURRENCY],ledger[ACCOUNT NAME],"بنك القاهرة حـ/ الدولارـ")</f>
        <v>0</v>
      </c>
      <c r="L18" s="153">
        <f>banks10[[#This Row],[STARTING BALANCE OF CURRENCY]]+banks10[[#This Row],[CURRENT BALANCE OF CURRENCY]]</f>
        <v>0</v>
      </c>
    </row>
    <row r="19" spans="1:12" ht="20.25" customHeight="1" x14ac:dyDescent="0.25">
      <c r="A19" s="39" t="s">
        <v>89</v>
      </c>
      <c r="B19" s="40"/>
      <c r="C19" s="94">
        <v>0</v>
      </c>
      <c r="D19" s="98">
        <v>0</v>
      </c>
      <c r="E19" s="94">
        <v>0</v>
      </c>
      <c r="F19" s="98">
        <v>0</v>
      </c>
      <c r="G19" s="94">
        <f>banks10[[#This Row],[DEBIT CURRENCY]]-banks10[[#This Row],[CREDIT CURRENCY]]</f>
        <v>0</v>
      </c>
      <c r="H19" s="98">
        <f>banks10[[#This Row],[DEBIT]]-banks10[[#This Row],[CREDIT]]</f>
        <v>0</v>
      </c>
      <c r="I19" s="132">
        <f>SUMIFS(ledger[[DEBIT ]],ledger[ACCOUNT NAME],"بنك القاهرة120")-SUMIFS(ledger[CREDIT],ledger[ACCOUNT NAME],"بنك القاهرة120")</f>
        <v>0</v>
      </c>
      <c r="J19" s="98">
        <f>banks10[[#This Row],[STARTING BALANCE]]+banks10[[#This Row],[CURRENT BALANCE]]</f>
        <v>0</v>
      </c>
      <c r="K19" s="94">
        <f>SUMIFS(ledger[DEBIT CURRENCY],ledger[ACCOUNT NAME],"بنك القاهرة120")-SUMIFS(ledger[CREDIT CURRENCY],ledger[ACCOUNT NAME],"بنك القاهرة120")</f>
        <v>0</v>
      </c>
      <c r="L19" s="94">
        <f>banks10[[#This Row],[STARTING BALANCE OF CURRENCY]]+banks10[[#This Row],[CURRENT BALANCE OF CURRENCY]]</f>
        <v>0</v>
      </c>
    </row>
    <row r="20" spans="1:12" ht="20.25" customHeight="1" x14ac:dyDescent="0.25">
      <c r="A20" s="39" t="s">
        <v>87</v>
      </c>
      <c r="B20" s="40"/>
      <c r="C20" s="94">
        <v>0</v>
      </c>
      <c r="D20" s="98">
        <v>0</v>
      </c>
      <c r="E20" s="94">
        <v>0</v>
      </c>
      <c r="F20" s="98">
        <v>0</v>
      </c>
      <c r="G20" s="94">
        <f>banks10[[#This Row],[DEBIT CURRENCY]]-banks10[[#This Row],[CREDIT CURRENCY]]</f>
        <v>0</v>
      </c>
      <c r="H20" s="98">
        <f>banks10[[#This Row],[DEBIT]]-banks10[[#This Row],[CREDIT]]</f>
        <v>0</v>
      </c>
      <c r="I20" s="132">
        <f>SUMIFS(ledger[[DEBIT ]],ledger[ACCOUNT NAME],"بنك القاهرة")-SUMIFS(ledger[CREDIT],ledger[ACCOUNT NAME],"بنك القاهرة")</f>
        <v>0</v>
      </c>
      <c r="J20" s="98">
        <f>banks10[[#This Row],[STARTING BALANCE]]+banks10[[#This Row],[CURRENT BALANCE]]</f>
        <v>0</v>
      </c>
      <c r="K20" s="94">
        <f>SUMIFS(ledger[DEBIT CURRENCY],ledger[ACCOUNT NAME],"بنك القاهرة")-SUMIFS(ledger[CREDIT CURRENCY],ledger[ACCOUNT NAME],"ـبنك القاهرة")</f>
        <v>0</v>
      </c>
      <c r="L20" s="94">
        <f>banks10[[#This Row],[STARTING BALANCE OF CURRENCY]]+banks10[[#This Row],[CURRENT BALANCE OF CURRENCY]]</f>
        <v>0</v>
      </c>
    </row>
    <row r="21" spans="1:12" ht="20.25" customHeight="1" x14ac:dyDescent="0.25">
      <c r="A21" s="39" t="s">
        <v>15</v>
      </c>
      <c r="B21" s="87">
        <f>SUBTOTAL(103,banks10[ACCOUNT NUMBER])</f>
        <v>2</v>
      </c>
      <c r="C21" s="94">
        <f>SUBTOTAL(109,banks10[DEBIT CURRENCY])</f>
        <v>0</v>
      </c>
      <c r="D21" s="151">
        <f>SUBTOTAL(109,banks10[DEBIT])</f>
        <v>0</v>
      </c>
      <c r="E21" s="94">
        <f>SUBTOTAL(109,banks10[CREDIT CURRENCY])</f>
        <v>0</v>
      </c>
      <c r="F21" s="98">
        <f>SUBTOTAL(109,banks10[CREDIT])</f>
        <v>0</v>
      </c>
      <c r="G21" s="94">
        <f>SUBTOTAL(109,banks10[STARTING BALANCE OF CURRENCY])</f>
        <v>0</v>
      </c>
      <c r="H21" s="151">
        <f>SUBTOTAL(109,banks10[STARTING BALANCE])</f>
        <v>0</v>
      </c>
      <c r="I21" s="152">
        <f>SUBTOTAL(109,banks10[CURRENT BALANCE])</f>
        <v>0</v>
      </c>
      <c r="J21" s="101">
        <f>SUBTOTAL(109,banks10[TOTAL BALANCE])</f>
        <v>0</v>
      </c>
      <c r="K21" s="157">
        <f>SUBTOTAL(109,banks10[CURRENT BALANCE OF CURRENCY])</f>
        <v>0</v>
      </c>
      <c r="L21" s="158">
        <f>SUBTOTAL(109,banks10[TOTAL BALANCE OF CURRENCY])</f>
        <v>0</v>
      </c>
    </row>
    <row r="22" spans="1:12" ht="20.25" customHeight="1" x14ac:dyDescent="0.25">
      <c r="H22" s="98">
        <f>banks10[[#Totals],[STARTING BALANCE]]-STARTING_BALANCE</f>
        <v>-100000000</v>
      </c>
      <c r="I22" s="98">
        <f>banks10[[#Totals],[CURRENT BALANCE]]-ledger[[#Totals],[BALANCE ]]</f>
        <v>4676512</v>
      </c>
      <c r="J22" s="98">
        <f>(banks10[[#Totals],[STARTING BALANCE]]+banks10[[#Totals],[CURRENT BALANCE]])-banks10[[#Totals],[TOTAL BALANCE]]</f>
        <v>0</v>
      </c>
      <c r="K22" s="153">
        <f>banks10[[#Totals],[CURRENT BALANCE OF CURRENCY]]-ledger[[#Totals],[CURRENCY BALANCE]]</f>
        <v>-30660</v>
      </c>
      <c r="L22" s="153">
        <f>(banks10[[#Totals],[STARTING BALANCE OF CURRENCY]]+banks10[[#Totals],[CURRENT BALANCE OF CURRENCY]])-banks10[[#Totals],[TOTAL BALANCE OF CURRENCY]]</f>
        <v>0</v>
      </c>
    </row>
    <row r="23" spans="1:12" ht="20.25" customHeight="1" x14ac:dyDescent="0.25">
      <c r="H23" s="30"/>
      <c r="I23" s="30"/>
    </row>
    <row r="24" spans="1:12" ht="20.25" customHeight="1" x14ac:dyDescent="0.25"/>
    <row r="25" spans="1:12" x14ac:dyDescent="0.25">
      <c r="H25" s="30"/>
    </row>
  </sheetData>
  <mergeCells count="1">
    <mergeCell ref="B2:E2"/>
  </mergeCells>
  <pageMargins left="0.7" right="0.7" top="0.75" bottom="0.75" header="0.3" footer="0.3"/>
  <ignoredErrors>
    <ignoredError sqref="I20 K6 K8:K18 I6:I19 K19:K20"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T89"/>
  <sheetViews>
    <sheetView rightToLeft="1" zoomScale="85" zoomScaleNormal="85" workbookViewId="0">
      <pane ySplit="5" topLeftCell="A6" activePane="bottomLeft" state="frozen"/>
      <selection pane="bottomLeft" activeCell="D9" sqref="D9"/>
    </sheetView>
  </sheetViews>
  <sheetFormatPr defaultColWidth="10.875" defaultRowHeight="17.25" x14ac:dyDescent="0.3"/>
  <cols>
    <col min="1" max="1" width="12.625" style="1" bestFit="1" customWidth="1"/>
    <col min="2" max="2" width="10" style="1" customWidth="1"/>
    <col min="3" max="3" width="12.625" style="1" bestFit="1" customWidth="1"/>
    <col min="4" max="4" width="16.875" style="1" customWidth="1"/>
    <col min="5" max="5" width="16.5" style="1" customWidth="1"/>
    <col min="6" max="6" width="33.375" style="33" customWidth="1"/>
    <col min="7" max="7" width="9.5" style="2" customWidth="1"/>
    <col min="8" max="8" width="10.25" style="2" customWidth="1"/>
    <col min="9" max="9" width="13.875" style="2" customWidth="1"/>
    <col min="10" max="10" width="13.75" style="2" customWidth="1"/>
    <col min="11" max="11" width="22.375" style="1" customWidth="1"/>
    <col min="12" max="12" width="20.125" style="1" customWidth="1"/>
    <col min="13" max="14" width="20" style="1" customWidth="1"/>
    <col min="15" max="15" width="18.125" style="1" bestFit="1" customWidth="1"/>
    <col min="16" max="16" width="19.875" style="1" bestFit="1" customWidth="1"/>
    <col min="17" max="17" width="24.5" style="1" customWidth="1"/>
    <col min="18" max="18" width="27.625" style="1" customWidth="1"/>
    <col min="19" max="19" width="36.875" style="1" customWidth="1"/>
    <col min="20" max="20" width="32.875" style="1" bestFit="1" customWidth="1"/>
    <col min="21" max="16384" width="10.875" style="1"/>
  </cols>
  <sheetData>
    <row r="1" spans="1:20" ht="24.95" customHeight="1" x14ac:dyDescent="0.3">
      <c r="A1" s="111" t="s">
        <v>7</v>
      </c>
      <c r="B1" s="112"/>
      <c r="C1" s="113" t="s">
        <v>8</v>
      </c>
      <c r="D1" s="114"/>
      <c r="E1" s="114"/>
      <c r="K1" s="109" t="s">
        <v>2</v>
      </c>
      <c r="L1" s="110"/>
      <c r="M1" s="147" t="s">
        <v>137</v>
      </c>
      <c r="N1" s="148"/>
      <c r="O1"/>
      <c r="P1"/>
      <c r="S1" s="147" t="s">
        <v>137</v>
      </c>
      <c r="T1" s="148"/>
    </row>
    <row r="2" spans="1:20" ht="24.95" customHeight="1" x14ac:dyDescent="0.3">
      <c r="A2" s="111" t="s">
        <v>9</v>
      </c>
      <c r="B2" s="112"/>
      <c r="C2" s="115" t="s">
        <v>126</v>
      </c>
      <c r="D2" s="116"/>
      <c r="E2" s="116"/>
      <c r="G2" s="120" t="s">
        <v>11</v>
      </c>
      <c r="H2" s="120"/>
      <c r="I2" s="120"/>
      <c r="J2" s="120"/>
      <c r="K2" s="133">
        <v>100000000</v>
      </c>
      <c r="L2" s="134"/>
      <c r="M2" s="150"/>
      <c r="N2" s="149"/>
      <c r="O2"/>
      <c r="P2"/>
      <c r="Q2" s="60" t="s">
        <v>70</v>
      </c>
      <c r="R2" s="60" t="s">
        <v>71</v>
      </c>
      <c r="S2" s="150"/>
      <c r="T2" s="149"/>
    </row>
    <row r="3" spans="1:20" ht="24.95" customHeight="1" x14ac:dyDescent="0.3">
      <c r="A3" s="111" t="s">
        <v>6</v>
      </c>
      <c r="B3" s="112"/>
      <c r="C3" s="115" t="s">
        <v>125</v>
      </c>
      <c r="D3" s="116"/>
      <c r="E3" s="116"/>
      <c r="K3" s="109" t="s">
        <v>1</v>
      </c>
      <c r="L3" s="110"/>
      <c r="M3" s="93"/>
      <c r="N3" s="93"/>
      <c r="O3" s="107" t="s">
        <v>141</v>
      </c>
      <c r="P3" s="108"/>
      <c r="Q3" s="144">
        <f>أمريكية[[#Totals],[17]]</f>
        <v>0</v>
      </c>
      <c r="R3" s="145">
        <f>أمريكية[[#Totals],[18]]</f>
        <v>0</v>
      </c>
      <c r="S3" s="147" t="s">
        <v>138</v>
      </c>
      <c r="T3" s="148"/>
    </row>
    <row r="4" spans="1:20" ht="24.95" customHeight="1" x14ac:dyDescent="0.3">
      <c r="A4" s="111" t="s">
        <v>13</v>
      </c>
      <c r="B4" s="112"/>
      <c r="C4" s="117">
        <v>45658</v>
      </c>
      <c r="D4" s="118"/>
      <c r="E4" s="119"/>
      <c r="F4" s="37"/>
      <c r="K4" s="137">
        <f>K2+(ledger[[#Totals],[DEBIT ]]-ledger[[#Totals],[CREDIT]])</f>
        <v>95323488</v>
      </c>
      <c r="L4" s="138"/>
      <c r="M4" s="84"/>
      <c r="N4" s="84"/>
      <c r="O4" s="107" t="s">
        <v>136</v>
      </c>
      <c r="P4" s="108"/>
      <c r="Q4" s="146">
        <f>ledger[[#Totals],[DEBIT ]]-Q3</f>
        <v>2162928</v>
      </c>
      <c r="R4" s="146">
        <f>ledger[[#Totals],[CREDIT]]-R3</f>
        <v>6839440</v>
      </c>
      <c r="S4" s="150"/>
      <c r="T4" s="149"/>
    </row>
    <row r="5" spans="1:20" s="20" customFormat="1" ht="45" customHeight="1" x14ac:dyDescent="0.25">
      <c r="A5" s="21" t="s">
        <v>0</v>
      </c>
      <c r="B5" s="22" t="s">
        <v>12</v>
      </c>
      <c r="C5" s="22" t="s">
        <v>3</v>
      </c>
      <c r="D5" s="59" t="s">
        <v>127</v>
      </c>
      <c r="E5" s="22" t="s">
        <v>4</v>
      </c>
      <c r="F5" s="22" t="s">
        <v>5</v>
      </c>
      <c r="G5" s="22" t="s">
        <v>14</v>
      </c>
      <c r="H5" s="22" t="s">
        <v>10</v>
      </c>
      <c r="I5" s="22" t="s">
        <v>131</v>
      </c>
      <c r="J5" s="22" t="s">
        <v>132</v>
      </c>
      <c r="K5" s="22" t="s">
        <v>133</v>
      </c>
      <c r="L5" s="23" t="s">
        <v>71</v>
      </c>
      <c r="M5" s="92" t="s">
        <v>134</v>
      </c>
      <c r="N5" s="92" t="s">
        <v>135</v>
      </c>
    </row>
    <row r="6" spans="1:20" ht="24" x14ac:dyDescent="0.3">
      <c r="A6" s="29">
        <v>45660</v>
      </c>
      <c r="B6" s="27">
        <v>21</v>
      </c>
      <c r="C6" s="12"/>
      <c r="D6" s="38"/>
      <c r="E6" s="24" t="s">
        <v>74</v>
      </c>
      <c r="F6" s="37" t="str">
        <f>VLOOKUP(ledger[[#This Row],[ACCOUNT NAME]],banks[#All],2,0)</f>
        <v>0000 - 0000 - **** - ####</v>
      </c>
      <c r="G6" s="13" t="s">
        <v>97</v>
      </c>
      <c r="H6" s="13" t="s">
        <v>128</v>
      </c>
      <c r="I6" s="32">
        <v>0</v>
      </c>
      <c r="J6" s="32">
        <v>0</v>
      </c>
      <c r="K6" s="135">
        <v>0</v>
      </c>
      <c r="L6" s="140">
        <v>500000</v>
      </c>
      <c r="M6" s="139">
        <f>ledger[[#This Row],[DEBIT CURRENCY]]-ledger[[#This Row],[CREDIT CURRENCY]]</f>
        <v>0</v>
      </c>
      <c r="N6" s="136">
        <f>ledger[[#This Row],[DEBIT ]]-ledger[[#This Row],[CREDIT]]</f>
        <v>-500000</v>
      </c>
      <c r="P6"/>
      <c r="Q6"/>
      <c r="R6"/>
      <c r="S6"/>
      <c r="T6"/>
    </row>
    <row r="7" spans="1:20" ht="24" x14ac:dyDescent="0.3">
      <c r="A7" s="29">
        <v>45660</v>
      </c>
      <c r="B7" s="27">
        <v>22</v>
      </c>
      <c r="C7" s="12"/>
      <c r="D7" s="12"/>
      <c r="E7" s="24" t="s">
        <v>76</v>
      </c>
      <c r="F7" s="37" t="str">
        <f>VLOOKUP(ledger[[#This Row],[ACCOUNT NAME]],banks[#All],2,0)</f>
        <v>0000-****-0000-##-0000-00</v>
      </c>
      <c r="G7" s="13" t="s">
        <v>130</v>
      </c>
      <c r="H7" s="13" t="s">
        <v>129</v>
      </c>
      <c r="I7" s="32">
        <v>0</v>
      </c>
      <c r="J7" s="32">
        <v>0</v>
      </c>
      <c r="K7" s="135">
        <v>0</v>
      </c>
      <c r="L7" s="140">
        <v>614425</v>
      </c>
      <c r="M7" s="139">
        <f>ledger[[#This Row],[DEBIT CURRENCY]]-ledger[[#This Row],[CREDIT CURRENCY]]</f>
        <v>0</v>
      </c>
      <c r="N7" s="136">
        <f>ledger[[#This Row],[DEBIT ]]-ledger[[#This Row],[CREDIT]]</f>
        <v>-614425</v>
      </c>
      <c r="P7"/>
      <c r="Q7"/>
      <c r="R7"/>
      <c r="S7"/>
      <c r="T7"/>
    </row>
    <row r="8" spans="1:20" ht="24" x14ac:dyDescent="0.3">
      <c r="A8" s="29">
        <v>45667</v>
      </c>
      <c r="B8" s="27">
        <v>23</v>
      </c>
      <c r="C8" s="12"/>
      <c r="D8" s="12"/>
      <c r="E8" s="24"/>
      <c r="F8" s="36" t="e">
        <f>VLOOKUP(ledger[[#This Row],[ACCOUNT NAME]],banks[#All],2,0)</f>
        <v>#N/A</v>
      </c>
      <c r="G8" s="13" t="s">
        <v>97</v>
      </c>
      <c r="H8" s="13" t="s">
        <v>128</v>
      </c>
      <c r="I8" s="32">
        <v>0</v>
      </c>
      <c r="J8" s="32">
        <v>0</v>
      </c>
      <c r="K8" s="135">
        <v>26595</v>
      </c>
      <c r="L8" s="140">
        <v>0</v>
      </c>
      <c r="M8" s="139">
        <f>ledger[[#This Row],[DEBIT CURRENCY]]-ledger[[#This Row],[CREDIT CURRENCY]]</f>
        <v>0</v>
      </c>
      <c r="N8" s="136">
        <f>ledger[[#This Row],[DEBIT ]]-ledger[[#This Row],[CREDIT]]</f>
        <v>26595</v>
      </c>
      <c r="P8"/>
      <c r="Q8"/>
      <c r="R8"/>
      <c r="S8"/>
      <c r="T8"/>
    </row>
    <row r="9" spans="1:20" ht="24" x14ac:dyDescent="0.3">
      <c r="A9" s="29">
        <v>45667</v>
      </c>
      <c r="B9" s="27">
        <v>24</v>
      </c>
      <c r="C9" s="12"/>
      <c r="D9" s="12"/>
      <c r="E9" s="24"/>
      <c r="F9" s="36" t="e">
        <f>VLOOKUP(ledger[[#This Row],[ACCOUNT NAME]],banks[#All],2,0)</f>
        <v>#N/A</v>
      </c>
      <c r="G9" s="13"/>
      <c r="H9" s="13" t="s">
        <v>128</v>
      </c>
      <c r="I9" s="32">
        <v>0</v>
      </c>
      <c r="J9" s="32">
        <v>0</v>
      </c>
      <c r="K9" s="135">
        <v>20075</v>
      </c>
      <c r="L9" s="140">
        <v>0</v>
      </c>
      <c r="M9" s="139">
        <f>ledger[[#This Row],[DEBIT CURRENCY]]-ledger[[#This Row],[CREDIT CURRENCY]]</f>
        <v>0</v>
      </c>
      <c r="N9" s="136">
        <f>ledger[[#This Row],[DEBIT ]]-ledger[[#This Row],[CREDIT]]</f>
        <v>20075</v>
      </c>
      <c r="P9"/>
      <c r="Q9"/>
      <c r="R9"/>
    </row>
    <row r="10" spans="1:20" ht="24" x14ac:dyDescent="0.3">
      <c r="A10" s="29">
        <v>45667</v>
      </c>
      <c r="B10" s="27">
        <v>24</v>
      </c>
      <c r="C10" s="12"/>
      <c r="D10" s="12"/>
      <c r="E10" s="24"/>
      <c r="F10" s="36" t="e">
        <f>VLOOKUP(ledger[[#This Row],[ACCOUNT NAME]],banks[#All],2,0)</f>
        <v>#N/A</v>
      </c>
      <c r="G10" s="13"/>
      <c r="H10" s="13" t="s">
        <v>129</v>
      </c>
      <c r="I10" s="32">
        <v>0</v>
      </c>
      <c r="J10" s="32">
        <v>0</v>
      </c>
      <c r="K10" s="135">
        <v>20000</v>
      </c>
      <c r="L10" s="140">
        <v>0</v>
      </c>
      <c r="M10" s="139">
        <f>ledger[[#This Row],[DEBIT CURRENCY]]-ledger[[#This Row],[CREDIT CURRENCY]]</f>
        <v>0</v>
      </c>
      <c r="N10" s="136">
        <f>ledger[[#This Row],[DEBIT ]]-ledger[[#This Row],[CREDIT]]</f>
        <v>20000</v>
      </c>
      <c r="P10"/>
      <c r="Q10"/>
      <c r="R10"/>
    </row>
    <row r="11" spans="1:20" ht="24" x14ac:dyDescent="0.3">
      <c r="A11" s="29">
        <v>45667</v>
      </c>
      <c r="B11" s="27">
        <v>25</v>
      </c>
      <c r="C11" s="12"/>
      <c r="D11" s="12"/>
      <c r="E11" s="24"/>
      <c r="F11" s="36" t="e">
        <f>VLOOKUP(ledger[[#This Row],[ACCOUNT NAME]],banks[#All],2,0)</f>
        <v>#N/A</v>
      </c>
      <c r="G11" s="13"/>
      <c r="H11" s="13" t="s">
        <v>128</v>
      </c>
      <c r="I11" s="32">
        <v>0</v>
      </c>
      <c r="J11" s="32">
        <v>0</v>
      </c>
      <c r="K11" s="135">
        <v>9322</v>
      </c>
      <c r="L11" s="140">
        <v>0</v>
      </c>
      <c r="M11" s="139">
        <f>ledger[[#This Row],[DEBIT CURRENCY]]-ledger[[#This Row],[CREDIT CURRENCY]]</f>
        <v>0</v>
      </c>
      <c r="N11" s="136">
        <f>ledger[[#This Row],[DEBIT ]]-ledger[[#This Row],[CREDIT]]</f>
        <v>9322</v>
      </c>
      <c r="P11"/>
      <c r="Q11"/>
      <c r="R11"/>
    </row>
    <row r="12" spans="1:20" ht="24" x14ac:dyDescent="0.3">
      <c r="A12" s="29">
        <v>45667</v>
      </c>
      <c r="B12" s="27">
        <v>25</v>
      </c>
      <c r="C12" s="12"/>
      <c r="D12" s="12"/>
      <c r="E12" s="24"/>
      <c r="F12" s="36" t="e">
        <f>VLOOKUP(ledger[[#This Row],[ACCOUNT NAME]],banks[#All],2,0)</f>
        <v>#N/A</v>
      </c>
      <c r="G12" s="13"/>
      <c r="H12" s="13" t="s">
        <v>129</v>
      </c>
      <c r="I12" s="32">
        <v>0</v>
      </c>
      <c r="J12" s="32">
        <v>0</v>
      </c>
      <c r="K12" s="135">
        <v>20678</v>
      </c>
      <c r="L12" s="140">
        <v>0</v>
      </c>
      <c r="M12" s="139">
        <f>ledger[[#This Row],[DEBIT CURRENCY]]-ledger[[#This Row],[CREDIT CURRENCY]]</f>
        <v>0</v>
      </c>
      <c r="N12" s="136">
        <f>ledger[[#This Row],[DEBIT ]]-ledger[[#This Row],[CREDIT]]</f>
        <v>20678</v>
      </c>
      <c r="P12"/>
      <c r="Q12"/>
      <c r="R12"/>
    </row>
    <row r="13" spans="1:20" ht="24" x14ac:dyDescent="0.3">
      <c r="A13" s="29">
        <v>45667</v>
      </c>
      <c r="B13" s="27">
        <v>25</v>
      </c>
      <c r="C13" s="12"/>
      <c r="D13" s="12"/>
      <c r="E13" s="24"/>
      <c r="F13" s="36" t="e">
        <f>VLOOKUP(ledger[[#This Row],[ACCOUNT NAME]],banks[#All],2,0)</f>
        <v>#N/A</v>
      </c>
      <c r="G13" s="13"/>
      <c r="H13" s="13" t="s">
        <v>128</v>
      </c>
      <c r="I13" s="32">
        <v>0</v>
      </c>
      <c r="J13" s="32">
        <v>0</v>
      </c>
      <c r="K13" s="135">
        <v>40000</v>
      </c>
      <c r="L13" s="140">
        <v>0</v>
      </c>
      <c r="M13" s="139">
        <f>ledger[[#This Row],[DEBIT CURRENCY]]-ledger[[#This Row],[CREDIT CURRENCY]]</f>
        <v>0</v>
      </c>
      <c r="N13" s="136">
        <f>ledger[[#This Row],[DEBIT ]]-ledger[[#This Row],[CREDIT]]</f>
        <v>40000</v>
      </c>
      <c r="P13"/>
      <c r="Q13"/>
      <c r="R13"/>
    </row>
    <row r="14" spans="1:20" ht="24" x14ac:dyDescent="0.3">
      <c r="A14" s="29">
        <v>45667</v>
      </c>
      <c r="B14" s="27">
        <v>34</v>
      </c>
      <c r="C14" s="12"/>
      <c r="D14" s="12"/>
      <c r="E14" s="31"/>
      <c r="F14" s="36" t="e">
        <f>VLOOKUP(ledger[[#This Row],[ACCOUNT NAME]],banks[#All],2,0)</f>
        <v>#N/A</v>
      </c>
      <c r="G14" s="13"/>
      <c r="H14" s="13" t="s">
        <v>129</v>
      </c>
      <c r="I14" s="32">
        <v>0</v>
      </c>
      <c r="J14" s="32">
        <v>0</v>
      </c>
      <c r="K14" s="135">
        <v>120000</v>
      </c>
      <c r="L14" s="140">
        <v>0</v>
      </c>
      <c r="M14" s="139">
        <f>ledger[[#This Row],[DEBIT CURRENCY]]-ledger[[#This Row],[CREDIT CURRENCY]]</f>
        <v>0</v>
      </c>
      <c r="N14" s="136">
        <f>ledger[[#This Row],[DEBIT ]]-ledger[[#This Row],[CREDIT]]</f>
        <v>120000</v>
      </c>
      <c r="P14"/>
      <c r="Q14"/>
      <c r="R14"/>
    </row>
    <row r="15" spans="1:20" ht="24" x14ac:dyDescent="0.3">
      <c r="A15" s="29">
        <v>45667</v>
      </c>
      <c r="B15" s="27">
        <v>40</v>
      </c>
      <c r="C15" s="12"/>
      <c r="D15" s="12"/>
      <c r="E15" s="31"/>
      <c r="F15" s="36" t="e">
        <f>VLOOKUP(ledger[[#This Row],[ACCOUNT NAME]],banks[#All],2,0)</f>
        <v>#N/A</v>
      </c>
      <c r="G15" s="13"/>
      <c r="H15" s="13" t="s">
        <v>128</v>
      </c>
      <c r="I15" s="32">
        <v>1990</v>
      </c>
      <c r="J15" s="32">
        <v>0</v>
      </c>
      <c r="K15" s="135">
        <v>104068</v>
      </c>
      <c r="L15" s="140">
        <v>0</v>
      </c>
      <c r="M15" s="139">
        <f>ledger[[#This Row],[DEBIT CURRENCY]]-ledger[[#This Row],[CREDIT CURRENCY]]</f>
        <v>1990</v>
      </c>
      <c r="N15" s="136">
        <f>ledger[[#This Row],[DEBIT ]]-ledger[[#This Row],[CREDIT]]</f>
        <v>104068</v>
      </c>
      <c r="P15"/>
      <c r="Q15"/>
      <c r="R15"/>
    </row>
    <row r="16" spans="1:20" ht="24" x14ac:dyDescent="0.3">
      <c r="A16" s="29">
        <v>45667</v>
      </c>
      <c r="B16" s="27">
        <v>40</v>
      </c>
      <c r="C16" s="12"/>
      <c r="D16" s="12"/>
      <c r="E16" s="39"/>
      <c r="F16" s="36" t="e">
        <f>VLOOKUP(ledger[[#This Row],[ACCOUNT NAME]],banks[#All],2,0)</f>
        <v>#N/A</v>
      </c>
      <c r="G16" s="13"/>
      <c r="H16" s="13" t="s">
        <v>128</v>
      </c>
      <c r="I16" s="32">
        <v>2000</v>
      </c>
      <c r="J16" s="32">
        <v>0</v>
      </c>
      <c r="K16" s="135">
        <v>101200</v>
      </c>
      <c r="L16" s="140">
        <v>0</v>
      </c>
      <c r="M16" s="139">
        <f>ledger[[#This Row],[DEBIT CURRENCY]]-ledger[[#This Row],[CREDIT CURRENCY]]</f>
        <v>2000</v>
      </c>
      <c r="N16" s="136">
        <f>ledger[[#This Row],[DEBIT ]]-ledger[[#This Row],[CREDIT]]</f>
        <v>101200</v>
      </c>
      <c r="P16"/>
      <c r="Q16"/>
      <c r="R16"/>
    </row>
    <row r="17" spans="1:18" ht="24" x14ac:dyDescent="0.3">
      <c r="A17" s="29">
        <v>45667</v>
      </c>
      <c r="B17" s="27">
        <v>44</v>
      </c>
      <c r="C17" s="12"/>
      <c r="D17" s="12"/>
      <c r="E17" s="31"/>
      <c r="F17" s="36" t="e">
        <f>VLOOKUP(ledger[[#This Row],[ACCOUNT NAME]],banks[#All],2,0)</f>
        <v>#N/A</v>
      </c>
      <c r="G17" s="13"/>
      <c r="H17" s="13" t="s">
        <v>129</v>
      </c>
      <c r="I17" s="32">
        <v>10500</v>
      </c>
      <c r="J17" s="32">
        <v>0</v>
      </c>
      <c r="K17" s="135">
        <v>548605</v>
      </c>
      <c r="L17" s="140">
        <v>0</v>
      </c>
      <c r="M17" s="139">
        <f>ledger[[#This Row],[DEBIT CURRENCY]]-ledger[[#This Row],[CREDIT CURRENCY]]</f>
        <v>10500</v>
      </c>
      <c r="N17" s="136">
        <f>ledger[[#This Row],[DEBIT ]]-ledger[[#This Row],[CREDIT]]</f>
        <v>548605</v>
      </c>
      <c r="P17"/>
      <c r="Q17"/>
      <c r="R17"/>
    </row>
    <row r="18" spans="1:18" ht="24" x14ac:dyDescent="0.3">
      <c r="A18" s="29">
        <v>45667</v>
      </c>
      <c r="B18" s="27">
        <v>44</v>
      </c>
      <c r="C18" s="12"/>
      <c r="D18" s="12"/>
      <c r="E18" s="39"/>
      <c r="F18" s="36" t="e">
        <f>VLOOKUP(ledger[[#This Row],[ACCOUNT NAME]],banks[#All],2,0)</f>
        <v>#N/A</v>
      </c>
      <c r="G18" s="13"/>
      <c r="H18" s="13" t="s">
        <v>128</v>
      </c>
      <c r="I18" s="32">
        <v>7620</v>
      </c>
      <c r="J18" s="32">
        <v>0</v>
      </c>
      <c r="K18" s="135">
        <v>384472</v>
      </c>
      <c r="L18" s="140">
        <v>0</v>
      </c>
      <c r="M18" s="139">
        <f>ledger[[#This Row],[DEBIT CURRENCY]]-ledger[[#This Row],[CREDIT CURRENCY]]</f>
        <v>7620</v>
      </c>
      <c r="N18" s="136">
        <f>ledger[[#This Row],[DEBIT ]]-ledger[[#This Row],[CREDIT]]</f>
        <v>384472</v>
      </c>
      <c r="P18"/>
      <c r="Q18"/>
      <c r="R18"/>
    </row>
    <row r="19" spans="1:18" ht="24" x14ac:dyDescent="0.3">
      <c r="A19" s="29">
        <v>45667</v>
      </c>
      <c r="B19" s="27">
        <v>44</v>
      </c>
      <c r="C19" s="12"/>
      <c r="D19" s="12"/>
      <c r="E19" s="31"/>
      <c r="F19" s="36" t="e">
        <f>VLOOKUP(ledger[[#This Row],[ACCOUNT NAME]],banks[#All],2,0)</f>
        <v>#N/A</v>
      </c>
      <c r="G19" s="13"/>
      <c r="H19" s="13" t="s">
        <v>129</v>
      </c>
      <c r="I19" s="32">
        <v>8550</v>
      </c>
      <c r="J19" s="32">
        <v>0</v>
      </c>
      <c r="K19" s="135">
        <v>532355</v>
      </c>
      <c r="L19" s="140">
        <v>0</v>
      </c>
      <c r="M19" s="139">
        <f>ledger[[#This Row],[DEBIT CURRENCY]]-ledger[[#This Row],[CREDIT CURRENCY]]</f>
        <v>8550</v>
      </c>
      <c r="N19" s="136">
        <f>ledger[[#This Row],[DEBIT ]]-ledger[[#This Row],[CREDIT]]</f>
        <v>532355</v>
      </c>
      <c r="P19"/>
      <c r="Q19"/>
      <c r="R19"/>
    </row>
    <row r="20" spans="1:18" ht="24" x14ac:dyDescent="0.3">
      <c r="A20" s="29">
        <v>45667</v>
      </c>
      <c r="B20" s="27">
        <v>46</v>
      </c>
      <c r="C20" s="12"/>
      <c r="D20" s="12"/>
      <c r="E20" s="31"/>
      <c r="F20" s="36" t="e">
        <f>VLOOKUP(ledger[[#This Row],[ACCOUNT NAME]],banks[#All],2,0)</f>
        <v>#N/A</v>
      </c>
      <c r="G20" s="13"/>
      <c r="H20" s="13" t="s">
        <v>128</v>
      </c>
      <c r="I20" s="32">
        <v>0</v>
      </c>
      <c r="J20" s="32">
        <v>0</v>
      </c>
      <c r="K20" s="135">
        <v>0</v>
      </c>
      <c r="L20" s="140">
        <v>1079324</v>
      </c>
      <c r="M20" s="139">
        <f>ledger[[#This Row],[DEBIT CURRENCY]]-ledger[[#This Row],[CREDIT CURRENCY]]</f>
        <v>0</v>
      </c>
      <c r="N20" s="136">
        <f>ledger[[#This Row],[DEBIT ]]-ledger[[#This Row],[CREDIT]]</f>
        <v>-1079324</v>
      </c>
      <c r="P20"/>
      <c r="Q20"/>
      <c r="R20"/>
    </row>
    <row r="21" spans="1:18" ht="24" x14ac:dyDescent="0.3">
      <c r="A21" s="29">
        <v>45667</v>
      </c>
      <c r="B21" s="27">
        <v>46</v>
      </c>
      <c r="C21" s="12"/>
      <c r="D21" s="12"/>
      <c r="E21" s="31"/>
      <c r="F21" s="36" t="e">
        <f>VLOOKUP(ledger[[#This Row],[ACCOUNT NAME]],banks[#All],2,0)</f>
        <v>#N/A</v>
      </c>
      <c r="G21" s="13"/>
      <c r="H21" s="13" t="s">
        <v>128</v>
      </c>
      <c r="I21" s="32">
        <v>0</v>
      </c>
      <c r="J21" s="32">
        <v>0</v>
      </c>
      <c r="K21" s="135">
        <v>0</v>
      </c>
      <c r="L21" s="140">
        <v>676</v>
      </c>
      <c r="M21" s="139">
        <f>ledger[[#This Row],[DEBIT CURRENCY]]-ledger[[#This Row],[CREDIT CURRENCY]]</f>
        <v>0</v>
      </c>
      <c r="N21" s="136">
        <f>ledger[[#This Row],[DEBIT ]]-ledger[[#This Row],[CREDIT]]</f>
        <v>-676</v>
      </c>
      <c r="P21"/>
      <c r="Q21"/>
      <c r="R21"/>
    </row>
    <row r="22" spans="1:18" ht="24" x14ac:dyDescent="0.3">
      <c r="A22" s="29">
        <v>45667</v>
      </c>
      <c r="B22" s="27">
        <v>47</v>
      </c>
      <c r="C22" s="12"/>
      <c r="D22" s="12"/>
      <c r="E22" s="31"/>
      <c r="F22" s="36" t="e">
        <f>VLOOKUP(ledger[[#This Row],[ACCOUNT NAME]],banks[#All],2,0)</f>
        <v>#N/A</v>
      </c>
      <c r="G22" s="13"/>
      <c r="H22" s="13" t="s">
        <v>129</v>
      </c>
      <c r="I22" s="32">
        <v>0</v>
      </c>
      <c r="J22" s="32">
        <v>0</v>
      </c>
      <c r="K22" s="135">
        <v>0</v>
      </c>
      <c r="L22" s="140">
        <v>375455</v>
      </c>
      <c r="M22" s="139">
        <f>ledger[[#This Row],[DEBIT CURRENCY]]-ledger[[#This Row],[CREDIT CURRENCY]]</f>
        <v>0</v>
      </c>
      <c r="N22" s="136">
        <f>ledger[[#This Row],[DEBIT ]]-ledger[[#This Row],[CREDIT]]</f>
        <v>-375455</v>
      </c>
      <c r="P22"/>
      <c r="Q22"/>
      <c r="R22"/>
    </row>
    <row r="23" spans="1:18" ht="24" x14ac:dyDescent="0.3">
      <c r="A23" s="29">
        <v>45667</v>
      </c>
      <c r="B23" s="27">
        <v>47</v>
      </c>
      <c r="C23" s="12"/>
      <c r="D23" s="12"/>
      <c r="E23" s="31"/>
      <c r="F23" s="36" t="e">
        <f>VLOOKUP(ledger[[#This Row],[ACCOUNT NAME]],banks[#All],2,0)</f>
        <v>#N/A</v>
      </c>
      <c r="G23" s="13"/>
      <c r="H23" s="13" t="s">
        <v>128</v>
      </c>
      <c r="I23" s="32">
        <v>0</v>
      </c>
      <c r="J23" s="32">
        <v>0</v>
      </c>
      <c r="K23" s="135">
        <v>0</v>
      </c>
      <c r="L23" s="140">
        <v>586000</v>
      </c>
      <c r="M23" s="139">
        <f>ledger[[#This Row],[DEBIT CURRENCY]]-ledger[[#This Row],[CREDIT CURRENCY]]</f>
        <v>0</v>
      </c>
      <c r="N23" s="136">
        <f>ledger[[#This Row],[DEBIT ]]-ledger[[#This Row],[CREDIT]]</f>
        <v>-586000</v>
      </c>
      <c r="P23"/>
      <c r="Q23"/>
      <c r="R23"/>
    </row>
    <row r="24" spans="1:18" ht="24" x14ac:dyDescent="0.3">
      <c r="A24" s="29">
        <v>45667</v>
      </c>
      <c r="B24" s="27">
        <v>47</v>
      </c>
      <c r="C24" s="12"/>
      <c r="D24" s="12"/>
      <c r="E24" s="31"/>
      <c r="F24" s="36" t="e">
        <f>VLOOKUP(ledger[[#This Row],[ACCOUNT NAME]],banks[#All],2,0)</f>
        <v>#N/A</v>
      </c>
      <c r="G24" s="13"/>
      <c r="H24" s="13" t="s">
        <v>129</v>
      </c>
      <c r="I24" s="32">
        <v>0</v>
      </c>
      <c r="J24" s="32">
        <v>0</v>
      </c>
      <c r="K24" s="135">
        <v>0</v>
      </c>
      <c r="L24" s="140">
        <v>586000</v>
      </c>
      <c r="M24" s="139">
        <f>ledger[[#This Row],[DEBIT CURRENCY]]-ledger[[#This Row],[CREDIT CURRENCY]]</f>
        <v>0</v>
      </c>
      <c r="N24" s="136">
        <f>ledger[[#This Row],[DEBIT ]]-ledger[[#This Row],[CREDIT]]</f>
        <v>-586000</v>
      </c>
      <c r="P24"/>
      <c r="Q24"/>
      <c r="R24"/>
    </row>
    <row r="25" spans="1:18" ht="24" x14ac:dyDescent="0.3">
      <c r="A25" s="29">
        <v>45667</v>
      </c>
      <c r="B25" s="27">
        <v>47</v>
      </c>
      <c r="C25" s="12"/>
      <c r="D25" s="12"/>
      <c r="E25" s="31"/>
      <c r="F25" s="36" t="e">
        <f>VLOOKUP(ledger[[#This Row],[ACCOUNT NAME]],banks[#All],2,0)</f>
        <v>#N/A</v>
      </c>
      <c r="G25" s="13"/>
      <c r="H25" s="13" t="s">
        <v>128</v>
      </c>
      <c r="I25" s="32">
        <v>0</v>
      </c>
      <c r="J25" s="32">
        <v>0</v>
      </c>
      <c r="K25" s="135">
        <v>0</v>
      </c>
      <c r="L25" s="140">
        <v>538810</v>
      </c>
      <c r="M25" s="139">
        <f>ledger[[#This Row],[DEBIT CURRENCY]]-ledger[[#This Row],[CREDIT CURRENCY]]</f>
        <v>0</v>
      </c>
      <c r="N25" s="136">
        <f>ledger[[#This Row],[DEBIT ]]-ledger[[#This Row],[CREDIT]]</f>
        <v>-538810</v>
      </c>
      <c r="P25"/>
      <c r="Q25"/>
      <c r="R25"/>
    </row>
    <row r="26" spans="1:18" ht="24" x14ac:dyDescent="0.3">
      <c r="A26" s="29">
        <v>45667</v>
      </c>
      <c r="B26" s="27">
        <v>47</v>
      </c>
      <c r="C26" s="12"/>
      <c r="D26" s="12"/>
      <c r="E26" s="31"/>
      <c r="F26" s="36" t="e">
        <f>VLOOKUP(ledger[[#This Row],[ACCOUNT NAME]],banks[#All],2,0)</f>
        <v>#N/A</v>
      </c>
      <c r="G26" s="13"/>
      <c r="H26" s="13" t="s">
        <v>128</v>
      </c>
      <c r="I26" s="32">
        <v>0</v>
      </c>
      <c r="J26" s="32">
        <v>0</v>
      </c>
      <c r="K26" s="135">
        <v>0</v>
      </c>
      <c r="L26" s="140">
        <v>258750</v>
      </c>
      <c r="M26" s="139">
        <f>ledger[[#This Row],[DEBIT CURRENCY]]-ledger[[#This Row],[CREDIT CURRENCY]]</f>
        <v>0</v>
      </c>
      <c r="N26" s="136">
        <f>ledger[[#This Row],[DEBIT ]]-ledger[[#This Row],[CREDIT]]</f>
        <v>-258750</v>
      </c>
      <c r="P26"/>
      <c r="Q26"/>
      <c r="R26"/>
    </row>
    <row r="27" spans="1:18" ht="24" x14ac:dyDescent="0.3">
      <c r="A27" s="29">
        <v>45667</v>
      </c>
      <c r="B27" s="27">
        <v>48</v>
      </c>
      <c r="C27" s="12"/>
      <c r="D27" s="12"/>
      <c r="E27" s="24"/>
      <c r="F27" s="36" t="e">
        <f>VLOOKUP(ledger[[#This Row],[ACCOUNT NAME]],banks[#All],2,0)</f>
        <v>#N/A</v>
      </c>
      <c r="G27" s="13"/>
      <c r="H27" s="13" t="s">
        <v>129</v>
      </c>
      <c r="I27" s="32">
        <v>0</v>
      </c>
      <c r="J27" s="32">
        <v>0</v>
      </c>
      <c r="K27" s="135">
        <v>0</v>
      </c>
      <c r="L27" s="140">
        <v>2100128</v>
      </c>
      <c r="M27" s="139">
        <f>ledger[[#This Row],[DEBIT CURRENCY]]-ledger[[#This Row],[CREDIT CURRENCY]]</f>
        <v>0</v>
      </c>
      <c r="N27" s="136">
        <f>ledger[[#This Row],[DEBIT ]]-ledger[[#This Row],[CREDIT]]</f>
        <v>-2100128</v>
      </c>
      <c r="P27"/>
      <c r="Q27"/>
      <c r="R27"/>
    </row>
    <row r="28" spans="1:18" ht="24" x14ac:dyDescent="0.3">
      <c r="A28" s="29">
        <v>45667</v>
      </c>
      <c r="B28" s="27">
        <v>48</v>
      </c>
      <c r="C28" s="12"/>
      <c r="D28" s="12"/>
      <c r="E28" s="24"/>
      <c r="F28" s="36" t="e">
        <f>VLOOKUP(ledger[[#This Row],[ACCOUNT NAME]],banks[#All],2,0)</f>
        <v>#N/A</v>
      </c>
      <c r="G28" s="13"/>
      <c r="H28" s="13" t="s">
        <v>128</v>
      </c>
      <c r="I28" s="32">
        <v>0</v>
      </c>
      <c r="J28" s="32">
        <v>0</v>
      </c>
      <c r="K28" s="135">
        <v>0</v>
      </c>
      <c r="L28" s="140">
        <v>60000</v>
      </c>
      <c r="M28" s="139">
        <f>ledger[[#This Row],[DEBIT CURRENCY]]-ledger[[#This Row],[CREDIT CURRENCY]]</f>
        <v>0</v>
      </c>
      <c r="N28" s="136">
        <f>ledger[[#This Row],[DEBIT ]]-ledger[[#This Row],[CREDIT]]</f>
        <v>-60000</v>
      </c>
      <c r="P28"/>
      <c r="Q28"/>
      <c r="R28"/>
    </row>
    <row r="29" spans="1:18" ht="24" x14ac:dyDescent="0.3">
      <c r="A29" s="29">
        <v>45667</v>
      </c>
      <c r="B29" s="27">
        <v>48</v>
      </c>
      <c r="C29" s="12"/>
      <c r="D29" s="12"/>
      <c r="E29" s="24"/>
      <c r="F29" s="36" t="e">
        <f>VLOOKUP(ledger[[#This Row],[ACCOUNT NAME]],banks[#All],2,0)</f>
        <v>#N/A</v>
      </c>
      <c r="G29" s="13"/>
      <c r="H29" s="13" t="s">
        <v>129</v>
      </c>
      <c r="I29" s="32">
        <v>0</v>
      </c>
      <c r="J29" s="32">
        <v>0</v>
      </c>
      <c r="K29" s="135">
        <v>0</v>
      </c>
      <c r="L29" s="140">
        <v>76000</v>
      </c>
      <c r="M29" s="139">
        <f>ledger[[#This Row],[DEBIT CURRENCY]]-ledger[[#This Row],[CREDIT CURRENCY]]</f>
        <v>0</v>
      </c>
      <c r="N29" s="136">
        <f>ledger[[#This Row],[DEBIT ]]-ledger[[#This Row],[CREDIT]]</f>
        <v>-76000</v>
      </c>
      <c r="P29"/>
      <c r="Q29"/>
      <c r="R29"/>
    </row>
    <row r="30" spans="1:18" ht="24" x14ac:dyDescent="0.3">
      <c r="A30" s="29">
        <v>45667</v>
      </c>
      <c r="B30" s="27">
        <v>48</v>
      </c>
      <c r="C30" s="12"/>
      <c r="D30" s="12"/>
      <c r="E30" s="24"/>
      <c r="F30" s="36" t="e">
        <f>VLOOKUP(ledger[[#This Row],[ACCOUNT NAME]],banks[#All],2,0)</f>
        <v>#N/A</v>
      </c>
      <c r="G30" s="13"/>
      <c r="H30" s="13" t="s">
        <v>128</v>
      </c>
      <c r="I30" s="32">
        <v>0</v>
      </c>
      <c r="J30" s="32">
        <v>0</v>
      </c>
      <c r="K30" s="135">
        <v>0</v>
      </c>
      <c r="L30" s="140">
        <v>63872</v>
      </c>
      <c r="M30" s="139">
        <f>ledger[[#This Row],[DEBIT CURRENCY]]-ledger[[#This Row],[CREDIT CURRENCY]]</f>
        <v>0</v>
      </c>
      <c r="N30" s="136">
        <f>ledger[[#This Row],[DEBIT ]]-ledger[[#This Row],[CREDIT]]</f>
        <v>-63872</v>
      </c>
      <c r="P30"/>
      <c r="Q30"/>
      <c r="R30"/>
    </row>
    <row r="31" spans="1:18" ht="24" x14ac:dyDescent="0.3">
      <c r="A31" s="29">
        <v>45674</v>
      </c>
      <c r="B31" s="27">
        <v>51</v>
      </c>
      <c r="C31" s="12"/>
      <c r="D31" s="12"/>
      <c r="E31" s="24"/>
      <c r="F31" s="36" t="e">
        <f>VLOOKUP(ledger[[#This Row],[ACCOUNT NAME]],banks[#All],2,0)</f>
        <v>#N/A</v>
      </c>
      <c r="G31" s="13"/>
      <c r="H31" s="13" t="s">
        <v>128</v>
      </c>
      <c r="I31" s="32">
        <v>0</v>
      </c>
      <c r="J31" s="32">
        <v>0</v>
      </c>
      <c r="K31" s="135">
        <v>235558</v>
      </c>
      <c r="L31" s="140">
        <v>0</v>
      </c>
      <c r="M31" s="139">
        <f>ledger[[#This Row],[DEBIT CURRENCY]]-ledger[[#This Row],[CREDIT CURRENCY]]</f>
        <v>0</v>
      </c>
      <c r="N31" s="136">
        <f>ledger[[#This Row],[DEBIT ]]-ledger[[#This Row],[CREDIT]]</f>
        <v>235558</v>
      </c>
      <c r="P31"/>
      <c r="Q31"/>
      <c r="R31"/>
    </row>
    <row r="32" spans="1:18" ht="24" x14ac:dyDescent="0.3">
      <c r="A32" s="29"/>
      <c r="B32" s="27"/>
      <c r="C32" s="12"/>
      <c r="D32" s="12"/>
      <c r="E32" s="31"/>
      <c r="F32" s="36" t="e">
        <f>VLOOKUP(ledger[[#This Row],[ACCOUNT NAME]],banks[#All],2,0)</f>
        <v>#N/A</v>
      </c>
      <c r="G32" s="13"/>
      <c r="H32" s="13"/>
      <c r="I32" s="32">
        <v>0</v>
      </c>
      <c r="J32" s="32">
        <v>0</v>
      </c>
      <c r="K32" s="135">
        <v>0</v>
      </c>
      <c r="L32" s="140">
        <v>0</v>
      </c>
      <c r="M32" s="139">
        <f>ledger[[#This Row],[DEBIT CURRENCY]]-ledger[[#This Row],[CREDIT CURRENCY]]</f>
        <v>0</v>
      </c>
      <c r="N32" s="136">
        <f>ledger[[#This Row],[DEBIT ]]-ledger[[#This Row],[CREDIT]]</f>
        <v>0</v>
      </c>
      <c r="P32"/>
      <c r="Q32"/>
      <c r="R32"/>
    </row>
    <row r="33" spans="1:18" ht="24" x14ac:dyDescent="0.3">
      <c r="A33" s="29"/>
      <c r="B33" s="28"/>
      <c r="C33" s="15"/>
      <c r="D33" s="15"/>
      <c r="E33" s="24"/>
      <c r="F33" s="36" t="e">
        <f>VLOOKUP(ledger[[#This Row],[ACCOUNT NAME]],banks[#All],2,0)</f>
        <v>#N/A</v>
      </c>
      <c r="G33" s="13"/>
      <c r="H33" s="13"/>
      <c r="I33" s="32">
        <v>0</v>
      </c>
      <c r="J33" s="32">
        <v>0</v>
      </c>
      <c r="K33" s="135">
        <v>0</v>
      </c>
      <c r="L33" s="140">
        <v>0</v>
      </c>
      <c r="M33" s="139">
        <f>ledger[[#This Row],[DEBIT CURRENCY]]-ledger[[#This Row],[CREDIT CURRENCY]]</f>
        <v>0</v>
      </c>
      <c r="N33" s="136">
        <f>ledger[[#This Row],[DEBIT ]]-ledger[[#This Row],[CREDIT]]</f>
        <v>0</v>
      </c>
      <c r="P33"/>
      <c r="Q33"/>
      <c r="R33"/>
    </row>
    <row r="34" spans="1:18" s="3" customFormat="1" ht="24" x14ac:dyDescent="0.25">
      <c r="A34" s="102"/>
      <c r="B34" s="14"/>
      <c r="C34" s="15"/>
      <c r="D34" s="15"/>
      <c r="E34" s="17"/>
      <c r="F34" s="34"/>
      <c r="G34" s="18"/>
      <c r="H34" s="18"/>
      <c r="I34" s="141">
        <f>SUBTOTAL(109,ledger[DEBIT CURRENCY])</f>
        <v>30660</v>
      </c>
      <c r="J34" s="142">
        <f>SUBTOTAL(109,ledger[CREDIT CURRENCY])</f>
        <v>0</v>
      </c>
      <c r="K34" s="19">
        <f>SUBTOTAL(109,ledger[[DEBIT ]])</f>
        <v>2162928</v>
      </c>
      <c r="L34" s="103">
        <f>SUBTOTAL(109,ledger[CREDIT])</f>
        <v>6839440</v>
      </c>
      <c r="M34" s="143">
        <f>SUBTOTAL(109,ledger[CURRENCY BALANCE])</f>
        <v>30660</v>
      </c>
      <c r="N34" s="160">
        <f>SUBTOTAL(109,ledger[[BALANCE ]])</f>
        <v>-4676512</v>
      </c>
      <c r="P34"/>
      <c r="Q34"/>
      <c r="R34"/>
    </row>
    <row r="35" spans="1:18" x14ac:dyDescent="0.3">
      <c r="A35" s="6"/>
      <c r="B35" s="7"/>
      <c r="C35" s="7"/>
      <c r="D35" s="7"/>
      <c r="E35" s="8"/>
      <c r="F35" s="10"/>
      <c r="G35" s="9"/>
      <c r="H35" s="9"/>
      <c r="I35" s="9"/>
      <c r="J35" s="9"/>
      <c r="K35" s="16"/>
      <c r="L35" s="16"/>
      <c r="M35" s="89"/>
      <c r="N35" s="89"/>
      <c r="P35"/>
      <c r="Q35"/>
      <c r="R35"/>
    </row>
    <row r="36" spans="1:18" x14ac:dyDescent="0.3">
      <c r="A36" s="5"/>
      <c r="B36" s="5"/>
      <c r="C36" s="5"/>
      <c r="D36" s="5"/>
      <c r="E36" s="5"/>
      <c r="F36" s="35"/>
      <c r="G36" s="4"/>
      <c r="H36" s="4"/>
      <c r="I36" s="4"/>
      <c r="J36" s="4"/>
      <c r="K36" s="44"/>
      <c r="L36" s="45"/>
      <c r="M36" s="90"/>
      <c r="N36" s="90"/>
      <c r="P36"/>
      <c r="Q36"/>
      <c r="R36"/>
    </row>
    <row r="37" spans="1:18" ht="31.5" customHeight="1" x14ac:dyDescent="0.3">
      <c r="A37"/>
      <c r="B37"/>
      <c r="C37"/>
      <c r="D37"/>
      <c r="E37"/>
      <c r="F37"/>
      <c r="G37"/>
      <c r="H37"/>
      <c r="I37"/>
      <c r="J37"/>
      <c r="K37" s="60" t="s">
        <v>70</v>
      </c>
      <c r="L37" s="60" t="s">
        <v>71</v>
      </c>
      <c r="M37" s="91"/>
      <c r="N37" s="91"/>
      <c r="P37"/>
      <c r="Q37"/>
      <c r="R37"/>
    </row>
    <row r="38" spans="1:18" ht="45.75" customHeight="1" x14ac:dyDescent="0.3">
      <c r="A38"/>
      <c r="B38"/>
      <c r="C38"/>
      <c r="D38"/>
      <c r="E38"/>
      <c r="F38"/>
      <c r="G38"/>
      <c r="H38"/>
      <c r="I38" s="107" t="s">
        <v>141</v>
      </c>
      <c r="J38" s="108"/>
      <c r="K38" s="144">
        <f>أمريكية[[#Totals],[17]]</f>
        <v>0</v>
      </c>
      <c r="L38" s="145">
        <f>أمريكية[[#Totals],[18]]</f>
        <v>0</v>
      </c>
      <c r="M38" s="61"/>
      <c r="N38" s="61"/>
    </row>
    <row r="39" spans="1:18" ht="30.75" customHeight="1" x14ac:dyDescent="0.3">
      <c r="A39"/>
      <c r="B39"/>
      <c r="C39"/>
      <c r="D39"/>
      <c r="E39"/>
      <c r="F39"/>
      <c r="G39"/>
      <c r="H39"/>
      <c r="I39" s="107" t="s">
        <v>136</v>
      </c>
      <c r="J39" s="108"/>
      <c r="K39" s="146">
        <f>ledger[[#Totals],[DEBIT ]]-K38</f>
        <v>2162928</v>
      </c>
      <c r="L39" s="146">
        <f>ledger[[#Totals],[CREDIT]]-L38</f>
        <v>6839440</v>
      </c>
      <c r="M39" s="62"/>
      <c r="N39" s="62"/>
    </row>
    <row r="40" spans="1:18" x14ac:dyDescent="0.3">
      <c r="A40"/>
      <c r="B40"/>
      <c r="C40"/>
      <c r="D40"/>
      <c r="E40"/>
      <c r="F40"/>
      <c r="G40"/>
      <c r="H40"/>
      <c r="I40"/>
      <c r="J40"/>
      <c r="K40" s="88"/>
      <c r="O40"/>
      <c r="P40"/>
      <c r="Q40"/>
    </row>
    <row r="41" spans="1:18" x14ac:dyDescent="0.3">
      <c r="A41"/>
      <c r="B41"/>
      <c r="C41"/>
      <c r="D41"/>
      <c r="E41"/>
      <c r="F41"/>
      <c r="G41"/>
      <c r="H41"/>
      <c r="I41"/>
      <c r="J41"/>
      <c r="K41" s="88"/>
      <c r="O41"/>
      <c r="P41"/>
      <c r="Q41"/>
    </row>
    <row r="42" spans="1:18" x14ac:dyDescent="0.3">
      <c r="A42"/>
      <c r="B42"/>
      <c r="C42"/>
      <c r="D42"/>
      <c r="E42"/>
      <c r="F42"/>
      <c r="G42"/>
      <c r="H42"/>
      <c r="I42"/>
      <c r="J42"/>
      <c r="K42" s="88"/>
      <c r="L42"/>
      <c r="M42"/>
      <c r="N42"/>
      <c r="O42"/>
      <c r="P42"/>
      <c r="Q42"/>
    </row>
    <row r="43" spans="1:18" x14ac:dyDescent="0.3">
      <c r="A43"/>
      <c r="B43"/>
      <c r="C43"/>
      <c r="D43"/>
      <c r="E43"/>
      <c r="F43"/>
      <c r="G43"/>
      <c r="H43"/>
      <c r="I43"/>
      <c r="J43"/>
      <c r="L43"/>
      <c r="M43"/>
      <c r="N43"/>
      <c r="O43"/>
      <c r="P43"/>
      <c r="Q43"/>
    </row>
    <row r="44" spans="1:18" x14ac:dyDescent="0.3">
      <c r="A44"/>
      <c r="B44"/>
      <c r="C44"/>
      <c r="D44"/>
      <c r="E44"/>
      <c r="F44"/>
      <c r="G44"/>
      <c r="H44"/>
      <c r="I44"/>
      <c r="J44"/>
      <c r="L44"/>
      <c r="M44"/>
      <c r="N44"/>
      <c r="O44"/>
      <c r="P44"/>
      <c r="Q44"/>
    </row>
    <row r="45" spans="1:18" x14ac:dyDescent="0.3">
      <c r="A45"/>
      <c r="B45"/>
      <c r="C45"/>
      <c r="D45"/>
      <c r="E45"/>
      <c r="F45"/>
      <c r="G45"/>
      <c r="H45"/>
      <c r="I45"/>
      <c r="J45"/>
      <c r="L45"/>
      <c r="M45"/>
      <c r="N45"/>
      <c r="O45"/>
      <c r="P45"/>
      <c r="Q45"/>
    </row>
    <row r="46" spans="1:18" x14ac:dyDescent="0.3">
      <c r="A46"/>
      <c r="B46"/>
      <c r="C46"/>
      <c r="D46"/>
      <c r="E46"/>
      <c r="L46"/>
      <c r="M46"/>
      <c r="N46"/>
      <c r="O46"/>
      <c r="P46"/>
      <c r="Q46"/>
    </row>
    <row r="47" spans="1:18" x14ac:dyDescent="0.3">
      <c r="A47"/>
      <c r="B47"/>
      <c r="C47"/>
      <c r="D47"/>
      <c r="E47"/>
      <c r="L47"/>
      <c r="M47"/>
      <c r="N47"/>
      <c r="O47"/>
      <c r="P47"/>
      <c r="Q47"/>
    </row>
    <row r="48" spans="1:18" x14ac:dyDescent="0.3">
      <c r="A48"/>
      <c r="B48"/>
      <c r="C48"/>
      <c r="D48"/>
      <c r="E48"/>
      <c r="L48"/>
      <c r="M48"/>
      <c r="N48"/>
      <c r="O48"/>
      <c r="P48"/>
      <c r="Q48"/>
    </row>
    <row r="49" spans="1:17" x14ac:dyDescent="0.3">
      <c r="A49"/>
      <c r="B49"/>
      <c r="C49"/>
      <c r="D49"/>
      <c r="E49"/>
      <c r="L49"/>
      <c r="M49"/>
      <c r="N49"/>
      <c r="O49"/>
      <c r="P49"/>
      <c r="Q49"/>
    </row>
    <row r="50" spans="1:17" x14ac:dyDescent="0.3">
      <c r="A50"/>
      <c r="B50"/>
      <c r="C50"/>
      <c r="D50"/>
      <c r="E50"/>
      <c r="L50"/>
      <c r="M50"/>
      <c r="N50"/>
      <c r="O50"/>
      <c r="P50"/>
      <c r="Q50"/>
    </row>
    <row r="51" spans="1:17" x14ac:dyDescent="0.3">
      <c r="A51"/>
      <c r="B51"/>
      <c r="C51"/>
      <c r="D51"/>
      <c r="E51"/>
      <c r="L51"/>
      <c r="M51"/>
      <c r="N51"/>
      <c r="O51"/>
      <c r="P51"/>
      <c r="Q51"/>
    </row>
    <row r="52" spans="1:17" x14ac:dyDescent="0.3">
      <c r="A52"/>
      <c r="B52"/>
      <c r="C52"/>
      <c r="D52"/>
      <c r="E52"/>
      <c r="L52"/>
      <c r="M52"/>
      <c r="N52"/>
      <c r="O52"/>
      <c r="P52"/>
      <c r="Q52"/>
    </row>
    <row r="53" spans="1:17" x14ac:dyDescent="0.3">
      <c r="A53"/>
      <c r="B53"/>
      <c r="C53"/>
      <c r="D53"/>
      <c r="E53"/>
      <c r="L53"/>
      <c r="M53"/>
      <c r="N53"/>
      <c r="O53"/>
      <c r="P53"/>
      <c r="Q53"/>
    </row>
    <row r="54" spans="1:17" x14ac:dyDescent="0.3">
      <c r="A54"/>
      <c r="B54"/>
      <c r="C54"/>
      <c r="D54"/>
      <c r="E54"/>
      <c r="L54"/>
      <c r="M54"/>
      <c r="N54"/>
      <c r="O54"/>
      <c r="P54"/>
      <c r="Q54"/>
    </row>
    <row r="55" spans="1:17" x14ac:dyDescent="0.3">
      <c r="C55"/>
      <c r="D55"/>
      <c r="E55"/>
      <c r="L55"/>
      <c r="M55"/>
      <c r="N55"/>
      <c r="O55"/>
      <c r="P55"/>
      <c r="Q55"/>
    </row>
    <row r="56" spans="1:17" x14ac:dyDescent="0.3">
      <c r="C56"/>
      <c r="D56"/>
      <c r="E56"/>
      <c r="L56"/>
      <c r="M56"/>
      <c r="N56"/>
      <c r="O56"/>
      <c r="P56"/>
      <c r="Q56"/>
    </row>
    <row r="57" spans="1:17" x14ac:dyDescent="0.3">
      <c r="L57"/>
      <c r="M57"/>
      <c r="N57"/>
      <c r="O57"/>
      <c r="P57"/>
      <c r="Q57"/>
    </row>
    <row r="58" spans="1:17" x14ac:dyDescent="0.3">
      <c r="L58"/>
      <c r="M58"/>
      <c r="N58"/>
      <c r="O58"/>
      <c r="P58"/>
      <c r="Q58"/>
    </row>
    <row r="59" spans="1:17" x14ac:dyDescent="0.3">
      <c r="L59"/>
      <c r="M59"/>
      <c r="N59"/>
      <c r="O59"/>
      <c r="P59"/>
      <c r="Q59"/>
    </row>
    <row r="60" spans="1:17" x14ac:dyDescent="0.3">
      <c r="L60"/>
      <c r="M60"/>
      <c r="N60"/>
      <c r="O60"/>
      <c r="P60"/>
      <c r="Q60"/>
    </row>
    <row r="61" spans="1:17" x14ac:dyDescent="0.3">
      <c r="L61"/>
      <c r="M61"/>
      <c r="N61"/>
      <c r="O61"/>
      <c r="P61"/>
      <c r="Q61"/>
    </row>
    <row r="62" spans="1:17" x14ac:dyDescent="0.3">
      <c r="L62"/>
      <c r="M62"/>
      <c r="N62"/>
      <c r="O62"/>
      <c r="P62"/>
      <c r="Q62"/>
    </row>
    <row r="63" spans="1:17" x14ac:dyDescent="0.3">
      <c r="L63"/>
      <c r="M63"/>
      <c r="N63"/>
      <c r="O63"/>
      <c r="P63"/>
      <c r="Q63"/>
    </row>
    <row r="64" spans="1:17" x14ac:dyDescent="0.3">
      <c r="L64"/>
      <c r="M64"/>
      <c r="N64"/>
      <c r="O64"/>
      <c r="P64"/>
      <c r="Q64"/>
    </row>
    <row r="65" spans="12:17" x14ac:dyDescent="0.3">
      <c r="L65"/>
      <c r="M65"/>
      <c r="N65"/>
      <c r="O65"/>
      <c r="P65"/>
      <c r="Q65"/>
    </row>
    <row r="66" spans="12:17" x14ac:dyDescent="0.3">
      <c r="L66"/>
      <c r="M66"/>
      <c r="N66"/>
      <c r="O66"/>
      <c r="P66"/>
      <c r="Q66"/>
    </row>
    <row r="67" spans="12:17" x14ac:dyDescent="0.3">
      <c r="L67"/>
      <c r="M67"/>
      <c r="N67"/>
      <c r="O67"/>
      <c r="P67"/>
      <c r="Q67"/>
    </row>
    <row r="68" spans="12:17" x14ac:dyDescent="0.3">
      <c r="L68"/>
      <c r="M68"/>
      <c r="N68"/>
      <c r="O68"/>
      <c r="P68"/>
      <c r="Q68"/>
    </row>
    <row r="69" spans="12:17" x14ac:dyDescent="0.3">
      <c r="L69"/>
      <c r="M69"/>
      <c r="N69"/>
      <c r="O69"/>
      <c r="P69"/>
      <c r="Q69"/>
    </row>
    <row r="70" spans="12:17" x14ac:dyDescent="0.3">
      <c r="L70"/>
      <c r="M70"/>
      <c r="N70"/>
      <c r="O70"/>
      <c r="P70"/>
      <c r="Q70"/>
    </row>
    <row r="71" spans="12:17" x14ac:dyDescent="0.3">
      <c r="L71"/>
      <c r="M71"/>
      <c r="N71"/>
      <c r="O71"/>
      <c r="P71"/>
      <c r="Q71"/>
    </row>
    <row r="72" spans="12:17" x14ac:dyDescent="0.3">
      <c r="L72"/>
      <c r="M72"/>
      <c r="N72"/>
      <c r="O72"/>
      <c r="P72"/>
      <c r="Q72"/>
    </row>
    <row r="73" spans="12:17" x14ac:dyDescent="0.3">
      <c r="L73"/>
      <c r="M73"/>
      <c r="N73"/>
      <c r="O73"/>
      <c r="P73"/>
      <c r="Q73"/>
    </row>
    <row r="74" spans="12:17" x14ac:dyDescent="0.3">
      <c r="L74"/>
      <c r="M74"/>
      <c r="N74"/>
      <c r="O74"/>
      <c r="P74"/>
      <c r="Q74"/>
    </row>
    <row r="75" spans="12:17" x14ac:dyDescent="0.3">
      <c r="L75"/>
      <c r="M75"/>
      <c r="N75"/>
      <c r="O75"/>
      <c r="P75"/>
      <c r="Q75"/>
    </row>
    <row r="76" spans="12:17" x14ac:dyDescent="0.3">
      <c r="L76"/>
      <c r="M76"/>
      <c r="N76"/>
      <c r="O76"/>
      <c r="P76"/>
      <c r="Q76"/>
    </row>
    <row r="77" spans="12:17" x14ac:dyDescent="0.3">
      <c r="L77"/>
      <c r="M77"/>
      <c r="N77"/>
      <c r="O77"/>
      <c r="P77"/>
      <c r="Q77"/>
    </row>
    <row r="78" spans="12:17" x14ac:dyDescent="0.3">
      <c r="L78"/>
      <c r="M78"/>
      <c r="N78"/>
      <c r="O78"/>
      <c r="P78"/>
      <c r="Q78"/>
    </row>
    <row r="79" spans="12:17" x14ac:dyDescent="0.3">
      <c r="L79"/>
      <c r="M79"/>
      <c r="N79"/>
      <c r="O79"/>
      <c r="P79"/>
      <c r="Q79"/>
    </row>
    <row r="80" spans="12:17" x14ac:dyDescent="0.3">
      <c r="L80"/>
      <c r="M80"/>
      <c r="N80"/>
      <c r="O80"/>
      <c r="P80"/>
      <c r="Q80"/>
    </row>
    <row r="81" spans="12:17" x14ac:dyDescent="0.3">
      <c r="L81"/>
      <c r="M81"/>
      <c r="N81"/>
      <c r="O81"/>
      <c r="P81"/>
      <c r="Q81"/>
    </row>
    <row r="82" spans="12:17" x14ac:dyDescent="0.3">
      <c r="L82"/>
      <c r="M82"/>
      <c r="N82"/>
      <c r="O82"/>
      <c r="P82"/>
      <c r="Q82"/>
    </row>
    <row r="83" spans="12:17" x14ac:dyDescent="0.3">
      <c r="L83"/>
      <c r="M83"/>
      <c r="N83"/>
      <c r="O83"/>
      <c r="P83"/>
      <c r="Q83"/>
    </row>
    <row r="84" spans="12:17" x14ac:dyDescent="0.3">
      <c r="L84"/>
      <c r="M84"/>
      <c r="N84"/>
      <c r="O84"/>
      <c r="P84"/>
      <c r="Q84"/>
    </row>
    <row r="85" spans="12:17" x14ac:dyDescent="0.3">
      <c r="L85"/>
      <c r="M85"/>
      <c r="N85"/>
      <c r="O85"/>
      <c r="P85"/>
      <c r="Q85"/>
    </row>
    <row r="86" spans="12:17" x14ac:dyDescent="0.3">
      <c r="L86"/>
      <c r="M86"/>
      <c r="N86"/>
      <c r="O86"/>
      <c r="P86"/>
      <c r="Q86"/>
    </row>
    <row r="87" spans="12:17" x14ac:dyDescent="0.3">
      <c r="L87"/>
      <c r="M87"/>
      <c r="N87"/>
      <c r="O87"/>
      <c r="P87"/>
      <c r="Q87"/>
    </row>
    <row r="88" spans="12:17" x14ac:dyDescent="0.3">
      <c r="L88"/>
      <c r="M88"/>
      <c r="N88"/>
    </row>
    <row r="89" spans="12:17" x14ac:dyDescent="0.3">
      <c r="L89"/>
      <c r="M89"/>
      <c r="N89"/>
    </row>
  </sheetData>
  <mergeCells count="23">
    <mergeCell ref="S4:T4"/>
    <mergeCell ref="M1:N1"/>
    <mergeCell ref="M2:N2"/>
    <mergeCell ref="S1:T1"/>
    <mergeCell ref="S2:T2"/>
    <mergeCell ref="S3:T3"/>
    <mergeCell ref="K1:L1"/>
    <mergeCell ref="G2:J2"/>
    <mergeCell ref="K2:L2"/>
    <mergeCell ref="A1:B1"/>
    <mergeCell ref="A2:B2"/>
    <mergeCell ref="A3:B3"/>
    <mergeCell ref="A4:B4"/>
    <mergeCell ref="C1:E1"/>
    <mergeCell ref="C2:E2"/>
    <mergeCell ref="C3:E3"/>
    <mergeCell ref="C4:E4"/>
    <mergeCell ref="K4:L4"/>
    <mergeCell ref="I38:J38"/>
    <mergeCell ref="I39:J39"/>
    <mergeCell ref="O3:P3"/>
    <mergeCell ref="O4:P4"/>
    <mergeCell ref="K3:L3"/>
  </mergeCells>
  <conditionalFormatting sqref="K2 K4 K35:N35 K6:N33">
    <cfRule type="cellIs" dxfId="15" priority="11" operator="lessThan">
      <formula>0</formula>
    </cfRule>
  </conditionalFormatting>
  <conditionalFormatting sqref="K38">
    <cfRule type="cellIs" dxfId="14" priority="2" operator="lessThan">
      <formula>0</formula>
    </cfRule>
  </conditionalFormatting>
  <conditionalFormatting sqref="Q3">
    <cfRule type="cellIs" dxfId="13" priority="1" operator="lessThan">
      <formula>0</formula>
    </cfRule>
  </conditionalFormatting>
  <printOptions horizontalCentered="1" verticalCentered="1"/>
  <pageMargins left="0.3" right="0.3" top="0.3" bottom="0.3" header="0" footer="0"/>
  <pageSetup scale="64"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5CE08-A126-4AA5-B993-6C3F7F537588}">
  <sheetPr>
    <tabColor theme="4"/>
  </sheetPr>
  <dimension ref="B1:P74"/>
  <sheetViews>
    <sheetView rightToLeft="1" zoomScale="85" zoomScaleNormal="85" workbookViewId="0">
      <pane ySplit="6" topLeftCell="A7" activePane="bottomLeft" state="frozen"/>
      <selection pane="bottomLeft" activeCell="E14" sqref="E14"/>
    </sheetView>
  </sheetViews>
  <sheetFormatPr defaultColWidth="10.875" defaultRowHeight="17.25" x14ac:dyDescent="0.3"/>
  <cols>
    <col min="1" max="1" width="5.375" style="1" customWidth="1"/>
    <col min="2" max="2" width="12.625" style="1" bestFit="1" customWidth="1"/>
    <col min="3" max="3" width="10.75" style="1" customWidth="1"/>
    <col min="4" max="4" width="50.625" style="1" customWidth="1"/>
    <col min="5" max="5" width="14.5" style="2" customWidth="1"/>
    <col min="6" max="6" width="14.625" style="2" customWidth="1"/>
    <col min="7" max="7" width="17.125" style="2" customWidth="1"/>
    <col min="8" max="8" width="19.625" style="2" customWidth="1"/>
    <col min="9" max="9" width="22" style="1" customWidth="1"/>
    <col min="10" max="10" width="23.75" style="1" customWidth="1"/>
    <col min="11" max="11" width="18.125" style="1" bestFit="1" customWidth="1"/>
    <col min="12" max="12" width="16" style="1" bestFit="1" customWidth="1"/>
    <col min="13" max="13" width="18.375" style="1" bestFit="1" customWidth="1"/>
    <col min="14" max="14" width="18.75" style="1" bestFit="1" customWidth="1"/>
    <col min="15" max="15" width="32.5" style="1" bestFit="1" customWidth="1"/>
    <col min="16" max="16" width="32.875" style="1" bestFit="1" customWidth="1"/>
    <col min="17" max="16384" width="10.875" style="1"/>
  </cols>
  <sheetData>
    <row r="1" spans="2:16" x14ac:dyDescent="0.3">
      <c r="I1" s="20" t="s">
        <v>70</v>
      </c>
      <c r="J1" s="20" t="s">
        <v>71</v>
      </c>
    </row>
    <row r="2" spans="2:16" ht="24.95" customHeight="1" x14ac:dyDescent="0.3">
      <c r="B2" s="123" t="s">
        <v>7</v>
      </c>
      <c r="C2" s="124"/>
      <c r="D2" s="68" t="s">
        <v>139</v>
      </c>
      <c r="E2" s="63"/>
      <c r="F2" s="63"/>
      <c r="G2" s="121" t="s">
        <v>140</v>
      </c>
      <c r="H2" s="122"/>
      <c r="I2" s="161">
        <f>ledger4[[#Totals],[DEBIT]]</f>
        <v>0</v>
      </c>
      <c r="J2" s="162">
        <f>ledger4[[#Totals],[CREDIT]]</f>
        <v>778022</v>
      </c>
      <c r="K2" s="63"/>
      <c r="L2"/>
      <c r="M2"/>
      <c r="N2"/>
      <c r="O2"/>
    </row>
    <row r="3" spans="2:16" ht="24.95" customHeight="1" x14ac:dyDescent="0.3">
      <c r="B3" s="123" t="s">
        <v>9</v>
      </c>
      <c r="C3" s="124"/>
      <c r="D3" s="69" t="s">
        <v>126</v>
      </c>
      <c r="E3" s="64"/>
      <c r="F3" s="64"/>
      <c r="G3" s="107" t="s">
        <v>141</v>
      </c>
      <c r="H3" s="108"/>
      <c r="I3" s="163">
        <f>أمريكية[[#Totals],[19]]</f>
        <v>0</v>
      </c>
      <c r="J3" s="164">
        <f>أمريكية[[#Totals],[20]]</f>
        <v>0</v>
      </c>
      <c r="K3" s="64"/>
      <c r="L3"/>
      <c r="M3"/>
      <c r="N3"/>
      <c r="O3"/>
    </row>
    <row r="4" spans="2:16" ht="24.95" customHeight="1" x14ac:dyDescent="0.3">
      <c r="B4" s="123" t="s">
        <v>6</v>
      </c>
      <c r="C4" s="124"/>
      <c r="D4" s="69"/>
      <c r="E4" s="64"/>
      <c r="F4" s="64"/>
      <c r="G4" s="107" t="s">
        <v>136</v>
      </c>
      <c r="H4" s="108"/>
      <c r="I4" s="163">
        <f>I2-STARTING_BALANCE</f>
        <v>0</v>
      </c>
      <c r="J4" s="164">
        <f>J2-J3</f>
        <v>778022</v>
      </c>
      <c r="K4" s="64"/>
      <c r="L4"/>
      <c r="M4"/>
      <c r="N4"/>
      <c r="O4"/>
    </row>
    <row r="5" spans="2:16" ht="24.95" customHeight="1" x14ac:dyDescent="0.3">
      <c r="B5" s="123" t="s">
        <v>13</v>
      </c>
      <c r="C5" s="124"/>
      <c r="D5" s="70">
        <v>45658</v>
      </c>
      <c r="E5" s="64"/>
      <c r="F5" s="67"/>
      <c r="G5" s="111"/>
      <c r="H5" s="112"/>
      <c r="I5" s="65"/>
      <c r="J5" s="66"/>
      <c r="K5" s="67"/>
      <c r="L5"/>
      <c r="M5"/>
      <c r="N5"/>
      <c r="O5"/>
    </row>
    <row r="6" spans="2:16" s="20" customFormat="1" ht="45" customHeight="1" x14ac:dyDescent="0.25">
      <c r="B6" s="21" t="s">
        <v>0</v>
      </c>
      <c r="C6" s="22" t="s">
        <v>12</v>
      </c>
      <c r="D6" s="22" t="s">
        <v>72</v>
      </c>
      <c r="E6" s="22" t="s">
        <v>73</v>
      </c>
      <c r="F6" s="22" t="s">
        <v>10</v>
      </c>
      <c r="G6" s="22" t="s">
        <v>131</v>
      </c>
      <c r="H6" s="22" t="s">
        <v>132</v>
      </c>
      <c r="I6" s="22" t="s">
        <v>70</v>
      </c>
      <c r="J6" s="23" t="s">
        <v>71</v>
      </c>
      <c r="K6"/>
      <c r="L6"/>
      <c r="M6"/>
      <c r="N6"/>
      <c r="O6"/>
    </row>
    <row r="7" spans="2:16" ht="21.95" customHeight="1" x14ac:dyDescent="0.3">
      <c r="B7" s="29">
        <v>45660</v>
      </c>
      <c r="C7" s="27">
        <v>1</v>
      </c>
      <c r="D7" s="80" t="str">
        <f>VLOOKUP(ledger4[[#This Row],[APPARTMENT NO.]],CLIENTSNAME!B:C,2,0)</f>
        <v>JAMES BOND</v>
      </c>
      <c r="E7" s="13" t="s">
        <v>97</v>
      </c>
      <c r="F7" s="11" t="s">
        <v>128</v>
      </c>
      <c r="G7" s="100">
        <v>0</v>
      </c>
      <c r="H7" s="100">
        <v>0</v>
      </c>
      <c r="I7" s="165">
        <v>0</v>
      </c>
      <c r="J7" s="165">
        <v>52100</v>
      </c>
    </row>
    <row r="8" spans="2:16" ht="18" x14ac:dyDescent="0.3">
      <c r="B8" s="29">
        <v>45660</v>
      </c>
      <c r="C8" s="26">
        <v>3</v>
      </c>
      <c r="D8" s="80" t="str">
        <f>VLOOKUP(ledger4[[#This Row],[APPARTMENT NO.]],CLIENTSNAME!B:C,2,0)</f>
        <v>M</v>
      </c>
      <c r="E8" s="13" t="s">
        <v>130</v>
      </c>
      <c r="F8" s="11" t="s">
        <v>129</v>
      </c>
      <c r="G8" s="100">
        <v>0</v>
      </c>
      <c r="H8" s="100">
        <v>0</v>
      </c>
      <c r="I8" s="165">
        <v>0</v>
      </c>
      <c r="J8" s="165">
        <v>46000</v>
      </c>
      <c r="L8"/>
      <c r="M8"/>
      <c r="N8"/>
      <c r="O8"/>
      <c r="P8"/>
    </row>
    <row r="9" spans="2:16" ht="18" x14ac:dyDescent="0.3">
      <c r="B9" s="29">
        <v>45660</v>
      </c>
      <c r="C9" s="27">
        <v>4</v>
      </c>
      <c r="D9" s="80" t="e">
        <f>VLOOKUP(ledger4[[#This Row],[APPARTMENT NO.]],CLIENTSNAME!B:C,2,0)</f>
        <v>#N/A</v>
      </c>
      <c r="E9" s="13"/>
      <c r="F9" s="11"/>
      <c r="G9" s="100">
        <v>0</v>
      </c>
      <c r="H9" s="100">
        <v>0</v>
      </c>
      <c r="I9" s="165">
        <v>0</v>
      </c>
      <c r="J9" s="165">
        <v>396412</v>
      </c>
      <c r="L9"/>
      <c r="M9"/>
      <c r="N9"/>
      <c r="O9"/>
      <c r="P9"/>
    </row>
    <row r="10" spans="2:16" ht="18" x14ac:dyDescent="0.3">
      <c r="B10" s="29">
        <v>45660</v>
      </c>
      <c r="C10" s="26">
        <v>6</v>
      </c>
      <c r="D10" s="80" t="e">
        <f>VLOOKUP(ledger4[[#This Row],[APPARTMENT NO.]],CLIENTSNAME!B:C,2,0)</f>
        <v>#N/A</v>
      </c>
      <c r="E10" s="13"/>
      <c r="F10" s="11"/>
      <c r="G10" s="100">
        <v>0</v>
      </c>
      <c r="H10" s="100">
        <v>0</v>
      </c>
      <c r="I10" s="165">
        <v>0</v>
      </c>
      <c r="J10" s="165">
        <v>20000</v>
      </c>
      <c r="L10"/>
      <c r="M10"/>
      <c r="N10"/>
      <c r="O10"/>
      <c r="P10"/>
    </row>
    <row r="11" spans="2:16" ht="18" x14ac:dyDescent="0.3">
      <c r="B11" s="29">
        <v>45660</v>
      </c>
      <c r="C11" s="27">
        <v>7</v>
      </c>
      <c r="D11" s="80" t="e">
        <f>VLOOKUP(ledger4[[#This Row],[APPARTMENT NO.]],CLIENTSNAME!B:C,2,0)</f>
        <v>#N/A</v>
      </c>
      <c r="E11" s="13"/>
      <c r="F11" s="11"/>
      <c r="G11" s="100">
        <v>0</v>
      </c>
      <c r="H11" s="100">
        <v>0</v>
      </c>
      <c r="I11" s="165">
        <v>0</v>
      </c>
      <c r="J11" s="165">
        <v>33260</v>
      </c>
      <c r="L11"/>
      <c r="M11"/>
      <c r="N11"/>
      <c r="O11"/>
      <c r="P11"/>
    </row>
    <row r="12" spans="2:16" ht="18" x14ac:dyDescent="0.3">
      <c r="B12" s="29">
        <v>45660</v>
      </c>
      <c r="C12" s="26">
        <v>7</v>
      </c>
      <c r="D12" s="80" t="e">
        <f>VLOOKUP(ledger4[[#This Row],[APPARTMENT NO.]],CLIENTSNAME!B:C,2,0)</f>
        <v>#N/A</v>
      </c>
      <c r="E12" s="13"/>
      <c r="F12" s="11"/>
      <c r="G12" s="100">
        <v>0</v>
      </c>
      <c r="H12" s="100">
        <v>0</v>
      </c>
      <c r="I12" s="165">
        <v>0</v>
      </c>
      <c r="J12" s="165">
        <v>37000</v>
      </c>
      <c r="L12"/>
      <c r="M12"/>
      <c r="N12"/>
      <c r="O12"/>
      <c r="P12"/>
    </row>
    <row r="13" spans="2:16" ht="18" x14ac:dyDescent="0.3">
      <c r="B13" s="29">
        <v>45660</v>
      </c>
      <c r="C13" s="27">
        <v>7</v>
      </c>
      <c r="D13" s="80" t="e">
        <f>VLOOKUP(ledger4[[#This Row],[APPARTMENT NO.]],CLIENTSNAME!B:C,2,0)</f>
        <v>#N/A</v>
      </c>
      <c r="E13" s="13"/>
      <c r="F13" s="11"/>
      <c r="G13" s="100">
        <v>0</v>
      </c>
      <c r="H13" s="100">
        <v>0</v>
      </c>
      <c r="I13" s="165">
        <v>0</v>
      </c>
      <c r="J13" s="165">
        <v>25000</v>
      </c>
      <c r="L13"/>
      <c r="M13"/>
      <c r="N13"/>
      <c r="O13"/>
      <c r="P13"/>
    </row>
    <row r="14" spans="2:16" ht="18" x14ac:dyDescent="0.3">
      <c r="B14" s="29">
        <v>45660</v>
      </c>
      <c r="C14" s="26">
        <v>8</v>
      </c>
      <c r="D14" s="80" t="e">
        <f>VLOOKUP(ledger4[[#This Row],[APPARTMENT NO.]],CLIENTSNAME!B:C,2,0)</f>
        <v>#N/A</v>
      </c>
      <c r="E14" s="13"/>
      <c r="F14" s="11"/>
      <c r="G14" s="100">
        <v>0</v>
      </c>
      <c r="H14" s="100">
        <v>0</v>
      </c>
      <c r="I14" s="165">
        <v>0</v>
      </c>
      <c r="J14" s="165">
        <v>19600</v>
      </c>
      <c r="L14"/>
      <c r="M14"/>
      <c r="N14"/>
      <c r="O14"/>
      <c r="P14"/>
    </row>
    <row r="15" spans="2:16" ht="18" x14ac:dyDescent="0.3">
      <c r="B15" s="29">
        <v>45660</v>
      </c>
      <c r="C15" s="27">
        <v>10</v>
      </c>
      <c r="D15" s="80" t="e">
        <f>VLOOKUP(ledger4[[#This Row],[APPARTMENT NO.]],CLIENTSNAME!B:C,2,0)</f>
        <v>#N/A</v>
      </c>
      <c r="E15" s="13"/>
      <c r="F15" s="11"/>
      <c r="G15" s="100">
        <v>0</v>
      </c>
      <c r="H15" s="100">
        <v>0</v>
      </c>
      <c r="I15" s="165">
        <v>0</v>
      </c>
      <c r="J15" s="165">
        <v>20000</v>
      </c>
      <c r="L15"/>
      <c r="M15"/>
      <c r="N15"/>
      <c r="O15"/>
      <c r="P15"/>
    </row>
    <row r="16" spans="2:16" ht="18" x14ac:dyDescent="0.3">
      <c r="B16" s="29">
        <v>45660</v>
      </c>
      <c r="C16" s="27">
        <v>10</v>
      </c>
      <c r="D16" s="80" t="e">
        <f>VLOOKUP(ledger4[[#This Row],[APPARTMENT NO.]],CLIENTSNAME!B:C,2,0)</f>
        <v>#N/A</v>
      </c>
      <c r="E16" s="13"/>
      <c r="F16" s="11"/>
      <c r="G16" s="100">
        <v>0</v>
      </c>
      <c r="H16" s="100">
        <v>0</v>
      </c>
      <c r="I16" s="165">
        <v>0</v>
      </c>
      <c r="J16" s="165">
        <v>20000</v>
      </c>
      <c r="L16"/>
      <c r="M16"/>
      <c r="N16"/>
      <c r="O16"/>
      <c r="P16"/>
    </row>
    <row r="17" spans="2:16" ht="18" x14ac:dyDescent="0.3">
      <c r="B17" s="29">
        <v>45660</v>
      </c>
      <c r="C17" s="27">
        <v>11</v>
      </c>
      <c r="D17" s="80" t="e">
        <f>VLOOKUP(ledger4[[#This Row],[APPARTMENT NO.]],CLIENTSNAME!B:C,2,0)</f>
        <v>#N/A</v>
      </c>
      <c r="E17" s="13"/>
      <c r="F17" s="11"/>
      <c r="G17" s="100">
        <v>0</v>
      </c>
      <c r="H17" s="100">
        <v>0</v>
      </c>
      <c r="I17" s="165">
        <v>0</v>
      </c>
      <c r="J17" s="165">
        <v>29900</v>
      </c>
      <c r="L17"/>
      <c r="M17"/>
      <c r="N17"/>
      <c r="O17"/>
      <c r="P17"/>
    </row>
    <row r="18" spans="2:16" ht="18" x14ac:dyDescent="0.3">
      <c r="B18" s="29">
        <v>45660</v>
      </c>
      <c r="C18" s="26">
        <v>12</v>
      </c>
      <c r="D18" s="80" t="e">
        <f>VLOOKUP(ledger4[[#This Row],[APPARTMENT NO.]],CLIENTSNAME!B:C,2,0)</f>
        <v>#N/A</v>
      </c>
      <c r="E18" s="13"/>
      <c r="F18" s="11"/>
      <c r="G18" s="100">
        <v>0</v>
      </c>
      <c r="H18" s="100">
        <v>0</v>
      </c>
      <c r="I18" s="165">
        <v>0</v>
      </c>
      <c r="J18" s="165">
        <v>38500</v>
      </c>
      <c r="L18"/>
      <c r="M18"/>
      <c r="N18"/>
      <c r="O18"/>
      <c r="P18"/>
    </row>
    <row r="19" spans="2:16" ht="18" x14ac:dyDescent="0.3">
      <c r="B19" s="29">
        <v>45660</v>
      </c>
      <c r="C19" s="27">
        <v>12</v>
      </c>
      <c r="D19" s="80" t="e">
        <f>VLOOKUP(ledger4[[#This Row],[APPARTMENT NO.]],CLIENTSNAME!B:C,2,0)</f>
        <v>#N/A</v>
      </c>
      <c r="E19" s="13"/>
      <c r="F19" s="11"/>
      <c r="G19" s="100">
        <v>0</v>
      </c>
      <c r="H19" s="100">
        <v>0</v>
      </c>
      <c r="I19" s="165">
        <v>0</v>
      </c>
      <c r="J19" s="165">
        <v>40250</v>
      </c>
      <c r="L19"/>
      <c r="M19"/>
      <c r="N19"/>
      <c r="O19"/>
      <c r="P19"/>
    </row>
    <row r="20" spans="2:16" ht="18" x14ac:dyDescent="0.3">
      <c r="B20" s="29"/>
      <c r="C20" s="27"/>
      <c r="D20" s="80" t="e">
        <f>VLOOKUP(ledger4[[#This Row],[APPARTMENT NO.]],CLIENTSNAME!B:C,2,0)</f>
        <v>#N/A</v>
      </c>
      <c r="E20" s="13"/>
      <c r="F20" s="11"/>
      <c r="G20" s="100">
        <v>0</v>
      </c>
      <c r="H20" s="100">
        <v>0</v>
      </c>
      <c r="I20" s="165">
        <v>0</v>
      </c>
      <c r="J20" s="165">
        <v>0</v>
      </c>
      <c r="L20"/>
      <c r="M20"/>
      <c r="N20"/>
    </row>
    <row r="21" spans="2:16" ht="18" x14ac:dyDescent="0.3">
      <c r="B21" s="25"/>
      <c r="C21" s="28"/>
      <c r="D21" s="80" t="e">
        <f>VLOOKUP(ledger4[[#This Row],[APPARTMENT NO.]],CLIENTSNAME!B:C,2,0)</f>
        <v>#N/A</v>
      </c>
      <c r="E21" s="13"/>
      <c r="F21" s="11"/>
      <c r="G21" s="100">
        <v>0</v>
      </c>
      <c r="H21" s="100">
        <v>0</v>
      </c>
      <c r="I21" s="165">
        <v>0</v>
      </c>
      <c r="J21" s="165">
        <v>0</v>
      </c>
      <c r="L21"/>
      <c r="M21"/>
      <c r="N21"/>
    </row>
    <row r="22" spans="2:16" s="75" customFormat="1" ht="40.5" customHeight="1" x14ac:dyDescent="0.25">
      <c r="B22" s="76"/>
      <c r="C22" s="72"/>
      <c r="D22" s="73"/>
      <c r="E22" s="73"/>
      <c r="F22" s="73"/>
      <c r="G22" s="166">
        <f>SUBTOTAL(109,ledger4[DEBIT CURRENCY])</f>
        <v>0</v>
      </c>
      <c r="H22" s="167">
        <f>SUBTOTAL(109,ledger4[CREDIT CURRENCY])</f>
        <v>0</v>
      </c>
      <c r="I22" s="74">
        <f>SUBTOTAL(109,ledger4[DEBIT])</f>
        <v>0</v>
      </c>
      <c r="J22" s="77">
        <f>SUBTOTAL(109,ledger4[CREDIT])</f>
        <v>778022</v>
      </c>
      <c r="L22" s="43"/>
      <c r="M22" s="43"/>
      <c r="N22" s="43"/>
    </row>
    <row r="23" spans="2:16" x14ac:dyDescent="0.3">
      <c r="B23" s="6"/>
      <c r="C23" s="7"/>
      <c r="D23" s="8"/>
      <c r="E23" s="9"/>
      <c r="F23" s="9"/>
      <c r="G23" s="9"/>
      <c r="H23" s="9"/>
      <c r="I23" s="16"/>
      <c r="J23" s="16"/>
      <c r="L23"/>
      <c r="M23"/>
      <c r="N23"/>
    </row>
    <row r="24" spans="2:16" x14ac:dyDescent="0.3">
      <c r="B24" s="5"/>
      <c r="C24" s="5"/>
      <c r="D24" s="5"/>
      <c r="E24" s="4"/>
      <c r="F24" s="4"/>
      <c r="G24" s="4"/>
      <c r="H24" s="4"/>
      <c r="I24" s="44"/>
      <c r="J24" s="45"/>
      <c r="K24"/>
      <c r="L24"/>
      <c r="M24"/>
    </row>
    <row r="25" spans="2:16" x14ac:dyDescent="0.3">
      <c r="B25"/>
      <c r="C25"/>
      <c r="D25"/>
      <c r="E25"/>
      <c r="F25"/>
      <c r="G25"/>
      <c r="H25"/>
      <c r="K25"/>
      <c r="L25"/>
      <c r="M25"/>
    </row>
    <row r="26" spans="2:16" x14ac:dyDescent="0.3">
      <c r="B26"/>
      <c r="C26"/>
      <c r="D26"/>
      <c r="E26"/>
      <c r="F26"/>
      <c r="G26"/>
      <c r="H26"/>
      <c r="K26"/>
      <c r="L26"/>
      <c r="M26"/>
    </row>
    <row r="27" spans="2:16" x14ac:dyDescent="0.3">
      <c r="B27"/>
      <c r="C27"/>
      <c r="D27"/>
      <c r="E27"/>
      <c r="F27"/>
      <c r="G27"/>
      <c r="H27"/>
      <c r="J27"/>
      <c r="K27"/>
      <c r="L27"/>
      <c r="M27"/>
    </row>
    <row r="28" spans="2:16" x14ac:dyDescent="0.3">
      <c r="B28"/>
      <c r="C28"/>
      <c r="D28"/>
      <c r="E28"/>
      <c r="F28"/>
      <c r="G28"/>
      <c r="H28"/>
      <c r="J28"/>
      <c r="K28"/>
      <c r="L28"/>
      <c r="M28"/>
    </row>
    <row r="29" spans="2:16" x14ac:dyDescent="0.3">
      <c r="B29"/>
      <c r="C29"/>
      <c r="D29"/>
      <c r="E29"/>
      <c r="F29"/>
      <c r="G29"/>
      <c r="H29"/>
      <c r="J29"/>
      <c r="K29"/>
      <c r="L29"/>
      <c r="M29"/>
    </row>
    <row r="30" spans="2:16" x14ac:dyDescent="0.3">
      <c r="B30"/>
      <c r="C30"/>
      <c r="D30"/>
      <c r="E30"/>
      <c r="F30"/>
      <c r="G30"/>
      <c r="H30"/>
      <c r="J30"/>
      <c r="K30"/>
      <c r="L30"/>
      <c r="M30"/>
    </row>
    <row r="31" spans="2:16" x14ac:dyDescent="0.3">
      <c r="B31"/>
      <c r="C31"/>
      <c r="D31"/>
      <c r="J31"/>
      <c r="K31"/>
      <c r="L31"/>
      <c r="M31"/>
    </row>
    <row r="32" spans="2:16" x14ac:dyDescent="0.3">
      <c r="B32"/>
      <c r="C32"/>
      <c r="D32"/>
      <c r="J32"/>
      <c r="K32"/>
      <c r="L32"/>
      <c r="M32"/>
    </row>
    <row r="33" spans="2:13" x14ac:dyDescent="0.3">
      <c r="B33"/>
      <c r="C33"/>
      <c r="D33"/>
      <c r="J33"/>
      <c r="K33"/>
      <c r="L33"/>
      <c r="M33"/>
    </row>
    <row r="34" spans="2:13" x14ac:dyDescent="0.3">
      <c r="B34"/>
      <c r="C34"/>
      <c r="D34"/>
      <c r="J34"/>
      <c r="K34"/>
      <c r="L34"/>
      <c r="M34"/>
    </row>
    <row r="35" spans="2:13" x14ac:dyDescent="0.3">
      <c r="B35"/>
      <c r="C35"/>
      <c r="D35"/>
      <c r="J35"/>
      <c r="K35"/>
      <c r="L35"/>
      <c r="M35"/>
    </row>
    <row r="36" spans="2:13" x14ac:dyDescent="0.3">
      <c r="B36"/>
      <c r="C36"/>
      <c r="D36"/>
      <c r="J36"/>
      <c r="K36"/>
      <c r="L36"/>
      <c r="M36"/>
    </row>
    <row r="37" spans="2:13" x14ac:dyDescent="0.3">
      <c r="B37"/>
      <c r="C37"/>
      <c r="D37"/>
      <c r="J37"/>
      <c r="K37"/>
      <c r="L37"/>
      <c r="M37"/>
    </row>
    <row r="38" spans="2:13" x14ac:dyDescent="0.3">
      <c r="B38"/>
      <c r="C38"/>
      <c r="D38"/>
      <c r="J38"/>
      <c r="K38"/>
      <c r="L38"/>
      <c r="M38"/>
    </row>
    <row r="39" spans="2:13" x14ac:dyDescent="0.3">
      <c r="B39"/>
      <c r="C39"/>
      <c r="D39"/>
      <c r="J39"/>
      <c r="K39"/>
      <c r="L39"/>
      <c r="M39"/>
    </row>
    <row r="40" spans="2:13" x14ac:dyDescent="0.3">
      <c r="D40"/>
      <c r="J40"/>
      <c r="K40"/>
      <c r="L40"/>
      <c r="M40"/>
    </row>
    <row r="41" spans="2:13" x14ac:dyDescent="0.3">
      <c r="D41"/>
      <c r="J41"/>
      <c r="K41"/>
      <c r="L41"/>
      <c r="M41"/>
    </row>
    <row r="42" spans="2:13" x14ac:dyDescent="0.3">
      <c r="J42"/>
      <c r="K42"/>
      <c r="L42"/>
      <c r="M42"/>
    </row>
    <row r="43" spans="2:13" x14ac:dyDescent="0.3">
      <c r="J43"/>
      <c r="K43"/>
      <c r="L43"/>
      <c r="M43"/>
    </row>
    <row r="44" spans="2:13" x14ac:dyDescent="0.3">
      <c r="J44"/>
      <c r="K44"/>
      <c r="L44"/>
      <c r="M44"/>
    </row>
    <row r="45" spans="2:13" x14ac:dyDescent="0.3">
      <c r="J45"/>
      <c r="K45"/>
      <c r="L45"/>
      <c r="M45"/>
    </row>
    <row r="46" spans="2:13" x14ac:dyDescent="0.3">
      <c r="J46"/>
      <c r="K46"/>
      <c r="L46"/>
      <c r="M46"/>
    </row>
    <row r="47" spans="2:13" x14ac:dyDescent="0.3">
      <c r="J47"/>
      <c r="K47"/>
      <c r="L47"/>
      <c r="M47"/>
    </row>
    <row r="48" spans="2:13" x14ac:dyDescent="0.3">
      <c r="J48"/>
      <c r="K48"/>
      <c r="L48"/>
      <c r="M48"/>
    </row>
    <row r="49" spans="10:13" x14ac:dyDescent="0.3">
      <c r="J49"/>
      <c r="K49"/>
      <c r="L49"/>
      <c r="M49"/>
    </row>
    <row r="50" spans="10:13" x14ac:dyDescent="0.3">
      <c r="J50"/>
      <c r="K50"/>
      <c r="L50"/>
      <c r="M50"/>
    </row>
    <row r="51" spans="10:13" x14ac:dyDescent="0.3">
      <c r="J51"/>
      <c r="K51"/>
      <c r="L51"/>
      <c r="M51"/>
    </row>
    <row r="52" spans="10:13" x14ac:dyDescent="0.3">
      <c r="J52"/>
      <c r="K52"/>
      <c r="L52"/>
      <c r="M52"/>
    </row>
    <row r="53" spans="10:13" x14ac:dyDescent="0.3">
      <c r="J53"/>
      <c r="K53"/>
      <c r="L53"/>
      <c r="M53"/>
    </row>
    <row r="54" spans="10:13" x14ac:dyDescent="0.3">
      <c r="J54"/>
      <c r="K54"/>
      <c r="L54"/>
      <c r="M54"/>
    </row>
    <row r="55" spans="10:13" x14ac:dyDescent="0.3">
      <c r="J55"/>
      <c r="K55"/>
      <c r="L55"/>
      <c r="M55"/>
    </row>
    <row r="56" spans="10:13" x14ac:dyDescent="0.3">
      <c r="J56"/>
      <c r="K56"/>
      <c r="L56"/>
      <c r="M56"/>
    </row>
    <row r="57" spans="10:13" x14ac:dyDescent="0.3">
      <c r="J57"/>
      <c r="K57"/>
      <c r="L57"/>
      <c r="M57"/>
    </row>
    <row r="58" spans="10:13" x14ac:dyDescent="0.3">
      <c r="J58"/>
      <c r="K58"/>
      <c r="L58"/>
      <c r="M58"/>
    </row>
    <row r="59" spans="10:13" x14ac:dyDescent="0.3">
      <c r="J59"/>
      <c r="K59"/>
      <c r="L59"/>
      <c r="M59"/>
    </row>
    <row r="60" spans="10:13" x14ac:dyDescent="0.3">
      <c r="J60"/>
      <c r="K60"/>
      <c r="L60"/>
      <c r="M60"/>
    </row>
    <row r="61" spans="10:13" x14ac:dyDescent="0.3">
      <c r="J61"/>
      <c r="K61"/>
      <c r="L61"/>
      <c r="M61"/>
    </row>
    <row r="62" spans="10:13" x14ac:dyDescent="0.3">
      <c r="J62"/>
      <c r="K62"/>
      <c r="L62"/>
      <c r="M62"/>
    </row>
    <row r="63" spans="10:13" x14ac:dyDescent="0.3">
      <c r="J63"/>
      <c r="K63"/>
      <c r="L63"/>
      <c r="M63"/>
    </row>
    <row r="64" spans="10:13" x14ac:dyDescent="0.3">
      <c r="J64"/>
      <c r="K64"/>
      <c r="L64"/>
      <c r="M64"/>
    </row>
    <row r="65" spans="10:13" x14ac:dyDescent="0.3">
      <c r="J65"/>
      <c r="K65"/>
      <c r="L65"/>
      <c r="M65"/>
    </row>
    <row r="66" spans="10:13" x14ac:dyDescent="0.3">
      <c r="J66"/>
      <c r="K66"/>
      <c r="L66"/>
      <c r="M66"/>
    </row>
    <row r="67" spans="10:13" x14ac:dyDescent="0.3">
      <c r="J67"/>
      <c r="K67"/>
      <c r="L67"/>
      <c r="M67"/>
    </row>
    <row r="68" spans="10:13" x14ac:dyDescent="0.3">
      <c r="J68"/>
      <c r="K68"/>
      <c r="L68"/>
      <c r="M68"/>
    </row>
    <row r="69" spans="10:13" x14ac:dyDescent="0.3">
      <c r="J69"/>
      <c r="K69"/>
      <c r="L69"/>
      <c r="M69"/>
    </row>
    <row r="70" spans="10:13" x14ac:dyDescent="0.3">
      <c r="J70"/>
      <c r="K70"/>
      <c r="L70"/>
      <c r="M70"/>
    </row>
    <row r="71" spans="10:13" x14ac:dyDescent="0.3">
      <c r="J71"/>
      <c r="K71"/>
      <c r="L71"/>
      <c r="M71"/>
    </row>
    <row r="72" spans="10:13" x14ac:dyDescent="0.3">
      <c r="J72"/>
    </row>
    <row r="73" spans="10:13" x14ac:dyDescent="0.3">
      <c r="J73"/>
    </row>
    <row r="74" spans="10:13" x14ac:dyDescent="0.3">
      <c r="J74"/>
    </row>
  </sheetData>
  <mergeCells count="8">
    <mergeCell ref="G2:H2"/>
    <mergeCell ref="G3:H3"/>
    <mergeCell ref="G4:H4"/>
    <mergeCell ref="G5:H5"/>
    <mergeCell ref="B4:C4"/>
    <mergeCell ref="B5:C5"/>
    <mergeCell ref="B2:C2"/>
    <mergeCell ref="B3:C3"/>
  </mergeCells>
  <conditionalFormatting sqref="I23:J23 I7:J21">
    <cfRule type="cellIs" dxfId="12" priority="4" operator="lessThan">
      <formula>0</formula>
    </cfRule>
  </conditionalFormatting>
  <printOptions horizontalCentered="1" verticalCentered="1"/>
  <pageMargins left="0.3" right="0.3" top="0.3" bottom="0.3" header="0" footer="0"/>
  <pageSetup scale="64" orientation="landscape"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B341-0286-448A-8A31-71DD66E40F03}">
  <sheetPr>
    <tabColor theme="7" tint="0.39997558519241921"/>
  </sheetPr>
  <dimension ref="B1:N76"/>
  <sheetViews>
    <sheetView rightToLeft="1" zoomScale="85" zoomScaleNormal="85" workbookViewId="0">
      <pane ySplit="6" topLeftCell="A7" activePane="bottomLeft" state="frozen"/>
      <selection pane="bottomLeft" activeCell="D12" sqref="D12"/>
    </sheetView>
  </sheetViews>
  <sheetFormatPr defaultColWidth="10.875" defaultRowHeight="17.25" x14ac:dyDescent="0.3"/>
  <cols>
    <col min="1" max="1" width="5.375" style="1" customWidth="1"/>
    <col min="2" max="2" width="12.625" style="1" bestFit="1" customWidth="1"/>
    <col min="3" max="3" width="10.75" style="1" customWidth="1"/>
    <col min="4" max="4" width="53.625" style="1" customWidth="1"/>
    <col min="5" max="5" width="14.5" style="2" customWidth="1"/>
    <col min="6" max="6" width="14.625" style="2" customWidth="1"/>
    <col min="7" max="7" width="28.25" style="2" customWidth="1"/>
    <col min="8" max="8" width="28.125" style="2" customWidth="1"/>
    <col min="9" max="9" width="22" style="1" customWidth="1"/>
    <col min="10" max="10" width="23.75" style="1" customWidth="1"/>
    <col min="11" max="11" width="18.125" style="1" bestFit="1" customWidth="1"/>
    <col min="12" max="12" width="16" style="1" bestFit="1" customWidth="1"/>
    <col min="13" max="13" width="18.375" style="1" bestFit="1" customWidth="1"/>
    <col min="14" max="14" width="18.75" style="1" bestFit="1" customWidth="1"/>
    <col min="15" max="15" width="32.5" style="1" bestFit="1" customWidth="1"/>
    <col min="16" max="16" width="32.875" style="1" bestFit="1" customWidth="1"/>
    <col min="17" max="16384" width="10.875" style="1"/>
  </cols>
  <sheetData>
    <row r="1" spans="2:14" x14ac:dyDescent="0.3">
      <c r="G1" s="20" t="s">
        <v>70</v>
      </c>
      <c r="H1" s="20" t="s">
        <v>71</v>
      </c>
    </row>
    <row r="2" spans="2:14" ht="24.95" customHeight="1" x14ac:dyDescent="0.3">
      <c r="B2" s="123" t="s">
        <v>7</v>
      </c>
      <c r="C2" s="124"/>
      <c r="D2" s="68" t="s">
        <v>149</v>
      </c>
      <c r="E2" s="121" t="s">
        <v>140</v>
      </c>
      <c r="F2" s="122"/>
      <c r="G2" s="161">
        <f>ledger469[[#Totals],[DEBIT]]</f>
        <v>0</v>
      </c>
      <c r="H2" s="162">
        <f>ledger469[[#Totals],[CREDIT]]</f>
        <v>334131.62</v>
      </c>
      <c r="I2" s="63"/>
      <c r="J2"/>
      <c r="K2"/>
      <c r="L2"/>
      <c r="M2"/>
    </row>
    <row r="3" spans="2:14" ht="24.95" customHeight="1" x14ac:dyDescent="0.3">
      <c r="B3" s="123" t="s">
        <v>9</v>
      </c>
      <c r="C3" s="124"/>
      <c r="D3" s="81" t="s">
        <v>126</v>
      </c>
      <c r="E3" s="107" t="s">
        <v>141</v>
      </c>
      <c r="F3" s="108"/>
      <c r="G3" s="163">
        <f>أمريكية[[#Totals],[21]]</f>
        <v>0</v>
      </c>
      <c r="H3" s="164">
        <f>أمريكية[[#Totals],[22]]</f>
        <v>0</v>
      </c>
      <c r="I3" s="64"/>
      <c r="J3"/>
      <c r="K3"/>
      <c r="L3"/>
      <c r="M3"/>
    </row>
    <row r="4" spans="2:14" ht="24.95" customHeight="1" x14ac:dyDescent="0.3">
      <c r="B4" s="123" t="s">
        <v>6</v>
      </c>
      <c r="C4" s="124"/>
      <c r="D4" s="81"/>
      <c r="E4" s="107" t="s">
        <v>136</v>
      </c>
      <c r="F4" s="108"/>
      <c r="G4" s="163">
        <f>G2-STARTING_BALANCE</f>
        <v>0</v>
      </c>
      <c r="H4" s="164">
        <f>H2-H3</f>
        <v>334131.62</v>
      </c>
      <c r="I4" s="64"/>
      <c r="J4"/>
      <c r="K4"/>
      <c r="L4"/>
      <c r="M4"/>
    </row>
    <row r="5" spans="2:14" ht="24.95" customHeight="1" x14ac:dyDescent="0.3">
      <c r="B5" s="123" t="s">
        <v>13</v>
      </c>
      <c r="C5" s="124"/>
      <c r="D5" s="82">
        <v>45658</v>
      </c>
      <c r="E5" s="125"/>
      <c r="F5" s="112"/>
      <c r="G5" s="65"/>
      <c r="H5" s="66"/>
      <c r="I5" s="67"/>
      <c r="J5"/>
      <c r="K5"/>
      <c r="L5"/>
      <c r="M5"/>
    </row>
    <row r="6" spans="2:14" s="20" customFormat="1" ht="45" customHeight="1" x14ac:dyDescent="0.25">
      <c r="B6" s="21" t="s">
        <v>0</v>
      </c>
      <c r="C6" s="22" t="s">
        <v>12</v>
      </c>
      <c r="D6" s="59" t="s">
        <v>149</v>
      </c>
      <c r="E6" s="22" t="s">
        <v>73</v>
      </c>
      <c r="F6" s="22" t="s">
        <v>10</v>
      </c>
      <c r="G6" s="22" t="s">
        <v>70</v>
      </c>
      <c r="H6" s="23" t="s">
        <v>71</v>
      </c>
      <c r="I6"/>
      <c r="J6"/>
      <c r="K6"/>
      <c r="L6"/>
      <c r="M6"/>
    </row>
    <row r="7" spans="2:14" ht="27.75" customHeight="1" x14ac:dyDescent="0.3">
      <c r="B7" s="29">
        <v>45717</v>
      </c>
      <c r="C7" s="27">
        <v>4</v>
      </c>
      <c r="D7" s="83" t="s">
        <v>150</v>
      </c>
      <c r="E7" s="13" t="s">
        <v>97</v>
      </c>
      <c r="F7" s="11" t="s">
        <v>128</v>
      </c>
      <c r="G7" s="165">
        <v>0</v>
      </c>
      <c r="H7" s="165">
        <v>15000</v>
      </c>
    </row>
    <row r="8" spans="2:14" ht="23.25" x14ac:dyDescent="0.3">
      <c r="B8" s="29">
        <v>45717</v>
      </c>
      <c r="C8" s="26">
        <v>9</v>
      </c>
      <c r="D8" s="83"/>
      <c r="E8" s="13"/>
      <c r="F8" s="11"/>
      <c r="G8" s="165">
        <v>0</v>
      </c>
      <c r="H8" s="165">
        <v>40000</v>
      </c>
      <c r="J8"/>
      <c r="K8"/>
      <c r="L8"/>
      <c r="M8"/>
      <c r="N8"/>
    </row>
    <row r="9" spans="2:14" ht="23.25" x14ac:dyDescent="0.3">
      <c r="B9" s="29">
        <v>45717</v>
      </c>
      <c r="C9" s="26">
        <v>9</v>
      </c>
      <c r="D9" s="83"/>
      <c r="E9" s="13"/>
      <c r="F9" s="11"/>
      <c r="G9" s="165">
        <v>0</v>
      </c>
      <c r="H9" s="165">
        <v>0.97</v>
      </c>
      <c r="J9"/>
      <c r="K9"/>
      <c r="L9"/>
      <c r="M9"/>
      <c r="N9"/>
    </row>
    <row r="10" spans="2:14" ht="23.25" x14ac:dyDescent="0.3">
      <c r="B10" s="29">
        <v>45717</v>
      </c>
      <c r="C10" s="26">
        <v>13</v>
      </c>
      <c r="D10" s="83"/>
      <c r="E10" s="13"/>
      <c r="F10" s="11"/>
      <c r="G10" s="165">
        <v>0</v>
      </c>
      <c r="H10" s="165">
        <v>40000</v>
      </c>
      <c r="J10"/>
      <c r="K10"/>
      <c r="L10"/>
      <c r="M10"/>
      <c r="N10"/>
    </row>
    <row r="11" spans="2:14" ht="23.25" x14ac:dyDescent="0.3">
      <c r="B11" s="29">
        <v>45717</v>
      </c>
      <c r="C11" s="27">
        <v>13</v>
      </c>
      <c r="D11" s="83"/>
      <c r="E11" s="13"/>
      <c r="F11" s="11"/>
      <c r="G11" s="165">
        <v>0</v>
      </c>
      <c r="H11" s="165">
        <v>0.7</v>
      </c>
      <c r="J11"/>
      <c r="K11"/>
      <c r="L11"/>
      <c r="M11"/>
      <c r="N11"/>
    </row>
    <row r="12" spans="2:14" ht="23.25" x14ac:dyDescent="0.3">
      <c r="B12" s="29">
        <v>45717</v>
      </c>
      <c r="C12" s="26">
        <v>16</v>
      </c>
      <c r="D12" s="83"/>
      <c r="E12" s="13"/>
      <c r="F12" s="11"/>
      <c r="G12" s="165">
        <v>0</v>
      </c>
      <c r="H12" s="165">
        <v>40000</v>
      </c>
      <c r="J12"/>
      <c r="K12"/>
      <c r="L12"/>
      <c r="M12"/>
      <c r="N12"/>
    </row>
    <row r="13" spans="2:14" ht="23.25" x14ac:dyDescent="0.3">
      <c r="B13" s="29">
        <v>45717</v>
      </c>
      <c r="C13" s="27">
        <v>16</v>
      </c>
      <c r="D13" s="83"/>
      <c r="E13" s="13"/>
      <c r="F13" s="11"/>
      <c r="G13" s="165">
        <v>0</v>
      </c>
      <c r="H13" s="165">
        <v>40000</v>
      </c>
      <c r="J13"/>
      <c r="K13"/>
      <c r="L13"/>
      <c r="M13"/>
      <c r="N13"/>
    </row>
    <row r="14" spans="2:14" ht="23.25" x14ac:dyDescent="0.3">
      <c r="B14" s="29">
        <v>45667</v>
      </c>
      <c r="C14" s="26">
        <v>24</v>
      </c>
      <c r="D14" s="83"/>
      <c r="E14" s="13"/>
      <c r="F14" s="11"/>
      <c r="G14" s="165">
        <v>0</v>
      </c>
      <c r="H14" s="165">
        <v>20000</v>
      </c>
      <c r="J14"/>
      <c r="K14"/>
      <c r="L14"/>
      <c r="M14"/>
      <c r="N14"/>
    </row>
    <row r="15" spans="2:14" ht="23.25" x14ac:dyDescent="0.3">
      <c r="B15" s="29">
        <v>45667</v>
      </c>
      <c r="C15" s="27">
        <v>25</v>
      </c>
      <c r="D15" s="83"/>
      <c r="E15" s="13"/>
      <c r="F15" s="11"/>
      <c r="G15" s="165">
        <v>0</v>
      </c>
      <c r="H15" s="165">
        <v>40000</v>
      </c>
      <c r="J15"/>
      <c r="K15"/>
      <c r="L15"/>
      <c r="M15"/>
      <c r="N15"/>
    </row>
    <row r="16" spans="2:14" ht="23.25" x14ac:dyDescent="0.3">
      <c r="B16" s="29">
        <v>45667</v>
      </c>
      <c r="C16" s="26">
        <v>30</v>
      </c>
      <c r="D16" s="83"/>
      <c r="E16" s="13"/>
      <c r="F16" s="11"/>
      <c r="G16" s="165">
        <v>0</v>
      </c>
      <c r="H16" s="165">
        <v>40000</v>
      </c>
      <c r="J16"/>
      <c r="K16"/>
      <c r="L16"/>
      <c r="M16"/>
      <c r="N16"/>
    </row>
    <row r="17" spans="2:14" ht="23.25" x14ac:dyDescent="0.3">
      <c r="B17" s="29">
        <v>45667</v>
      </c>
      <c r="C17" s="27">
        <v>30</v>
      </c>
      <c r="D17" s="83"/>
      <c r="E17" s="13"/>
      <c r="F17" s="11"/>
      <c r="G17" s="165">
        <v>0</v>
      </c>
      <c r="H17" s="165">
        <v>19095.95</v>
      </c>
      <c r="J17"/>
      <c r="K17"/>
      <c r="L17"/>
      <c r="M17"/>
      <c r="N17"/>
    </row>
    <row r="18" spans="2:14" ht="23.25" x14ac:dyDescent="0.3">
      <c r="B18" s="29">
        <v>45667</v>
      </c>
      <c r="C18" s="26">
        <v>32</v>
      </c>
      <c r="D18" s="83"/>
      <c r="E18" s="13"/>
      <c r="F18" s="11"/>
      <c r="G18" s="165">
        <v>0</v>
      </c>
      <c r="H18" s="165">
        <v>20000</v>
      </c>
      <c r="J18"/>
      <c r="K18"/>
      <c r="L18"/>
      <c r="M18"/>
      <c r="N18"/>
    </row>
    <row r="19" spans="2:14" ht="23.25" x14ac:dyDescent="0.3">
      <c r="B19" s="29">
        <v>45667</v>
      </c>
      <c r="C19" s="27">
        <v>36</v>
      </c>
      <c r="D19" s="83"/>
      <c r="E19" s="13"/>
      <c r="F19" s="11"/>
      <c r="G19" s="165">
        <v>0</v>
      </c>
      <c r="H19" s="165">
        <v>144</v>
      </c>
      <c r="J19"/>
      <c r="K19"/>
      <c r="L19"/>
      <c r="M19"/>
      <c r="N19"/>
    </row>
    <row r="20" spans="2:14" ht="23.25" x14ac:dyDescent="0.3">
      <c r="B20" s="29">
        <v>45667</v>
      </c>
      <c r="C20" s="26">
        <v>38</v>
      </c>
      <c r="D20" s="83"/>
      <c r="E20" s="13"/>
      <c r="F20" s="11"/>
      <c r="G20" s="165">
        <v>0</v>
      </c>
      <c r="H20" s="165">
        <v>19890</v>
      </c>
      <c r="J20"/>
      <c r="K20"/>
      <c r="L20"/>
      <c r="M20"/>
      <c r="N20"/>
    </row>
    <row r="21" spans="2:14" ht="23.25" x14ac:dyDescent="0.3">
      <c r="B21" s="29"/>
      <c r="C21" s="27"/>
      <c r="D21" s="83"/>
      <c r="E21" s="13"/>
      <c r="F21" s="11"/>
      <c r="G21" s="165">
        <v>0</v>
      </c>
      <c r="H21" s="165">
        <v>0</v>
      </c>
      <c r="J21"/>
      <c r="K21"/>
      <c r="L21"/>
    </row>
    <row r="22" spans="2:14" ht="23.25" x14ac:dyDescent="0.3">
      <c r="B22" s="29"/>
      <c r="C22" s="27"/>
      <c r="D22" s="83"/>
      <c r="E22" s="13"/>
      <c r="F22" s="11"/>
      <c r="G22" s="165">
        <v>0</v>
      </c>
      <c r="H22" s="165">
        <v>0</v>
      </c>
      <c r="J22"/>
      <c r="K22"/>
      <c r="L22"/>
    </row>
    <row r="23" spans="2:14" ht="23.25" x14ac:dyDescent="0.3">
      <c r="B23" s="25"/>
      <c r="C23" s="28"/>
      <c r="D23" s="83"/>
      <c r="E23" s="13"/>
      <c r="F23" s="11"/>
      <c r="G23" s="165">
        <v>0</v>
      </c>
      <c r="H23" s="165">
        <v>0</v>
      </c>
      <c r="J23"/>
      <c r="K23"/>
      <c r="L23"/>
    </row>
    <row r="24" spans="2:14" s="75" customFormat="1" ht="40.5" customHeight="1" x14ac:dyDescent="0.25">
      <c r="B24" s="76"/>
      <c r="C24" s="72"/>
      <c r="D24" s="73"/>
      <c r="E24" s="73"/>
      <c r="F24" s="73"/>
      <c r="G24" s="168">
        <f>SUBTOTAL(109,ledger469[DEBIT])</f>
        <v>0</v>
      </c>
      <c r="H24" s="169">
        <f>SUBTOTAL(109,ledger469[CREDIT])</f>
        <v>334131.62</v>
      </c>
      <c r="J24" s="43"/>
      <c r="K24" s="43"/>
      <c r="L24" s="43"/>
    </row>
    <row r="25" spans="2:14" x14ac:dyDescent="0.3">
      <c r="B25" s="6"/>
      <c r="C25" s="7"/>
      <c r="D25" s="8"/>
      <c r="E25" s="9"/>
      <c r="F25" s="9"/>
      <c r="G25" s="9"/>
      <c r="H25" s="9"/>
      <c r="I25" s="16"/>
      <c r="J25" s="16"/>
      <c r="L25"/>
      <c r="M25"/>
      <c r="N25"/>
    </row>
    <row r="26" spans="2:14" x14ac:dyDescent="0.3">
      <c r="B26" s="5"/>
      <c r="C26" s="5"/>
      <c r="D26" s="5"/>
      <c r="E26" s="4"/>
      <c r="F26" s="4"/>
      <c r="G26" s="4"/>
      <c r="H26" s="4"/>
      <c r="I26" s="44"/>
      <c r="J26" s="45"/>
      <c r="K26"/>
      <c r="L26"/>
      <c r="M26"/>
    </row>
    <row r="27" spans="2:14" x14ac:dyDescent="0.3">
      <c r="B27"/>
      <c r="C27"/>
      <c r="D27"/>
      <c r="E27"/>
      <c r="F27"/>
      <c r="G27"/>
      <c r="H27"/>
      <c r="K27"/>
      <c r="L27"/>
      <c r="M27"/>
    </row>
    <row r="28" spans="2:14" x14ac:dyDescent="0.3">
      <c r="B28"/>
      <c r="C28"/>
      <c r="D28"/>
      <c r="E28"/>
      <c r="F28"/>
      <c r="G28"/>
      <c r="H28"/>
      <c r="K28"/>
      <c r="L28"/>
      <c r="M28"/>
    </row>
    <row r="29" spans="2:14" x14ac:dyDescent="0.3">
      <c r="B29"/>
      <c r="C29"/>
      <c r="D29"/>
      <c r="E29"/>
      <c r="F29"/>
      <c r="G29"/>
      <c r="H29"/>
      <c r="J29"/>
      <c r="K29"/>
      <c r="L29"/>
      <c r="M29"/>
    </row>
    <row r="30" spans="2:14" x14ac:dyDescent="0.3">
      <c r="B30"/>
      <c r="C30"/>
      <c r="D30"/>
      <c r="E30"/>
      <c r="F30"/>
      <c r="G30"/>
      <c r="H30"/>
      <c r="J30"/>
      <c r="K30"/>
      <c r="L30"/>
      <c r="M30"/>
    </row>
    <row r="31" spans="2:14" x14ac:dyDescent="0.3">
      <c r="B31"/>
      <c r="C31"/>
      <c r="D31"/>
      <c r="E31"/>
      <c r="F31"/>
      <c r="G31"/>
      <c r="H31"/>
      <c r="J31"/>
      <c r="K31"/>
      <c r="L31"/>
      <c r="M31"/>
    </row>
    <row r="32" spans="2:14" x14ac:dyDescent="0.3">
      <c r="B32"/>
      <c r="C32"/>
      <c r="D32"/>
      <c r="E32"/>
      <c r="F32"/>
      <c r="G32"/>
      <c r="H32"/>
      <c r="J32"/>
      <c r="K32"/>
      <c r="L32"/>
      <c r="M32"/>
    </row>
    <row r="33" spans="2:13" x14ac:dyDescent="0.3">
      <c r="B33"/>
      <c r="C33"/>
      <c r="D33"/>
      <c r="J33"/>
      <c r="K33"/>
      <c r="L33"/>
      <c r="M33"/>
    </row>
    <row r="34" spans="2:13" x14ac:dyDescent="0.3">
      <c r="B34"/>
      <c r="C34"/>
      <c r="D34"/>
      <c r="J34"/>
      <c r="K34"/>
      <c r="L34"/>
      <c r="M34"/>
    </row>
    <row r="35" spans="2:13" x14ac:dyDescent="0.3">
      <c r="B35"/>
      <c r="C35"/>
      <c r="D35"/>
      <c r="J35"/>
      <c r="K35"/>
      <c r="L35"/>
      <c r="M35"/>
    </row>
    <row r="36" spans="2:13" x14ac:dyDescent="0.3">
      <c r="B36"/>
      <c r="C36"/>
      <c r="D36"/>
      <c r="J36"/>
      <c r="K36"/>
      <c r="L36"/>
      <c r="M36"/>
    </row>
    <row r="37" spans="2:13" x14ac:dyDescent="0.3">
      <c r="B37"/>
      <c r="C37"/>
      <c r="D37"/>
      <c r="J37"/>
      <c r="K37"/>
      <c r="L37"/>
      <c r="M37"/>
    </row>
    <row r="38" spans="2:13" x14ac:dyDescent="0.3">
      <c r="B38"/>
      <c r="C38"/>
      <c r="D38"/>
      <c r="J38"/>
      <c r="K38"/>
      <c r="L38"/>
      <c r="M38"/>
    </row>
    <row r="39" spans="2:13" x14ac:dyDescent="0.3">
      <c r="B39"/>
      <c r="C39"/>
      <c r="D39"/>
      <c r="J39"/>
      <c r="K39"/>
      <c r="L39"/>
      <c r="M39"/>
    </row>
    <row r="40" spans="2:13" x14ac:dyDescent="0.3">
      <c r="B40"/>
      <c r="C40"/>
      <c r="D40"/>
      <c r="J40"/>
      <c r="K40"/>
      <c r="L40"/>
      <c r="M40"/>
    </row>
    <row r="41" spans="2:13" x14ac:dyDescent="0.3">
      <c r="B41"/>
      <c r="C41"/>
      <c r="D41"/>
      <c r="J41"/>
      <c r="K41"/>
      <c r="L41"/>
      <c r="M41"/>
    </row>
    <row r="42" spans="2:13" x14ac:dyDescent="0.3">
      <c r="D42"/>
      <c r="J42"/>
      <c r="K42"/>
      <c r="L42"/>
      <c r="M42"/>
    </row>
    <row r="43" spans="2:13" x14ac:dyDescent="0.3">
      <c r="D43"/>
      <c r="J43"/>
      <c r="K43"/>
      <c r="L43"/>
      <c r="M43"/>
    </row>
    <row r="44" spans="2:13" x14ac:dyDescent="0.3">
      <c r="J44"/>
      <c r="K44"/>
      <c r="L44"/>
      <c r="M44"/>
    </row>
    <row r="45" spans="2:13" x14ac:dyDescent="0.3">
      <c r="J45"/>
      <c r="K45"/>
      <c r="L45"/>
      <c r="M45"/>
    </row>
    <row r="46" spans="2:13" x14ac:dyDescent="0.3">
      <c r="J46"/>
      <c r="K46"/>
      <c r="L46"/>
      <c r="M46"/>
    </row>
    <row r="47" spans="2:13" x14ac:dyDescent="0.3">
      <c r="J47"/>
      <c r="K47"/>
      <c r="L47"/>
      <c r="M47"/>
    </row>
    <row r="48" spans="2:13" x14ac:dyDescent="0.3">
      <c r="J48"/>
      <c r="K48"/>
      <c r="L48"/>
      <c r="M48"/>
    </row>
    <row r="49" spans="10:13" x14ac:dyDescent="0.3">
      <c r="J49"/>
      <c r="K49"/>
      <c r="L49"/>
      <c r="M49"/>
    </row>
    <row r="50" spans="10:13" x14ac:dyDescent="0.3">
      <c r="J50"/>
      <c r="K50"/>
      <c r="L50"/>
      <c r="M50"/>
    </row>
    <row r="51" spans="10:13" x14ac:dyDescent="0.3">
      <c r="J51"/>
      <c r="K51"/>
      <c r="L51"/>
      <c r="M51"/>
    </row>
    <row r="52" spans="10:13" x14ac:dyDescent="0.3">
      <c r="J52"/>
      <c r="K52"/>
      <c r="L52"/>
      <c r="M52"/>
    </row>
    <row r="53" spans="10:13" x14ac:dyDescent="0.3">
      <c r="J53"/>
      <c r="K53"/>
      <c r="L53"/>
      <c r="M53"/>
    </row>
    <row r="54" spans="10:13" x14ac:dyDescent="0.3">
      <c r="J54"/>
      <c r="K54"/>
      <c r="L54"/>
      <c r="M54"/>
    </row>
    <row r="55" spans="10:13" x14ac:dyDescent="0.3">
      <c r="J55"/>
      <c r="K55"/>
      <c r="L55"/>
      <c r="M55"/>
    </row>
    <row r="56" spans="10:13" x14ac:dyDescent="0.3">
      <c r="J56"/>
      <c r="K56"/>
      <c r="L56"/>
      <c r="M56"/>
    </row>
    <row r="57" spans="10:13" x14ac:dyDescent="0.3">
      <c r="J57"/>
      <c r="K57"/>
      <c r="L57"/>
      <c r="M57"/>
    </row>
    <row r="58" spans="10:13" x14ac:dyDescent="0.3">
      <c r="J58"/>
      <c r="K58"/>
      <c r="L58"/>
      <c r="M58"/>
    </row>
    <row r="59" spans="10:13" x14ac:dyDescent="0.3">
      <c r="J59"/>
      <c r="K59"/>
      <c r="L59"/>
      <c r="M59"/>
    </row>
    <row r="60" spans="10:13" x14ac:dyDescent="0.3">
      <c r="J60"/>
      <c r="K60"/>
      <c r="L60"/>
      <c r="M60"/>
    </row>
    <row r="61" spans="10:13" x14ac:dyDescent="0.3">
      <c r="J61"/>
      <c r="K61"/>
      <c r="L61"/>
      <c r="M61"/>
    </row>
    <row r="62" spans="10:13" x14ac:dyDescent="0.3">
      <c r="J62"/>
      <c r="K62"/>
      <c r="L62"/>
      <c r="M62"/>
    </row>
    <row r="63" spans="10:13" x14ac:dyDescent="0.3">
      <c r="J63"/>
      <c r="K63"/>
      <c r="L63"/>
      <c r="M63"/>
    </row>
    <row r="64" spans="10:13" x14ac:dyDescent="0.3">
      <c r="J64"/>
      <c r="K64"/>
      <c r="L64"/>
      <c r="M64"/>
    </row>
    <row r="65" spans="10:13" x14ac:dyDescent="0.3">
      <c r="J65"/>
      <c r="K65"/>
      <c r="L65"/>
      <c r="M65"/>
    </row>
    <row r="66" spans="10:13" x14ac:dyDescent="0.3">
      <c r="J66"/>
      <c r="K66"/>
      <c r="L66"/>
      <c r="M66"/>
    </row>
    <row r="67" spans="10:13" x14ac:dyDescent="0.3">
      <c r="J67"/>
      <c r="K67"/>
      <c r="L67"/>
      <c r="M67"/>
    </row>
    <row r="68" spans="10:13" x14ac:dyDescent="0.3">
      <c r="J68"/>
      <c r="K68"/>
      <c r="L68"/>
      <c r="M68"/>
    </row>
    <row r="69" spans="10:13" x14ac:dyDescent="0.3">
      <c r="J69"/>
      <c r="K69"/>
      <c r="L69"/>
      <c r="M69"/>
    </row>
    <row r="70" spans="10:13" x14ac:dyDescent="0.3">
      <c r="J70"/>
      <c r="K70"/>
      <c r="L70"/>
      <c r="M70"/>
    </row>
    <row r="71" spans="10:13" x14ac:dyDescent="0.3">
      <c r="J71"/>
      <c r="K71"/>
      <c r="L71"/>
      <c r="M71"/>
    </row>
    <row r="72" spans="10:13" x14ac:dyDescent="0.3">
      <c r="J72"/>
      <c r="K72"/>
      <c r="L72"/>
      <c r="M72"/>
    </row>
    <row r="73" spans="10:13" x14ac:dyDescent="0.3">
      <c r="J73"/>
      <c r="K73"/>
      <c r="L73"/>
      <c r="M73"/>
    </row>
    <row r="74" spans="10:13" x14ac:dyDescent="0.3">
      <c r="J74"/>
    </row>
    <row r="75" spans="10:13" x14ac:dyDescent="0.3">
      <c r="J75"/>
    </row>
    <row r="76" spans="10:13" x14ac:dyDescent="0.3">
      <c r="J76"/>
    </row>
  </sheetData>
  <mergeCells count="8">
    <mergeCell ref="B5:C5"/>
    <mergeCell ref="E5:F5"/>
    <mergeCell ref="B2:C2"/>
    <mergeCell ref="E2:F2"/>
    <mergeCell ref="B3:C3"/>
    <mergeCell ref="E3:F3"/>
    <mergeCell ref="B4:C4"/>
    <mergeCell ref="E4:F4"/>
  </mergeCells>
  <conditionalFormatting sqref="I25:J25 G7:H23">
    <cfRule type="cellIs" dxfId="11" priority="1" operator="lessThan">
      <formula>0</formula>
    </cfRule>
  </conditionalFormatting>
  <printOptions horizontalCentered="1" verticalCentered="1"/>
  <pageMargins left="0.3" right="0.3" top="0.3" bottom="0.3" header="0" footer="0"/>
  <pageSetup scale="64"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 l e d g e r 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 l e d g e r 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 C o l u m n s \ D o c u m e n t   N O . < / K e y > < / a : K e y > < a : V a l u e   i : t y p e = " T a b l e W i d g e t B a s e V i e w S t a t e " / > < / a : K e y V a l u e O f D i a g r a m O b j e c t K e y a n y T y p e z b w N T n L X > < a : K e y V a l u e O f D i a g r a m O b j e c t K e y a n y T y p e z b w N T n L X > < a : K e y > < K e y > C o l u m n s \ A C C O U N T   T Y P E < / K e y > < / a : K e y > < a : V a l u e   i : t y p e = " T a b l e W i d g e t B a s e V i e w S t a t e " / > < / a : K e y V a l u e O f D i a g r a m O b j e c t K e y a n y T y p e z b w N T n L X > < a : K e y V a l u e O f D i a g r a m O b j e c t K e y a n y T y p e z b w N T n L X > < a : K e y > < K e y > C o l u m n s \ A C C O U N T   N A M E < / K e y > < / a : K e y > < a : V a l u e   i : t y p e = " T a b l e W i d g e t B a s e V i e w S t a t e " / > < / a : K e y V a l u e O f D i a g r a m O b j e c t K e y a n y T y p e z b w N T n L X > < a : K e y V a l u e O f D i a g r a m O b j e c t K e y a n y T y p e z b w N T n L X > < a : K e y > < K e y > C o l u m n s \ A C C O U N T   N O . < / K e y > < / a : K e y > < a : V a l u e   i : t y p e = " T a b l e W i d g e t B a s e V i e w S t a t e " / > < / a : K e y V a l u e O f D i a g r a m O b j e c t K e y a n y T y p e z b w N T n L X > < a : K e y V a l u e O f D i a g r a m O b j e c t K e y a n y T y p e z b w N T n L X > < a : K e y > < K e y > C o l u m n s \ V E N D O R / C L I E N T < / 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 C o l u m n s \ D E B I T   C U R R E N C Y   /   E/JF  9ED)< / K e y > < / a : K e y > < a : V a l u e   i : t y p e = " T a b l e W i d g e t B a s e V i e w S t a t e " / > < / a : K e y V a l u e O f D i a g r a m O b j e c t K e y a n y T y p e z b w N T n L X > < a : K e y V a l u e O f D i a g r a m O b j e c t K e y a n y T y p e z b w N T n L X > < a : K e y > < K e y > C o l u m n s \ C R E D I T   C U R R E N C Y   /   /'&F  9ED)< / K e y > < / a : K e y > < a : V a l u e   i : t y p e = " T a b l e W i d g e t B a s e V i e w S t a t e " / > < / a : K e y V a l u e O f D i a g r a m O b j e c t K e y a n y T y p e z b w N T n L X > < a : K e y V a l u e O f D i a g r a m O b j e c t K e y a n y T y p e z b w N T n L X > < a : K e y > < K e y > C o l u m n s \ D E B I T   /   E/JF< / K e y > < / a : K e y > < a : V a l u e   i : t y p e = " T a b l e W i d g e t B a s e V i e w S t a t e " / > < / a : K e y V a l u e O f D i a g r a m O b j e c t K e y a n y T y p e z b w N T n L X > < a : K e y V a l u e O f D i a g r a m O b j e c t K e y a n y T y p e z b w N T n L X > < a : K e y > < K e y > C o l u m n s \ C R E D I T   /   /'&F< / 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l e d g e r " > < 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 6 7 < / i n t > < / v a l u e > < / i t e m > < i t e m > < k e y > < s t r i n g > D o c u m e n t   N O . < / s t r i n g > < / k e y > < v a l u e > < i n t > 1 2 7 < / i n t > < / v a l u e > < / i t e m > < i t e m > < k e y > < s t r i n g > A C C O U N T   T Y P E < / s t r i n g > < / k e y > < v a l u e > < i n t > 1 2 9 < / i n t > < / v a l u e > < / i t e m > < i t e m > < k e y > < s t r i n g > A C C O U N T   N A M E < / s t r i n g > < / k e y > < v a l u e > < i n t > 1 3 8 < / i n t > < / v a l u e > < / i t e m > < i t e m > < k e y > < s t r i n g > A C C O U N T   N O . < / s t r i n g > < / k e y > < v a l u e > < i n t > 1 2 4 < / i n t > < / v a l u e > < / i t e m > < i t e m > < k e y > < s t r i n g > V E N D O R / C L I E N T < / s t r i n g > < / k e y > < v a l u e > < i n t > 1 3 7 < / i n t > < / v a l u e > < / i t e m > < i t e m > < k e y > < s t r i n g > P R O J E C T < / s t r i n g > < / k e y > < v a l u e > < i n t > 8 9 < / i n t > < / v a l u e > < / i t e m > < i t e m > < k e y > < s t r i n g > D E B I T   C U R R E N C Y   /   E/JF  9ED)< / s t r i n g > < / k e y > < v a l u e > < i n t > 2 0 5 < / i n t > < / v a l u e > < / i t e m > < i t e m > < k e y > < s t r i n g > C R E D I T   C U R R E N C Y   /   /'&F  9ED)< / s t r i n g > < / k e y > < v a l u e > < i n t > 2 0 9 < / i n t > < / v a l u e > < / i t e m > < i t e m > < k e y > < s t r i n g > D E B I T   /   E/JF< / s t r i n g > < / k e y > < v a l u e > < i n t > 1 0 9 < / i n t > < / v a l u e > < / i t e m > < i t e m > < k e y > < s t r i n g > C R E D I T   /   /'&F< / s t r i n g > < / k e y > < v a l u e > < i n t > 1 1 3 < / i n t > < / v a l u e > < / i t e m > < / C o l u m n W i d t h s > < C o l u m n D i s p l a y I n d e x > < i t e m > < k e y > < s t r i n g > D A T E < / s t r i n g > < / k e y > < v a l u e > < i n t > 0 < / i n t > < / v a l u e > < / i t e m > < i t e m > < k e y > < s t r i n g > D o c u m e n t   N O . < / s t r i n g > < / k e y > < v a l u e > < i n t > 1 < / i n t > < / v a l u e > < / i t e m > < i t e m > < k e y > < s t r i n g > A C C O U N T   T Y P E < / s t r i n g > < / k e y > < v a l u e > < i n t > 2 < / i n t > < / v a l u e > < / i t e m > < i t e m > < k e y > < s t r i n g > A C C O U N T   N A M E < / s t r i n g > < / k e y > < v a l u e > < i n t > 3 < / i n t > < / v a l u e > < / i t e m > < i t e m > < k e y > < s t r i n g > A C C O U N T   N O . < / s t r i n g > < / k e y > < v a l u e > < i n t > 4 < / i n t > < / v a l u e > < / i t e m > < i t e m > < k e y > < s t r i n g > V E N D O R / C L I E N T < / s t r i n g > < / k e y > < v a l u e > < i n t > 5 < / i n t > < / v a l u e > < / i t e m > < i t e m > < k e y > < s t r i n g > P R O J E C T < / s t r i n g > < / k e y > < v a l u e > < i n t > 6 < / i n t > < / v a l u e > < / i t e m > < i t e m > < k e y > < s t r i n g > D E B I T   C U R R E N C Y   /   E/JF  9ED)< / s t r i n g > < / k e y > < v a l u e > < i n t > 7 < / i n t > < / v a l u e > < / i t e m > < i t e m > < k e y > < s t r i n g > C R E D I T   C U R R E N C Y   /   /'&F  9ED)< / s t r i n g > < / k e y > < v a l u e > < i n t > 8 < / i n t > < / v a l u e > < / i t e m > < i t e m > < k e y > < s t r i n g > D E B I T   /   E/JF< / s t r i n g > < / k e y > < v a l u e > < i n t > 9 < / i n t > < / v a l u e > < / i t e m > < i t e m > < k e y > < s t r i n g > C R E D I T   /   /'&F< / 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21AE55E-28C0-4A43-B44A-33D659995F1D}">
  <ds:schemaRefs/>
</ds:datastoreItem>
</file>

<file path=customXml/itemProps2.xml><?xml version="1.0" encoding="utf-8"?>
<ds:datastoreItem xmlns:ds="http://schemas.openxmlformats.org/officeDocument/2006/customXml" ds:itemID="{1FBE4C81-3461-4590-AF47-E19C76378ED4}">
  <ds:schemaRefs/>
</ds:datastoreItem>
</file>

<file path=customXml/itemProps3.xml><?xml version="1.0" encoding="utf-8"?>
<ds:datastoreItem xmlns:ds="http://schemas.openxmlformats.org/officeDocument/2006/customXml" ds:itemID="{627244F5-85FE-4758-96BA-DEA3557350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Banks</vt:lpstr>
      <vt:lpstr>CLIENTSNAME</vt:lpstr>
      <vt:lpstr>AMERICAN</vt:lpstr>
      <vt:lpstr>BANKS BALANCE</vt:lpstr>
      <vt:lpstr>BANK GENEREAL LEDGER</vt:lpstr>
      <vt:lpstr>DOWN-PAYMENTS GENERAL LEDGER</vt:lpstr>
      <vt:lpstr>Diversified revenue</vt:lpstr>
      <vt:lpstr>'BANK GENEREAL LEDGER'!Print_Area</vt:lpstr>
      <vt:lpstr>'Diversified revenue'!Print_Area</vt:lpstr>
      <vt:lpstr>'DOWN-PAYMENTS GENERAL LEDGER'!Print_Area</vt:lpstr>
      <vt:lpstr>'Diversified revenue'!STARTING_BALANCE</vt:lpstr>
      <vt:lpstr>'DOWN-PAYMENTS GENERAL LEDGER'!STARTING_BALANCE</vt:lpstr>
      <vt:lpstr>STARTING_BALANCE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mahmoud tarek</cp:lastModifiedBy>
  <cp:lastPrinted>2025-05-22T11:02:16Z</cp:lastPrinted>
  <dcterms:created xsi:type="dcterms:W3CDTF">2016-06-18T21:51:36Z</dcterms:created>
  <dcterms:modified xsi:type="dcterms:W3CDTF">2025-07-28T08:38:42Z</dcterms:modified>
</cp:coreProperties>
</file>